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mcinnis\Documents\"/>
    </mc:Choice>
  </mc:AlternateContent>
  <bookViews>
    <workbookView xWindow="0" yWindow="0" windowWidth="25200" windowHeight="11250" activeTab="4"/>
  </bookViews>
  <sheets>
    <sheet name="Table - Random Travel Encounter" sheetId="1" r:id="rId1"/>
    <sheet name="Table - Caves" sheetId="9" r:id="rId2"/>
    <sheet name="Table - Mines" sheetId="10" r:id="rId3"/>
    <sheet name="Table - Tomb" sheetId="13" r:id="rId4"/>
    <sheet name="Table - Inn-Tavern" sheetId="6" r:id="rId5"/>
    <sheet name="Table - Brothel" sheetId="14" r:id="rId6"/>
    <sheet name="Table - Prison" sheetId="11" r:id="rId7"/>
    <sheet name="Table - Castle" sheetId="12" r:id="rId8"/>
    <sheet name="Table - City" sheetId="16" r:id="rId9"/>
    <sheet name="Table - Random Shops" sheetId="24" r:id="rId10"/>
    <sheet name="Table - World Setting" sheetId="26" r:id="rId11"/>
    <sheet name="Table - Random Town Stats" sheetId="17" r:id="rId12"/>
    <sheet name="Wilderness Flowchart" sheetId="20" r:id="rId13"/>
    <sheet name="NPC's" sheetId="3" r:id="rId14"/>
    <sheet name="Random Shop-Career" sheetId="2" r:id="rId15"/>
    <sheet name="Random Motivations" sheetId="4" r:id="rId16"/>
    <sheet name="Source Data" sheetId="21" r:id="rId17"/>
    <sheet name="Ruined Castle" sheetId="18" r:id="rId18"/>
    <sheet name="Ruined City Flowchart" sheetId="23" r:id="rId19"/>
    <sheet name="Setting Tables" sheetId="25" r:id="rId20"/>
  </sheets>
  <externalReferences>
    <externalReference r:id="rId21"/>
  </externalReferences>
  <definedNames>
    <definedName name="Freq">'[1]Source Data'!$C$1</definedName>
    <definedName name="Table">'[1]Source Data'!$A$4:$O$24</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6" i="6" l="1"/>
  <c r="V46" i="6"/>
  <c r="U46" i="6"/>
  <c r="T46" i="6"/>
  <c r="R46" i="6"/>
  <c r="W45" i="6"/>
  <c r="V45" i="6"/>
  <c r="U45" i="6"/>
  <c r="T45" i="6"/>
  <c r="R45" i="6"/>
  <c r="S45" i="6" s="1"/>
  <c r="W44" i="6"/>
  <c r="V44" i="6"/>
  <c r="U44" i="6"/>
  <c r="T44" i="6"/>
  <c r="R44" i="6"/>
  <c r="S44" i="6" s="1"/>
  <c r="W43" i="6"/>
  <c r="V43" i="6"/>
  <c r="U43" i="6"/>
  <c r="T43" i="6"/>
  <c r="R43" i="6"/>
  <c r="O43" i="6"/>
  <c r="W42" i="6"/>
  <c r="V42" i="6"/>
  <c r="U42" i="6"/>
  <c r="T42" i="6"/>
  <c r="R42" i="6"/>
  <c r="O42" i="6"/>
  <c r="L43" i="6" s="1"/>
  <c r="L42" i="6"/>
  <c r="AB6" i="6"/>
  <c r="W6" i="6"/>
  <c r="V6" i="6"/>
  <c r="U6" i="6"/>
  <c r="T6" i="6"/>
  <c r="R6" i="6"/>
  <c r="AB5" i="6"/>
  <c r="O1" i="6" s="1"/>
  <c r="W5" i="6"/>
  <c r="V5" i="6"/>
  <c r="U5" i="6"/>
  <c r="T5" i="6"/>
  <c r="R5" i="6"/>
  <c r="AB4" i="6"/>
  <c r="W4" i="6"/>
  <c r="V4" i="6"/>
  <c r="U4" i="6"/>
  <c r="T4" i="6"/>
  <c r="R4" i="6"/>
  <c r="AB3" i="6"/>
  <c r="W3" i="6"/>
  <c r="V3" i="6"/>
  <c r="U3" i="6"/>
  <c r="T3" i="6"/>
  <c r="R3" i="6"/>
  <c r="O3" i="6"/>
  <c r="AB2" i="6"/>
  <c r="W2" i="6"/>
  <c r="V2" i="6"/>
  <c r="U2" i="6"/>
  <c r="T2" i="6"/>
  <c r="R2" i="6"/>
  <c r="O2" i="6"/>
  <c r="L6" i="6" s="1"/>
  <c r="L2" i="6"/>
  <c r="A8" i="6"/>
  <c r="B8" i="6"/>
  <c r="J8" i="6"/>
  <c r="A9" i="6"/>
  <c r="B9" i="6"/>
  <c r="J9" i="6"/>
  <c r="A10" i="6"/>
  <c r="B10" i="6"/>
  <c r="J10" i="6"/>
  <c r="A11" i="6"/>
  <c r="B11" i="6"/>
  <c r="J11" i="6"/>
  <c r="A12" i="6"/>
  <c r="B12" i="6"/>
  <c r="J12" i="6"/>
  <c r="A13" i="6"/>
  <c r="B13" i="6"/>
  <c r="J13" i="6"/>
  <c r="A48" i="6"/>
  <c r="B48" i="6"/>
  <c r="J48" i="6"/>
  <c r="A49" i="6"/>
  <c r="B49" i="6"/>
  <c r="J49" i="6"/>
  <c r="A50" i="6"/>
  <c r="B50" i="6"/>
  <c r="J50" i="6"/>
  <c r="A51" i="6"/>
  <c r="B51" i="6"/>
  <c r="J51" i="6"/>
  <c r="A52" i="6"/>
  <c r="B52" i="6"/>
  <c r="J52" i="6"/>
  <c r="A53" i="6"/>
  <c r="B53" i="6"/>
  <c r="J53" i="6"/>
  <c r="L46" i="6" l="1"/>
  <c r="B43" i="6"/>
  <c r="L45" i="6"/>
  <c r="N45" i="6" s="1"/>
  <c r="L44" i="6"/>
  <c r="N44" i="6" s="1"/>
  <c r="B45" i="6"/>
  <c r="B46" i="6"/>
  <c r="M46" i="6" s="1"/>
  <c r="B44" i="6"/>
  <c r="X44" i="6"/>
  <c r="X45" i="6"/>
  <c r="O41" i="6"/>
  <c r="N42" i="6" s="1"/>
  <c r="B42" i="6"/>
  <c r="S42" i="6"/>
  <c r="X42" i="6" s="1"/>
  <c r="S43" i="6"/>
  <c r="X43" i="6" s="1"/>
  <c r="S46" i="6"/>
  <c r="X46" i="6" s="1"/>
  <c r="N6" i="6"/>
  <c r="N2" i="6"/>
  <c r="L3" i="6"/>
  <c r="N3" i="6" s="1"/>
  <c r="S2" i="6"/>
  <c r="X2" i="6" s="1"/>
  <c r="M2" i="6" s="1"/>
  <c r="S3" i="6"/>
  <c r="X3" i="6" s="1"/>
  <c r="M3" i="6" s="1"/>
  <c r="L4" i="6"/>
  <c r="N4" i="6" s="1"/>
  <c r="S4" i="6"/>
  <c r="X4" i="6" s="1"/>
  <c r="L5" i="6"/>
  <c r="N5" i="6" s="1"/>
  <c r="S5" i="6"/>
  <c r="X5" i="6" s="1"/>
  <c r="S6" i="6"/>
  <c r="X6" i="6" s="1"/>
  <c r="B4" i="6"/>
  <c r="B42" i="21"/>
  <c r="B41" i="21"/>
  <c r="B43" i="21"/>
  <c r="B32" i="21"/>
  <c r="B33" i="21"/>
  <c r="B6" i="26"/>
  <c r="C6" i="26" s="1"/>
  <c r="B5" i="26"/>
  <c r="C5" i="26" s="1"/>
  <c r="B4" i="26"/>
  <c r="C4" i="26" s="1"/>
  <c r="B3" i="26"/>
  <c r="C3" i="26" s="1"/>
  <c r="B2" i="26"/>
  <c r="C2" i="26" s="1"/>
  <c r="C67" i="25"/>
  <c r="D67" i="25" s="1"/>
  <c r="C66" i="25"/>
  <c r="B66" i="25" s="1"/>
  <c r="C65" i="25"/>
  <c r="B65" i="25" s="1"/>
  <c r="C64" i="25"/>
  <c r="D64" i="25" s="1"/>
  <c r="C63" i="25"/>
  <c r="D63" i="25" s="1"/>
  <c r="C62" i="25"/>
  <c r="D62" i="25" s="1"/>
  <c r="C61" i="25"/>
  <c r="B61" i="25" s="1"/>
  <c r="C59" i="25"/>
  <c r="D59" i="25" s="1"/>
  <c r="N46" i="6" l="1"/>
  <c r="M45" i="6"/>
  <c r="N43" i="6"/>
  <c r="M44" i="6"/>
  <c r="M43" i="6"/>
  <c r="M42" i="6"/>
  <c r="B5" i="6"/>
  <c r="M5" i="6" s="1"/>
  <c r="B3" i="6"/>
  <c r="B6" i="6"/>
  <c r="M6" i="6" s="1"/>
  <c r="B2" i="6"/>
  <c r="M4" i="6"/>
  <c r="B62" i="25"/>
  <c r="D65" i="25"/>
  <c r="D61" i="25"/>
  <c r="B67" i="25"/>
  <c r="B63" i="25"/>
  <c r="B59" i="25"/>
  <c r="B64" i="25"/>
  <c r="D66" i="25"/>
  <c r="B8" i="26" l="1"/>
  <c r="B22" i="26" s="1"/>
  <c r="C22" i="26" s="1"/>
  <c r="B18" i="26" l="1"/>
  <c r="C18" i="26" s="1"/>
  <c r="B21" i="26"/>
  <c r="C21" i="26" s="1"/>
  <c r="B10" i="26"/>
  <c r="C10" i="26" s="1"/>
  <c r="B16" i="26"/>
  <c r="C16" i="26" s="1"/>
  <c r="B15" i="26"/>
  <c r="C15" i="26" s="1"/>
  <c r="B20" i="26"/>
  <c r="C20" i="26" s="1"/>
  <c r="B12" i="26"/>
  <c r="C12" i="26" s="1"/>
  <c r="B13" i="26"/>
  <c r="C13" i="26" s="1"/>
  <c r="B19" i="26"/>
  <c r="C19" i="26" s="1"/>
  <c r="B14" i="26"/>
  <c r="C14" i="26" s="1"/>
  <c r="B11" i="26"/>
  <c r="C11" i="26" s="1"/>
  <c r="B17" i="26"/>
  <c r="C17" i="26" s="1"/>
  <c r="E15" i="26"/>
  <c r="E18" i="26" l="1"/>
  <c r="E21" i="26"/>
  <c r="E10" i="26"/>
  <c r="E14" i="26"/>
  <c r="E20" i="26"/>
  <c r="E13" i="26"/>
  <c r="E11" i="26"/>
  <c r="E17" i="26"/>
  <c r="E12" i="26"/>
  <c r="E16" i="26"/>
  <c r="E19" i="26"/>
  <c r="E22" i="26"/>
  <c r="F12" i="26" l="1"/>
  <c r="F20" i="26"/>
  <c r="L20" i="26"/>
  <c r="F22" i="26"/>
  <c r="L10" i="26"/>
  <c r="H20" i="26"/>
  <c r="F10" i="26"/>
  <c r="L22" i="26"/>
  <c r="H12" i="26"/>
  <c r="G12" i="26" s="1"/>
  <c r="H10" i="26"/>
  <c r="J10" i="26"/>
  <c r="L18" i="26"/>
  <c r="J14" i="26"/>
  <c r="H18" i="26"/>
  <c r="J20" i="26"/>
  <c r="L14" i="26"/>
  <c r="F16" i="26"/>
  <c r="J12" i="26"/>
  <c r="H16" i="26"/>
  <c r="F14" i="26"/>
  <c r="F18" i="26"/>
  <c r="L16" i="26"/>
  <c r="J16" i="26"/>
  <c r="H14" i="26"/>
  <c r="H22" i="26"/>
  <c r="J22" i="26"/>
  <c r="L12" i="26"/>
  <c r="J18" i="26"/>
  <c r="H19" i="26" l="1"/>
  <c r="F11" i="26"/>
  <c r="G20" i="26"/>
  <c r="F21" i="26"/>
  <c r="F13" i="26"/>
  <c r="L19" i="26"/>
  <c r="L21" i="26"/>
  <c r="I12" i="26"/>
  <c r="H11" i="26"/>
  <c r="F17" i="26"/>
  <c r="H13" i="26"/>
  <c r="K14" i="26"/>
  <c r="L11" i="26"/>
  <c r="K10" i="26"/>
  <c r="H21" i="26"/>
  <c r="I20" i="26"/>
  <c r="K22" i="26"/>
  <c r="I10" i="26"/>
  <c r="G10" i="26"/>
  <c r="K20" i="26"/>
  <c r="L17" i="26"/>
  <c r="J11" i="26"/>
  <c r="L15" i="26"/>
  <c r="J13" i="26"/>
  <c r="I18" i="26"/>
  <c r="J15" i="26"/>
  <c r="I16" i="26"/>
  <c r="J21" i="26"/>
  <c r="G18" i="26"/>
  <c r="F15" i="26"/>
  <c r="G16" i="26"/>
  <c r="F19" i="26"/>
  <c r="H17" i="26"/>
  <c r="K16" i="26"/>
  <c r="G14" i="26"/>
  <c r="I14" i="26"/>
  <c r="H15" i="26"/>
  <c r="J19" i="26"/>
  <c r="J17" i="26"/>
  <c r="L13" i="26"/>
  <c r="K12" i="26"/>
  <c r="I22" i="26"/>
  <c r="K18" i="26"/>
  <c r="G22" i="26"/>
  <c r="P23" i="16"/>
  <c r="P21" i="16"/>
  <c r="P19" i="16"/>
  <c r="P17" i="16"/>
  <c r="P15" i="16"/>
  <c r="N15" i="16"/>
  <c r="W15" i="16"/>
  <c r="W17" i="16"/>
  <c r="W19" i="16"/>
  <c r="W21" i="16"/>
  <c r="W23" i="16"/>
  <c r="U23" i="16"/>
  <c r="U21" i="16"/>
  <c r="U19" i="16"/>
  <c r="U17" i="16"/>
  <c r="U15" i="16"/>
  <c r="S15" i="16"/>
  <c r="S17" i="16"/>
  <c r="S19" i="16"/>
  <c r="S21" i="16"/>
  <c r="S23" i="16"/>
  <c r="N23" i="16"/>
  <c r="N21" i="16"/>
  <c r="N19" i="16"/>
  <c r="N17" i="16"/>
  <c r="I6" i="10"/>
  <c r="B75" i="16" l="1"/>
  <c r="D75" i="16"/>
  <c r="F75" i="16"/>
  <c r="H75" i="16"/>
  <c r="J75" i="16"/>
  <c r="L75" i="16"/>
  <c r="N75" i="16"/>
  <c r="P75" i="16"/>
  <c r="R75" i="16"/>
  <c r="V75" i="16"/>
  <c r="D76" i="16"/>
  <c r="H76" i="16"/>
  <c r="L76" i="16"/>
  <c r="P76" i="16"/>
  <c r="T76" i="16"/>
  <c r="T77" i="16"/>
  <c r="B79" i="16"/>
  <c r="D79" i="16"/>
  <c r="F79" i="16"/>
  <c r="H79" i="16"/>
  <c r="J79" i="16"/>
  <c r="L79" i="16"/>
  <c r="N79" i="16"/>
  <c r="P79" i="16"/>
  <c r="R79" i="16"/>
  <c r="V79" i="16"/>
  <c r="D80" i="16"/>
  <c r="H80" i="16"/>
  <c r="L80" i="16"/>
  <c r="P80" i="16"/>
  <c r="T80" i="16"/>
  <c r="T81" i="16"/>
  <c r="X79" i="24"/>
  <c r="X78" i="24"/>
  <c r="V77" i="24"/>
  <c r="T79" i="24"/>
  <c r="T78" i="24"/>
  <c r="R77" i="24"/>
  <c r="P79" i="24"/>
  <c r="P78" i="24"/>
  <c r="N77" i="24"/>
  <c r="L79" i="24"/>
  <c r="L78" i="24"/>
  <c r="J77" i="24"/>
  <c r="H79" i="24"/>
  <c r="H78" i="24"/>
  <c r="F77" i="24"/>
  <c r="D79" i="24"/>
  <c r="D78" i="24"/>
  <c r="B77" i="24"/>
  <c r="D83" i="24"/>
  <c r="D82" i="24"/>
  <c r="B81" i="24"/>
  <c r="H83" i="24"/>
  <c r="H82" i="24"/>
  <c r="F81" i="24"/>
  <c r="L83" i="24"/>
  <c r="L82" i="24"/>
  <c r="J81" i="24"/>
  <c r="P83" i="24"/>
  <c r="P82" i="24"/>
  <c r="N81" i="24"/>
  <c r="X83" i="24"/>
  <c r="X82" i="24"/>
  <c r="V81" i="24"/>
  <c r="D147" i="16" l="1"/>
  <c r="D146" i="16"/>
  <c r="D145" i="16"/>
  <c r="D144" i="16"/>
  <c r="S160" i="16"/>
  <c r="Q160" i="16"/>
  <c r="N160" i="16"/>
  <c r="L160" i="16"/>
  <c r="J160" i="16"/>
  <c r="J156" i="16"/>
  <c r="L156" i="16"/>
  <c r="N156" i="16"/>
  <c r="Q156" i="16"/>
  <c r="S156" i="16"/>
  <c r="S152" i="16"/>
  <c r="Q152" i="16"/>
  <c r="N152" i="16"/>
  <c r="L152" i="16"/>
  <c r="J152" i="16"/>
  <c r="J148" i="16"/>
  <c r="L148" i="16"/>
  <c r="N148" i="16"/>
  <c r="Q148" i="16"/>
  <c r="S148" i="16"/>
  <c r="S144" i="16"/>
  <c r="Q144" i="16"/>
  <c r="N144" i="16"/>
  <c r="L144" i="16"/>
  <c r="J144" i="16"/>
  <c r="D10" i="10"/>
  <c r="D12" i="13" l="1"/>
  <c r="N22" i="13"/>
  <c r="J22" i="13"/>
  <c r="N21" i="13"/>
  <c r="J21" i="13"/>
  <c r="A78" i="13"/>
  <c r="O26" i="9"/>
  <c r="K26" i="9"/>
  <c r="O25" i="9"/>
  <c r="K25" i="9"/>
  <c r="L90" i="9"/>
  <c r="O23" i="9"/>
  <c r="O22" i="9"/>
  <c r="M23" i="9"/>
  <c r="M22" i="9"/>
  <c r="K23" i="9"/>
  <c r="K22" i="9"/>
  <c r="B39" i="21"/>
  <c r="B38" i="21"/>
  <c r="B31" i="21"/>
  <c r="B29" i="21"/>
  <c r="B28" i="21"/>
  <c r="R150" i="16" l="1"/>
  <c r="O158" i="16"/>
  <c r="M150" i="16"/>
  <c r="O150" i="16"/>
  <c r="O156" i="16"/>
  <c r="O154" i="16"/>
  <c r="M144" i="16"/>
  <c r="K144" i="16"/>
  <c r="L158" i="16"/>
  <c r="O148" i="16"/>
  <c r="R146" i="16"/>
  <c r="M158" i="16"/>
  <c r="R156" i="16"/>
  <c r="R160" i="16"/>
  <c r="J154" i="16"/>
  <c r="K152" i="16"/>
  <c r="Q146" i="16"/>
  <c r="M160" i="16"/>
  <c r="K150" i="16"/>
  <c r="K148" i="16"/>
  <c r="N146" i="16"/>
  <c r="R152" i="16"/>
  <c r="K154" i="16"/>
  <c r="M152" i="16"/>
  <c r="M146" i="16"/>
  <c r="N154" i="16"/>
  <c r="N158" i="16"/>
  <c r="K160" i="16"/>
  <c r="M148" i="16"/>
  <c r="R158" i="16"/>
  <c r="K146" i="16"/>
  <c r="R154" i="16"/>
  <c r="L150" i="16"/>
  <c r="L146" i="16"/>
  <c r="R144" i="16"/>
  <c r="O144" i="16"/>
  <c r="M154" i="16"/>
  <c r="K156" i="16"/>
  <c r="O146" i="16"/>
  <c r="O160" i="16"/>
  <c r="J146" i="16"/>
  <c r="K158" i="16"/>
  <c r="Q150" i="16"/>
  <c r="R148" i="16"/>
  <c r="J158" i="16"/>
  <c r="Q154" i="16"/>
  <c r="M156" i="16"/>
  <c r="S154" i="16"/>
  <c r="L154" i="16"/>
  <c r="S150" i="16"/>
  <c r="Q158" i="16"/>
  <c r="S146" i="16"/>
  <c r="J150" i="16"/>
  <c r="N150" i="16"/>
  <c r="O152" i="16"/>
  <c r="S158" i="16"/>
  <c r="D7" i="9"/>
  <c r="I2" i="13"/>
  <c r="A123" i="16"/>
  <c r="R139" i="16"/>
  <c r="N139" i="16"/>
  <c r="J139" i="16"/>
  <c r="E139" i="16"/>
  <c r="A139" i="16"/>
  <c r="A135" i="16"/>
  <c r="E135" i="16"/>
  <c r="J135" i="16"/>
  <c r="N135" i="16"/>
  <c r="R135" i="16"/>
  <c r="R131" i="16"/>
  <c r="N131" i="16"/>
  <c r="J131" i="16"/>
  <c r="E131" i="16"/>
  <c r="A131" i="16"/>
  <c r="A127" i="16"/>
  <c r="E127" i="16"/>
  <c r="J127" i="16"/>
  <c r="N127" i="16"/>
  <c r="R127" i="16"/>
  <c r="R123" i="16"/>
  <c r="N123" i="16"/>
  <c r="J123" i="16"/>
  <c r="E123" i="16"/>
  <c r="EY184" i="16"/>
  <c r="EW182" i="16"/>
  <c r="A8" i="9"/>
  <c r="I30" i="1"/>
  <c r="F30" i="1"/>
  <c r="I29" i="1"/>
  <c r="F29" i="1"/>
  <c r="I28" i="1"/>
  <c r="F28" i="1"/>
  <c r="I27" i="1"/>
  <c r="F27" i="1"/>
  <c r="I26" i="1"/>
  <c r="F26" i="1"/>
  <c r="I25" i="1"/>
  <c r="F25" i="1"/>
  <c r="J1" i="1"/>
  <c r="C4" i="1" s="1"/>
  <c r="A12" i="1"/>
  <c r="A13" i="1"/>
  <c r="A14" i="1"/>
  <c r="G14" i="1" s="1"/>
  <c r="M14" i="1" s="1"/>
  <c r="A15" i="1"/>
  <c r="G15" i="1" s="1"/>
  <c r="M15" i="1" s="1"/>
  <c r="A16" i="1"/>
  <c r="A11" i="1"/>
  <c r="G11" i="1" s="1"/>
  <c r="M11" i="1" s="1"/>
  <c r="G16" i="1"/>
  <c r="M16" i="1" s="1"/>
  <c r="G13" i="1"/>
  <c r="M13" i="1" s="1"/>
  <c r="G12" i="1"/>
  <c r="M12" i="1" s="1"/>
  <c r="G5" i="1"/>
  <c r="M5" i="1" s="1"/>
  <c r="G6" i="1"/>
  <c r="M6" i="1" s="1"/>
  <c r="G7" i="1"/>
  <c r="M7" i="1" s="1"/>
  <c r="G8" i="1"/>
  <c r="M8" i="1" s="1"/>
  <c r="G9" i="1"/>
  <c r="M9" i="1" s="1"/>
  <c r="G4" i="1"/>
  <c r="M4" i="1" s="1"/>
  <c r="H118" i="1"/>
  <c r="H112" i="1"/>
  <c r="H129" i="1"/>
  <c r="H128" i="1"/>
  <c r="H111" i="1"/>
  <c r="H91" i="1"/>
  <c r="CV181" i="16"/>
  <c r="CV182" i="16"/>
  <c r="C114" i="16"/>
  <c r="C110" i="16"/>
  <c r="C106" i="16"/>
  <c r="A1" i="12"/>
  <c r="D5" i="12"/>
  <c r="C118" i="16" l="1"/>
  <c r="C119" i="16"/>
  <c r="C120" i="16"/>
  <c r="C127" i="16"/>
  <c r="N133" i="16"/>
  <c r="L135" i="16"/>
  <c r="E125" i="16"/>
  <c r="R125" i="16"/>
  <c r="E129" i="16"/>
  <c r="N137" i="16"/>
  <c r="A125" i="16"/>
  <c r="L123" i="16"/>
  <c r="A133" i="16"/>
  <c r="R133" i="16"/>
  <c r="L139" i="16"/>
  <c r="N129" i="16"/>
  <c r="G135" i="16"/>
  <c r="N125" i="16"/>
  <c r="E133" i="16"/>
  <c r="P135" i="16"/>
  <c r="A137" i="16"/>
  <c r="C123" i="16"/>
  <c r="J133" i="16"/>
  <c r="C139" i="16"/>
  <c r="L127" i="16"/>
  <c r="R129" i="16"/>
  <c r="A129" i="16"/>
  <c r="E137" i="16"/>
  <c r="J137" i="16"/>
  <c r="G127" i="16"/>
  <c r="P127" i="16"/>
  <c r="J125" i="16"/>
  <c r="R137" i="16"/>
  <c r="C135" i="16"/>
  <c r="G123" i="16"/>
  <c r="P131" i="16"/>
  <c r="G139" i="16"/>
  <c r="J129" i="16"/>
  <c r="G131" i="16"/>
  <c r="L131" i="16"/>
  <c r="C131" i="16"/>
  <c r="P123" i="16"/>
  <c r="P139" i="16"/>
  <c r="O15" i="1"/>
  <c r="O14" i="1"/>
  <c r="O13" i="1"/>
  <c r="O12" i="1"/>
  <c r="O11" i="1"/>
  <c r="I15" i="1"/>
  <c r="I14" i="1"/>
  <c r="I13" i="1"/>
  <c r="I12" i="1"/>
  <c r="I11" i="1"/>
  <c r="C15" i="1"/>
  <c r="C14" i="1"/>
  <c r="C13" i="1"/>
  <c r="C12" i="1"/>
  <c r="C11" i="1"/>
  <c r="O8" i="1"/>
  <c r="O7" i="1"/>
  <c r="O6" i="1"/>
  <c r="O5" i="1"/>
  <c r="O4" i="1"/>
  <c r="I8" i="1"/>
  <c r="I7" i="1"/>
  <c r="I6" i="1"/>
  <c r="I5" i="1"/>
  <c r="I4" i="1"/>
  <c r="C8" i="1"/>
  <c r="C7" i="1"/>
  <c r="C5" i="1"/>
  <c r="C6" i="1"/>
  <c r="Q18" i="13"/>
  <c r="O18" i="13"/>
  <c r="M18" i="13"/>
  <c r="K18" i="13"/>
  <c r="I18" i="13"/>
  <c r="I14" i="13"/>
  <c r="K14" i="13"/>
  <c r="M14" i="13"/>
  <c r="O14" i="13"/>
  <c r="Q14" i="13"/>
  <c r="Q10" i="13"/>
  <c r="O10" i="13"/>
  <c r="M10" i="13"/>
  <c r="K10" i="13"/>
  <c r="I10" i="13"/>
  <c r="I6" i="13"/>
  <c r="K6" i="13"/>
  <c r="M6" i="13"/>
  <c r="O6" i="13"/>
  <c r="Q6" i="13"/>
  <c r="Q2" i="13"/>
  <c r="O2" i="13"/>
  <c r="M2" i="13"/>
  <c r="K2" i="13"/>
  <c r="I2" i="10"/>
  <c r="A1" i="13"/>
  <c r="D6" i="9"/>
  <c r="Q18" i="10"/>
  <c r="O18" i="10"/>
  <c r="M18" i="10"/>
  <c r="K18" i="10"/>
  <c r="I18" i="10"/>
  <c r="I14" i="10"/>
  <c r="K14" i="10"/>
  <c r="M14" i="10"/>
  <c r="O14" i="10"/>
  <c r="Q14" i="10"/>
  <c r="Q10" i="10"/>
  <c r="O10" i="10"/>
  <c r="M10" i="10"/>
  <c r="K10" i="10"/>
  <c r="I10" i="10"/>
  <c r="K6" i="10"/>
  <c r="M6" i="10"/>
  <c r="O6" i="10"/>
  <c r="Q6" i="10"/>
  <c r="Q2" i="10"/>
  <c r="O2" i="10"/>
  <c r="M2" i="10"/>
  <c r="K2" i="10"/>
  <c r="D8" i="9"/>
  <c r="G13" i="9"/>
  <c r="D78" i="9"/>
  <c r="A1" i="16" l="1"/>
  <c r="T41" i="17"/>
  <c r="L41" i="17"/>
  <c r="D41" i="17"/>
  <c r="T40" i="17"/>
  <c r="L40" i="17"/>
  <c r="D40" i="17"/>
  <c r="T39" i="17"/>
  <c r="L39" i="17"/>
  <c r="D39" i="17"/>
  <c r="T38" i="17"/>
  <c r="L38" i="17"/>
  <c r="D38" i="17"/>
  <c r="T37" i="17"/>
  <c r="L37" i="17"/>
  <c r="D37" i="17"/>
  <c r="Q36" i="17"/>
  <c r="I36" i="17"/>
  <c r="A36" i="17"/>
  <c r="T34" i="17"/>
  <c r="L34" i="17"/>
  <c r="D34" i="17"/>
  <c r="T33" i="17"/>
  <c r="L33" i="17"/>
  <c r="D33" i="17"/>
  <c r="T32" i="17"/>
  <c r="L32" i="17"/>
  <c r="D32" i="17"/>
  <c r="T31" i="17"/>
  <c r="L31" i="17"/>
  <c r="D31" i="17"/>
  <c r="T30" i="17"/>
  <c r="L30" i="17"/>
  <c r="D30" i="17"/>
  <c r="Q29" i="17"/>
  <c r="I29" i="17"/>
  <c r="A29" i="17"/>
  <c r="T156" i="6"/>
  <c r="T155" i="6"/>
  <c r="T154" i="6"/>
  <c r="T153" i="6"/>
  <c r="T152" i="6"/>
  <c r="T151" i="6"/>
  <c r="C115" i="16"/>
  <c r="C113" i="16"/>
  <c r="C111" i="16"/>
  <c r="C109" i="16"/>
  <c r="C107" i="16"/>
  <c r="C105" i="16"/>
  <c r="D23" i="17"/>
  <c r="L23" i="17"/>
  <c r="T23" i="17"/>
  <c r="T16" i="17"/>
  <c r="L16" i="17"/>
  <c r="D16" i="17"/>
  <c r="D9" i="17"/>
  <c r="L9" i="17"/>
  <c r="T9" i="17"/>
  <c r="T2" i="17"/>
  <c r="L2" i="17"/>
  <c r="D2" i="17"/>
  <c r="K28" i="9"/>
  <c r="K29" i="9"/>
  <c r="K30" i="9"/>
  <c r="K31" i="9"/>
  <c r="K32" i="9"/>
  <c r="K34" i="9"/>
  <c r="K36" i="9"/>
  <c r="K37" i="9"/>
  <c r="K38" i="9"/>
  <c r="K39" i="9"/>
  <c r="K40" i="9"/>
  <c r="K42" i="9"/>
  <c r="D14" i="21"/>
  <c r="A11" i="14"/>
  <c r="S80" i="3"/>
  <c r="K80" i="3"/>
  <c r="C80" i="3"/>
  <c r="S78" i="3"/>
  <c r="K78" i="3"/>
  <c r="C78" i="3"/>
  <c r="S77" i="3"/>
  <c r="K77" i="3"/>
  <c r="C77" i="3"/>
  <c r="S76" i="3"/>
  <c r="K76" i="3"/>
  <c r="C76" i="3"/>
  <c r="S75" i="3"/>
  <c r="K75" i="3"/>
  <c r="C75" i="3"/>
  <c r="S74" i="3"/>
  <c r="K74" i="3"/>
  <c r="C74" i="3"/>
  <c r="S72" i="3"/>
  <c r="S70" i="3"/>
  <c r="S69" i="3"/>
  <c r="S68" i="3"/>
  <c r="S67" i="3"/>
  <c r="S66" i="3"/>
  <c r="K72" i="3"/>
  <c r="K70" i="3"/>
  <c r="K69" i="3"/>
  <c r="K68" i="3"/>
  <c r="K67" i="3"/>
  <c r="K66" i="3"/>
  <c r="C72" i="3"/>
  <c r="C70" i="3"/>
  <c r="C69" i="3"/>
  <c r="C68" i="3"/>
  <c r="C67" i="3"/>
  <c r="C66" i="3"/>
  <c r="S64" i="3"/>
  <c r="S62" i="3"/>
  <c r="S61" i="3"/>
  <c r="S60" i="3"/>
  <c r="S59" i="3"/>
  <c r="S58" i="3"/>
  <c r="K64" i="3"/>
  <c r="K62" i="3"/>
  <c r="K61" i="3"/>
  <c r="K60" i="3"/>
  <c r="K59" i="3"/>
  <c r="K58" i="3"/>
  <c r="C64" i="3"/>
  <c r="C62" i="3"/>
  <c r="C61" i="3"/>
  <c r="C60" i="3"/>
  <c r="C59" i="3"/>
  <c r="C58" i="3"/>
  <c r="S56" i="3"/>
  <c r="S54" i="3"/>
  <c r="S53" i="3"/>
  <c r="S52" i="3"/>
  <c r="S51" i="3"/>
  <c r="S50" i="3"/>
  <c r="K56" i="3"/>
  <c r="K54" i="3"/>
  <c r="K53" i="3"/>
  <c r="K52" i="3"/>
  <c r="K51" i="3"/>
  <c r="K50" i="3"/>
  <c r="C56" i="3"/>
  <c r="C54" i="3"/>
  <c r="C53" i="3"/>
  <c r="C52" i="3"/>
  <c r="C51" i="3"/>
  <c r="C50" i="3"/>
  <c r="S48" i="3"/>
  <c r="S46" i="3"/>
  <c r="S45" i="3"/>
  <c r="S44" i="3"/>
  <c r="S43" i="3"/>
  <c r="S42" i="3"/>
  <c r="K48" i="3"/>
  <c r="K46" i="3"/>
  <c r="K45" i="3"/>
  <c r="K44" i="3"/>
  <c r="K43" i="3"/>
  <c r="K42" i="3"/>
  <c r="C48" i="3"/>
  <c r="C46" i="3"/>
  <c r="C45" i="3"/>
  <c r="C44" i="3"/>
  <c r="C43" i="3"/>
  <c r="C42" i="3"/>
  <c r="S40" i="3"/>
  <c r="S38" i="3"/>
  <c r="S37" i="3"/>
  <c r="S36" i="3"/>
  <c r="S35" i="3"/>
  <c r="S34" i="3"/>
  <c r="K40" i="3"/>
  <c r="K38" i="3"/>
  <c r="K37" i="3"/>
  <c r="K36" i="3"/>
  <c r="K35" i="3"/>
  <c r="K34" i="3"/>
  <c r="C40" i="3"/>
  <c r="C38" i="3"/>
  <c r="C37" i="3"/>
  <c r="C36" i="3"/>
  <c r="C35" i="3"/>
  <c r="C34" i="3"/>
  <c r="S32" i="3"/>
  <c r="S30" i="3"/>
  <c r="S29" i="3"/>
  <c r="S28" i="3"/>
  <c r="S27" i="3"/>
  <c r="S26" i="3"/>
  <c r="S24" i="3"/>
  <c r="S22" i="3"/>
  <c r="S21" i="3"/>
  <c r="S20" i="3"/>
  <c r="S19" i="3"/>
  <c r="S18" i="3"/>
  <c r="S16" i="3"/>
  <c r="S14" i="3"/>
  <c r="S13" i="3"/>
  <c r="S12" i="3"/>
  <c r="S11" i="3"/>
  <c r="S10" i="3"/>
  <c r="S8" i="3"/>
  <c r="S6" i="3"/>
  <c r="S5" i="3"/>
  <c r="S4" i="3"/>
  <c r="S3" i="3"/>
  <c r="S2" i="3"/>
  <c r="K32" i="3"/>
  <c r="K30" i="3"/>
  <c r="K29" i="3"/>
  <c r="K28" i="3"/>
  <c r="K27" i="3"/>
  <c r="K26" i="3"/>
  <c r="C32" i="3"/>
  <c r="C30" i="3"/>
  <c r="C29" i="3"/>
  <c r="C28" i="3"/>
  <c r="C27" i="3"/>
  <c r="C26" i="3"/>
  <c r="K24" i="3"/>
  <c r="K22" i="3"/>
  <c r="K21" i="3"/>
  <c r="K20" i="3"/>
  <c r="K19" i="3"/>
  <c r="K18" i="3"/>
  <c r="C24" i="3"/>
  <c r="C22" i="3"/>
  <c r="C21" i="3"/>
  <c r="C20" i="3"/>
  <c r="C19" i="3"/>
  <c r="C18" i="3"/>
  <c r="K16" i="3"/>
  <c r="K14" i="3"/>
  <c r="K13" i="3"/>
  <c r="K12" i="3"/>
  <c r="K11" i="3"/>
  <c r="K10" i="3"/>
  <c r="C16" i="3"/>
  <c r="C14" i="3"/>
  <c r="C13" i="3"/>
  <c r="C12" i="3"/>
  <c r="C11" i="3"/>
  <c r="C10" i="3"/>
  <c r="K8" i="3"/>
  <c r="K6" i="3"/>
  <c r="K5" i="3"/>
  <c r="K4" i="3"/>
  <c r="K3" i="3"/>
  <c r="K2" i="3"/>
  <c r="C8" i="3"/>
  <c r="C6" i="3"/>
  <c r="C5" i="3"/>
  <c r="C4" i="3"/>
  <c r="C3" i="3"/>
  <c r="C2" i="3"/>
  <c r="J44" i="12"/>
  <c r="J42" i="12"/>
  <c r="J40" i="12"/>
  <c r="J38" i="12"/>
  <c r="J36" i="12"/>
  <c r="J34" i="12"/>
  <c r="J32" i="12"/>
  <c r="J30" i="12"/>
  <c r="J28" i="12"/>
  <c r="I44" i="12"/>
  <c r="I42" i="12"/>
  <c r="I40" i="12"/>
  <c r="I38" i="12"/>
  <c r="I36" i="12"/>
  <c r="I34" i="12"/>
  <c r="I32" i="12"/>
  <c r="I30" i="12"/>
  <c r="I28" i="12"/>
  <c r="C18" i="10"/>
  <c r="C17" i="10"/>
  <c r="C16" i="10"/>
  <c r="A18" i="10"/>
  <c r="A17" i="10"/>
  <c r="A16" i="10"/>
  <c r="C34" i="9"/>
  <c r="C33" i="9"/>
  <c r="C32" i="9"/>
  <c r="C31" i="9"/>
  <c r="C30" i="9"/>
  <c r="C29" i="9"/>
  <c r="A34" i="9"/>
  <c r="A33" i="9"/>
  <c r="A32" i="9"/>
  <c r="A31" i="9"/>
  <c r="A30" i="9"/>
  <c r="A29" i="9"/>
  <c r="T35" i="24"/>
  <c r="L35" i="24"/>
  <c r="D35" i="24"/>
  <c r="D27" i="24"/>
  <c r="L27" i="24"/>
  <c r="T27" i="24"/>
  <c r="T19" i="24"/>
  <c r="L19" i="24"/>
  <c r="D19" i="24"/>
  <c r="D11" i="24"/>
  <c r="L11" i="24"/>
  <c r="T11" i="24"/>
  <c r="T3" i="24"/>
  <c r="L3" i="24"/>
  <c r="D3" i="24"/>
  <c r="T40" i="24"/>
  <c r="Q40" i="24"/>
  <c r="L40" i="24"/>
  <c r="I40" i="24"/>
  <c r="D40" i="24"/>
  <c r="A40" i="24"/>
  <c r="T39" i="24"/>
  <c r="Q39" i="24"/>
  <c r="L39" i="24"/>
  <c r="I39" i="24"/>
  <c r="D39" i="24"/>
  <c r="A39" i="24"/>
  <c r="T38" i="24"/>
  <c r="Q38" i="24"/>
  <c r="L38" i="24"/>
  <c r="I38" i="24"/>
  <c r="D38" i="24"/>
  <c r="A38" i="24"/>
  <c r="T37" i="24"/>
  <c r="Q37" i="24"/>
  <c r="L37" i="24"/>
  <c r="I37" i="24"/>
  <c r="D37" i="24"/>
  <c r="A37" i="24"/>
  <c r="T36" i="24"/>
  <c r="Q36" i="24"/>
  <c r="L36" i="24"/>
  <c r="I36" i="24"/>
  <c r="D36" i="24"/>
  <c r="A36" i="24"/>
  <c r="Q35" i="24"/>
  <c r="I35" i="24"/>
  <c r="A35" i="24"/>
  <c r="T34" i="24"/>
  <c r="Q34" i="24"/>
  <c r="L34" i="24"/>
  <c r="I34" i="24"/>
  <c r="D34" i="24"/>
  <c r="A34" i="24"/>
  <c r="T32" i="24"/>
  <c r="Q32" i="24"/>
  <c r="L32" i="24"/>
  <c r="I32" i="24"/>
  <c r="D32" i="24"/>
  <c r="A32" i="24"/>
  <c r="T31" i="24"/>
  <c r="Q31" i="24"/>
  <c r="L31" i="24"/>
  <c r="I31" i="24"/>
  <c r="D31" i="24"/>
  <c r="A31" i="24"/>
  <c r="T30" i="24"/>
  <c r="Q30" i="24"/>
  <c r="L30" i="24"/>
  <c r="I30" i="24"/>
  <c r="D30" i="24"/>
  <c r="A30" i="24"/>
  <c r="T29" i="24"/>
  <c r="Q29" i="24"/>
  <c r="L29" i="24"/>
  <c r="I29" i="24"/>
  <c r="D29" i="24"/>
  <c r="A29" i="24"/>
  <c r="T28" i="24"/>
  <c r="Q28" i="24"/>
  <c r="L28" i="24"/>
  <c r="I28" i="24"/>
  <c r="D28" i="24"/>
  <c r="A28" i="24"/>
  <c r="Q27" i="24"/>
  <c r="I27" i="24"/>
  <c r="A27" i="24"/>
  <c r="T26" i="24"/>
  <c r="Q26" i="24"/>
  <c r="L26" i="24"/>
  <c r="I26" i="24"/>
  <c r="D26" i="24"/>
  <c r="A26" i="24"/>
  <c r="T24" i="24"/>
  <c r="Q24" i="24"/>
  <c r="L24" i="24"/>
  <c r="I24" i="24"/>
  <c r="D24" i="24"/>
  <c r="A24" i="24"/>
  <c r="T23" i="24"/>
  <c r="Q23" i="24"/>
  <c r="L23" i="24"/>
  <c r="I23" i="24"/>
  <c r="D23" i="24"/>
  <c r="A23" i="24"/>
  <c r="T22" i="24"/>
  <c r="Q22" i="24"/>
  <c r="L22" i="24"/>
  <c r="I22" i="24"/>
  <c r="D22" i="24"/>
  <c r="A22" i="24"/>
  <c r="T21" i="24"/>
  <c r="Q21" i="24"/>
  <c r="L21" i="24"/>
  <c r="I21" i="24"/>
  <c r="D21" i="24"/>
  <c r="A21" i="24"/>
  <c r="T20" i="24"/>
  <c r="Q20" i="24"/>
  <c r="L20" i="24"/>
  <c r="I20" i="24"/>
  <c r="D20" i="24"/>
  <c r="A20" i="24"/>
  <c r="Q19" i="24"/>
  <c r="I19" i="24"/>
  <c r="A19" i="24"/>
  <c r="T18" i="24"/>
  <c r="Q18" i="24"/>
  <c r="L18" i="24"/>
  <c r="I18" i="24"/>
  <c r="D18" i="24"/>
  <c r="A18" i="24"/>
  <c r="T16" i="24"/>
  <c r="Q16" i="24"/>
  <c r="L16" i="24"/>
  <c r="I16" i="24"/>
  <c r="D16" i="24"/>
  <c r="A16" i="24"/>
  <c r="T15" i="24"/>
  <c r="Q15" i="24"/>
  <c r="L15" i="24"/>
  <c r="I15" i="24"/>
  <c r="D15" i="24"/>
  <c r="A15" i="24"/>
  <c r="T14" i="24"/>
  <c r="Q14" i="24"/>
  <c r="L14" i="24"/>
  <c r="I14" i="24"/>
  <c r="D14" i="24"/>
  <c r="A14" i="24"/>
  <c r="T13" i="24"/>
  <c r="Q13" i="24"/>
  <c r="L13" i="24"/>
  <c r="I13" i="24"/>
  <c r="D13" i="24"/>
  <c r="A13" i="24"/>
  <c r="T12" i="24"/>
  <c r="Q12" i="24"/>
  <c r="L12" i="24"/>
  <c r="I12" i="24"/>
  <c r="D12" i="24"/>
  <c r="A12" i="24"/>
  <c r="Q11" i="24"/>
  <c r="I11" i="24"/>
  <c r="A11" i="24"/>
  <c r="T10" i="24"/>
  <c r="Q10" i="24"/>
  <c r="L10" i="24"/>
  <c r="I10" i="24"/>
  <c r="D10" i="24"/>
  <c r="A10" i="24"/>
  <c r="T74" i="24"/>
  <c r="Q74" i="24"/>
  <c r="L74" i="24"/>
  <c r="I74" i="24"/>
  <c r="D74" i="24"/>
  <c r="A74" i="24"/>
  <c r="T73" i="24"/>
  <c r="Q73" i="24"/>
  <c r="L73" i="24"/>
  <c r="I73" i="24"/>
  <c r="D73" i="24"/>
  <c r="A73" i="24"/>
  <c r="T72" i="24"/>
  <c r="Q72" i="24"/>
  <c r="L72" i="24"/>
  <c r="I72" i="24"/>
  <c r="D72" i="24"/>
  <c r="A72" i="24"/>
  <c r="T71" i="24"/>
  <c r="Q71" i="24"/>
  <c r="L71" i="24"/>
  <c r="I71" i="24"/>
  <c r="D71" i="24"/>
  <c r="A71" i="24"/>
  <c r="T70" i="24"/>
  <c r="Q70" i="24"/>
  <c r="L70" i="24"/>
  <c r="I70" i="24"/>
  <c r="D70" i="24"/>
  <c r="A70" i="24"/>
  <c r="T69" i="24"/>
  <c r="Q69" i="24"/>
  <c r="L69" i="24"/>
  <c r="I69" i="24"/>
  <c r="D69" i="24"/>
  <c r="A69" i="24"/>
  <c r="T68" i="24"/>
  <c r="Q68" i="24"/>
  <c r="L68" i="24"/>
  <c r="I68" i="24"/>
  <c r="D68" i="24"/>
  <c r="A68" i="24"/>
  <c r="T67" i="24"/>
  <c r="Q67" i="24"/>
  <c r="L67" i="24"/>
  <c r="I67" i="24"/>
  <c r="D67" i="24"/>
  <c r="A67" i="24"/>
  <c r="T66" i="24"/>
  <c r="Q66" i="24"/>
  <c r="L66" i="24"/>
  <c r="I66" i="24"/>
  <c r="D66" i="24"/>
  <c r="A66" i="24"/>
  <c r="T65" i="24"/>
  <c r="Q65" i="24"/>
  <c r="L65" i="24"/>
  <c r="I65" i="24"/>
  <c r="D65" i="24"/>
  <c r="A65" i="24"/>
  <c r="T63" i="24"/>
  <c r="Q63" i="24"/>
  <c r="L63" i="24"/>
  <c r="I63" i="24"/>
  <c r="D63" i="24"/>
  <c r="A63" i="24"/>
  <c r="T62" i="24"/>
  <c r="Q62" i="24"/>
  <c r="L62" i="24"/>
  <c r="I62" i="24"/>
  <c r="D62" i="24"/>
  <c r="A62" i="24"/>
  <c r="T61" i="24"/>
  <c r="Q61" i="24"/>
  <c r="L61" i="24"/>
  <c r="I61" i="24"/>
  <c r="D61" i="24"/>
  <c r="A61" i="24"/>
  <c r="T60" i="24"/>
  <c r="Q60" i="24"/>
  <c r="L60" i="24"/>
  <c r="I60" i="24"/>
  <c r="D60" i="24"/>
  <c r="A60" i="24"/>
  <c r="T59" i="24"/>
  <c r="Q59" i="24"/>
  <c r="L59" i="24"/>
  <c r="I59" i="24"/>
  <c r="D59" i="24"/>
  <c r="A59" i="24"/>
  <c r="T58" i="24"/>
  <c r="Q58" i="24"/>
  <c r="L58" i="24"/>
  <c r="I58" i="24"/>
  <c r="D58" i="24"/>
  <c r="A58" i="24"/>
  <c r="T57" i="24"/>
  <c r="Q57" i="24"/>
  <c r="L57" i="24"/>
  <c r="I57" i="24"/>
  <c r="D57" i="24"/>
  <c r="A57" i="24"/>
  <c r="T56" i="24"/>
  <c r="Q56" i="24"/>
  <c r="L56" i="24"/>
  <c r="I56" i="24"/>
  <c r="D56" i="24"/>
  <c r="A56" i="24"/>
  <c r="T55" i="24"/>
  <c r="Q55" i="24"/>
  <c r="L55" i="24"/>
  <c r="I55" i="24"/>
  <c r="D55" i="24"/>
  <c r="A55" i="24"/>
  <c r="T54" i="24"/>
  <c r="Q54" i="24"/>
  <c r="L54" i="24"/>
  <c r="I54" i="24"/>
  <c r="D54" i="24"/>
  <c r="A54" i="24"/>
  <c r="D52" i="24"/>
  <c r="D43" i="24"/>
  <c r="L43" i="24"/>
  <c r="T83" i="24"/>
  <c r="T82" i="24"/>
  <c r="R81" i="24"/>
  <c r="T52" i="24"/>
  <c r="Q52" i="24"/>
  <c r="L52" i="24"/>
  <c r="I52" i="24"/>
  <c r="A52" i="24"/>
  <c r="T51" i="24"/>
  <c r="Q51" i="24"/>
  <c r="L51" i="24"/>
  <c r="I51" i="24"/>
  <c r="D51" i="24"/>
  <c r="A51" i="24"/>
  <c r="T50" i="24"/>
  <c r="Q50" i="24"/>
  <c r="L50" i="24"/>
  <c r="I50" i="24"/>
  <c r="D50" i="24"/>
  <c r="A50" i="24"/>
  <c r="T49" i="24"/>
  <c r="Q49" i="24"/>
  <c r="L49" i="24"/>
  <c r="I49" i="24"/>
  <c r="D49" i="24"/>
  <c r="A49" i="24"/>
  <c r="T48" i="24"/>
  <c r="Q48" i="24"/>
  <c r="L48" i="24"/>
  <c r="I48" i="24"/>
  <c r="D48" i="24"/>
  <c r="A48" i="24"/>
  <c r="T47" i="24"/>
  <c r="Q47" i="24"/>
  <c r="L47" i="24"/>
  <c r="I47" i="24"/>
  <c r="D47" i="24"/>
  <c r="A47" i="24"/>
  <c r="T46" i="24"/>
  <c r="Q46" i="24"/>
  <c r="L46" i="24"/>
  <c r="I46" i="24"/>
  <c r="D46" i="24"/>
  <c r="A46" i="24"/>
  <c r="T45" i="24"/>
  <c r="Q45" i="24"/>
  <c r="L45" i="24"/>
  <c r="I45" i="24"/>
  <c r="D45" i="24"/>
  <c r="A45" i="24"/>
  <c r="T44" i="24"/>
  <c r="Q44" i="24"/>
  <c r="L44" i="24"/>
  <c r="I44" i="24"/>
  <c r="D44" i="24"/>
  <c r="A44" i="24"/>
  <c r="T43" i="24"/>
  <c r="Q43" i="24"/>
  <c r="I43" i="24"/>
  <c r="A43" i="24"/>
  <c r="T8" i="24"/>
  <c r="Q8" i="24"/>
  <c r="L8" i="24"/>
  <c r="I8" i="24"/>
  <c r="D8" i="24"/>
  <c r="A8" i="24"/>
  <c r="T7" i="24"/>
  <c r="Q7" i="24"/>
  <c r="L7" i="24"/>
  <c r="I7" i="24"/>
  <c r="D7" i="24"/>
  <c r="A7" i="24"/>
  <c r="T6" i="24"/>
  <c r="Q6" i="24"/>
  <c r="L6" i="24"/>
  <c r="I6" i="24"/>
  <c r="D6" i="24"/>
  <c r="A6" i="24"/>
  <c r="T5" i="24"/>
  <c r="Q5" i="24"/>
  <c r="L5" i="24"/>
  <c r="I5" i="24"/>
  <c r="D5" i="24"/>
  <c r="A5" i="24"/>
  <c r="T4" i="24"/>
  <c r="Q4" i="24"/>
  <c r="L4" i="24"/>
  <c r="I4" i="24"/>
  <c r="D4" i="24"/>
  <c r="A4" i="24"/>
  <c r="Q3" i="24"/>
  <c r="I3" i="24"/>
  <c r="A3" i="24"/>
  <c r="T2" i="24"/>
  <c r="Q2" i="24"/>
  <c r="L2" i="24"/>
  <c r="I2" i="24"/>
  <c r="D2" i="24"/>
  <c r="A2" i="24"/>
  <c r="AL122" i="24"/>
  <c r="AM121" i="24"/>
  <c r="AL120" i="24"/>
  <c r="AP118" i="24"/>
  <c r="AS117" i="24"/>
  <c r="AS118" i="24" s="1"/>
  <c r="AP117" i="24"/>
  <c r="AP110" i="24"/>
  <c r="AP107" i="24"/>
  <c r="AP106" i="24"/>
  <c r="AF106" i="24"/>
  <c r="AP105" i="24"/>
  <c r="AI103" i="24"/>
  <c r="AF103" i="24"/>
  <c r="AK102" i="24"/>
  <c r="AI102" i="24"/>
  <c r="AF102" i="24"/>
  <c r="AK101" i="24"/>
  <c r="AE100" i="24"/>
  <c r="L81" i="24" s="1"/>
  <c r="A101" i="24"/>
  <c r="I9" i="23"/>
  <c r="G9" i="23"/>
  <c r="E9" i="23"/>
  <c r="C9" i="23"/>
  <c r="A9" i="23"/>
  <c r="I7" i="23"/>
  <c r="G7" i="23"/>
  <c r="E7" i="23"/>
  <c r="C7" i="23"/>
  <c r="A7" i="23"/>
  <c r="A6" i="23" s="1"/>
  <c r="I5" i="23"/>
  <c r="G5" i="23"/>
  <c r="E5" i="23"/>
  <c r="C5" i="23"/>
  <c r="B5" i="23" s="1"/>
  <c r="I3" i="23"/>
  <c r="G3" i="23"/>
  <c r="E3" i="23"/>
  <c r="C3" i="23"/>
  <c r="A3" i="23"/>
  <c r="A4" i="23" s="1"/>
  <c r="I1" i="23"/>
  <c r="G1" i="23"/>
  <c r="E1" i="23"/>
  <c r="C1" i="23"/>
  <c r="A1" i="23"/>
  <c r="I9" i="20"/>
  <c r="G9" i="20"/>
  <c r="E9" i="20"/>
  <c r="C9" i="20"/>
  <c r="A9" i="20"/>
  <c r="I7" i="20"/>
  <c r="G7" i="20"/>
  <c r="E7" i="20"/>
  <c r="C7" i="20"/>
  <c r="A7" i="20"/>
  <c r="I5" i="20"/>
  <c r="G5" i="20"/>
  <c r="E5" i="20"/>
  <c r="C5" i="20"/>
  <c r="A5" i="20"/>
  <c r="I3" i="20"/>
  <c r="G3" i="20"/>
  <c r="E3" i="20"/>
  <c r="C3" i="20"/>
  <c r="A3" i="20"/>
  <c r="I1" i="20"/>
  <c r="G1" i="20"/>
  <c r="E1" i="20"/>
  <c r="C1" i="20"/>
  <c r="A1" i="20"/>
  <c r="C2" i="21"/>
  <c r="D2" i="21" s="1"/>
  <c r="E2" i="21" s="1"/>
  <c r="F2" i="21" s="1"/>
  <c r="G2" i="21" s="1"/>
  <c r="H2" i="21" s="1"/>
  <c r="I2" i="21" s="1"/>
  <c r="J2" i="21" s="1"/>
  <c r="K2" i="21" s="1"/>
  <c r="L2" i="21" s="1"/>
  <c r="M2" i="21" s="1"/>
  <c r="N2" i="21" s="1"/>
  <c r="O2" i="21" s="1"/>
  <c r="I9" i="18"/>
  <c r="A9" i="18" s="1"/>
  <c r="G9" i="18"/>
  <c r="C9" i="18" s="1"/>
  <c r="E9" i="18"/>
  <c r="I7" i="18"/>
  <c r="A7" i="18" s="1"/>
  <c r="G7" i="18"/>
  <c r="E7" i="18"/>
  <c r="I5" i="18"/>
  <c r="G5" i="18"/>
  <c r="E5" i="18"/>
  <c r="I3" i="18"/>
  <c r="A3" i="18" s="1"/>
  <c r="G3" i="18"/>
  <c r="E3" i="18"/>
  <c r="I1" i="18"/>
  <c r="G1" i="18"/>
  <c r="E1" i="18"/>
  <c r="A22" i="17"/>
  <c r="I22" i="17"/>
  <c r="Q22" i="17"/>
  <c r="Q15" i="17"/>
  <c r="I15" i="17"/>
  <c r="A15" i="17"/>
  <c r="A8" i="17"/>
  <c r="I8" i="17"/>
  <c r="Q8" i="17"/>
  <c r="Q1" i="17"/>
  <c r="I1" i="17"/>
  <c r="A1" i="17"/>
  <c r="S102" i="16"/>
  <c r="K102" i="16"/>
  <c r="C102" i="16"/>
  <c r="S100" i="16"/>
  <c r="K100" i="16"/>
  <c r="C100" i="16"/>
  <c r="S99" i="16"/>
  <c r="K99" i="16"/>
  <c r="C99" i="16"/>
  <c r="S98" i="16"/>
  <c r="K98" i="16"/>
  <c r="C98" i="16"/>
  <c r="S97" i="16"/>
  <c r="K97" i="16"/>
  <c r="C97" i="16"/>
  <c r="S96" i="16"/>
  <c r="K96" i="16"/>
  <c r="C96" i="16"/>
  <c r="S95" i="16"/>
  <c r="K95" i="16"/>
  <c r="C95" i="16"/>
  <c r="S94" i="16"/>
  <c r="K94" i="16"/>
  <c r="C94" i="16"/>
  <c r="S92" i="16"/>
  <c r="S90" i="16"/>
  <c r="S89" i="16"/>
  <c r="S88" i="16"/>
  <c r="S87" i="16"/>
  <c r="S86" i="16"/>
  <c r="S85" i="16"/>
  <c r="S84" i="16"/>
  <c r="K92" i="16"/>
  <c r="K90" i="16"/>
  <c r="K89" i="16"/>
  <c r="K88" i="16"/>
  <c r="K87" i="16"/>
  <c r="K86" i="16"/>
  <c r="K85" i="16"/>
  <c r="K84" i="16"/>
  <c r="C92" i="16"/>
  <c r="C90" i="16"/>
  <c r="C89" i="16"/>
  <c r="C88" i="16"/>
  <c r="C87" i="16"/>
  <c r="C86" i="16"/>
  <c r="C85" i="16"/>
  <c r="C84" i="16"/>
  <c r="T27" i="17"/>
  <c r="T26" i="17"/>
  <c r="T25" i="17"/>
  <c r="T24" i="17"/>
  <c r="T20" i="17"/>
  <c r="T19" i="17"/>
  <c r="T18" i="17"/>
  <c r="T17" i="17"/>
  <c r="T13" i="17"/>
  <c r="T12" i="17"/>
  <c r="T11" i="17"/>
  <c r="T10" i="17"/>
  <c r="T6" i="17"/>
  <c r="T5" i="17"/>
  <c r="T4" i="17"/>
  <c r="T3" i="17"/>
  <c r="L27" i="17"/>
  <c r="L26" i="17"/>
  <c r="L25" i="17"/>
  <c r="L24" i="17"/>
  <c r="L20" i="17"/>
  <c r="L19" i="17"/>
  <c r="L18" i="17"/>
  <c r="L17" i="17"/>
  <c r="L13" i="17"/>
  <c r="L12" i="17"/>
  <c r="L11" i="17"/>
  <c r="L10" i="17"/>
  <c r="L6" i="17"/>
  <c r="L5" i="17"/>
  <c r="L4" i="17"/>
  <c r="L3" i="17"/>
  <c r="D27" i="17"/>
  <c r="D26" i="17"/>
  <c r="D25" i="17"/>
  <c r="D24" i="17"/>
  <c r="D20" i="17"/>
  <c r="D19" i="17"/>
  <c r="D18" i="17"/>
  <c r="D17" i="17"/>
  <c r="D13" i="17"/>
  <c r="D12" i="17"/>
  <c r="D11" i="17"/>
  <c r="D10" i="17"/>
  <c r="D3" i="17"/>
  <c r="D6" i="17"/>
  <c r="D5" i="17"/>
  <c r="D4" i="17"/>
  <c r="X81" i="16"/>
  <c r="X80" i="16"/>
  <c r="DJ181" i="16"/>
  <c r="DX198" i="16"/>
  <c r="DX199" i="16" s="1"/>
  <c r="X77" i="16"/>
  <c r="X76" i="16"/>
  <c r="DU199" i="16"/>
  <c r="DU198" i="16"/>
  <c r="DU191" i="16"/>
  <c r="DU188" i="16"/>
  <c r="DU187" i="16"/>
  <c r="DU186" i="16"/>
  <c r="DK187" i="16"/>
  <c r="DK183" i="16"/>
  <c r="DK184" i="16"/>
  <c r="DP182" i="16"/>
  <c r="DR202" i="16"/>
  <c r="DQ203" i="16"/>
  <c r="DQ201" i="16"/>
  <c r="DN184" i="16"/>
  <c r="DN183" i="16"/>
  <c r="DP183" i="16"/>
  <c r="D63" i="16"/>
  <c r="T55" i="16"/>
  <c r="L55" i="16"/>
  <c r="D55" i="16"/>
  <c r="K17" i="16"/>
  <c r="K19" i="16"/>
  <c r="K18" i="16"/>
  <c r="K16" i="16"/>
  <c r="I19" i="16"/>
  <c r="I18" i="16"/>
  <c r="I17" i="16"/>
  <c r="I16" i="16"/>
  <c r="D22" i="16"/>
  <c r="D21" i="16"/>
  <c r="D20" i="16"/>
  <c r="D19" i="16"/>
  <c r="D18" i="16"/>
  <c r="D17" i="16"/>
  <c r="D16" i="16"/>
  <c r="A22" i="16"/>
  <c r="A21" i="16"/>
  <c r="A20" i="16"/>
  <c r="A19" i="16"/>
  <c r="A18" i="16"/>
  <c r="A17" i="16"/>
  <c r="A16" i="16"/>
  <c r="CJ255" i="16"/>
  <c r="T51" i="16"/>
  <c r="Q51" i="16"/>
  <c r="T50" i="16"/>
  <c r="Q50" i="16"/>
  <c r="T49" i="16"/>
  <c r="Q49" i="16"/>
  <c r="T48" i="16"/>
  <c r="Q48" i="16"/>
  <c r="T47" i="16"/>
  <c r="Q47" i="16"/>
  <c r="T46" i="16"/>
  <c r="Q46" i="16"/>
  <c r="T45" i="16"/>
  <c r="Q45" i="16"/>
  <c r="T44" i="16"/>
  <c r="Q44" i="16"/>
  <c r="T43" i="16"/>
  <c r="Q43" i="16"/>
  <c r="T42" i="16"/>
  <c r="Q42" i="16"/>
  <c r="Q41" i="16"/>
  <c r="L51" i="16"/>
  <c r="I51" i="16"/>
  <c r="L50" i="16"/>
  <c r="I50" i="16"/>
  <c r="L49" i="16"/>
  <c r="I49" i="16"/>
  <c r="L48" i="16"/>
  <c r="I48" i="16"/>
  <c r="L47" i="16"/>
  <c r="I47" i="16"/>
  <c r="L46" i="16"/>
  <c r="I46" i="16"/>
  <c r="L45" i="16"/>
  <c r="I45" i="16"/>
  <c r="L44" i="16"/>
  <c r="I44" i="16"/>
  <c r="L43" i="16"/>
  <c r="I43" i="16"/>
  <c r="L42" i="16"/>
  <c r="I42" i="16"/>
  <c r="I41" i="16"/>
  <c r="D51" i="16"/>
  <c r="D50" i="16"/>
  <c r="D49" i="16"/>
  <c r="D45" i="16"/>
  <c r="D48" i="16"/>
  <c r="D47" i="16"/>
  <c r="D46" i="16"/>
  <c r="D44" i="16"/>
  <c r="D43" i="16"/>
  <c r="D42" i="16"/>
  <c r="A51" i="16"/>
  <c r="A50" i="16"/>
  <c r="A49" i="16"/>
  <c r="A48" i="16"/>
  <c r="A47" i="16"/>
  <c r="A46" i="16"/>
  <c r="A45" i="16"/>
  <c r="A44" i="16"/>
  <c r="A43" i="16"/>
  <c r="A42" i="16"/>
  <c r="A41" i="16"/>
  <c r="BW184" i="16"/>
  <c r="L41" i="16" s="1"/>
  <c r="BN182" i="16"/>
  <c r="T38" i="16"/>
  <c r="Q38" i="16"/>
  <c r="T37" i="16"/>
  <c r="Q37" i="16"/>
  <c r="T36" i="16"/>
  <c r="Q36" i="16"/>
  <c r="T35" i="16"/>
  <c r="Q35" i="16"/>
  <c r="T34" i="16"/>
  <c r="Q34" i="16"/>
  <c r="Q33" i="16"/>
  <c r="T32" i="16"/>
  <c r="Q32" i="16"/>
  <c r="T31" i="16"/>
  <c r="Q31" i="16"/>
  <c r="L38" i="16"/>
  <c r="I38" i="16"/>
  <c r="L37" i="16"/>
  <c r="I37" i="16"/>
  <c r="L36" i="16"/>
  <c r="I36" i="16"/>
  <c r="L35" i="16"/>
  <c r="I35" i="16"/>
  <c r="L34" i="16"/>
  <c r="I34" i="16"/>
  <c r="I33" i="16"/>
  <c r="L32" i="16"/>
  <c r="I32" i="16"/>
  <c r="L31" i="16"/>
  <c r="I31" i="16"/>
  <c r="D38" i="16"/>
  <c r="D37" i="16"/>
  <c r="D36" i="16"/>
  <c r="D35" i="16"/>
  <c r="D34" i="16"/>
  <c r="BN183" i="16"/>
  <c r="BN180" i="16"/>
  <c r="D32" i="16"/>
  <c r="D31" i="16"/>
  <c r="A38" i="16"/>
  <c r="A37" i="16"/>
  <c r="A36" i="16"/>
  <c r="A35" i="16"/>
  <c r="A34" i="16"/>
  <c r="A33" i="16"/>
  <c r="A32" i="16"/>
  <c r="A31" i="16"/>
  <c r="T28" i="16"/>
  <c r="Q28" i="16"/>
  <c r="T27" i="16"/>
  <c r="Q27" i="16"/>
  <c r="T26" i="16"/>
  <c r="Q26" i="16"/>
  <c r="Q25" i="16"/>
  <c r="L28" i="16"/>
  <c r="I28" i="16"/>
  <c r="L27" i="16"/>
  <c r="I27" i="16"/>
  <c r="L26" i="16"/>
  <c r="I26" i="16"/>
  <c r="I25" i="16"/>
  <c r="D28" i="16"/>
  <c r="D27" i="16"/>
  <c r="D26" i="16"/>
  <c r="A28" i="16"/>
  <c r="A27" i="16"/>
  <c r="A26" i="16"/>
  <c r="A25" i="16"/>
  <c r="BF199" i="16"/>
  <c r="BF198" i="16"/>
  <c r="Q9" i="16"/>
  <c r="Q8" i="16"/>
  <c r="Q7" i="16"/>
  <c r="Q6" i="16"/>
  <c r="Q5" i="16"/>
  <c r="Q3" i="16"/>
  <c r="Q2" i="16"/>
  <c r="O9" i="16"/>
  <c r="O8" i="16"/>
  <c r="O7" i="16"/>
  <c r="O6" i="16"/>
  <c r="O5" i="16"/>
  <c r="O4" i="16"/>
  <c r="O3" i="16"/>
  <c r="O2" i="16"/>
  <c r="AV187" i="16"/>
  <c r="AV186" i="16"/>
  <c r="AV185" i="16"/>
  <c r="AV184" i="16"/>
  <c r="AV183" i="16"/>
  <c r="AV182" i="16"/>
  <c r="AV181" i="16"/>
  <c r="AV180" i="16"/>
  <c r="T72" i="16"/>
  <c r="Q72" i="16"/>
  <c r="T71" i="16"/>
  <c r="Q71" i="16"/>
  <c r="T70" i="16"/>
  <c r="Q70" i="16"/>
  <c r="T69" i="16"/>
  <c r="Q69" i="16"/>
  <c r="T68" i="16"/>
  <c r="Q68" i="16"/>
  <c r="T67" i="16"/>
  <c r="Q67" i="16"/>
  <c r="T66" i="16"/>
  <c r="Q66" i="16"/>
  <c r="T65" i="16"/>
  <c r="Q65" i="16"/>
  <c r="T64" i="16"/>
  <c r="Q64" i="16"/>
  <c r="T63" i="16"/>
  <c r="Q63" i="16"/>
  <c r="L72" i="16"/>
  <c r="I72" i="16"/>
  <c r="L71" i="16"/>
  <c r="I71" i="16"/>
  <c r="L70" i="16"/>
  <c r="I70" i="16"/>
  <c r="L69" i="16"/>
  <c r="I69" i="16"/>
  <c r="L68" i="16"/>
  <c r="I68" i="16"/>
  <c r="L67" i="16"/>
  <c r="I67" i="16"/>
  <c r="L66" i="16"/>
  <c r="I66" i="16"/>
  <c r="L65" i="16"/>
  <c r="I65" i="16"/>
  <c r="L64" i="16"/>
  <c r="I64" i="16"/>
  <c r="L63" i="16"/>
  <c r="I63" i="16"/>
  <c r="D72" i="16"/>
  <c r="D71" i="16"/>
  <c r="D70" i="16"/>
  <c r="D69" i="16"/>
  <c r="D68" i="16"/>
  <c r="D67" i="16"/>
  <c r="D66" i="16"/>
  <c r="D65" i="16"/>
  <c r="D64" i="16"/>
  <c r="A72" i="16"/>
  <c r="A71" i="16"/>
  <c r="A70" i="16"/>
  <c r="A69" i="16"/>
  <c r="A68" i="16"/>
  <c r="A67" i="16"/>
  <c r="A66" i="16"/>
  <c r="A65" i="16"/>
  <c r="A64" i="16"/>
  <c r="A63" i="16"/>
  <c r="N182" i="16"/>
  <c r="M12" i="16"/>
  <c r="AB192" i="16"/>
  <c r="AB191" i="16"/>
  <c r="F1" i="16"/>
  <c r="G10" i="16" s="1"/>
  <c r="J1" i="16"/>
  <c r="J14" i="6" l="1"/>
  <c r="M18" i="9"/>
  <c r="I10" i="9"/>
  <c r="D77" i="16"/>
  <c r="B76" i="16" s="1"/>
  <c r="P81" i="16"/>
  <c r="N80" i="16" s="1"/>
  <c r="F77" i="16"/>
  <c r="P77" i="16"/>
  <c r="N76" i="16" s="1"/>
  <c r="L81" i="16"/>
  <c r="J80" i="16" s="1"/>
  <c r="B81" i="16"/>
  <c r="R81" i="16"/>
  <c r="J81" i="16"/>
  <c r="R77" i="16"/>
  <c r="F81" i="16"/>
  <c r="T75" i="16"/>
  <c r="R76" i="16" s="1"/>
  <c r="H81" i="16"/>
  <c r="F80" i="16" s="1"/>
  <c r="D81" i="16"/>
  <c r="B80" i="16" s="1"/>
  <c r="N77" i="16"/>
  <c r="H77" i="16"/>
  <c r="F76" i="16" s="1"/>
  <c r="L77" i="16"/>
  <c r="J76" i="16" s="1"/>
  <c r="T79" i="16"/>
  <c r="R80" i="16" s="1"/>
  <c r="N81" i="16"/>
  <c r="V81" i="16"/>
  <c r="B77" i="16"/>
  <c r="V77" i="16"/>
  <c r="J77" i="16"/>
  <c r="V79" i="24"/>
  <c r="R79" i="24"/>
  <c r="N79" i="24"/>
  <c r="T77" i="24"/>
  <c r="X77" i="24"/>
  <c r="P77" i="24"/>
  <c r="D81" i="24"/>
  <c r="J79" i="24"/>
  <c r="H77" i="24"/>
  <c r="D77" i="24"/>
  <c r="L77" i="24"/>
  <c r="B79" i="24"/>
  <c r="F83" i="24"/>
  <c r="F79" i="24"/>
  <c r="P81" i="24"/>
  <c r="H81" i="24"/>
  <c r="N83" i="24"/>
  <c r="B83" i="24"/>
  <c r="V83" i="24"/>
  <c r="J83" i="24"/>
  <c r="AL123" i="24"/>
  <c r="AM123" i="24" s="1"/>
  <c r="X81" i="24"/>
  <c r="Q18" i="9"/>
  <c r="O6" i="9"/>
  <c r="K6" i="9"/>
  <c r="K18" i="9"/>
  <c r="M6" i="9"/>
  <c r="M14" i="9"/>
  <c r="O10" i="9"/>
  <c r="M10" i="9"/>
  <c r="O18" i="9"/>
  <c r="K14" i="9"/>
  <c r="Q2" i="9"/>
  <c r="Q6" i="9"/>
  <c r="O2" i="9"/>
  <c r="I6" i="9"/>
  <c r="I2" i="9"/>
  <c r="I14" i="9"/>
  <c r="K10" i="9"/>
  <c r="K2" i="9"/>
  <c r="Q10" i="9"/>
  <c r="O14" i="9"/>
  <c r="M2" i="9"/>
  <c r="I18" i="9"/>
  <c r="Q14" i="9"/>
  <c r="N16" i="16"/>
  <c r="U2" i="9"/>
  <c r="Y14" i="9"/>
  <c r="S6" i="9"/>
  <c r="U18" i="9"/>
  <c r="S10" i="9"/>
  <c r="W14" i="9"/>
  <c r="U14" i="9"/>
  <c r="S2" i="9"/>
  <c r="AA2" i="9"/>
  <c r="Y18" i="9"/>
  <c r="AA10" i="9"/>
  <c r="W10" i="9"/>
  <c r="AA14" i="9"/>
  <c r="S18" i="9"/>
  <c r="Y10" i="9"/>
  <c r="AA6" i="9"/>
  <c r="U6" i="9"/>
  <c r="Y2" i="9"/>
  <c r="AA18" i="9"/>
  <c r="S14" i="9"/>
  <c r="W2" i="9"/>
  <c r="W6" i="9"/>
  <c r="Y6" i="9"/>
  <c r="U10" i="9"/>
  <c r="W18" i="9"/>
  <c r="J54" i="6"/>
  <c r="N20" i="16"/>
  <c r="S22" i="16"/>
  <c r="T22" i="16"/>
  <c r="T23" i="16"/>
  <c r="V16" i="16"/>
  <c r="T18" i="16"/>
  <c r="R20" i="16"/>
  <c r="V21" i="16"/>
  <c r="P16" i="16"/>
  <c r="N18" i="16"/>
  <c r="W18" i="16"/>
  <c r="U20" i="16"/>
  <c r="R21" i="16"/>
  <c r="W22" i="16"/>
  <c r="P18" i="16"/>
  <c r="O19" i="16"/>
  <c r="V20" i="16"/>
  <c r="O23" i="16"/>
  <c r="V23" i="16"/>
  <c r="U18" i="16"/>
  <c r="O15" i="16"/>
  <c r="U16" i="16"/>
  <c r="W16" i="16"/>
  <c r="S18" i="16"/>
  <c r="P20" i="16"/>
  <c r="N22" i="16"/>
  <c r="U22" i="16"/>
  <c r="R16" i="16"/>
  <c r="O18" i="16"/>
  <c r="V17" i="16"/>
  <c r="T19" i="16"/>
  <c r="S20" i="16"/>
  <c r="O22" i="16"/>
  <c r="T15" i="16"/>
  <c r="S16" i="16"/>
  <c r="R17" i="16"/>
  <c r="W20" i="16"/>
  <c r="P22" i="16"/>
  <c r="R23" i="16"/>
  <c r="J16" i="13"/>
  <c r="O16" i="16"/>
  <c r="T16" i="16"/>
  <c r="R18" i="16"/>
  <c r="V18" i="16"/>
  <c r="O20" i="16"/>
  <c r="T20" i="16"/>
  <c r="R22" i="16"/>
  <c r="V22" i="16"/>
  <c r="R15" i="16"/>
  <c r="V15" i="16"/>
  <c r="O17" i="16"/>
  <c r="T17" i="16"/>
  <c r="R19" i="16"/>
  <c r="V19" i="16"/>
  <c r="O21" i="16"/>
  <c r="T21" i="16"/>
  <c r="K8" i="13"/>
  <c r="I12" i="13"/>
  <c r="N18" i="13"/>
  <c r="Q16" i="13"/>
  <c r="N16" i="13"/>
  <c r="P4" i="13"/>
  <c r="J10" i="13"/>
  <c r="P12" i="13"/>
  <c r="J18" i="13"/>
  <c r="P18" i="13"/>
  <c r="N8" i="13"/>
  <c r="K4" i="13"/>
  <c r="I8" i="13"/>
  <c r="L12" i="13"/>
  <c r="P14" i="13"/>
  <c r="L4" i="13"/>
  <c r="I4" i="13"/>
  <c r="J8" i="13"/>
  <c r="P6" i="13"/>
  <c r="N10" i="13"/>
  <c r="M12" i="13"/>
  <c r="L14" i="13"/>
  <c r="O8" i="13"/>
  <c r="M8" i="10"/>
  <c r="K12" i="10"/>
  <c r="I16" i="10"/>
  <c r="Q16" i="10"/>
  <c r="P18" i="10"/>
  <c r="N2" i="13"/>
  <c r="M4" i="13"/>
  <c r="L6" i="13"/>
  <c r="Q8" i="13"/>
  <c r="O12" i="13"/>
  <c r="Q12" i="13"/>
  <c r="M16" i="13"/>
  <c r="K16" i="13"/>
  <c r="L18" i="13"/>
  <c r="J2" i="13"/>
  <c r="O4" i="13"/>
  <c r="Q4" i="13"/>
  <c r="M8" i="13"/>
  <c r="K12" i="13"/>
  <c r="I16" i="13"/>
  <c r="O16" i="13"/>
  <c r="J4" i="13"/>
  <c r="N4" i="13"/>
  <c r="L8" i="13"/>
  <c r="P8" i="13"/>
  <c r="J12" i="13"/>
  <c r="N12" i="13"/>
  <c r="L16" i="13"/>
  <c r="P16" i="13"/>
  <c r="I4" i="10"/>
  <c r="Q4" i="10"/>
  <c r="K16" i="10"/>
  <c r="J18" i="10"/>
  <c r="L2" i="13"/>
  <c r="P2" i="13"/>
  <c r="J6" i="13"/>
  <c r="N6" i="13"/>
  <c r="L10" i="13"/>
  <c r="P10" i="13"/>
  <c r="J14" i="13"/>
  <c r="N14" i="13"/>
  <c r="K4" i="10"/>
  <c r="K8" i="10"/>
  <c r="N18" i="10"/>
  <c r="N10" i="10"/>
  <c r="L14" i="10"/>
  <c r="P6" i="10"/>
  <c r="O4" i="10"/>
  <c r="J2" i="10"/>
  <c r="I12" i="10"/>
  <c r="P12" i="10"/>
  <c r="N16" i="10"/>
  <c r="O16" i="10"/>
  <c r="P4" i="10"/>
  <c r="I8" i="10"/>
  <c r="N8" i="10"/>
  <c r="O8" i="10"/>
  <c r="L12" i="10"/>
  <c r="J16" i="10"/>
  <c r="P14" i="10"/>
  <c r="L4" i="10"/>
  <c r="J8" i="10"/>
  <c r="M12" i="10"/>
  <c r="N2" i="10"/>
  <c r="M4" i="10"/>
  <c r="L6" i="10"/>
  <c r="Q8" i="10"/>
  <c r="J10" i="10"/>
  <c r="O12" i="10"/>
  <c r="Q12" i="10"/>
  <c r="M16" i="10"/>
  <c r="L18" i="10"/>
  <c r="J4" i="10"/>
  <c r="N4" i="10"/>
  <c r="L8" i="10"/>
  <c r="P8" i="10"/>
  <c r="J12" i="10"/>
  <c r="N12" i="10"/>
  <c r="L16" i="10"/>
  <c r="P16" i="10"/>
  <c r="L2" i="10"/>
  <c r="P2" i="10"/>
  <c r="J6" i="10"/>
  <c r="N6" i="10"/>
  <c r="L10" i="10"/>
  <c r="P10" i="10"/>
  <c r="J14" i="10"/>
  <c r="N14" i="10"/>
  <c r="AM120" i="24"/>
  <c r="DR201" i="16"/>
  <c r="G8" i="18"/>
  <c r="R83" i="24"/>
  <c r="T81" i="24"/>
  <c r="R82" i="24" s="1"/>
  <c r="H7" i="23"/>
  <c r="F9" i="23"/>
  <c r="D4" i="23"/>
  <c r="A4" i="20"/>
  <c r="G6" i="23"/>
  <c r="E8" i="23"/>
  <c r="D9" i="23"/>
  <c r="AM122" i="24"/>
  <c r="I8" i="23"/>
  <c r="B8" i="23"/>
  <c r="B9" i="23"/>
  <c r="H9" i="23"/>
  <c r="G4" i="18"/>
  <c r="I6" i="18"/>
  <c r="B2" i="23"/>
  <c r="H4" i="23"/>
  <c r="H6" i="23"/>
  <c r="D9" i="18"/>
  <c r="D1" i="23"/>
  <c r="B3" i="23"/>
  <c r="A2" i="20"/>
  <c r="I2" i="20"/>
  <c r="E6" i="20"/>
  <c r="C8" i="20"/>
  <c r="B9" i="20"/>
  <c r="F2" i="23"/>
  <c r="D6" i="23"/>
  <c r="F5" i="20"/>
  <c r="A2" i="23"/>
  <c r="H1" i="23"/>
  <c r="F3" i="23"/>
  <c r="I4" i="23"/>
  <c r="F5" i="23"/>
  <c r="E6" i="23"/>
  <c r="D7" i="23"/>
  <c r="E4" i="23"/>
  <c r="F9" i="18"/>
  <c r="C4" i="20"/>
  <c r="A6" i="20"/>
  <c r="H7" i="20"/>
  <c r="F9" i="20"/>
  <c r="I6" i="23"/>
  <c r="C8" i="23"/>
  <c r="G2" i="20"/>
  <c r="E4" i="20"/>
  <c r="A8" i="20"/>
  <c r="I8" i="20"/>
  <c r="C6" i="23"/>
  <c r="A8" i="23"/>
  <c r="F8" i="23"/>
  <c r="G8" i="23"/>
  <c r="B4" i="23"/>
  <c r="F4" i="23"/>
  <c r="E8" i="18"/>
  <c r="B1" i="20"/>
  <c r="H6" i="20"/>
  <c r="D7" i="20"/>
  <c r="G8" i="20"/>
  <c r="B1" i="23"/>
  <c r="F1" i="23"/>
  <c r="E2" i="23"/>
  <c r="I2" i="23"/>
  <c r="D3" i="23"/>
  <c r="H3" i="23"/>
  <c r="C4" i="23"/>
  <c r="G4" i="23"/>
  <c r="B6" i="23"/>
  <c r="F6" i="23"/>
  <c r="D8" i="23"/>
  <c r="H8" i="23"/>
  <c r="C2" i="20"/>
  <c r="C6" i="20"/>
  <c r="H9" i="20"/>
  <c r="D5" i="23"/>
  <c r="H5" i="23"/>
  <c r="B7" i="23"/>
  <c r="F7" i="23"/>
  <c r="D2" i="23"/>
  <c r="H2" i="23"/>
  <c r="H3" i="20"/>
  <c r="C2" i="23"/>
  <c r="G2" i="23"/>
  <c r="I2" i="18"/>
  <c r="E6" i="18"/>
  <c r="H2" i="20"/>
  <c r="F4" i="20"/>
  <c r="G4" i="20"/>
  <c r="D6" i="20"/>
  <c r="B8" i="20"/>
  <c r="H9" i="18"/>
  <c r="D2" i="20"/>
  <c r="B4" i="20"/>
  <c r="F8" i="20"/>
  <c r="DQ204" i="16"/>
  <c r="DR204" i="16" s="1"/>
  <c r="F1" i="20"/>
  <c r="E2" i="20"/>
  <c r="D3" i="20"/>
  <c r="I4" i="20"/>
  <c r="B5" i="20"/>
  <c r="G6" i="20"/>
  <c r="I6" i="20"/>
  <c r="E8" i="20"/>
  <c r="D9" i="20"/>
  <c r="F2" i="18"/>
  <c r="F6" i="18"/>
  <c r="B2" i="20"/>
  <c r="F2" i="20"/>
  <c r="D4" i="20"/>
  <c r="H4" i="20"/>
  <c r="B6" i="20"/>
  <c r="F6" i="20"/>
  <c r="D8" i="20"/>
  <c r="H8" i="20"/>
  <c r="E2" i="18"/>
  <c r="D1" i="20"/>
  <c r="H1" i="20"/>
  <c r="B3" i="20"/>
  <c r="F3" i="20"/>
  <c r="D5" i="20"/>
  <c r="H5" i="20"/>
  <c r="B7" i="20"/>
  <c r="F7" i="20"/>
  <c r="A1" i="18"/>
  <c r="A2" i="18" s="1"/>
  <c r="C3" i="18"/>
  <c r="B3" i="18" s="1"/>
  <c r="A5" i="18"/>
  <c r="A6" i="18" s="1"/>
  <c r="C7" i="18"/>
  <c r="C8" i="18" s="1"/>
  <c r="B9" i="18"/>
  <c r="A8" i="18"/>
  <c r="C1" i="18"/>
  <c r="H4" i="18"/>
  <c r="C5" i="18"/>
  <c r="H8" i="18"/>
  <c r="X75" i="16"/>
  <c r="V76" i="16" s="1"/>
  <c r="H1" i="18"/>
  <c r="G2" i="18"/>
  <c r="F3" i="18"/>
  <c r="E4" i="18"/>
  <c r="I4" i="18"/>
  <c r="H5" i="18"/>
  <c r="G6" i="18"/>
  <c r="F7" i="18"/>
  <c r="I8" i="18"/>
  <c r="H2" i="18"/>
  <c r="F4" i="18"/>
  <c r="H6" i="18"/>
  <c r="F8" i="18"/>
  <c r="F1" i="18"/>
  <c r="H3" i="18"/>
  <c r="F5" i="18"/>
  <c r="H7" i="18"/>
  <c r="T25" i="16"/>
  <c r="X79" i="16"/>
  <c r="V80" i="16" s="1"/>
  <c r="L25" i="16"/>
  <c r="D25" i="16"/>
  <c r="DR203" i="16"/>
  <c r="T41" i="16"/>
  <c r="D41" i="16"/>
  <c r="L33" i="16"/>
  <c r="T33" i="16"/>
  <c r="D33" i="16"/>
  <c r="Q4" i="16"/>
  <c r="K10" i="16"/>
  <c r="G3" i="16"/>
  <c r="K3" i="16"/>
  <c r="K7" i="16"/>
  <c r="K2" i="16"/>
  <c r="K4" i="16"/>
  <c r="K8" i="16"/>
  <c r="K5" i="16"/>
  <c r="K9" i="16"/>
  <c r="K6" i="16"/>
  <c r="G4" i="16"/>
  <c r="G7" i="16"/>
  <c r="G8" i="16"/>
  <c r="G5" i="16"/>
  <c r="G9" i="16"/>
  <c r="G2" i="16"/>
  <c r="G6" i="16"/>
  <c r="T60" i="16"/>
  <c r="Q60" i="16"/>
  <c r="T59" i="16"/>
  <c r="Q59" i="16"/>
  <c r="T58" i="16"/>
  <c r="Q58" i="16"/>
  <c r="T57" i="16"/>
  <c r="Q57" i="16"/>
  <c r="T56" i="16"/>
  <c r="Q56" i="16"/>
  <c r="Q55" i="16"/>
  <c r="T54" i="16"/>
  <c r="Q54" i="16"/>
  <c r="L60" i="16"/>
  <c r="I60" i="16"/>
  <c r="L59" i="16"/>
  <c r="I59" i="16"/>
  <c r="L58" i="16"/>
  <c r="I58" i="16"/>
  <c r="L57" i="16"/>
  <c r="I57" i="16"/>
  <c r="L56" i="16"/>
  <c r="I56" i="16"/>
  <c r="I55" i="16"/>
  <c r="L54" i="16"/>
  <c r="I54" i="16"/>
  <c r="D60" i="16"/>
  <c r="D59" i="16"/>
  <c r="D58" i="16"/>
  <c r="D57" i="16"/>
  <c r="D56" i="16"/>
  <c r="D54" i="16"/>
  <c r="A60" i="16"/>
  <c r="A59" i="16"/>
  <c r="A58" i="16"/>
  <c r="A57" i="16"/>
  <c r="A56" i="16"/>
  <c r="A55" i="16"/>
  <c r="A54" i="16"/>
  <c r="D13" i="16"/>
  <c r="A13" i="16"/>
  <c r="D12" i="16"/>
  <c r="A12" i="16"/>
  <c r="C10" i="16"/>
  <c r="C9" i="16"/>
  <c r="C7" i="16"/>
  <c r="C8" i="16"/>
  <c r="C6" i="16"/>
  <c r="C5" i="16"/>
  <c r="C4" i="16"/>
  <c r="C3" i="16"/>
  <c r="C2" i="16"/>
  <c r="A10" i="16"/>
  <c r="A9" i="16"/>
  <c r="A8" i="16"/>
  <c r="A7" i="16"/>
  <c r="A5" i="16"/>
  <c r="A6" i="16"/>
  <c r="A4" i="16"/>
  <c r="A3" i="16"/>
  <c r="A2" i="16"/>
  <c r="I20" i="1"/>
  <c r="I24" i="1"/>
  <c r="I23" i="1"/>
  <c r="F24" i="1"/>
  <c r="I22" i="1"/>
  <c r="I21" i="1"/>
  <c r="I19" i="1"/>
  <c r="F23" i="1"/>
  <c r="F22" i="1"/>
  <c r="F21" i="1"/>
  <c r="F20" i="1"/>
  <c r="F19" i="1"/>
  <c r="L29" i="14"/>
  <c r="L22" i="14"/>
  <c r="L15" i="14"/>
  <c r="M29" i="14"/>
  <c r="M28" i="14"/>
  <c r="L28" i="14"/>
  <c r="M22" i="14"/>
  <c r="M21" i="14"/>
  <c r="L21" i="14"/>
  <c r="M15" i="14"/>
  <c r="L14" i="14"/>
  <c r="L13" i="14"/>
  <c r="L12" i="14"/>
  <c r="L11" i="14"/>
  <c r="L10" i="14"/>
  <c r="M14" i="14"/>
  <c r="AO2" i="6"/>
  <c r="AP2" i="6"/>
  <c r="AQ2" i="6"/>
  <c r="AR2" i="6"/>
  <c r="AS2" i="6"/>
  <c r="AP1" i="6"/>
  <c r="C78" i="6"/>
  <c r="C76" i="6"/>
  <c r="C75" i="6"/>
  <c r="C74" i="6"/>
  <c r="C73" i="6"/>
  <c r="C72" i="6"/>
  <c r="C70" i="6"/>
  <c r="C68" i="6"/>
  <c r="C67" i="6"/>
  <c r="C66" i="6"/>
  <c r="C65" i="6"/>
  <c r="C64" i="6"/>
  <c r="C62" i="6"/>
  <c r="N61" i="6"/>
  <c r="M61" i="6"/>
  <c r="C60" i="6"/>
  <c r="N59" i="6"/>
  <c r="M59" i="6"/>
  <c r="C59" i="6"/>
  <c r="C58" i="6"/>
  <c r="C57" i="6"/>
  <c r="N56" i="6"/>
  <c r="M56" i="6"/>
  <c r="C56" i="6"/>
  <c r="C29" i="1"/>
  <c r="C28" i="1"/>
  <c r="A29" i="1"/>
  <c r="A28" i="1"/>
  <c r="C25" i="1"/>
  <c r="C24" i="1"/>
  <c r="A25" i="1"/>
  <c r="A24" i="1"/>
  <c r="F37" i="1"/>
  <c r="F36" i="1"/>
  <c r="F42" i="1"/>
  <c r="F41" i="1"/>
  <c r="F40" i="1"/>
  <c r="F39" i="1"/>
  <c r="F38" i="1"/>
  <c r="F35" i="1"/>
  <c r="F34" i="1"/>
  <c r="F33" i="1"/>
  <c r="D42" i="1"/>
  <c r="D41" i="1"/>
  <c r="D40" i="1"/>
  <c r="D39" i="1"/>
  <c r="D38" i="1"/>
  <c r="D37" i="1"/>
  <c r="D36" i="1"/>
  <c r="D35" i="1"/>
  <c r="D34" i="1"/>
  <c r="D33" i="1"/>
  <c r="H109" i="1"/>
  <c r="H108" i="1"/>
  <c r="H97" i="1"/>
  <c r="H74" i="1"/>
  <c r="H99" i="1"/>
  <c r="H62" i="1"/>
  <c r="B34" i="1"/>
  <c r="B33" i="1"/>
  <c r="B42" i="1"/>
  <c r="B41" i="1"/>
  <c r="B39" i="1"/>
  <c r="B40" i="1"/>
  <c r="B38" i="1"/>
  <c r="B37" i="1"/>
  <c r="B36" i="1"/>
  <c r="B35" i="1"/>
  <c r="A42" i="1"/>
  <c r="A41" i="1"/>
  <c r="A40" i="1"/>
  <c r="A39" i="1"/>
  <c r="A38" i="1"/>
  <c r="A37" i="1"/>
  <c r="A36" i="1"/>
  <c r="A35" i="1"/>
  <c r="A34" i="1"/>
  <c r="A33" i="1"/>
  <c r="C22" i="13"/>
  <c r="C20" i="13"/>
  <c r="C19" i="13"/>
  <c r="C18" i="13"/>
  <c r="C17" i="13"/>
  <c r="C16" i="13"/>
  <c r="C30" i="13"/>
  <c r="C28" i="13"/>
  <c r="C27" i="13"/>
  <c r="C26" i="13"/>
  <c r="C25" i="13"/>
  <c r="C24" i="13"/>
  <c r="D11" i="13"/>
  <c r="D10" i="13"/>
  <c r="D9" i="13"/>
  <c r="D8" i="13"/>
  <c r="D6" i="13"/>
  <c r="D7" i="13"/>
  <c r="D5" i="13"/>
  <c r="D4" i="13"/>
  <c r="D3" i="13"/>
  <c r="D2" i="13"/>
  <c r="A11" i="13"/>
  <c r="A10" i="13"/>
  <c r="A9" i="13"/>
  <c r="A8" i="13"/>
  <c r="A7" i="13"/>
  <c r="A6" i="13"/>
  <c r="A5" i="13"/>
  <c r="A4" i="13"/>
  <c r="A3" i="13"/>
  <c r="A2" i="13"/>
  <c r="C41" i="12"/>
  <c r="C39" i="12"/>
  <c r="C38" i="12"/>
  <c r="C37" i="12"/>
  <c r="C36" i="12"/>
  <c r="C35" i="12"/>
  <c r="C33" i="12"/>
  <c r="C31" i="12"/>
  <c r="C30" i="12"/>
  <c r="C29" i="12"/>
  <c r="C28" i="12"/>
  <c r="C27" i="12"/>
  <c r="N42" i="12"/>
  <c r="M42" i="12"/>
  <c r="N41" i="12"/>
  <c r="M41" i="12"/>
  <c r="N40" i="12"/>
  <c r="M40" i="12"/>
  <c r="N34" i="12"/>
  <c r="M34" i="12"/>
  <c r="N33" i="12"/>
  <c r="M33" i="12"/>
  <c r="N32" i="12"/>
  <c r="M32" i="12"/>
  <c r="N38" i="12"/>
  <c r="M38" i="12"/>
  <c r="N37" i="12"/>
  <c r="M37" i="12"/>
  <c r="N36" i="12"/>
  <c r="M36" i="12"/>
  <c r="N24" i="12"/>
  <c r="N23" i="12"/>
  <c r="N22" i="12"/>
  <c r="N30" i="12"/>
  <c r="N29" i="12"/>
  <c r="J22" i="12"/>
  <c r="N28" i="12"/>
  <c r="M24" i="12"/>
  <c r="M23" i="12"/>
  <c r="M22" i="12"/>
  <c r="M30" i="12"/>
  <c r="M29" i="12"/>
  <c r="M28" i="12"/>
  <c r="J25" i="12"/>
  <c r="J24" i="12"/>
  <c r="J23" i="12"/>
  <c r="I25" i="12"/>
  <c r="I24" i="12"/>
  <c r="I23" i="12"/>
  <c r="I22" i="12"/>
  <c r="D25" i="12"/>
  <c r="D24" i="12"/>
  <c r="D23" i="12"/>
  <c r="D22" i="12"/>
  <c r="D21" i="12"/>
  <c r="D20" i="12"/>
  <c r="D19" i="12"/>
  <c r="D18" i="12"/>
  <c r="D17" i="12"/>
  <c r="D16" i="12"/>
  <c r="A25" i="12"/>
  <c r="A24" i="12"/>
  <c r="A23" i="12"/>
  <c r="A22" i="12"/>
  <c r="A21" i="12"/>
  <c r="A20" i="12"/>
  <c r="A19" i="12"/>
  <c r="A18" i="12"/>
  <c r="A17" i="12"/>
  <c r="A16" i="12"/>
  <c r="D11" i="11"/>
  <c r="A11" i="11"/>
  <c r="Y63" i="12"/>
  <c r="D13" i="12"/>
  <c r="D12" i="12"/>
  <c r="D11" i="12"/>
  <c r="D10" i="12"/>
  <c r="D9" i="12"/>
  <c r="D8" i="12"/>
  <c r="D7" i="12"/>
  <c r="D6" i="12"/>
  <c r="D4" i="12"/>
  <c r="D3" i="12"/>
  <c r="D2" i="12"/>
  <c r="A13" i="12"/>
  <c r="A12" i="12"/>
  <c r="A11" i="12"/>
  <c r="A10" i="12"/>
  <c r="A9" i="12"/>
  <c r="A8" i="12"/>
  <c r="A7" i="12"/>
  <c r="A6" i="12"/>
  <c r="A5" i="12"/>
  <c r="A4" i="12"/>
  <c r="A3" i="12"/>
  <c r="A2" i="12"/>
  <c r="A1" i="11"/>
  <c r="A1" i="10"/>
  <c r="A1" i="9"/>
  <c r="D19" i="14"/>
  <c r="A19" i="14"/>
  <c r="D18" i="14"/>
  <c r="A18" i="14"/>
  <c r="D17" i="14"/>
  <c r="A17" i="14"/>
  <c r="D16" i="14"/>
  <c r="A16" i="14"/>
  <c r="D15" i="14"/>
  <c r="D14" i="14"/>
  <c r="A14" i="14"/>
  <c r="D13" i="14"/>
  <c r="D12" i="14"/>
  <c r="A12" i="14"/>
  <c r="N21" i="6"/>
  <c r="N19" i="6"/>
  <c r="M21" i="6"/>
  <c r="M19" i="6"/>
  <c r="N16" i="6"/>
  <c r="M16" i="6"/>
  <c r="K27" i="11"/>
  <c r="K25" i="11"/>
  <c r="K24" i="11"/>
  <c r="K23" i="11"/>
  <c r="K22" i="11"/>
  <c r="K21" i="11"/>
  <c r="C27" i="11"/>
  <c r="C25" i="11"/>
  <c r="C24" i="11"/>
  <c r="C23" i="11"/>
  <c r="C22" i="11"/>
  <c r="C21" i="11"/>
  <c r="C19" i="11"/>
  <c r="C17" i="11"/>
  <c r="C16" i="11"/>
  <c r="C15" i="11"/>
  <c r="C14" i="11"/>
  <c r="C13" i="11"/>
  <c r="N15" i="11"/>
  <c r="M15" i="11"/>
  <c r="N14" i="11"/>
  <c r="M14" i="11"/>
  <c r="N12" i="11"/>
  <c r="M12" i="11"/>
  <c r="N11" i="11"/>
  <c r="M11" i="11"/>
  <c r="N9" i="11"/>
  <c r="M9" i="11"/>
  <c r="N8" i="11"/>
  <c r="M8" i="11"/>
  <c r="N6" i="11"/>
  <c r="M6" i="11"/>
  <c r="N5" i="11"/>
  <c r="M5" i="11"/>
  <c r="N3" i="11"/>
  <c r="N2" i="11"/>
  <c r="M3" i="11"/>
  <c r="M2" i="11"/>
  <c r="J15" i="11"/>
  <c r="I15" i="11"/>
  <c r="J14" i="11"/>
  <c r="I14" i="11"/>
  <c r="J12" i="11"/>
  <c r="I12" i="11"/>
  <c r="J11" i="11"/>
  <c r="I11" i="11"/>
  <c r="I9" i="11"/>
  <c r="I8" i="11"/>
  <c r="J9" i="11"/>
  <c r="J8" i="11"/>
  <c r="J5" i="11"/>
  <c r="J4" i="11"/>
  <c r="J3" i="11"/>
  <c r="J2" i="11"/>
  <c r="I5" i="11"/>
  <c r="I4" i="11"/>
  <c r="I3" i="11"/>
  <c r="I2" i="11"/>
  <c r="D10" i="11"/>
  <c r="D9" i="11"/>
  <c r="D8" i="11"/>
  <c r="D7" i="11"/>
  <c r="D6" i="11"/>
  <c r="D5" i="11"/>
  <c r="D4" i="11"/>
  <c r="D3" i="11"/>
  <c r="D2" i="11"/>
  <c r="A10" i="11"/>
  <c r="A9" i="11"/>
  <c r="A8" i="11"/>
  <c r="A7" i="11"/>
  <c r="A6" i="11"/>
  <c r="A5" i="11"/>
  <c r="A4" i="11"/>
  <c r="A3" i="11"/>
  <c r="A2" i="11"/>
  <c r="M27" i="14"/>
  <c r="L27" i="14"/>
  <c r="M26" i="14"/>
  <c r="L26" i="14"/>
  <c r="M25" i="14"/>
  <c r="L25" i="14"/>
  <c r="M24" i="14"/>
  <c r="L24" i="14"/>
  <c r="L20" i="14"/>
  <c r="L19" i="14"/>
  <c r="L18" i="14"/>
  <c r="L17" i="14"/>
  <c r="M20" i="14"/>
  <c r="M19" i="14"/>
  <c r="M18" i="14"/>
  <c r="M17" i="14"/>
  <c r="M13" i="14"/>
  <c r="M12" i="14"/>
  <c r="M11" i="14"/>
  <c r="M10" i="14"/>
  <c r="K41" i="10"/>
  <c r="K39" i="10"/>
  <c r="K38" i="10"/>
  <c r="K37" i="10"/>
  <c r="K36" i="10"/>
  <c r="K35" i="10"/>
  <c r="C41" i="10"/>
  <c r="C39" i="10"/>
  <c r="C38" i="10"/>
  <c r="C37" i="10"/>
  <c r="C36" i="10"/>
  <c r="C35" i="10"/>
  <c r="C33" i="10"/>
  <c r="C31" i="10"/>
  <c r="C30" i="10"/>
  <c r="C29" i="10"/>
  <c r="C28" i="10"/>
  <c r="C27" i="10"/>
  <c r="H25" i="10"/>
  <c r="H24" i="10"/>
  <c r="H23" i="10"/>
  <c r="H22" i="10"/>
  <c r="E25" i="10"/>
  <c r="E24" i="10"/>
  <c r="E23" i="10"/>
  <c r="E22" i="10"/>
  <c r="B25" i="10"/>
  <c r="B24" i="10"/>
  <c r="B23" i="10"/>
  <c r="B22" i="10"/>
  <c r="D13" i="10"/>
  <c r="A13" i="10"/>
  <c r="D12" i="10"/>
  <c r="D11" i="10"/>
  <c r="D9" i="10"/>
  <c r="D8" i="10"/>
  <c r="D6" i="10"/>
  <c r="D5" i="10"/>
  <c r="D4" i="10"/>
  <c r="D3" i="10"/>
  <c r="A6" i="10"/>
  <c r="A11" i="10"/>
  <c r="A10" i="10"/>
  <c r="A9" i="10"/>
  <c r="A8" i="10"/>
  <c r="A7" i="10"/>
  <c r="A5" i="10"/>
  <c r="A4" i="10"/>
  <c r="A3" i="10"/>
  <c r="D2" i="10"/>
  <c r="B25" i="9"/>
  <c r="B24" i="9"/>
  <c r="B23" i="9"/>
  <c r="B21" i="9"/>
  <c r="B20" i="9"/>
  <c r="B19" i="9"/>
  <c r="B18" i="9"/>
  <c r="A25" i="9"/>
  <c r="A24" i="9"/>
  <c r="A23" i="9"/>
  <c r="A22" i="9"/>
  <c r="A21" i="9"/>
  <c r="A20" i="9"/>
  <c r="A19" i="9"/>
  <c r="A18" i="9"/>
  <c r="B15" i="9"/>
  <c r="B14" i="9"/>
  <c r="B13" i="9"/>
  <c r="B12" i="9"/>
  <c r="A15" i="9"/>
  <c r="A14" i="9"/>
  <c r="A13" i="9"/>
  <c r="A12" i="9"/>
  <c r="V74" i="9"/>
  <c r="V73" i="9"/>
  <c r="V72" i="9"/>
  <c r="V71" i="9"/>
  <c r="V70" i="9"/>
  <c r="V69" i="9"/>
  <c r="D3" i="9"/>
  <c r="C42" i="9"/>
  <c r="C40" i="9"/>
  <c r="C39" i="9"/>
  <c r="C38" i="9"/>
  <c r="C37" i="9"/>
  <c r="C36" i="9"/>
  <c r="D9" i="9"/>
  <c r="D5" i="9"/>
  <c r="D4" i="9"/>
  <c r="A9" i="9"/>
  <c r="A5" i="9"/>
  <c r="A4" i="9"/>
  <c r="A2" i="9"/>
  <c r="C27" i="14"/>
  <c r="C25" i="14"/>
  <c r="C24" i="14"/>
  <c r="C23" i="14"/>
  <c r="C22" i="14"/>
  <c r="C21" i="14"/>
  <c r="D3" i="14"/>
  <c r="N7" i="14"/>
  <c r="N5" i="14"/>
  <c r="N4" i="14"/>
  <c r="N3" i="14"/>
  <c r="N2" i="14"/>
  <c r="N1" i="14"/>
  <c r="A9" i="14"/>
  <c r="A8" i="14"/>
  <c r="A7" i="14"/>
  <c r="A6" i="14"/>
  <c r="A4" i="14"/>
  <c r="A2" i="14"/>
  <c r="D9" i="14"/>
  <c r="D8" i="14"/>
  <c r="D7" i="14"/>
  <c r="D6" i="14"/>
  <c r="D5" i="14"/>
  <c r="D4" i="14"/>
  <c r="D2" i="14"/>
  <c r="A1" i="14"/>
  <c r="C38" i="6"/>
  <c r="C36" i="6"/>
  <c r="C35" i="6"/>
  <c r="C34" i="6"/>
  <c r="C33" i="6"/>
  <c r="C32" i="6"/>
  <c r="C30" i="6"/>
  <c r="C28" i="6"/>
  <c r="C27" i="6"/>
  <c r="C26" i="6"/>
  <c r="C25" i="6"/>
  <c r="C24" i="6"/>
  <c r="AY13" i="6"/>
  <c r="AY14" i="6"/>
  <c r="AY15" i="6"/>
  <c r="AY16" i="6"/>
  <c r="AY12" i="6"/>
  <c r="BA12" i="6"/>
  <c r="BA13" i="6"/>
  <c r="BA14" i="6"/>
  <c r="BA15" i="6"/>
  <c r="BA16" i="6"/>
  <c r="BA17" i="6"/>
  <c r="BA18" i="6"/>
  <c r="AZ12" i="6"/>
  <c r="AZ13" i="6"/>
  <c r="AZ14" i="6"/>
  <c r="AZ15" i="6"/>
  <c r="AZ16" i="6"/>
  <c r="AZ17" i="6"/>
  <c r="AZ18" i="6"/>
  <c r="BA3" i="6"/>
  <c r="BA4" i="6"/>
  <c r="BA5" i="6"/>
  <c r="BA6" i="6"/>
  <c r="BA7" i="6"/>
  <c r="BA8" i="6"/>
  <c r="BA9" i="6"/>
  <c r="BA10" i="6"/>
  <c r="BA11" i="6"/>
  <c r="BA2" i="6"/>
  <c r="AZ3" i="6"/>
  <c r="AZ4" i="6"/>
  <c r="AZ5" i="6"/>
  <c r="AZ6" i="6"/>
  <c r="AZ7" i="6"/>
  <c r="AZ8" i="6"/>
  <c r="AZ9" i="6"/>
  <c r="AZ10" i="6"/>
  <c r="AZ11" i="6"/>
  <c r="AZ2" i="6"/>
  <c r="AY3" i="6"/>
  <c r="AY4" i="6"/>
  <c r="AY5" i="6"/>
  <c r="AY6" i="6"/>
  <c r="AY7" i="6"/>
  <c r="AY8" i="6"/>
  <c r="AY9" i="6"/>
  <c r="AY10" i="6"/>
  <c r="AY11" i="6"/>
  <c r="AY2" i="6"/>
  <c r="AO1" i="6"/>
  <c r="AS1" i="6"/>
  <c r="AR1" i="6"/>
  <c r="AQ1" i="6"/>
  <c r="L18" i="9" l="1"/>
  <c r="N2" i="9"/>
  <c r="V78" i="24"/>
  <c r="R78" i="24"/>
  <c r="N78" i="24"/>
  <c r="J78" i="24"/>
  <c r="F78" i="24"/>
  <c r="B78" i="24"/>
  <c r="B82" i="24"/>
  <c r="F82" i="24"/>
  <c r="J82" i="24"/>
  <c r="V82" i="24"/>
  <c r="N82" i="24"/>
  <c r="P18" i="9"/>
  <c r="L14" i="9"/>
  <c r="J6" i="9"/>
  <c r="J14" i="9"/>
  <c r="J2" i="9"/>
  <c r="L2" i="9"/>
  <c r="J18" i="9"/>
  <c r="L10" i="9"/>
  <c r="P14" i="9"/>
  <c r="N6" i="9"/>
  <c r="P10" i="9"/>
  <c r="L6" i="9"/>
  <c r="P2" i="9"/>
  <c r="N14" i="9"/>
  <c r="P6" i="9"/>
  <c r="J10" i="9"/>
  <c r="N10" i="9"/>
  <c r="N18" i="9"/>
  <c r="U4" i="9"/>
  <c r="T18" i="9"/>
  <c r="W12" i="9"/>
  <c r="Z2" i="9"/>
  <c r="V16" i="9"/>
  <c r="AA4" i="9"/>
  <c r="S16" i="9"/>
  <c r="Z10" i="9"/>
  <c r="X10" i="9"/>
  <c r="X2" i="9"/>
  <c r="V6" i="9"/>
  <c r="AA8" i="9"/>
  <c r="S12" i="9"/>
  <c r="W4" i="9"/>
  <c r="X8" i="9"/>
  <c r="X4" i="9"/>
  <c r="W8" i="9"/>
  <c r="X6" i="9"/>
  <c r="X18" i="9"/>
  <c r="Z8" i="9"/>
  <c r="Z6" i="9"/>
  <c r="Z4" i="9"/>
  <c r="Y4" i="9"/>
  <c r="Y8" i="9"/>
  <c r="W16" i="9"/>
  <c r="V18" i="9"/>
  <c r="Y12" i="9"/>
  <c r="X12" i="9"/>
  <c r="X14" i="9"/>
  <c r="X16" i="9"/>
  <c r="V14" i="9"/>
  <c r="Z18" i="9"/>
  <c r="Y16" i="9"/>
  <c r="T14" i="9"/>
  <c r="T16" i="9"/>
  <c r="U16" i="9"/>
  <c r="T2" i="9"/>
  <c r="S4" i="9"/>
  <c r="S8" i="9"/>
  <c r="T6" i="9"/>
  <c r="V2" i="9"/>
  <c r="T4" i="9"/>
  <c r="V4" i="9"/>
  <c r="U12" i="9"/>
  <c r="U8" i="9"/>
  <c r="T10" i="9"/>
  <c r="V8" i="9"/>
  <c r="T12" i="9"/>
  <c r="V12" i="9"/>
  <c r="T8" i="9"/>
  <c r="V10" i="9"/>
  <c r="AA16" i="9"/>
  <c r="AA12" i="9"/>
  <c r="Z14" i="9"/>
  <c r="Z16" i="9"/>
  <c r="Z12" i="9"/>
  <c r="K12" i="9"/>
  <c r="O4" i="9"/>
  <c r="O16" i="9"/>
  <c r="O8" i="9"/>
  <c r="Q4" i="9"/>
  <c r="L12" i="9"/>
  <c r="Q12" i="9"/>
  <c r="J8" i="9"/>
  <c r="K8" i="9"/>
  <c r="M12" i="9"/>
  <c r="N16" i="9"/>
  <c r="P16" i="9"/>
  <c r="M16" i="9"/>
  <c r="I4" i="9"/>
  <c r="L16" i="9"/>
  <c r="K16" i="9"/>
  <c r="N4" i="9"/>
  <c r="I16" i="9"/>
  <c r="P8" i="9"/>
  <c r="P4" i="9"/>
  <c r="J16" i="9"/>
  <c r="Q8" i="9"/>
  <c r="L4" i="9"/>
  <c r="Q16" i="9"/>
  <c r="M4" i="9"/>
  <c r="N8" i="9"/>
  <c r="O12" i="9"/>
  <c r="M8" i="9"/>
  <c r="L8" i="9"/>
  <c r="P12" i="9"/>
  <c r="N12" i="9"/>
  <c r="J4" i="9"/>
  <c r="K4" i="9"/>
  <c r="I8" i="9"/>
  <c r="I12" i="9"/>
  <c r="J12" i="9"/>
  <c r="B1" i="18"/>
  <c r="D7" i="18"/>
  <c r="B8" i="18"/>
  <c r="D3" i="18"/>
  <c r="A4" i="18"/>
  <c r="D8" i="18"/>
  <c r="B7" i="18"/>
  <c r="D2" i="18"/>
  <c r="C4" i="18"/>
  <c r="B5" i="18"/>
  <c r="D6" i="18"/>
  <c r="B2" i="18"/>
  <c r="C2" i="18"/>
  <c r="D1" i="18"/>
  <c r="B6" i="18"/>
  <c r="C6" i="18"/>
  <c r="D5" i="18"/>
  <c r="B4" i="18"/>
  <c r="D4" i="18"/>
  <c r="AH2" i="6"/>
  <c r="A2" i="6" s="1"/>
  <c r="AH3" i="6"/>
  <c r="A42" i="6" s="1"/>
  <c r="B22" i="9"/>
  <c r="AY22" i="6"/>
  <c r="AY35" i="6"/>
  <c r="AY27" i="6"/>
  <c r="AY23" i="6"/>
  <c r="AY33" i="6"/>
  <c r="AY29" i="6"/>
  <c r="AY30" i="6"/>
  <c r="AY39" i="6"/>
  <c r="AY25" i="6"/>
  <c r="AY41" i="6"/>
  <c r="AY32" i="6"/>
  <c r="AY31" i="6"/>
  <c r="AY40" i="6"/>
  <c r="AY38" i="6"/>
  <c r="AY34" i="6"/>
  <c r="AY26" i="6"/>
  <c r="AY36" i="6"/>
  <c r="AY28" i="6"/>
  <c r="AY24" i="6"/>
  <c r="AY37" i="6"/>
  <c r="C22" i="6" l="1"/>
  <c r="C20" i="6"/>
  <c r="C19" i="6"/>
  <c r="C18" i="6"/>
  <c r="C17" i="6"/>
  <c r="C16" i="6"/>
  <c r="B20" i="1"/>
  <c r="B21" i="1"/>
  <c r="K47" i="1"/>
  <c r="K45" i="1"/>
  <c r="K44" i="1"/>
  <c r="K43" i="1"/>
  <c r="K42" i="1"/>
  <c r="K41" i="1"/>
  <c r="K39" i="1"/>
  <c r="K37" i="1"/>
  <c r="K36" i="1"/>
  <c r="K35" i="1"/>
  <c r="K34" i="1"/>
  <c r="K33" i="1"/>
  <c r="C145" i="3"/>
  <c r="C144" i="3"/>
  <c r="C142" i="3"/>
  <c r="C141" i="3"/>
  <c r="C140" i="3"/>
  <c r="C139" i="3"/>
  <c r="C138" i="3"/>
  <c r="A4" i="1" l="1"/>
  <c r="A9" i="1"/>
  <c r="A8" i="1"/>
  <c r="A7" i="1"/>
  <c r="A5" i="1"/>
  <c r="J19" i="12" l="1"/>
  <c r="J18" i="12"/>
  <c r="J17" i="12"/>
  <c r="J16" i="12"/>
  <c r="J14" i="12"/>
  <c r="J15" i="12"/>
  <c r="J13" i="12"/>
  <c r="J12" i="12"/>
  <c r="J11" i="12"/>
  <c r="J10" i="12"/>
  <c r="J9" i="12"/>
  <c r="J8" i="12"/>
  <c r="J7" i="12"/>
  <c r="J6" i="12"/>
  <c r="J5" i="12"/>
  <c r="J4" i="12"/>
  <c r="J3" i="12"/>
  <c r="J2" i="12"/>
  <c r="J1" i="12"/>
  <c r="B78" i="9"/>
  <c r="B77" i="9"/>
  <c r="B76" i="9"/>
  <c r="B61" i="10"/>
  <c r="B60" i="10"/>
  <c r="B59" i="10"/>
  <c r="H107" i="1"/>
  <c r="H106" i="1"/>
  <c r="H102" i="1"/>
  <c r="H98" i="1"/>
  <c r="H96" i="1"/>
  <c r="H95" i="1"/>
  <c r="H94" i="1"/>
  <c r="H93" i="1"/>
  <c r="H92" i="1"/>
  <c r="H90" i="1"/>
  <c r="H87" i="1"/>
  <c r="H86" i="1"/>
  <c r="H85" i="1"/>
  <c r="H84" i="1"/>
  <c r="H83" i="1"/>
  <c r="H80" i="1"/>
  <c r="H79" i="1"/>
  <c r="H78" i="1"/>
  <c r="H77" i="1"/>
  <c r="H73" i="1"/>
  <c r="H71" i="1"/>
  <c r="H69" i="1"/>
  <c r="H68" i="1"/>
  <c r="H66" i="1"/>
  <c r="H64" i="1"/>
  <c r="H61" i="1"/>
  <c r="H56" i="1"/>
  <c r="H54" i="1"/>
  <c r="H53" i="1"/>
  <c r="H52" i="1"/>
  <c r="I53" i="1"/>
  <c r="I54" i="1"/>
  <c r="I55" i="1"/>
  <c r="I56" i="1"/>
  <c r="I57" i="1"/>
  <c r="I58" i="1"/>
  <c r="I59" i="1"/>
  <c r="I60" i="1"/>
  <c r="I61" i="1"/>
  <c r="I62" i="1"/>
  <c r="I63" i="1"/>
  <c r="I64" i="1"/>
  <c r="I65" i="1"/>
  <c r="I66" i="1"/>
  <c r="I67" i="1"/>
  <c r="I68" i="1"/>
  <c r="I69" i="1"/>
  <c r="I70" i="1"/>
  <c r="I71" i="1"/>
  <c r="I52" i="1"/>
  <c r="C16" i="1" l="1"/>
  <c r="O16" i="1"/>
  <c r="I16" i="1"/>
  <c r="O9" i="1"/>
  <c r="I9" i="1"/>
  <c r="C9" i="1"/>
  <c r="D2" i="9"/>
  <c r="D7" i="10"/>
  <c r="T111" i="3" l="1"/>
  <c r="T110" i="3"/>
  <c r="T109" i="3"/>
  <c r="T108" i="3"/>
  <c r="T107" i="3"/>
  <c r="B19" i="1"/>
  <c r="K33" i="9" l="1"/>
  <c r="K41" i="9"/>
  <c r="S63" i="3"/>
  <c r="S15" i="3"/>
  <c r="K79" i="3"/>
  <c r="S55" i="3"/>
  <c r="C23" i="3"/>
  <c r="K23" i="3"/>
  <c r="K7" i="3"/>
  <c r="S79" i="3"/>
  <c r="C31" i="3"/>
  <c r="K15" i="3"/>
  <c r="S7" i="3"/>
  <c r="K71" i="3"/>
  <c r="S31" i="3"/>
  <c r="K63" i="3"/>
  <c r="K55" i="3"/>
  <c r="K47" i="3"/>
  <c r="C39" i="3"/>
  <c r="C55" i="3"/>
  <c r="S23" i="3"/>
  <c r="C15" i="3"/>
  <c r="C47" i="3"/>
  <c r="C7" i="3"/>
  <c r="S47" i="3"/>
  <c r="S71" i="3"/>
  <c r="C71" i="3"/>
  <c r="C79" i="3"/>
  <c r="C63" i="3"/>
  <c r="K39" i="3"/>
  <c r="S39" i="3"/>
  <c r="K31" i="3"/>
  <c r="C91" i="16"/>
  <c r="S101" i="16"/>
  <c r="S91" i="16"/>
  <c r="K101" i="16"/>
  <c r="C101" i="16"/>
  <c r="K91" i="16"/>
  <c r="C69" i="6"/>
  <c r="C77" i="6"/>
  <c r="C61" i="6"/>
  <c r="C40" i="12"/>
  <c r="C29" i="13"/>
  <c r="C21" i="13"/>
  <c r="C32" i="12"/>
  <c r="C18" i="11"/>
  <c r="C26" i="11"/>
  <c r="K26" i="11"/>
  <c r="K40" i="10"/>
  <c r="C40" i="10"/>
  <c r="C32" i="10"/>
  <c r="C41" i="9"/>
  <c r="C26" i="14"/>
  <c r="N6" i="14"/>
  <c r="C21" i="6"/>
  <c r="C29" i="6"/>
  <c r="C37" i="6"/>
  <c r="K46" i="1"/>
  <c r="K38" i="1"/>
  <c r="C143" i="3"/>
</calcChain>
</file>

<file path=xl/sharedStrings.xml><?xml version="1.0" encoding="utf-8"?>
<sst xmlns="http://schemas.openxmlformats.org/spreadsheetml/2006/main" count="10718" uniqueCount="7606">
  <si>
    <t>1d100</t>
  </si>
  <si>
    <t>Random Encounter Motivations</t>
  </si>
  <si>
    <t>On a raid</t>
  </si>
  <si>
    <t>Stripping a dead body of valuables</t>
  </si>
  <si>
    <t>Resting &amp; recuperating after a recent battle</t>
  </si>
  <si>
    <t>Sitting with maps spread out, studying them intently</t>
  </si>
  <si>
    <t>Burying their dead</t>
  </si>
  <si>
    <t>On patrol</t>
  </si>
  <si>
    <t>Searching for an escaped captive</t>
  </si>
  <si>
    <t>Running from a patrol</t>
  </si>
  <si>
    <t>On a quest</t>
  </si>
  <si>
    <t>Returning home from a quest</t>
  </si>
  <si>
    <t>On a slave raid</t>
  </si>
  <si>
    <t>Marauding &amp; pillaging</t>
  </si>
  <si>
    <t>Setting up a digging operation, with charted map</t>
  </si>
  <si>
    <t>Wandering, dazed and confused with a head wound</t>
  </si>
  <si>
    <t>Fleeing another group/individual</t>
  </si>
  <si>
    <t>Travelling to a widely reported event</t>
  </si>
  <si>
    <t>Hunting another group/individual</t>
  </si>
  <si>
    <t>Repairing a vehicle loaded with goods</t>
  </si>
  <si>
    <t>Returning home from a disastrous mission</t>
  </si>
  <si>
    <t>Returning home from a good mission</t>
  </si>
  <si>
    <t>Foraging for plants, berries and roots</t>
  </si>
  <si>
    <t>Hunting air creatures with a ranged weapon</t>
  </si>
  <si>
    <t>Foraging for burrowing animals</t>
  </si>
  <si>
    <t>Surveying the land for making a map</t>
  </si>
  <si>
    <t>Surveying the land for a local mining operation</t>
  </si>
  <si>
    <t>Surveying the land for a powerful lord</t>
  </si>
  <si>
    <t>Building a small homestead/lair</t>
  </si>
  <si>
    <t>Mining or excavating</t>
  </si>
  <si>
    <t>Fortifying or digging in</t>
  </si>
  <si>
    <t>On a pilgrimage</t>
  </si>
  <si>
    <t>Waiting for a dramatic event on the land</t>
  </si>
  <si>
    <t>On a crusade</t>
  </si>
  <si>
    <t>Waiting for a dramatic event in the sky</t>
  </si>
  <si>
    <t>Sick or diseased</t>
  </si>
  <si>
    <t>Renegades on the lam</t>
  </si>
  <si>
    <t>Taming a difficult riding animal</t>
  </si>
  <si>
    <t>Training</t>
  </si>
  <si>
    <t>Farming</t>
  </si>
  <si>
    <t>Poaching</t>
  </si>
  <si>
    <t>Hunting for bandits</t>
  </si>
  <si>
    <t>Road building</t>
  </si>
  <si>
    <t>Stealing livestock</t>
  </si>
  <si>
    <t>Hauling their booty back home</t>
  </si>
  <si>
    <t>On the prowl for men/womenfolk</t>
  </si>
  <si>
    <t>Scouting the countryside</t>
  </si>
  <si>
    <t>Following a treasure map</t>
  </si>
  <si>
    <t>Migrating to a new home</t>
  </si>
  <si>
    <t>Celebrating a religious festival</t>
  </si>
  <si>
    <t>Drunk &amp; disorderly</t>
  </si>
  <si>
    <t>Mating</t>
  </si>
  <si>
    <t>Arguing amongst themselves</t>
  </si>
  <si>
    <t>Praying</t>
  </si>
  <si>
    <t>Singing &amp; dancing</t>
  </si>
  <si>
    <t>Cooking &amp; eating</t>
  </si>
  <si>
    <t>Logging</t>
  </si>
  <si>
    <t>Gathering herbs</t>
  </si>
  <si>
    <t>Dead (D.M. Should determine cause &amp; time of death)</t>
  </si>
  <si>
    <t>Charmed or ensorcelled (D.M. Should determine exact details)</t>
  </si>
  <si>
    <t>Fishing (hunting if no body of water is nearby)</t>
  </si>
  <si>
    <t>Escorting prisoners (D.M. Should determine appropriate types &amp; numbers)</t>
  </si>
  <si>
    <t>Negotiating with an opposing force</t>
  </si>
  <si>
    <t>Repairing weapons/armor/ships etc.</t>
  </si>
  <si>
    <t>Runaway slaves (unarmed &amp; un-armored)</t>
  </si>
  <si>
    <t>DM's Choice</t>
  </si>
  <si>
    <t>Appears to be arguing with a random object</t>
  </si>
  <si>
    <t>Going to enlist</t>
  </si>
  <si>
    <t>Rotting/Rotten corpses</t>
  </si>
  <si>
    <t>Slave Trader</t>
  </si>
  <si>
    <t>Seller of Shrine idols and supplies for worship</t>
  </si>
  <si>
    <t>Book Binder</t>
  </si>
  <si>
    <t>Book Seller</t>
  </si>
  <si>
    <t>Candy Maker</t>
  </si>
  <si>
    <t>Exotic foods</t>
  </si>
  <si>
    <t>Bulk foods</t>
  </si>
  <si>
    <t>Building supplies</t>
  </si>
  <si>
    <t>Military antiques</t>
  </si>
  <si>
    <t>Concealable weapons</t>
  </si>
  <si>
    <t>Large and ceremonial weapons</t>
  </si>
  <si>
    <t>Complex weapons</t>
  </si>
  <si>
    <t>Exotic weapons</t>
  </si>
  <si>
    <t>Dice maker and entertainment supplies</t>
  </si>
  <si>
    <t>Clock Maker</t>
  </si>
  <si>
    <t>Cosmetics dealer and beautician</t>
  </si>
  <si>
    <t>Curio shop dealing in edible items</t>
  </si>
  <si>
    <t>Curio shop dealing in rare trinkets</t>
  </si>
  <si>
    <t>Curio shop dealing in large items</t>
  </si>
  <si>
    <t>Antique furniture</t>
  </si>
  <si>
    <t>Curio trader, also stolen goods fence</t>
  </si>
  <si>
    <t>Distiller</t>
  </si>
  <si>
    <t>Vintner (fine wines)</t>
  </si>
  <si>
    <t>Vintner (cheap wines and fortified wines)</t>
  </si>
  <si>
    <t>Magic weapon dealer</t>
  </si>
  <si>
    <t>Magic armor dealer</t>
  </si>
  <si>
    <t>Magic item dealer</t>
  </si>
  <si>
    <t>Silver smith</t>
  </si>
  <si>
    <t>Toy maker</t>
  </si>
  <si>
    <t>Calligrapher</t>
  </si>
  <si>
    <t>Black smith</t>
  </si>
  <si>
    <t>Ritual dealer (scrolls and tomes)</t>
  </si>
  <si>
    <t>Arcane supplies (simple spells and rituals)</t>
  </si>
  <si>
    <t>Arcane supplies (complex spells and rare rituals)</t>
  </si>
  <si>
    <t>Wand dealer</t>
  </si>
  <si>
    <t>Orb dealer</t>
  </si>
  <si>
    <t>Rod dealer</t>
  </si>
  <si>
    <t>Staff dealer</t>
  </si>
  <si>
    <t>Leather worker</t>
  </si>
  <si>
    <t>Alchemist</t>
  </si>
  <si>
    <t>Art dealer</t>
  </si>
  <si>
    <t>Costume tailor</t>
  </si>
  <si>
    <t>Pet wrangler</t>
  </si>
  <si>
    <t>Potion dealer</t>
  </si>
  <si>
    <t>Rare wood merchant</t>
  </si>
  <si>
    <t>Scroll merchant</t>
  </si>
  <si>
    <t>Baker</t>
  </si>
  <si>
    <t>Soap maker</t>
  </si>
  <si>
    <t>Spice trader</t>
  </si>
  <si>
    <t>Trap smith</t>
  </si>
  <si>
    <t>Lock smith</t>
  </si>
  <si>
    <t>Gem cutter</t>
  </si>
  <si>
    <t>Jeweller merchant</t>
  </si>
  <si>
    <t>Fine clothier</t>
  </si>
  <si>
    <t>Glass blower</t>
  </si>
  <si>
    <t>Glazier (windows)</t>
  </si>
  <si>
    <t>Gold smith</t>
  </si>
  <si>
    <t>Ink maker</t>
  </si>
  <si>
    <t>Map vendor</t>
  </si>
  <si>
    <t>Cartographer</t>
  </si>
  <si>
    <t>Paper maker</t>
  </si>
  <si>
    <t>Perfumer</t>
  </si>
  <si>
    <t>Pewter smith</t>
  </si>
  <si>
    <t>Sculptor</t>
  </si>
  <si>
    <t>Seal maker</t>
  </si>
  <si>
    <t>Wire and chain trader</t>
  </si>
  <si>
    <t>Saddler</t>
  </si>
  <si>
    <t>Bowyer (makes bows)</t>
  </si>
  <si>
    <t>Fletcher (makes arrows)</t>
  </si>
  <si>
    <t>Green grocer</t>
  </si>
  <si>
    <t>Mason</t>
  </si>
  <si>
    <t>Lawyer</t>
  </si>
  <si>
    <t>Animal trainer</t>
  </si>
  <si>
    <t>Chalk seller</t>
  </si>
  <si>
    <t>Net maker</t>
  </si>
  <si>
    <t>Tattooist</t>
  </si>
  <si>
    <t>Dentist and saw bones</t>
  </si>
  <si>
    <t>Engraver</t>
  </si>
  <si>
    <t>Fish monger</t>
  </si>
  <si>
    <t>Fishing supplies</t>
  </si>
  <si>
    <t>Physician</t>
  </si>
  <si>
    <t>Painter</t>
  </si>
  <si>
    <t>Money exchanger</t>
  </si>
  <si>
    <t>Barrister (court lawyer)</t>
  </si>
  <si>
    <t>Banker</t>
  </si>
  <si>
    <t>Messenger</t>
  </si>
  <si>
    <t>Minstrel</t>
  </si>
  <si>
    <t>Guide</t>
  </si>
  <si>
    <t>Courier</t>
  </si>
  <si>
    <t>Engineer</t>
  </si>
  <si>
    <t>Barber</t>
  </si>
  <si>
    <t>Interpreter</t>
  </si>
  <si>
    <t>Investigator</t>
  </si>
  <si>
    <t>Bounty hunter</t>
  </si>
  <si>
    <t>Magician</t>
  </si>
  <si>
    <t>Tutor</t>
  </si>
  <si>
    <t>Pawn broker</t>
  </si>
  <si>
    <t>Furrier</t>
  </si>
  <si>
    <t>Musical instrument trader</t>
  </si>
  <si>
    <t>Clairvoyant (palm and tea leaf reading)</t>
  </si>
  <si>
    <t>Random Shops</t>
  </si>
  <si>
    <t>AN ENTRANCE TO A ROCKY CAVE.</t>
  </si>
  <si>
    <t>A SMALL CAVE IN THE BANK OF A CREEK.</t>
  </si>
  <si>
    <t>A WOODSMANS COTTAGE.</t>
  </si>
  <si>
    <t>A PECULIAR COTTAGE.</t>
  </si>
  <si>
    <t>AN ABANDONED CABIN.</t>
  </si>
  <si>
    <t>A SACRED GROVE.</t>
  </si>
  <si>
    <t>OLD RUINS.</t>
  </si>
  <si>
    <t>A SMALL POOL INSIDE A FOREST GROVE.</t>
  </si>
  <si>
    <t>A SMALL LODGE WITH SIGNS OF ACTIVITY.</t>
  </si>
  <si>
    <t>A LARGE, HOLLOW TREE.</t>
  </si>
  <si>
    <t>A PAIR OF TREES FROM THE SAME ROOT.</t>
  </si>
  <si>
    <t>A TREE GROWING OVER A BOULDER.</t>
  </si>
  <si>
    <t>A CLEARING WITH WILDFLOWERS.</t>
  </si>
  <si>
    <t>A GRASSY CLEARING.</t>
  </si>
  <si>
    <t>A MOSS-COVERED BOULDER.</t>
  </si>
  <si>
    <t>A THICKET OF BRAMBLES.</t>
  </si>
  <si>
    <t>A BABBLING BROOK.</t>
  </si>
  <si>
    <t>A BROOK, WITH GENTLE RAPIDS.</t>
  </si>
  <si>
    <t>A DRY CREEKBED.</t>
  </si>
  <si>
    <t>A PATCH OF MUSHROOMS.</t>
  </si>
  <si>
    <t>AN UNNATURALLY LARGE MUSHROOM.</t>
  </si>
  <si>
    <t>AN ENORMOUS, HOLLOW LOG.</t>
  </si>
  <si>
    <t>A LARGE, ROTTING LOG.</t>
  </si>
  <si>
    <t>A TREE FELLED BY LIGHTNING.</t>
  </si>
  <si>
    <t>AN OLD, GNARLED TREE.</t>
  </si>
  <si>
    <t>THE STUMP OF AN ENORMOUS TREE.</t>
  </si>
  <si>
    <t>A FLOCK OF BIRDS SCATTERING.</t>
  </si>
  <si>
    <t>A HAWK CRYING.</t>
  </si>
  <si>
    <t>A WOODPECKER DRUMMING.</t>
  </si>
  <si>
    <t>AN OWL HOOTING.</t>
  </si>
  <si>
    <t>BIRDS CHIRPING.</t>
  </si>
  <si>
    <t>A CHIPMUNK SCURRYING.</t>
  </si>
  <si>
    <t>A DEER WATCHING, CURIOUS.</t>
  </si>
  <si>
    <t>A SQUIRREL LEAPING FROM TREE TO TREE.</t>
  </si>
  <si>
    <t>A WOLF HOWLING.</t>
  </si>
  <si>
    <t>BUTTERFLIES FLYING ABOUT.</t>
  </si>
  <si>
    <t>SQUIRRELS CHITTERING ANGRILY.</t>
  </si>
  <si>
    <t>THE BREEZE STOPS.</t>
  </si>
  <si>
    <t>THE WIND BLOWS HARDER.</t>
  </si>
  <si>
    <t>A TWIG SNAPPING.</t>
  </si>
  <si>
    <t>BRIGHTLY COLORED BERRIES LITTERED ON THE GROUND.</t>
  </si>
  <si>
    <t>LEAVES RUSTLING.</t>
  </si>
  <si>
    <t>THE SCENT OF FLOWERS.</t>
  </si>
  <si>
    <t>THE SMELL OF DECAY.</t>
  </si>
  <si>
    <t>APPLE/PEAR TREES.</t>
  </si>
  <si>
    <t>ASH TREES.</t>
  </si>
  <si>
    <t>BIRCH TREES.</t>
  </si>
  <si>
    <t>BEECH TREES.</t>
  </si>
  <si>
    <t>CEDAR/JUNIPER TREES.</t>
  </si>
  <si>
    <t>CHERRY/PLUM TREES.</t>
  </si>
  <si>
    <t>CHESTNUT/HAZEL TREES.</t>
  </si>
  <si>
    <t>CYPRESS TREES.</t>
  </si>
  <si>
    <t>ELM TREES.</t>
  </si>
  <si>
    <t>FIR TREES.</t>
  </si>
  <si>
    <t>HAWTHORN/HEMLOCK TREES.</t>
  </si>
  <si>
    <t>HICKORY/WALNUT TREES.</t>
  </si>
  <si>
    <t>LINDEN/LIME TREES.</t>
  </si>
  <si>
    <t>MAPLE TREES.</t>
  </si>
  <si>
    <t>OAK TREES.</t>
  </si>
  <si>
    <t>PINE TREES.</t>
  </si>
  <si>
    <t>POPLAR TREES.</t>
  </si>
  <si>
    <t>SPRUCE TREES.</t>
  </si>
  <si>
    <t>WILLOW TREES.</t>
  </si>
  <si>
    <t>YEW/HOLLY TREES.</t>
  </si>
  <si>
    <t>SPIDER WEBS.</t>
  </si>
  <si>
    <t>CORPSES.</t>
  </si>
  <si>
    <t>ABANDONED EQUIPMENT.</t>
  </si>
  <si>
    <t>A SHRINE TO A PAGAN GOD.</t>
  </si>
  <si>
    <t>BATS.</t>
  </si>
  <si>
    <t>SIGNS OF BANDIT ACTIVITY.</t>
  </si>
  <si>
    <t>NOTHING OF INTEREST.</t>
  </si>
  <si>
    <t>A TOMB ENTRANCE WITH AN ILLEGIBLE HEADSTONE.</t>
  </si>
  <si>
    <t>A SMALL CAVE ENTRANCE UNDER A LARGE TREE.</t>
  </si>
  <si>
    <t>BLOOD/BONES.</t>
  </si>
  <si>
    <t>EYES</t>
  </si>
  <si>
    <t>EARS</t>
  </si>
  <si>
    <t>MOUTH</t>
  </si>
  <si>
    <t>NOSE</t>
  </si>
  <si>
    <t>CHIN/JAW'</t>
  </si>
  <si>
    <t>HAIR</t>
  </si>
  <si>
    <t>FACE</t>
  </si>
  <si>
    <t>HEIGHT</t>
  </si>
  <si>
    <t>BODY</t>
  </si>
  <si>
    <t>HANDS</t>
  </si>
  <si>
    <t>TATTOOS</t>
  </si>
  <si>
    <t>JEWELRY</t>
  </si>
  <si>
    <t>TWO EARINGS</t>
  </si>
  <si>
    <t>SEVERAL RINGS</t>
  </si>
  <si>
    <t>JEWELRY MADE OF</t>
  </si>
  <si>
    <t>IRON</t>
  </si>
  <si>
    <t>BRONZE</t>
  </si>
  <si>
    <t>PEWTER</t>
  </si>
  <si>
    <t>SILVER</t>
  </si>
  <si>
    <t>GOLD</t>
  </si>
  <si>
    <t>COPPER</t>
  </si>
  <si>
    <t>CRISP AND NEW</t>
  </si>
  <si>
    <t>CLOTHES</t>
  </si>
  <si>
    <t>CALM TRAIT</t>
  </si>
  <si>
    <t>STRESS TRAIT</t>
  </si>
  <si>
    <t>CURRENT MOOD</t>
  </si>
  <si>
    <t>FAITH</t>
  </si>
  <si>
    <t>PREJUDICE</t>
  </si>
  <si>
    <t>FLAW</t>
  </si>
  <si>
    <t/>
  </si>
  <si>
    <t>Foolish</t>
  </si>
  <si>
    <t>Angry</t>
  </si>
  <si>
    <t>Stubborn</t>
  </si>
  <si>
    <t>WATERY EYES</t>
  </si>
  <si>
    <t>LONG EAR LOBES</t>
  </si>
  <si>
    <t>SLEEPY EYES</t>
  </si>
  <si>
    <t>SHIFTY EYES</t>
  </si>
  <si>
    <t>BRIGHT EYES</t>
  </si>
  <si>
    <t>COLD EYES</t>
  </si>
  <si>
    <t>SMILING EYES</t>
  </si>
  <si>
    <t>CLOSE-SET EYES</t>
  </si>
  <si>
    <t>WILD EYES</t>
  </si>
  <si>
    <t>A LAZY EYE</t>
  </si>
  <si>
    <t>PIERCING EYES</t>
  </si>
  <si>
    <t>WATCHFUL EYES</t>
  </si>
  <si>
    <t>DARK EYES</t>
  </si>
  <si>
    <t>HOODED EYES</t>
  </si>
  <si>
    <t>EYES OF TWO DIFFERENT COLORS</t>
  </si>
  <si>
    <t>SLIGHTLY CROSSED EYES</t>
  </si>
  <si>
    <t>WIDE EYES</t>
  </si>
  <si>
    <t>BEAUTIFUL EYES</t>
  </si>
  <si>
    <t>BEADY EYES</t>
  </si>
  <si>
    <t>PENETRATING EYES</t>
  </si>
  <si>
    <t>OVER-SIZED EARS</t>
  </si>
  <si>
    <t>SMALL EARS</t>
  </si>
  <si>
    <t>UNEVEN EARS</t>
  </si>
  <si>
    <t>HAIRY EARS</t>
  </si>
  <si>
    <t>POINTY EARS</t>
  </si>
  <si>
    <t>SHORT EAR LOBES</t>
  </si>
  <si>
    <t>EARS THAT STICK OUT</t>
  </si>
  <si>
    <t>JUG-HANDLE EARS</t>
  </si>
  <si>
    <t>ELABORATELY PIERCED EARS</t>
  </si>
  <si>
    <t>CAULIFLOWER EARS</t>
  </si>
  <si>
    <t>EARS WITH IMPROBABLE TUFTS OF HAIR</t>
  </si>
  <si>
    <t>FULL LIPS</t>
  </si>
  <si>
    <t>BUCK TEETH</t>
  </si>
  <si>
    <t>THIN LIPS</t>
  </si>
  <si>
    <t>ROTTING TEETH</t>
  </si>
  <si>
    <t>CROOKED TEETH</t>
  </si>
  <si>
    <t>BROKEN/MISSING TEETH</t>
  </si>
  <si>
    <t>PURSED LIPS</t>
  </si>
  <si>
    <t>DRY, CRACKED LIPS</t>
  </si>
  <si>
    <t>ONE+ FALSE TEETH</t>
  </si>
  <si>
    <t>A CROOKED NOSE</t>
  </si>
  <si>
    <t>A BULBOUS NOSE</t>
  </si>
  <si>
    <t>A NARROW NOSE</t>
  </si>
  <si>
    <t>A BUTTON NOSE</t>
  </si>
  <si>
    <t>A LONG NOSE</t>
  </si>
  <si>
    <t>A BROAD NOSE</t>
  </si>
  <si>
    <t>AN ANGULAR NOSE</t>
  </si>
  <si>
    <t>A ROUND NOSE</t>
  </si>
  <si>
    <t>A BROKEN NOSE</t>
  </si>
  <si>
    <t>A HAWK-LIKE NOSE</t>
  </si>
  <si>
    <t>A WIDE NOSE</t>
  </si>
  <si>
    <t>A DELICATE NOSE</t>
  </si>
  <si>
    <t>A PRONOUNCED CHIN</t>
  </si>
  <si>
    <t>A CLEFT CHIN</t>
  </si>
  <si>
    <t>A DIMPLE ON THE CHIN</t>
  </si>
  <si>
    <t>A ROUNDED CHIN</t>
  </si>
  <si>
    <t>A SHARP JAWLINE</t>
  </si>
  <si>
    <t>A SQUARE JAW</t>
  </si>
  <si>
    <t>A ROUND JAW</t>
  </si>
  <si>
    <t>AN UNDERBITE</t>
  </si>
  <si>
    <t>THICK HAIR</t>
  </si>
  <si>
    <t>WISPY HAIR</t>
  </si>
  <si>
    <t>STRAIGHT HAIR</t>
  </si>
  <si>
    <t>WAVY HAIR</t>
  </si>
  <si>
    <t>CURLY HAIR</t>
  </si>
  <si>
    <t>WIRY HAIR</t>
  </si>
  <si>
    <t>OILY HAIR</t>
  </si>
  <si>
    <t>LUSH HAIR</t>
  </si>
  <si>
    <t>POOFY HAIR</t>
  </si>
  <si>
    <t>LONG BRAIDS</t>
  </si>
  <si>
    <t>BRAIDS TIGHT AGAINST THE HEAD</t>
  </si>
  <si>
    <t>VERY LONG HAIR</t>
  </si>
  <si>
    <t>GREASY HAIR</t>
  </si>
  <si>
    <t>UNRULY HAIR</t>
  </si>
  <si>
    <t>AN UNUSUAL HAIRSTYLE</t>
  </si>
  <si>
    <t>AN OUTDATED HAIRSTYLE</t>
  </si>
  <si>
    <t>A HIGH-MAINTANENCE HAIRSTYLE</t>
  </si>
  <si>
    <t>SHORT-CROPPED HAIR</t>
  </si>
  <si>
    <t>A SHAVED HEAD</t>
  </si>
  <si>
    <t>NO HAIR OF ANY KIND</t>
  </si>
  <si>
    <t>HIGH CHEEKBONES</t>
  </si>
  <si>
    <t>TIGHT, DRAWN CHEEKS</t>
  </si>
  <si>
    <t>CHUBBY CHEEKS</t>
  </si>
  <si>
    <t>AN UNPLEASANT POSTULE</t>
  </si>
  <si>
    <t>A LARGE MOLE</t>
  </si>
  <si>
    <t>A BEAUTY MARK</t>
  </si>
  <si>
    <t>FRECKLES</t>
  </si>
  <si>
    <t>TERRIBLE SCARRING</t>
  </si>
  <si>
    <t>UNUSUALLY SHORT</t>
  </si>
  <si>
    <t>SHORT</t>
  </si>
  <si>
    <t xml:space="preserve">AVERAGE </t>
  </si>
  <si>
    <t>WELL ABOVE AVERAGE</t>
  </si>
  <si>
    <t>UNUSUALLY TALL</t>
  </si>
  <si>
    <t>THIN AND DELICATE</t>
  </si>
  <si>
    <t>OF AVERAGE BUILD</t>
  </si>
  <si>
    <t>WELL-MUSCLED</t>
  </si>
  <si>
    <t>SLIGHTLY OVERWEIGHT</t>
  </si>
  <si>
    <t>GROTESQUELY OBESE</t>
  </si>
  <si>
    <t>LEAN AND LANKY</t>
  </si>
  <si>
    <t>LITHE AND LEAN</t>
  </si>
  <si>
    <t>THIN AND WIRY</t>
  </si>
  <si>
    <t>SINEWY AND STRONG</t>
  </si>
  <si>
    <t>FLABBY AND WEAK</t>
  </si>
  <si>
    <t>LUMPY AND BENT</t>
  </si>
  <si>
    <t>THIN AND FLIMSY</t>
  </si>
  <si>
    <t>SOFT AND CHUBBY</t>
  </si>
  <si>
    <t>THIN AND PETITE</t>
  </si>
  <si>
    <t>PUDGY</t>
  </si>
  <si>
    <t>BIG AND BROAD</t>
  </si>
  <si>
    <t>STOCKY AND STRONG</t>
  </si>
  <si>
    <t>BONEY</t>
  </si>
  <si>
    <t>WIDE AND PONDEROUS</t>
  </si>
  <si>
    <t>COVERED IN HAIR</t>
  </si>
  <si>
    <t>FASHIONABLE AND HIP</t>
  </si>
  <si>
    <t>A BIT OLD-FASHIONED</t>
  </si>
  <si>
    <t>HIGHEST QUALITY</t>
  </si>
  <si>
    <t>FADED, BUT GOOD CONDITION</t>
  </si>
  <si>
    <t>FADED AND PATCHED</t>
  </si>
  <si>
    <t>TORN IN PLACES; MISSING BUTTONS</t>
  </si>
  <si>
    <t>TATTERED AND WORN</t>
  </si>
  <si>
    <t>COMPASSIONATE</t>
  </si>
  <si>
    <t>CHEERFUL</t>
  </si>
  <si>
    <t>RESERVED</t>
  </si>
  <si>
    <t>OUTSPOKEN</t>
  </si>
  <si>
    <t>UNINTERESTED</t>
  </si>
  <si>
    <t>GRUFF</t>
  </si>
  <si>
    <t>EAGER</t>
  </si>
  <si>
    <t>DECEITFUL</t>
  </si>
  <si>
    <t>FOOLISH</t>
  </si>
  <si>
    <t>STRICT</t>
  </si>
  <si>
    <t>AGREEABLE</t>
  </si>
  <si>
    <t>MISCHEVIOUS</t>
  </si>
  <si>
    <t>ANGRY</t>
  </si>
  <si>
    <t>FEARFUL</t>
  </si>
  <si>
    <t>MANIPULATIVE</t>
  </si>
  <si>
    <t>DEVOUT</t>
  </si>
  <si>
    <t>GREEDY</t>
  </si>
  <si>
    <t>FUNNY</t>
  </si>
  <si>
    <t>DOUR</t>
  </si>
  <si>
    <t>FUN-LOVING</t>
  </si>
  <si>
    <t>LAZY</t>
  </si>
  <si>
    <t>DRIVEN</t>
  </si>
  <si>
    <t>BOASTFUL</t>
  </si>
  <si>
    <t>ARTISTIC</t>
  </si>
  <si>
    <t>ASSERTIVE</t>
  </si>
  <si>
    <t>CAREFREE</t>
  </si>
  <si>
    <t>CAUTIOUS</t>
  </si>
  <si>
    <t>CONFIDENT</t>
  </si>
  <si>
    <t>THOUGHTFUL</t>
  </si>
  <si>
    <t>LOYAL</t>
  </si>
  <si>
    <t>SOPHISTICATED</t>
  </si>
  <si>
    <t>WEAK-WILLED</t>
  </si>
  <si>
    <t>WITHDRAWN</t>
  </si>
  <si>
    <t>MURDEROUS</t>
  </si>
  <si>
    <t>OBSESSIVE</t>
  </si>
  <si>
    <t>AUTHORITARIAN</t>
  </si>
  <si>
    <t>DETERMINED</t>
  </si>
  <si>
    <t>BRAVE</t>
  </si>
  <si>
    <t>SPITEFUL</t>
  </si>
  <si>
    <t>BELLIGERENT</t>
  </si>
  <si>
    <t>CAUSTIC</t>
  </si>
  <si>
    <t>RECKLESS</t>
  </si>
  <si>
    <t>ARGUMENTATIVE</t>
  </si>
  <si>
    <t>GLUTTONOUS</t>
  </si>
  <si>
    <t>OVERLY PROTECTIVE</t>
  </si>
  <si>
    <t>COWARDLY</t>
  </si>
  <si>
    <t>METICULOUS</t>
  </si>
  <si>
    <t>SARCASTIC</t>
  </si>
  <si>
    <t>STUBBORN</t>
  </si>
  <si>
    <t>DESTRUCTIVE</t>
  </si>
  <si>
    <t>PRACTICAL</t>
  </si>
  <si>
    <t>PUSHY</t>
  </si>
  <si>
    <t>FANATICAL</t>
  </si>
  <si>
    <t>SECRETIVE</t>
  </si>
  <si>
    <t>SCORNFUL</t>
  </si>
  <si>
    <t>COURAGEOUS</t>
  </si>
  <si>
    <t>IMPRACTICAL</t>
  </si>
  <si>
    <t>CALCULATING</t>
  </si>
  <si>
    <t>INDUSTRIOUS</t>
  </si>
  <si>
    <t>COMPULSIVE</t>
  </si>
  <si>
    <t>INTOLERANT</t>
  </si>
  <si>
    <t>CURIOUS</t>
  </si>
  <si>
    <t>FRIENDLY</t>
  </si>
  <si>
    <t>HAPPY</t>
  </si>
  <si>
    <t>HOPEFUL</t>
  </si>
  <si>
    <t>UPBEAT</t>
  </si>
  <si>
    <t>INDIFFERENT</t>
  </si>
  <si>
    <t>BORED</t>
  </si>
  <si>
    <t>FOCUSED</t>
  </si>
  <si>
    <t>SUSPICIOUS</t>
  </si>
  <si>
    <t>TIRED</t>
  </si>
  <si>
    <t>DISAGREEABLE</t>
  </si>
  <si>
    <t>AGITATED</t>
  </si>
  <si>
    <t>DESPONDANT</t>
  </si>
  <si>
    <t>GLOOMY</t>
  </si>
  <si>
    <t>NERVOUS</t>
  </si>
  <si>
    <t>QUIET, TRUE BELIEVER</t>
  </si>
  <si>
    <t>CASUAL OBSERVER</t>
  </si>
  <si>
    <t>CRITICAL STUDENT</t>
  </si>
  <si>
    <t>OUTSPOKEN CYNIC</t>
  </si>
  <si>
    <t>OPEN-MINDED SEEKER</t>
  </si>
  <si>
    <t>BROKEN HERETIC</t>
  </si>
  <si>
    <t>CAUTIOUS LISTENER</t>
  </si>
  <si>
    <t>FANATICAL TRUE BELIEVER</t>
  </si>
  <si>
    <t>CAN'T RESIST FLIRTING</t>
  </si>
  <si>
    <t>CAN'T STOP STARING</t>
  </si>
  <si>
    <t>POWERFUL HANDS.</t>
  </si>
  <si>
    <t>DELICATE HANDS.</t>
  </si>
  <si>
    <t>SOFT HANDS.</t>
  </si>
  <si>
    <t>A LIGHT TOUCH.</t>
  </si>
  <si>
    <t>A HEAVY TOUCH.</t>
  </si>
  <si>
    <t>DISTANT EYES</t>
  </si>
  <si>
    <t>A DAGGER</t>
  </si>
  <si>
    <t>AN ARROW</t>
  </si>
  <si>
    <t>AN ANCHOR</t>
  </si>
  <si>
    <t>A SKULL</t>
  </si>
  <si>
    <t>A CROSSED BONES</t>
  </si>
  <si>
    <t>A SNAKE</t>
  </si>
  <si>
    <t>A SCORPION</t>
  </si>
  <si>
    <t>A SPIDER</t>
  </si>
  <si>
    <t>A HEART</t>
  </si>
  <si>
    <t>A RING OF THORNS</t>
  </si>
  <si>
    <t>A MERMAID</t>
  </si>
  <si>
    <t>A DRAGON</t>
  </si>
  <si>
    <t>A RELIGIOUS SYMBOL</t>
  </si>
  <si>
    <t>AN OBSCURE SYMBOL</t>
  </si>
  <si>
    <t>PERSON</t>
  </si>
  <si>
    <t>FIDGET</t>
  </si>
  <si>
    <t>DRINK TOO MUCH</t>
  </si>
  <si>
    <t>EAT TOO MUCH</t>
  </si>
  <si>
    <t>SWEAR OFTEN</t>
  </si>
  <si>
    <t>HAVE POOR HYGIENE</t>
  </si>
  <si>
    <t>SWEAT PROFUSELY AND EASILY</t>
  </si>
  <si>
    <t>ARE A HABITUAL LIAR</t>
  </si>
  <si>
    <t>EMBELLISH THE TRUTH</t>
  </si>
  <si>
    <t>EXAGGERATE DETAILS</t>
  </si>
  <si>
    <t>HAVE A SHORT TEMPER</t>
  </si>
  <si>
    <t>ARE A GOSSIP</t>
  </si>
  <si>
    <t>ARE MELODRAMATIC</t>
  </si>
  <si>
    <t>CHEW WITH THEIR MOUTH OPEN</t>
  </si>
  <si>
    <t>OFTEN SNIFF AUDIBLY</t>
  </si>
  <si>
    <t>BELIEVE WHAT YOU TELL THEM</t>
  </si>
  <si>
    <t>ARE SKEPTICAL OF EVERYTHING</t>
  </si>
  <si>
    <t>PACE</t>
  </si>
  <si>
    <t>MAKE POOR EYE CONTACT</t>
  </si>
  <si>
    <t>A FOOD STASH WITH SIGNS OF RECENT ACTIVITY.</t>
  </si>
  <si>
    <t>WILD ANIMALS.</t>
  </si>
  <si>
    <t>ROUGH HANDS.</t>
  </si>
  <si>
    <t>AN EERIE SILENCE.</t>
  </si>
  <si>
    <t>AN OBSCURE RELIGIOUS SYMBOL</t>
  </si>
  <si>
    <t>OTHER GENDERS</t>
  </si>
  <si>
    <t>A STASH OF RANDOM GOODS.</t>
  </si>
  <si>
    <t>A FRUIT TREE.</t>
  </si>
  <si>
    <t>A CAMPSITE WITH RECENT ACTIVITY.</t>
  </si>
  <si>
    <t>A SIMPLE COTTAGE.</t>
  </si>
  <si>
    <t>AN ABANDONED HAMLET.</t>
  </si>
  <si>
    <t>AN ABANDONED TEMPLE/CHURCH.</t>
  </si>
  <si>
    <t>A CLEARING IN THE FOREST.</t>
  </si>
  <si>
    <t>AN ABANDONED CAMPSITE.</t>
  </si>
  <si>
    <t>A BROOK IN A RAVINE.</t>
  </si>
  <si>
    <t>A LARGE BARROW.</t>
  </si>
  <si>
    <t>THEIR MOUTH HANGS OPEN</t>
  </si>
  <si>
    <t>THE SOUND OF SOMETHING RUNNING AWAY.</t>
  </si>
  <si>
    <t>SLIGHTLY ABOVE AVERAGE</t>
  </si>
  <si>
    <t>SLIGHTLY BELOW AVERAGE</t>
  </si>
  <si>
    <t>Nouns</t>
  </si>
  <si>
    <t>Adjective</t>
  </si>
  <si>
    <t>Title</t>
  </si>
  <si>
    <t>Adjective Noun</t>
  </si>
  <si>
    <t>Dog</t>
  </si>
  <si>
    <t>Red</t>
  </si>
  <si>
    <t>Bar</t>
  </si>
  <si>
    <t>Adjective Noun Title</t>
  </si>
  <si>
    <t>Wolf</t>
  </si>
  <si>
    <t>Orange</t>
  </si>
  <si>
    <t>Brew</t>
  </si>
  <si>
    <t>The Adjective Noun</t>
  </si>
  <si>
    <t>Fox</t>
  </si>
  <si>
    <t>Yellow</t>
  </si>
  <si>
    <t>Speakeasy</t>
  </si>
  <si>
    <t>The Adjective Noun Title</t>
  </si>
  <si>
    <t>Pul</t>
  </si>
  <si>
    <t>Green</t>
  </si>
  <si>
    <t>Pub</t>
  </si>
  <si>
    <t>Noun &amp; Noun</t>
  </si>
  <si>
    <t>Cat</t>
  </si>
  <si>
    <t>Blue</t>
  </si>
  <si>
    <t>Lounge</t>
  </si>
  <si>
    <t>Noun &amp; Noun Title</t>
  </si>
  <si>
    <t>Lion</t>
  </si>
  <si>
    <t>Purple</t>
  </si>
  <si>
    <t>Brewery</t>
  </si>
  <si>
    <t>The Noun &amp; Noun</t>
  </si>
  <si>
    <t>Tiger</t>
  </si>
  <si>
    <t>Sanguine</t>
  </si>
  <si>
    <t>Loft</t>
  </si>
  <si>
    <t>The Noun &amp; Noun Title</t>
  </si>
  <si>
    <t>Kitten</t>
  </si>
  <si>
    <t>Sepia</t>
  </si>
  <si>
    <t>Club (House)</t>
  </si>
  <si>
    <t>Adjective Title</t>
  </si>
  <si>
    <t>Ox</t>
  </si>
  <si>
    <t>Ochre</t>
  </si>
  <si>
    <t>Inn</t>
  </si>
  <si>
    <t>The Adjective Title</t>
  </si>
  <si>
    <t>Cow</t>
  </si>
  <si>
    <t>Puce</t>
  </si>
  <si>
    <t>Tavern</t>
  </si>
  <si>
    <t>Sow</t>
  </si>
  <si>
    <t>Navy</t>
  </si>
  <si>
    <t>Den</t>
  </si>
  <si>
    <t>Bull</t>
  </si>
  <si>
    <t>Maroon</t>
  </si>
  <si>
    <t>Lodge</t>
  </si>
  <si>
    <t>Calf</t>
  </si>
  <si>
    <t>Pink</t>
  </si>
  <si>
    <t>Beer</t>
  </si>
  <si>
    <t>Horse</t>
  </si>
  <si>
    <t>Peach</t>
  </si>
  <si>
    <t>Mead</t>
  </si>
  <si>
    <t>Stallion</t>
  </si>
  <si>
    <t>Cyan</t>
  </si>
  <si>
    <t>Ale House</t>
  </si>
  <si>
    <t>Mare</t>
  </si>
  <si>
    <t>Violet</t>
  </si>
  <si>
    <t>Foal</t>
  </si>
  <si>
    <t>Brown</t>
  </si>
  <si>
    <t>Owl</t>
  </si>
  <si>
    <t>Black</t>
  </si>
  <si>
    <t>Eagle</t>
  </si>
  <si>
    <t>Gray</t>
  </si>
  <si>
    <t>Falcon</t>
  </si>
  <si>
    <t>White</t>
  </si>
  <si>
    <t>Hawk</t>
  </si>
  <si>
    <t>Silver</t>
  </si>
  <si>
    <t>Raven</t>
  </si>
  <si>
    <t>Gold</t>
  </si>
  <si>
    <t>Crow</t>
  </si>
  <si>
    <t>Jumping</t>
  </si>
  <si>
    <t>Gull</t>
  </si>
  <si>
    <t>Sleeping</t>
  </si>
  <si>
    <t>Fish</t>
  </si>
  <si>
    <t>Running</t>
  </si>
  <si>
    <t>Whale</t>
  </si>
  <si>
    <t>Rolling</t>
  </si>
  <si>
    <t>Shark</t>
  </si>
  <si>
    <t>Laughing</t>
  </si>
  <si>
    <t>Octopus</t>
  </si>
  <si>
    <t>Singing</t>
  </si>
  <si>
    <t>Squid</t>
  </si>
  <si>
    <t>Flying</t>
  </si>
  <si>
    <t>Goat</t>
  </si>
  <si>
    <t>Burning</t>
  </si>
  <si>
    <t>Sheep</t>
  </si>
  <si>
    <t>Swimming</t>
  </si>
  <si>
    <t>Ewe</t>
  </si>
  <si>
    <t>Crying</t>
  </si>
  <si>
    <t>Fly</t>
  </si>
  <si>
    <t>Roaring</t>
  </si>
  <si>
    <t>Butterfly</t>
  </si>
  <si>
    <t>Screaming</t>
  </si>
  <si>
    <t>Dragonfly</t>
  </si>
  <si>
    <t>Silent</t>
  </si>
  <si>
    <t>Beetle</t>
  </si>
  <si>
    <t>Petrified</t>
  </si>
  <si>
    <t>Ant</t>
  </si>
  <si>
    <t>Hiding</t>
  </si>
  <si>
    <t>Wasp</t>
  </si>
  <si>
    <t>Hidden</t>
  </si>
  <si>
    <t>Termite</t>
  </si>
  <si>
    <t>Lost</t>
  </si>
  <si>
    <t>Louse</t>
  </si>
  <si>
    <t>Forgotten</t>
  </si>
  <si>
    <t>Worm</t>
  </si>
  <si>
    <t>Shiny</t>
  </si>
  <si>
    <t>Lizard</t>
  </si>
  <si>
    <t>Drowning</t>
  </si>
  <si>
    <t>Frog</t>
  </si>
  <si>
    <t>Giant</t>
  </si>
  <si>
    <t>Toad</t>
  </si>
  <si>
    <t>Tiny</t>
  </si>
  <si>
    <t>Snake</t>
  </si>
  <si>
    <t>Fat</t>
  </si>
  <si>
    <t>Chameleon</t>
  </si>
  <si>
    <t>Skinny</t>
  </si>
  <si>
    <t>Unicorn</t>
  </si>
  <si>
    <t>Humorous</t>
  </si>
  <si>
    <t>Gryphon</t>
  </si>
  <si>
    <t>Lonely</t>
  </si>
  <si>
    <t>Dragon</t>
  </si>
  <si>
    <t>Drunken</t>
  </si>
  <si>
    <t>Wyvern</t>
  </si>
  <si>
    <t>Slimy</t>
  </si>
  <si>
    <t>Roc</t>
  </si>
  <si>
    <t>Undead</t>
  </si>
  <si>
    <t>Clam</t>
  </si>
  <si>
    <t>Dark</t>
  </si>
  <si>
    <t>Oyster</t>
  </si>
  <si>
    <t>Bright</t>
  </si>
  <si>
    <t>Starfish</t>
  </si>
  <si>
    <t>Magical</t>
  </si>
  <si>
    <t>Slug</t>
  </si>
  <si>
    <t>Enchanted</t>
  </si>
  <si>
    <t>Snail</t>
  </si>
  <si>
    <t>Poor</t>
  </si>
  <si>
    <t>Mouse</t>
  </si>
  <si>
    <t>Wealthy</t>
  </si>
  <si>
    <t>Rat</t>
  </si>
  <si>
    <t>Lucky</t>
  </si>
  <si>
    <t>Beaver</t>
  </si>
  <si>
    <t>Unfortunate</t>
  </si>
  <si>
    <t>Marten</t>
  </si>
  <si>
    <t>Mink</t>
  </si>
  <si>
    <t>Happy</t>
  </si>
  <si>
    <t>Otter</t>
  </si>
  <si>
    <t>Sad</t>
  </si>
  <si>
    <t>Seal</t>
  </si>
  <si>
    <t>Thieving</t>
  </si>
  <si>
    <t>Manatee</t>
  </si>
  <si>
    <t>Desperate</t>
  </si>
  <si>
    <t>Chipmunk</t>
  </si>
  <si>
    <t>Divine</t>
  </si>
  <si>
    <t>Squirrel</t>
  </si>
  <si>
    <t>Arcane</t>
  </si>
  <si>
    <t>Gopher</t>
  </si>
  <si>
    <t>Profane</t>
  </si>
  <si>
    <t>Tower</t>
  </si>
  <si>
    <t>Discrete</t>
  </si>
  <si>
    <t>Castle</t>
  </si>
  <si>
    <t>Buried</t>
  </si>
  <si>
    <t>Dagger</t>
  </si>
  <si>
    <t>False</t>
  </si>
  <si>
    <t>Sword</t>
  </si>
  <si>
    <t>Bow</t>
  </si>
  <si>
    <t>Flatulent</t>
  </si>
  <si>
    <t>Arrow</t>
  </si>
  <si>
    <t>Hypnotic</t>
  </si>
  <si>
    <t>Hat</t>
  </si>
  <si>
    <t>Haunted</t>
  </si>
  <si>
    <t>Boot</t>
  </si>
  <si>
    <t>Special</t>
  </si>
  <si>
    <t>Trophy</t>
  </si>
  <si>
    <t>Fun</t>
  </si>
  <si>
    <t>Goose</t>
  </si>
  <si>
    <t>Drab</t>
  </si>
  <si>
    <t>Duck</t>
  </si>
  <si>
    <t>Daring</t>
  </si>
  <si>
    <t>Boat</t>
  </si>
  <si>
    <t>Ship</t>
  </si>
  <si>
    <t>Sober</t>
  </si>
  <si>
    <t>River</t>
  </si>
  <si>
    <t>Talking</t>
  </si>
  <si>
    <t>Falls</t>
  </si>
  <si>
    <t>Naked</t>
  </si>
  <si>
    <t>Forest</t>
  </si>
  <si>
    <t>Suffering</t>
  </si>
  <si>
    <t>Mountain</t>
  </si>
  <si>
    <t>Cheap</t>
  </si>
  <si>
    <t>Vampire</t>
  </si>
  <si>
    <t>Smelly</t>
  </si>
  <si>
    <t>Skeleton</t>
  </si>
  <si>
    <t>Easy</t>
  </si>
  <si>
    <t>Witch</t>
  </si>
  <si>
    <t>Heroic</t>
  </si>
  <si>
    <t>Wench</t>
  </si>
  <si>
    <t>Hovering</t>
  </si>
  <si>
    <t>Lady</t>
  </si>
  <si>
    <t>Married</t>
  </si>
  <si>
    <t>Lord</t>
  </si>
  <si>
    <t>Pious</t>
  </si>
  <si>
    <t>Knight</t>
  </si>
  <si>
    <t>Pompous</t>
  </si>
  <si>
    <t>Page</t>
  </si>
  <si>
    <t>Illegal</t>
  </si>
  <si>
    <t>Drunk</t>
  </si>
  <si>
    <t>Sacred</t>
  </si>
  <si>
    <t>Shield</t>
  </si>
  <si>
    <t>Defiled</t>
  </si>
  <si>
    <t>Wand</t>
  </si>
  <si>
    <t>Spoilt</t>
  </si>
  <si>
    <t>Helm</t>
  </si>
  <si>
    <t>Wooden</t>
  </si>
  <si>
    <t>Flask</t>
  </si>
  <si>
    <t>Bloody</t>
  </si>
  <si>
    <t>Flagon</t>
  </si>
  <si>
    <t>Yawning</t>
  </si>
  <si>
    <t>Pint</t>
  </si>
  <si>
    <t>Sleepy</t>
  </si>
  <si>
    <t>Shot</t>
  </si>
  <si>
    <t>Hungry</t>
  </si>
  <si>
    <t>Item</t>
  </si>
  <si>
    <t>PULSE/CEREALS/GRAINS</t>
  </si>
  <si>
    <t>alfalfa seed</t>
  </si>
  <si>
    <t>Bread</t>
  </si>
  <si>
    <t>Cake</t>
  </si>
  <si>
    <t>chickpeas</t>
  </si>
  <si>
    <t>lentils</t>
  </si>
  <si>
    <t>mustard seed</t>
  </si>
  <si>
    <t>Oats</t>
  </si>
  <si>
    <t>Rye</t>
  </si>
  <si>
    <t>sesame</t>
  </si>
  <si>
    <t>sweet peas</t>
  </si>
  <si>
    <t>WINES</t>
  </si>
  <si>
    <t>Picene</t>
  </si>
  <si>
    <t>Tiburtine</t>
  </si>
  <si>
    <t>Sabine</t>
  </si>
  <si>
    <t>Aminian</t>
  </si>
  <si>
    <t>Setine</t>
  </si>
  <si>
    <t>Surrentine</t>
  </si>
  <si>
    <t>Falernian</t>
  </si>
  <si>
    <t>Falernian, 1 yr old</t>
  </si>
  <si>
    <t>Wine, 1 yr old</t>
  </si>
  <si>
    <t>Ordinary wine</t>
  </si>
  <si>
    <t>Wheat beer</t>
  </si>
  <si>
    <t>Barley beer</t>
  </si>
  <si>
    <t>Maeonian wine, boiled down 1/3</t>
  </si>
  <si>
    <t>Golden attic wine</t>
  </si>
  <si>
    <t>Must, boiled down</t>
  </si>
  <si>
    <t>Must, boiled down 1/2</t>
  </si>
  <si>
    <t>Spice wine</t>
  </si>
  <si>
    <t>Wine with wormwood</t>
  </si>
  <si>
    <t>Rose wine</t>
  </si>
  <si>
    <t>OILS/SEASONINGS</t>
  </si>
  <si>
    <t>Fish sauce</t>
  </si>
  <si>
    <t>Honey</t>
  </si>
  <si>
    <t>Oil from radish seed</t>
  </si>
  <si>
    <t>Olive oil</t>
  </si>
  <si>
    <t>Olive oil, virgin</t>
  </si>
  <si>
    <t>Salt</t>
  </si>
  <si>
    <t>Spiced salt</t>
  </si>
  <si>
    <t>Vinegar</t>
  </si>
  <si>
    <t>MEAT</t>
  </si>
  <si>
    <t>Chickens</t>
  </si>
  <si>
    <t>Dormice</t>
  </si>
  <si>
    <t>Figpeckers</t>
  </si>
  <si>
    <t>Francolin</t>
  </si>
  <si>
    <t>Hare</t>
  </si>
  <si>
    <t>Partridge</t>
  </si>
  <si>
    <t>Peacock</t>
  </si>
  <si>
    <t>Peahen</t>
  </si>
  <si>
    <t>Pigeon</t>
  </si>
  <si>
    <t>Quails</t>
  </si>
  <si>
    <t>Rabbit</t>
  </si>
  <si>
    <t>Sparrows</t>
  </si>
  <si>
    <t>Starlings</t>
  </si>
  <si>
    <t>Thrushes</t>
  </si>
  <si>
    <t>Wild dove</t>
  </si>
  <si>
    <t>Beef</t>
  </si>
  <si>
    <t>Beef sausage</t>
  </si>
  <si>
    <t>Boar meat</t>
  </si>
  <si>
    <t>Butter</t>
  </si>
  <si>
    <t>Gazelle/Wild Goat/Roe</t>
  </si>
  <si>
    <t>Goat/Mutton</t>
  </si>
  <si>
    <t>Kid</t>
  </si>
  <si>
    <t>Lamb</t>
  </si>
  <si>
    <t>Marsic</t>
  </si>
  <si>
    <t>Pork</t>
  </si>
  <si>
    <t>Pork fat ointment</t>
  </si>
  <si>
    <t>Pork sausage</t>
  </si>
  <si>
    <t>Sow's Udder</t>
  </si>
  <si>
    <t>Sow's uterus</t>
  </si>
  <si>
    <t>Suckling pig</t>
  </si>
  <si>
    <t>Venison</t>
  </si>
  <si>
    <t>FISH</t>
  </si>
  <si>
    <t>Oysters</t>
  </si>
  <si>
    <t>Sea mussels</t>
  </si>
  <si>
    <t>Sea urchins</t>
  </si>
  <si>
    <t>Dried cheese</t>
  </si>
  <si>
    <t>River fish, best</t>
  </si>
  <si>
    <t>River fish</t>
  </si>
  <si>
    <t>Salted fish</t>
  </si>
  <si>
    <t>Sardines</t>
  </si>
  <si>
    <t>Sea fish</t>
  </si>
  <si>
    <t>VEGETABLES AND FRUITS</t>
  </si>
  <si>
    <t>Apricots</t>
  </si>
  <si>
    <t>Artichoke hearts</t>
  </si>
  <si>
    <t>Butchers broom</t>
  </si>
  <si>
    <t>Cabbage</t>
  </si>
  <si>
    <t>Cabbage sprouts</t>
  </si>
  <si>
    <t>Capers</t>
  </si>
  <si>
    <t>Cherries</t>
  </si>
  <si>
    <t>Chestnuts</t>
  </si>
  <si>
    <t>Coriander</t>
  </si>
  <si>
    <t>Cummin</t>
  </si>
  <si>
    <t>Eggs</t>
  </si>
  <si>
    <t>Endive</t>
  </si>
  <si>
    <t>Figs</t>
  </si>
  <si>
    <t>Fresh cheese</t>
  </si>
  <si>
    <t>Garlic</t>
  </si>
  <si>
    <t>Hazelnuts</t>
  </si>
  <si>
    <t>Jujubes</t>
  </si>
  <si>
    <t>Kidney beans</t>
  </si>
  <si>
    <t>Lettuce</t>
  </si>
  <si>
    <t>Lotus</t>
  </si>
  <si>
    <t>Mixed herbs</t>
  </si>
  <si>
    <t>Mulberries</t>
  </si>
  <si>
    <t>Olives from Tarsus</t>
  </si>
  <si>
    <t>Olives in brine</t>
  </si>
  <si>
    <t>Palm shoots</t>
  </si>
  <si>
    <t>Pistachios</t>
  </si>
  <si>
    <t>Quinces</t>
  </si>
  <si>
    <t>Ripe, black olives</t>
  </si>
  <si>
    <t>Rosehips</t>
  </si>
  <si>
    <t>Sheep's milk</t>
  </si>
  <si>
    <t>Truffle</t>
  </si>
  <si>
    <t>Watercress</t>
  </si>
  <si>
    <t>Watermelons</t>
  </si>
  <si>
    <t>Meat</t>
  </si>
  <si>
    <t>Vegetable</t>
  </si>
  <si>
    <t>Grain</t>
  </si>
  <si>
    <t>Alcohol</t>
  </si>
  <si>
    <t>hulled barley grits</t>
  </si>
  <si>
    <t>shelled broad beans</t>
  </si>
  <si>
    <t>unshelled broad beans</t>
  </si>
  <si>
    <t>cleaned cumin</t>
  </si>
  <si>
    <t>dried kidney beans</t>
  </si>
  <si>
    <t>cooked lentils</t>
  </si>
  <si>
    <t>raw lupines</t>
  </si>
  <si>
    <t>hulled Millet</t>
  </si>
  <si>
    <t>unhulled Millet</t>
  </si>
  <si>
    <t>prepared mustard</t>
  </si>
  <si>
    <t>shelled peas</t>
  </si>
  <si>
    <t>unshelled peas</t>
  </si>
  <si>
    <t>hulled rice</t>
  </si>
  <si>
    <t>hulled spelt grits</t>
  </si>
  <si>
    <t>dried vetch</t>
  </si>
  <si>
    <t>ground wheat</t>
  </si>
  <si>
    <t>Goldfinch</t>
  </si>
  <si>
    <t>wild Goldfinch</t>
  </si>
  <si>
    <t>fattened Goose</t>
  </si>
  <si>
    <t>not-fattened Goose</t>
  </si>
  <si>
    <t>fattened Hen pheasant</t>
  </si>
  <si>
    <t>not-fattened Hen pheasant</t>
  </si>
  <si>
    <t>Fattened Pheasant</t>
  </si>
  <si>
    <t>not-fattened pheasant</t>
  </si>
  <si>
    <t>Turtle dove</t>
  </si>
  <si>
    <t>wild Turtle dove</t>
  </si>
  <si>
    <t>Menapian Ham</t>
  </si>
  <si>
    <t>Swine liver, fed on figs</t>
  </si>
  <si>
    <t>smoked beef sausage</t>
  </si>
  <si>
    <t>smoked pork sausage</t>
  </si>
  <si>
    <t>fresh Pork fat</t>
  </si>
  <si>
    <t>Salted Pork</t>
  </si>
  <si>
    <t>Beef suet</t>
  </si>
  <si>
    <t>Sea fish without bones</t>
  </si>
  <si>
    <t>Fresh, clean sea fish</t>
  </si>
  <si>
    <t>salted sea urchins</t>
  </si>
  <si>
    <t>Shelled Almonds</t>
  </si>
  <si>
    <t>Fresh Apples</t>
  </si>
  <si>
    <t>Dried Apples</t>
  </si>
  <si>
    <t>small Apples</t>
  </si>
  <si>
    <t>Large artichokes</t>
  </si>
  <si>
    <t>culivated asparagus</t>
  </si>
  <si>
    <t>wild asparagus</t>
  </si>
  <si>
    <t>green beans, shelled</t>
  </si>
  <si>
    <t>large beets</t>
  </si>
  <si>
    <t>small beets</t>
  </si>
  <si>
    <t>fresh cabbage</t>
  </si>
  <si>
    <t>green chickpeas</t>
  </si>
  <si>
    <t>large citrons</t>
  </si>
  <si>
    <t>small citrons</t>
  </si>
  <si>
    <t>large cucumbers</t>
  </si>
  <si>
    <t>small cucumbers</t>
  </si>
  <si>
    <t>fresh dried Damsons</t>
  </si>
  <si>
    <t>dried Damsons</t>
  </si>
  <si>
    <t>fresh Dates</t>
  </si>
  <si>
    <t>Dates</t>
  </si>
  <si>
    <t>small dates</t>
  </si>
  <si>
    <t>fresh endive</t>
  </si>
  <si>
    <t>fresh figs</t>
  </si>
  <si>
    <t>Carian figs</t>
  </si>
  <si>
    <t>pressed Carian figs</t>
  </si>
  <si>
    <t>delacere figs</t>
  </si>
  <si>
    <t>large gourds</t>
  </si>
  <si>
    <t>small grouds</t>
  </si>
  <si>
    <t>green, shelled kidney beans</t>
  </si>
  <si>
    <t>large leeks</t>
  </si>
  <si>
    <t>small leeks</t>
  </si>
  <si>
    <t>Poor lettuce</t>
  </si>
  <si>
    <t>large mallow</t>
  </si>
  <si>
    <t>small mallow</t>
  </si>
  <si>
    <t>large African onions</t>
  </si>
  <si>
    <t>small African onions</t>
  </si>
  <si>
    <t>dried onions</t>
  </si>
  <si>
    <t>large, green onions</t>
  </si>
  <si>
    <t>small, green onions</t>
  </si>
  <si>
    <t>large parsnips</t>
  </si>
  <si>
    <t>small parsnips</t>
  </si>
  <si>
    <t>large, firm peaches</t>
  </si>
  <si>
    <t>small, firm peaches</t>
  </si>
  <si>
    <t>large peaches</t>
  </si>
  <si>
    <t>small peaches</t>
  </si>
  <si>
    <t>large pears</t>
  </si>
  <si>
    <t>small pears</t>
  </si>
  <si>
    <t>shelled pine nuts</t>
  </si>
  <si>
    <t>large, yellow plums</t>
  </si>
  <si>
    <t>small yellow plums</t>
  </si>
  <si>
    <t>large pomegranates</t>
  </si>
  <si>
    <t>small pomegranates</t>
  </si>
  <si>
    <t>small quinces</t>
  </si>
  <si>
    <t>large radishes</t>
  </si>
  <si>
    <t>small radishes</t>
  </si>
  <si>
    <t>large raisins</t>
  </si>
  <si>
    <t>smoked raisins</t>
  </si>
  <si>
    <t>large snails</t>
  </si>
  <si>
    <t>small snails</t>
  </si>
  <si>
    <t>large sugar melons</t>
  </si>
  <si>
    <t>small sugar melons</t>
  </si>
  <si>
    <t>table grapes</t>
  </si>
  <si>
    <t>large turnips</t>
  </si>
  <si>
    <t>small turnips</t>
  </si>
  <si>
    <t>dried walnuts</t>
  </si>
  <si>
    <t>green walnuts</t>
  </si>
  <si>
    <t>Prepared Meals</t>
  </si>
  <si>
    <t>Meal Price</t>
  </si>
  <si>
    <t>Alcohol Price</t>
  </si>
  <si>
    <t>Warm and inviting.</t>
  </si>
  <si>
    <t>Nearly empty, though once popular.</t>
  </si>
  <si>
    <t>Charming, and nearly quaint.</t>
  </si>
  <si>
    <t>Sturdy, like it used to be frequently damaged.</t>
  </si>
  <si>
    <t>Unusually clean and put together.</t>
  </si>
  <si>
    <t>Unusually dirty and delapidated.</t>
  </si>
  <si>
    <t>Warm</t>
  </si>
  <si>
    <t>Cold</t>
  </si>
  <si>
    <t>Cool</t>
  </si>
  <si>
    <t>Hot</t>
  </si>
  <si>
    <t>Damp</t>
  </si>
  <si>
    <t>Wet</t>
  </si>
  <si>
    <t>Cramped</t>
  </si>
  <si>
    <t>Spacious</t>
  </si>
  <si>
    <t>Comfortable</t>
  </si>
  <si>
    <t>Empty</t>
  </si>
  <si>
    <t>Packed</t>
  </si>
  <si>
    <t>Jovial</t>
  </si>
  <si>
    <t>Somber</t>
  </si>
  <si>
    <t>Nervous</t>
  </si>
  <si>
    <t>Tense</t>
  </si>
  <si>
    <t>Barren</t>
  </si>
  <si>
    <t>Dry</t>
  </si>
  <si>
    <t>Elated</t>
  </si>
  <si>
    <t>Excited</t>
  </si>
  <si>
    <t>Normal</t>
  </si>
  <si>
    <t>Firepit</t>
  </si>
  <si>
    <t>There is a meager fire burning in the hearth.</t>
  </si>
  <si>
    <t>There is a warm fire burning in the hearth.</t>
  </si>
  <si>
    <t>There is no fire in the hearth.</t>
  </si>
  <si>
    <t>The hearth is cool and cold, like there has been no fire lately</t>
  </si>
  <si>
    <t>Rotten, like the innkeeper can't be bothered.</t>
  </si>
  <si>
    <t>Cozy, and quiet.</t>
  </si>
  <si>
    <t>Uproarous and full of life.</t>
  </si>
  <si>
    <t>Sparsley populated</t>
  </si>
  <si>
    <t>Full</t>
  </si>
  <si>
    <t>There is a roaring fire burning in the hearth.</t>
  </si>
  <si>
    <t>Falling apart</t>
  </si>
  <si>
    <t>Richly decorated</t>
  </si>
  <si>
    <t>Poorly decorated</t>
  </si>
  <si>
    <t>Recently upgraded</t>
  </si>
  <si>
    <t>Recently consolidated</t>
  </si>
  <si>
    <t>A SMALL POOL AT A CREEK'S BEND.</t>
  </si>
  <si>
    <t>A POTABLE SPRING.</t>
  </si>
  <si>
    <t>A LOST CHILD.</t>
  </si>
  <si>
    <t>A WOODCUTTER, BUSY WITH THE DAY'S WORK.</t>
  </si>
  <si>
    <t xml:space="preserve">They are currently </t>
  </si>
  <si>
    <t>A CAVERN BEHIND A WATERFALL.</t>
  </si>
  <si>
    <t>Uncomfortable, cold and delapidated.</t>
  </si>
  <si>
    <t>Scheming</t>
  </si>
  <si>
    <t>Unpleasant</t>
  </si>
  <si>
    <t>Dangerous</t>
  </si>
  <si>
    <t xml:space="preserve">Most of the tables are </t>
  </si>
  <si>
    <t>Games/Contests/Events</t>
  </si>
  <si>
    <t>Patrons and Staff</t>
  </si>
  <si>
    <t>Schemes/Mischief, and Trouble</t>
  </si>
  <si>
    <t>This tavern is famous for</t>
  </si>
  <si>
    <t>Tonight's special cocktail: Pixiewine. Each glass of this crisp, floral-scented wine is served with a pixie.</t>
  </si>
  <si>
    <t>Tonight's special cocktail: Suckerpunch. Each glass of this potent purple-red punch has several small writhing tentacles that reach out of the glass to attach to your face with their suckers. It actually feels kind of nice.</t>
  </si>
  <si>
    <t>Tonight's special: Bring-Your-Own-Horn. Bring the horn of your favorite beast or monstrous humanoid (any size!), and we'll fill it with cheap ale or wine for 2 cp.</t>
  </si>
  <si>
    <t>Tonight's special cocktail: Mindbomb. It's made with absinthe and explosive powder.</t>
  </si>
  <si>
    <t>Tonight's special cocktail: Fireball. Served by wizards of 5th level or higher.</t>
  </si>
  <si>
    <t>Tonight's special cocktail: Stonebones. A powerful rum cocktail made with powder gorgon horn and basilisk eye. It's only partial paralysis.</t>
  </si>
  <si>
    <t>that one smoking hot waitress</t>
  </si>
  <si>
    <t>Beer selection. They have a great selection of ales.</t>
  </si>
  <si>
    <t>Homebrew beer. They brew their own dragon-stout in-house!</t>
  </si>
  <si>
    <t>Meat. The proprietor is a hunter who goes into the woods every day to catch and to kill the main roast.</t>
  </si>
  <si>
    <t>Beastly decor. The walls are covered in furs, antlers, and beast heads.</t>
  </si>
  <si>
    <t>Fancy decor. The booths are separated by beautiful lace curtains and a pleasant scent of incense permeates the air.</t>
  </si>
  <si>
    <t>Sex appeal. The barmaids wear low-cut blouses and/or tight skirts.</t>
  </si>
  <si>
    <t>Friendly service. The barmaids are real friendly.</t>
  </si>
  <si>
    <t>Gamblers' den. The dice game is high-stakes.</t>
  </si>
  <si>
    <t>Decorations, they have trophies from everywhere.</t>
  </si>
  <si>
    <t>They accept a generous line of credit</t>
  </si>
  <si>
    <t xml:space="preserve">  </t>
  </si>
  <si>
    <t xml:space="preserve">   </t>
  </si>
  <si>
    <t>A POOR FARMER trying to pay his tab in produce.</t>
  </si>
  <si>
    <t>A SEA CAPTAIN trying to pawn off fantastic treasures. Some are obvious fakes, some are…not?</t>
  </si>
  <si>
    <t>A LONE FIGURE in the corner, an enormous wolf at their feet. Everyone is leaving them alone.</t>
  </si>
  <si>
    <t>A LARGE MAN is drinking and sobbing quietly to himself on the bar corner.</t>
  </si>
  <si>
    <t>A MAN/WOMAN AND GUARD are going around talking to random patrons.</t>
  </si>
  <si>
    <t>TWO SOLDIERS are arguing over the quality of their equipment.</t>
  </si>
  <si>
    <t>A GROUP IS HAVING A STAG NIGHT, much to the annoyance of others.</t>
  </si>
  <si>
    <t>A PRIEST is quietly drinking alone in a corner, upset.</t>
  </si>
  <si>
    <t>SPECIALS</t>
  </si>
  <si>
    <t>A GROUP OF MEN are loudly discussing a caravan they raided.</t>
  </si>
  <si>
    <t>A MIXED GROUP are trying to sell a passed out individual into slavery. The innkeeper is considering it.</t>
  </si>
  <si>
    <t>THE BARTENDER is out of mugs due to a recent brawl.</t>
  </si>
  <si>
    <t>A TRADER is peddling questionable goods.</t>
  </si>
  <si>
    <t>TWO SMUGGLERS are arguing before they attack each other. No one seems to care.</t>
  </si>
  <si>
    <t>A MAN appears to be arguing with himself.</t>
  </si>
  <si>
    <t>A PAIR OF CHILDREN are running a pickpocket scheme.</t>
  </si>
  <si>
    <t>A MERCENARY GROUP is discussing their next moves.</t>
  </si>
  <si>
    <t>A FORTUNE TELLER is beginning to draw an unruly crowd.</t>
  </si>
  <si>
    <t>THE BAR is packed, and everyone is whispering with the innkeeper.</t>
  </si>
  <si>
    <t>A GROUP OF SOLDIERS appear to be drinking for free, to the annoyance of others.</t>
  </si>
  <si>
    <t>A PROSPECTOR is loudly discussing his claim to a VERY interested group.</t>
  </si>
  <si>
    <t>their sausages, made on-site.</t>
  </si>
  <si>
    <t>their pierogies.</t>
  </si>
  <si>
    <t>their cured ham and apples.</t>
  </si>
  <si>
    <t xml:space="preserve">their reputation for bar brawls is unparalleled. </t>
  </si>
  <si>
    <t>their cooking. They cook everything in grease. Everything.</t>
  </si>
  <si>
    <t>AN UNRULY GROUP is discussing becoming vigilante's.</t>
  </si>
  <si>
    <t>they are one of the only bars with a horse hitch.</t>
  </si>
  <si>
    <t>their carrot pudding. It's to die for; literally.</t>
  </si>
  <si>
    <t>being unusually quiet despite it's location.</t>
  </si>
  <si>
    <t>being open later than the other tavern's in town.</t>
  </si>
  <si>
    <t>serving only travelers and vagabonds.</t>
  </si>
  <si>
    <t xml:space="preserve">buying whatever meat you bring in, no matter how fresh. </t>
  </si>
  <si>
    <t>ruthlessely driving the other taverns out of business.</t>
  </si>
  <si>
    <t>their pastries; made fresh every day.</t>
  </si>
  <si>
    <t>heroic tales. The innkeeper used to be a soldier/mercenary.</t>
  </si>
  <si>
    <t>sad tales. The owner's entire family slowly died over several years once they moved here.</t>
  </si>
  <si>
    <t>Freakish staff. The owner insists the bouncer is half-troll.</t>
  </si>
  <si>
    <t>Tough staff. The bouncers are some of the largest men you have ever seen.</t>
  </si>
  <si>
    <t>surprisingly high-end wines.</t>
  </si>
  <si>
    <t>magical drinks. The owner says they got the recipe from a druid.</t>
  </si>
  <si>
    <t>entertainment. Storytellers and musicians regularly pass through.</t>
  </si>
  <si>
    <t>A MUSICIAN is playing to a gathered crowd.</t>
  </si>
  <si>
    <t>Wall Reviews. The owner allows people to write their thoughts on the walls.</t>
  </si>
  <si>
    <t>people; you go here if you need to find someone to do a discrete job.</t>
  </si>
  <si>
    <t>warmth; the walls are surprisingly thick, and so if it's cold, there's a reason.</t>
  </si>
  <si>
    <t>supposedly being built by dwarves.</t>
  </si>
  <si>
    <t>A MUSICIAN is playing to an increasingly beligerent crowd.</t>
  </si>
  <si>
    <t>A FEW</t>
  </si>
  <si>
    <t>SEVERAL</t>
  </si>
  <si>
    <t>ALL</t>
  </si>
  <si>
    <t>NONE</t>
  </si>
  <si>
    <t>A COUPLE</t>
  </si>
  <si>
    <t>being supposedly built on a ley-line.</t>
  </si>
  <si>
    <t>once being a temple to a now outlawed god.</t>
  </si>
  <si>
    <t>once being a library. The shelves are still present.</t>
  </si>
  <si>
    <t>admittance being a status symbol.</t>
  </si>
  <si>
    <t>a lively hangout.</t>
  </si>
  <si>
    <t>the high society draw.</t>
  </si>
  <si>
    <t xml:space="preserve">The atmosphere is </t>
  </si>
  <si>
    <t>HORSESHOES.</t>
  </si>
  <si>
    <t>DARTS.</t>
  </si>
  <si>
    <t>ARM WRESTLING.</t>
  </si>
  <si>
    <t>LOCAL TRIVIA.</t>
  </si>
  <si>
    <t>POKER/CARDS.</t>
  </si>
  <si>
    <t>DICE.</t>
  </si>
  <si>
    <t>A MAN/WOMAN is practicing card tricks.</t>
  </si>
  <si>
    <t>A MIXED GROUP are drinking and holding hankerchiefs to their faces, seemingly to keep out the smell.</t>
  </si>
  <si>
    <t>AN INDIVIDUAL is getting concerned with the uptick in rustling.</t>
  </si>
  <si>
    <t>A LOCAL LAW-MAN is trying to get together a posse.</t>
  </si>
  <si>
    <t>AN INDIVIDUAL insisting they can cleanse the bar of evil.</t>
  </si>
  <si>
    <t>Date Honey</t>
  </si>
  <si>
    <t>Part of a larger trade caravan</t>
  </si>
  <si>
    <t>Part of a trade caravan that has been attacked</t>
  </si>
  <si>
    <t>Sitting in an overturned cart</t>
  </si>
  <si>
    <t>Going to a funeral</t>
  </si>
  <si>
    <t>A cache of abandoned, decrepit mining equipment.</t>
  </si>
  <si>
    <t>Some old dry bones.</t>
  </si>
  <si>
    <t>Evidence of a recent encampment.</t>
  </si>
  <si>
    <t>An enormous spider web.</t>
  </si>
  <si>
    <t>The clatter of rocks falling.</t>
  </si>
  <si>
    <t>Loose stones underfoot.</t>
  </si>
  <si>
    <t>AN OUTLAW'S HIDEOUT.</t>
  </si>
  <si>
    <t>UNIDENTIFIABLE REMAINS.</t>
  </si>
  <si>
    <t>A COZY LITTLE CABIN.</t>
  </si>
  <si>
    <t>AN ABANDONED WATCHTOWER.</t>
  </si>
  <si>
    <t>A RUINED MONASTERY.</t>
  </si>
  <si>
    <t>A STONE CIRCLE.</t>
  </si>
  <si>
    <t>A PILE OF DELIBERATELY STACKED STONES.</t>
  </si>
  <si>
    <t>A SMALL POND.</t>
  </si>
  <si>
    <t>A SWIFTLY FLOWING CREEK/RIVER.</t>
  </si>
  <si>
    <t>AN UNSTABLE CLIFF-FACE.</t>
  </si>
  <si>
    <t>A RECENT ENCAMPENT.</t>
  </si>
  <si>
    <t>LOOSE STONES UNDERFOOT.</t>
  </si>
  <si>
    <t>A SCRAWNY TREE WITH ROOTS SPREAD OVER A BOULDER.</t>
  </si>
  <si>
    <t>AN OLD FIREPIT.</t>
  </si>
  <si>
    <t>A HOLE HIDDEN UNDER A BOULDER.</t>
  </si>
  <si>
    <t>A PECULIAR TENT.</t>
  </si>
  <si>
    <t>A NOMAD CAMP.</t>
  </si>
  <si>
    <t>AN OLD MINING PIT.</t>
  </si>
  <si>
    <t>ANCIENT RUINS.</t>
  </si>
  <si>
    <t>AN OLD WATCHTOWER.</t>
  </si>
  <si>
    <t>A LARGE BOULDER, SPLIT IN HALF.</t>
  </si>
  <si>
    <t>A DRY RIVER BED.</t>
  </si>
  <si>
    <t>A MOSTLY-BURIED, ANCIENT MONUMENT.</t>
  </si>
  <si>
    <t>A SHEER CLIFF WITH UNSUAL ROCK COLORS.</t>
  </si>
  <si>
    <t>A TOAD CROAKING.</t>
  </si>
  <si>
    <t>AN OLD GRAVEYARD.</t>
  </si>
  <si>
    <t>A TREE WITH ROTTEN FRUIT ALL AROUND.</t>
  </si>
  <si>
    <t>A SLOW, SILENT STREAM.</t>
  </si>
  <si>
    <t>A DECAYING CARCASS FROM A LARGE ANIMAL.</t>
  </si>
  <si>
    <t>A STREAM WITH BARREN BANKS.</t>
  </si>
  <si>
    <t>VULTURES SITTING IN THE TREES.</t>
  </si>
  <si>
    <t>A SCURRYING OF RATS, RUNNING AWAY.</t>
  </si>
  <si>
    <t>THE WIND GROANS EERILY.</t>
  </si>
  <si>
    <t>THE SCENT OF ROTTEN FLESH.</t>
  </si>
  <si>
    <t>TWISTED HUMANOID BONES.</t>
  </si>
  <si>
    <t>A HUGE, DISORGANIZED PILE OF BONES.</t>
  </si>
  <si>
    <t>AN OPEN GRAVE.</t>
  </si>
  <si>
    <t>UNUSUAL FUNGI.</t>
  </si>
  <si>
    <t>A RECLUSIVE SCHOLAR.</t>
  </si>
  <si>
    <t>A FUR TRADER.</t>
  </si>
  <si>
    <t>A STREAM WITH FLOWERS ON IT'S BANKS.</t>
  </si>
  <si>
    <t>DISTANT MUSIC PLAYING.</t>
  </si>
  <si>
    <t>THE REMNANTS OF A FEAST.</t>
  </si>
  <si>
    <t>A REFLECTING POOL.</t>
  </si>
  <si>
    <t>A SAGE.</t>
  </si>
  <si>
    <t>NO TREES.</t>
  </si>
  <si>
    <t>DEAD TREES.</t>
  </si>
  <si>
    <t>BROKEN TREES, LIKE A STORM RECENTLY PASSED.</t>
  </si>
  <si>
    <t>FELLED TREES.</t>
  </si>
  <si>
    <t>A FOUL POND.</t>
  </si>
  <si>
    <t>A WATCHTOWER.</t>
  </si>
  <si>
    <t>A LARGE BURROW WITH A DOOR.</t>
  </si>
  <si>
    <t>A FAIRY RING.</t>
  </si>
  <si>
    <t>A STATUE TO A FORGOTTEN GOD.</t>
  </si>
  <si>
    <t>A STATUE TO A DEAD KING.</t>
  </si>
  <si>
    <t>A HASTILY ABANDONED CAMPSITE.</t>
  </si>
  <si>
    <t>A RUINED STONE HOUSE.</t>
  </si>
  <si>
    <t>A LARGE, DAMP BURROW.</t>
  </si>
  <si>
    <t>A HASTILY VACATED CAMPSITE.</t>
  </si>
  <si>
    <t>A LARGE TREE ON A SMALL ISLAND IN THE STREAM.</t>
  </si>
  <si>
    <t>A COLONY OF COLORFUL MUSHROOMS.</t>
  </si>
  <si>
    <t>BIRDS SINGING SWEETLY.</t>
  </si>
  <si>
    <t>A SNAKE SLITHERING AWAY.</t>
  </si>
  <si>
    <t>LARGE INSECTS BUZZING AROUND.</t>
  </si>
  <si>
    <t>AN ABANDONED BOAT IN A STREAM.</t>
  </si>
  <si>
    <t>Wide and tall, letting much daylight into the entry chamber.</t>
  </si>
  <si>
    <t>A wide sinkhole.</t>
  </si>
  <si>
    <t>An easy to spot, narrow passage.</t>
  </si>
  <si>
    <t>A steep, slippery sloped tunnel.</t>
  </si>
  <si>
    <t>A man-made tunnel.</t>
  </si>
  <si>
    <t>A collapsed tunnel, impassable without excavation.</t>
  </si>
  <si>
    <t>Marked with several warning signs.</t>
  </si>
  <si>
    <t>A trickle of water flowing down the walls and across the floor.</t>
  </si>
  <si>
    <t>An underground lake of potable water.</t>
  </si>
  <si>
    <t>A pool of stagnant water.</t>
  </si>
  <si>
    <t>A natural bridge over a chasm.</t>
  </si>
  <si>
    <t>A narrow chasm with walls close enough to climb between.</t>
  </si>
  <si>
    <t>A deep chasm with no bottom in sight.</t>
  </si>
  <si>
    <t>A shaft in the ceiling with no light coming from it.</t>
  </si>
  <si>
    <t>A shaft in the ceiling with dim light coming from it.</t>
  </si>
  <si>
    <t>A group of stalagmites arranged in a circle.</t>
  </si>
  <si>
    <t>An arrangement of two large stalactites and two large stalagmites, reminiscent of fangs in a yawning mouth.</t>
  </si>
  <si>
    <t>A pair of natural columns.</t>
  </si>
  <si>
    <t>A large stalactite that has broken off from the ceiling and fallen to the floor.</t>
  </si>
  <si>
    <t>An array of many small stalactites spreading across the ceiling.</t>
  </si>
  <si>
    <t>A damp wall covered in soft mold.</t>
  </si>
  <si>
    <t>A recess in the wall, covered in slimy mold.</t>
  </si>
  <si>
    <t>A large patch of glowing fungus.</t>
  </si>
  <si>
    <t>A large patch of small mushrooms.</t>
  </si>
  <si>
    <t>A group of enormous mushrooms.</t>
  </si>
  <si>
    <t>A large cavern with a strong echo.</t>
  </si>
  <si>
    <t>A claustrophobic tunnel with a low ceiling.</t>
  </si>
  <si>
    <t>Many bones underfoot.</t>
  </si>
  <si>
    <t>A wide slippery patch of mold on the floor.</t>
  </si>
  <si>
    <t>An unstable ceiling.</t>
  </si>
  <si>
    <t>The name of a previous traveler carved into a wall.</t>
  </si>
  <si>
    <t>Several ancient runes carved into the wall.</t>
  </si>
  <si>
    <t>Uncomfortably close to your head.</t>
  </si>
  <si>
    <t>Covered in stalactites (watch your head!).</t>
  </si>
  <si>
    <t>Smooth as glass.</t>
  </si>
  <si>
    <t>Rough and jagged.</t>
  </si>
  <si>
    <t>Connected to the floor by natural columns.</t>
  </si>
  <si>
    <t>So high it’s difficult to see.</t>
  </si>
  <si>
    <t>A colony of poisonous mushrooms.</t>
  </si>
  <si>
    <t>A patch of toxic mold.</t>
  </si>
  <si>
    <t>The ceiling caves in.</t>
  </si>
  <si>
    <t>Several rocks tumble down a sloped wall.</t>
  </si>
  <si>
    <t>The floor is very slippery.</t>
  </si>
  <si>
    <t>Your foot misses the floor as you step into a pit or chasm.</t>
  </si>
  <si>
    <t xml:space="preserve">This cave's hazard is: </t>
  </si>
  <si>
    <t>An explorer</t>
  </si>
  <si>
    <t>An escaped slave</t>
  </si>
  <si>
    <t>A forager</t>
  </si>
  <si>
    <t>a fugitive heretic</t>
  </si>
  <si>
    <t>a fugitive killer</t>
  </si>
  <si>
    <t>a fugitive smuggler</t>
  </si>
  <si>
    <t>a fugitive thief</t>
  </si>
  <si>
    <t>a mapmaker</t>
  </si>
  <si>
    <t>a messenger</t>
  </si>
  <si>
    <t>a miner</t>
  </si>
  <si>
    <t>a mining company</t>
  </si>
  <si>
    <t>a prospector</t>
  </si>
  <si>
    <t>a scout</t>
  </si>
  <si>
    <t>a soldier</t>
  </si>
  <si>
    <t>a mercenary company</t>
  </si>
  <si>
    <t>a spy</t>
  </si>
  <si>
    <t>A predator or a hunter.</t>
  </si>
  <si>
    <t>A food source for other denizens.</t>
  </si>
  <si>
    <t>A recently-arrived squatter or invader.</t>
  </si>
  <si>
    <t>A long-time resident.</t>
  </si>
  <si>
    <t>A parasite or a scavenger.</t>
  </si>
  <si>
    <t>A host or the dominant species.</t>
  </si>
  <si>
    <t>Unusually abundant.</t>
  </si>
  <si>
    <t>Living in deliberate isolation.</t>
  </si>
  <si>
    <t>Living in unintentional isolation.</t>
  </si>
  <si>
    <t>Severely out of place in this cave.</t>
  </si>
  <si>
    <t>Slightly damp</t>
  </si>
  <si>
    <t>Dripping wet</t>
  </si>
  <si>
    <t>Slick with mold</t>
  </si>
  <si>
    <t>Covered in soft fungi</t>
  </si>
  <si>
    <t>Dry as a bone</t>
  </si>
  <si>
    <t>Rough and dry</t>
  </si>
  <si>
    <t>Dry and smooth</t>
  </si>
  <si>
    <t>Jagged</t>
  </si>
  <si>
    <t>Pockmarked</t>
  </si>
  <si>
    <t>Crumbling, with loose bits flaking off</t>
  </si>
  <si>
    <t>Crumbling, with large chunks falling off at a touch</t>
  </si>
  <si>
    <t>Covered in an unidentifiable slime</t>
  </si>
  <si>
    <t>A sprawling maze of twisting tunnels.</t>
  </si>
  <si>
    <t>A sprawling maze of narrow tunnels.</t>
  </si>
  <si>
    <t>A series of tunnels connecting large natural caverns.</t>
  </si>
  <si>
    <t>A wide open-pit quarry.</t>
  </si>
  <si>
    <t>A series of tunnels connecting large open pits or sinkholes.</t>
  </si>
  <si>
    <t>A sprawling maze of open trenches.</t>
  </si>
  <si>
    <t>Floated on rafts down a stream or river.</t>
  </si>
  <si>
    <t>Hauled out on pack mules.</t>
  </si>
  <si>
    <t>Hauled out on mule-drawn carts.</t>
  </si>
  <si>
    <t>Hauled out on sure-footed ponies.</t>
  </si>
  <si>
    <t>Hauled out on ox-drawn carts.</t>
  </si>
  <si>
    <t>Rolled out in single mine carts.</t>
  </si>
  <si>
    <t>Rolled out in long trains of mine carts.</t>
  </si>
  <si>
    <t xml:space="preserve">This mine's hazards/obstacles are: </t>
  </si>
  <si>
    <t>A sudden cave in.</t>
  </si>
  <si>
    <t>A heap of unstable explosives.</t>
  </si>
  <si>
    <t>A sudden explosion in another part of the mine shakes the floor.</t>
  </si>
  <si>
    <t>The tunnel or trench is steadily flooding.</t>
  </si>
  <si>
    <t>Some broken mining equipment.</t>
  </si>
  <si>
    <t>Evidence of a recent, brief encampment.</t>
  </si>
  <si>
    <t>Evidence of an abandoned campsite.</t>
  </si>
  <si>
    <t>The clang of a pick breaking rock.</t>
  </si>
  <si>
    <t>The distant sound of hammers at work.</t>
  </si>
  <si>
    <t>A prospector’s mark scratched on the wall.</t>
  </si>
  <si>
    <t>A cracked wooden beam overhead.</t>
  </si>
  <si>
    <t>A rickety bridge over a chasm.</t>
  </si>
  <si>
    <t>A group of boulders arranged in a circle.</t>
  </si>
  <si>
    <t>A large patch of soft fungus.</t>
  </si>
  <si>
    <t>A cavern with a strong echo.</t>
  </si>
  <si>
    <t>A forked path with tracks for mine carts.</t>
  </si>
  <si>
    <t>An overturned mine cart.</t>
  </si>
  <si>
    <t>An unlit lantern mounted to the wall.</t>
  </si>
  <si>
    <t>A glowing lantern mounted to the wall.</t>
  </si>
  <si>
    <t>A swirling vein of ore visible in the wall.</t>
  </si>
  <si>
    <t>A wide vein of ore visible in the wall.</t>
  </si>
  <si>
    <t>A partially excavated wall with plentiful ore.</t>
  </si>
  <si>
    <t>A heap of excavated rock.</t>
  </si>
  <si>
    <t>A productive place to dig.</t>
  </si>
  <si>
    <t>Full of riches.</t>
  </si>
  <si>
    <t>Becoming increasingly unprofitable.</t>
  </si>
  <si>
    <t>Nearly dried up.</t>
  </si>
  <si>
    <t>Free men working for wages.</t>
  </si>
  <si>
    <t>Low-level members of a guild.</t>
  </si>
  <si>
    <t>Prisoners.</t>
  </si>
  <si>
    <t>Slaves.</t>
  </si>
  <si>
    <t>Cyclops</t>
  </si>
  <si>
    <t>Deurgar</t>
  </si>
  <si>
    <t>Dwarves</t>
  </si>
  <si>
    <t>Dark elves</t>
  </si>
  <si>
    <t>Deep gnomes</t>
  </si>
  <si>
    <t>Goblins</t>
  </si>
  <si>
    <t>Grimlocks</t>
  </si>
  <si>
    <t>Hobgoblins</t>
  </si>
  <si>
    <t>Kobolds</t>
  </si>
  <si>
    <t>Orcs</t>
  </si>
  <si>
    <t>Troglodytes</t>
  </si>
  <si>
    <t>Trolls</t>
  </si>
  <si>
    <t>Chalk.</t>
  </si>
  <si>
    <t>Coal.</t>
  </si>
  <si>
    <t>Copper.</t>
  </si>
  <si>
    <t>Gold.</t>
  </si>
  <si>
    <t>Iron.</t>
  </si>
  <si>
    <t>Lead.</t>
  </si>
  <si>
    <t>Lime.</t>
  </si>
  <si>
    <t>Nickel.</t>
  </si>
  <si>
    <t>Platinum.</t>
  </si>
  <si>
    <t>Salt.</t>
  </si>
  <si>
    <t>Silver.</t>
  </si>
  <si>
    <t>Zinc.</t>
  </si>
  <si>
    <t>Diamonds.</t>
  </si>
  <si>
    <t>Emeralds.</t>
  </si>
  <si>
    <t>Jade.</t>
  </si>
  <si>
    <t>Rubies.</t>
  </si>
  <si>
    <t>Sapphires.</t>
  </si>
  <si>
    <t>Turquoise.</t>
  </si>
  <si>
    <t>Other gems (d6): 1. amethyst; 2. aquamarine; 3. garnet; 4. opal; 5. peridot; 6. tanzanite; 7. topaz, 8. zirconium.</t>
  </si>
  <si>
    <t>An especially rare metal (d3): 1. adamantine; 2. mithral; 3. orium.</t>
  </si>
  <si>
    <t>Amethyst.</t>
  </si>
  <si>
    <t>Aquamarine.</t>
  </si>
  <si>
    <t>Garnet.</t>
  </si>
  <si>
    <t>Opal.</t>
  </si>
  <si>
    <t>Peridot.</t>
  </si>
  <si>
    <t>Tanzanite.</t>
  </si>
  <si>
    <t>Topaz.</t>
  </si>
  <si>
    <t>Zirconium.</t>
  </si>
  <si>
    <t>Adamantine.</t>
  </si>
  <si>
    <t>Mithral.</t>
  </si>
  <si>
    <t>Orium.</t>
  </si>
  <si>
    <t>A powerful, well-known merchant guild</t>
  </si>
  <si>
    <t>A wealthy noble house</t>
  </si>
  <si>
    <t>A partnership of a few prospectors</t>
  </si>
  <si>
    <t>A clan or collective of locals</t>
  </si>
  <si>
    <t>No one in particular; finders keepers</t>
  </si>
  <si>
    <t>A shadowy cabal of merchants</t>
  </si>
  <si>
    <t>A vicious warlord or mercenary captain</t>
  </si>
  <si>
    <t>A crime boss who’s never visited the site</t>
  </si>
  <si>
    <t>Men paid with credit at a merchant’s store.</t>
  </si>
  <si>
    <t>Men paid with a fraction of what they haul out.</t>
  </si>
  <si>
    <t>The floor is writhing with vermin.</t>
  </si>
  <si>
    <t>The floor is writhing with centipedes.</t>
  </si>
  <si>
    <t>The floor is writhing with rats.</t>
  </si>
  <si>
    <t>The floor is writhing with spiders.</t>
  </si>
  <si>
    <t>Hauled out on the backs of uncommon beasts of burden.</t>
  </si>
  <si>
    <t xml:space="preserve">The prison is located </t>
  </si>
  <si>
    <t>On a small island on a remote coast.</t>
  </si>
  <si>
    <t>On a small island near a city.</t>
  </si>
  <si>
    <t>In a tower of a castle.</t>
  </si>
  <si>
    <t>Beneath a temple complex.</t>
  </si>
  <si>
    <t>In an annex on a temple complex.</t>
  </si>
  <si>
    <t>Beneath a town hall.</t>
  </si>
  <si>
    <t>In an annex on a town hall.</t>
  </si>
  <si>
    <t>Underneath a city, deep below ground.</t>
  </si>
  <si>
    <t>Behind walls in a fortified rural location: coastland</t>
  </si>
  <si>
    <t>Behind walls in a fortified rural location: farmland</t>
  </si>
  <si>
    <t>Behind walls in a fortified rural location: mining country</t>
  </si>
  <si>
    <t>Behind walls in a fortified rural location: ranchland</t>
  </si>
  <si>
    <t>Below ground, in a hidden rural location: coastland</t>
  </si>
  <si>
    <t>Below ground, in a hidden rural location: farmland</t>
  </si>
  <si>
    <t>Below ground, in a hidden rural location: mining country</t>
  </si>
  <si>
    <t>Below ground, in a hidden rural location: ranchland</t>
  </si>
  <si>
    <t>Behind walls in a fortified wilerness location: desert</t>
  </si>
  <si>
    <t>Behind walls in a fortified wilerness location: forest</t>
  </si>
  <si>
    <t>Behind walls in a fortified wilerness location: hills</t>
  </si>
  <si>
    <t>Behind walls in a fortified wilerness location: mountains</t>
  </si>
  <si>
    <t>Behind walls in a fortified wilerness location: swamp</t>
  </si>
  <si>
    <t>Behind walls in a fortified wilerness location: tundra</t>
  </si>
  <si>
    <t>Below ground, in a hidden wilderness location: desert</t>
  </si>
  <si>
    <t>Below ground, in a hidden wilderness location: forest</t>
  </si>
  <si>
    <t>Below ground, in a hidden wilderness location: hills</t>
  </si>
  <si>
    <t>Below ground, in a hidden wilderness location: mountains</t>
  </si>
  <si>
    <t>Below ground, in a hidden wilderness location: swamps</t>
  </si>
  <si>
    <t>Below ground, in a hidden wilderness location: tundra</t>
  </si>
  <si>
    <t xml:space="preserve">The prison was built by </t>
  </si>
  <si>
    <t>A wise king or queen.</t>
  </si>
  <si>
    <t>An ambitious lord or lady.</t>
  </si>
  <si>
    <t>An evil tyrant.</t>
  </si>
  <si>
    <t>A civic committee.</t>
  </si>
  <si>
    <t>A popular mayor or sheriff.</t>
  </si>
  <si>
    <t>An unscrupulous king or queen.</t>
  </si>
  <si>
    <t>A prosperous merchant guild.</t>
  </si>
  <si>
    <t>A powerful noble house.</t>
  </si>
  <si>
    <t xml:space="preserve">The prison is surrounded by </t>
  </si>
  <si>
    <t>Very high stone walls.</t>
  </si>
  <si>
    <t>Incredibly thick stone walls.</t>
  </si>
  <si>
    <t>A curtain wall with many gatehouses.</t>
  </si>
  <si>
    <t>A moat filled with putrescent water.</t>
  </si>
  <si>
    <t>A moat filled with thick, boot-sucking mud.</t>
  </si>
  <si>
    <t>A moat filled with sharp spikes.</t>
  </si>
  <si>
    <t>A sprawling maze of twisting passages.</t>
  </si>
  <si>
    <t>A sprawling maze of narrow passages.</t>
  </si>
  <si>
    <t>Organized into small, neat rows of cells or pits.</t>
  </si>
  <si>
    <t>Organized around a large central cell block or pit.</t>
  </si>
  <si>
    <t>An endless series of long corridors.</t>
  </si>
  <si>
    <t>A series of corridors with very low ceilings.</t>
  </si>
  <si>
    <t xml:space="preserve">Prisoners are held within </t>
  </si>
  <si>
    <t>Individual cells, in complete isolation.</t>
  </si>
  <si>
    <t>Individual cells, but they can see and hear other prisoners.</t>
  </si>
  <si>
    <t>Individual cells, but they can hear other prisoners.</t>
  </si>
  <si>
    <t>Cells that accommodate up to two prisoners.</t>
  </si>
  <si>
    <t>Cells that accommodate up to two prisoners, each shackled to the wall.</t>
  </si>
  <si>
    <t>Cells that accommodate up to four prisoners.</t>
  </si>
  <si>
    <t>Cells that accommodate up to four prisoners, each shackled to the wall.</t>
  </si>
  <si>
    <t>A large chamber with many other prisoners, each shackled to the wall.</t>
  </si>
  <si>
    <t>Individual pits or wells, open at the top.</t>
  </si>
  <si>
    <t>One or more huge pit with many other prisoners.</t>
  </si>
  <si>
    <t>Well-maintained; the walls are solid.</t>
  </si>
  <si>
    <t>Aging, but sturdy; the walls have some cracks.</t>
  </si>
  <si>
    <t>Decrepit; the walls are crumbling.</t>
  </si>
  <si>
    <t>So dark it’s difficult to say.</t>
  </si>
  <si>
    <t xml:space="preserve">Prisoners are treated </t>
  </si>
  <si>
    <t>Humanely; they receive reasonable meals, some exercise, and healing when needed.</t>
  </si>
  <si>
    <t>Like dogs; they receive poor quality meals and enough healing to keep them alive.</t>
  </si>
  <si>
    <t>Like rats; they receive terrible meals and are plagued by sickness.</t>
  </si>
  <si>
    <t>Like they don’t exist; occasionally they receive food.</t>
  </si>
  <si>
    <t xml:space="preserve">The prison is known for </t>
  </si>
  <si>
    <t>Many prisoners dying in a terrible plague.</t>
  </si>
  <si>
    <t>A mass escape in the past.</t>
  </si>
  <si>
    <t>The escape of a famous criminal.</t>
  </si>
  <si>
    <t>Being the final home of a famous criminal.</t>
  </si>
  <si>
    <t>Being the final home of a legendary hero.</t>
  </si>
  <si>
    <t>Being haunted by vengeful ghosts.</t>
  </si>
  <si>
    <t>Its horrific torture pits.</t>
  </si>
  <si>
    <t>Never suffering a successful escape.</t>
  </si>
  <si>
    <t>Its unusual architectural style.</t>
  </si>
  <si>
    <t>The quality of its meals.</t>
  </si>
  <si>
    <t xml:space="preserve">According to rumor, within the prison walls lies </t>
  </si>
  <si>
    <t>A secret tunnel to the outside.</t>
  </si>
  <si>
    <t>The bones of a celebrated outlaw.</t>
  </si>
  <si>
    <t>The preserved head of an ancient villain.</t>
  </si>
  <si>
    <t>A terrible beast to which prisoners are fed.</t>
  </si>
  <si>
    <t>A missing lord or lady.</t>
  </si>
  <si>
    <t>A treasure stolen by a notorious prisoner.</t>
  </si>
  <si>
    <t>A unique and terrible torture device.</t>
  </si>
  <si>
    <t>The bones of a deposed king or queen.</t>
  </si>
  <si>
    <t xml:space="preserve">The complex is </t>
  </si>
  <si>
    <t xml:space="preserve">The cells are </t>
  </si>
  <si>
    <t>A coward who likes to act tough.</t>
  </si>
  <si>
    <t>A bully in every sense of the word.</t>
  </si>
  <si>
    <t>A bastard son of a noble house.</t>
  </si>
  <si>
    <t>A man who grew up among criminals.</t>
  </si>
  <si>
    <t>A priest with a puritanical agenda.</t>
  </si>
  <si>
    <t>A horrible sadist.</t>
  </si>
  <si>
    <t>A mild-mannered man of faith.</t>
  </si>
  <si>
    <t>A wicked little man.</t>
  </si>
  <si>
    <t>Rumors of an upcoming escape attempt.</t>
  </si>
  <si>
    <t>Losing his job after a messy prisoner death.</t>
  </si>
  <si>
    <t>Facing a prisoner who creeps him out.</t>
  </si>
  <si>
    <t>Ways to make a little extra silver.</t>
  </si>
  <si>
    <t>Abuse someone who is defenseless.</t>
  </si>
  <si>
    <t>Make himself feel powerful.</t>
  </si>
  <si>
    <t>Reach out to a disturbed prisoner.</t>
  </si>
  <si>
    <t>Swap grisly tales.</t>
  </si>
  <si>
    <t>A large ring of keys.</t>
  </si>
  <si>
    <t>A large knife and a sap.</t>
  </si>
  <si>
    <t>A trophy taken from a tortured prisoner.</t>
  </si>
  <si>
    <t>A pocket-sized prayer book.</t>
  </si>
  <si>
    <t>A spiked club.</t>
  </si>
  <si>
    <t>A scourge or whip.</t>
  </si>
  <si>
    <t>A wineskin.</t>
  </si>
  <si>
    <t>A pail of cold porridge from the kitchens.</t>
  </si>
  <si>
    <t xml:space="preserve">On his face is </t>
  </si>
  <si>
    <t>The steady pay.</t>
  </si>
  <si>
    <t>The chance to bully others.</t>
  </si>
  <si>
    <t>To prove how tough he is.</t>
  </si>
  <si>
    <t>To take out his aggression on criminals.</t>
  </si>
  <si>
    <t>To help a prisoner escape.</t>
  </si>
  <si>
    <t>To research the Rumor.</t>
  </si>
  <si>
    <t xml:space="preserve">an unsightly scar. </t>
  </si>
  <si>
    <t>A stupid grin.</t>
  </si>
  <si>
    <t>A blank stare.</t>
  </si>
  <si>
    <t>A bushy mustache.</t>
  </si>
  <si>
    <t>A deep frown.</t>
  </si>
  <si>
    <t>a sour stare</t>
  </si>
  <si>
    <t>Atop a mountain.</t>
  </si>
  <si>
    <t>On a hill overlooking a wide plain.</t>
  </si>
  <si>
    <t>At the fork of a river.</t>
  </si>
  <si>
    <t>On a narrow, rocky peninsula.</t>
  </si>
  <si>
    <t>Above a seaside cliff.</t>
  </si>
  <si>
    <t>On a hill overlooking a river valley.</t>
  </si>
  <si>
    <t>On a hill rising out of a swamp.</t>
  </si>
  <si>
    <t>On a hill overlooking a forest.</t>
  </si>
  <si>
    <t>Astride a desert oasis or natural spring.</t>
  </si>
  <si>
    <t>On a ridge overlooking a frozen plain.</t>
  </si>
  <si>
    <t>A mighty warrior or warlord.</t>
  </si>
  <si>
    <t>A retired adventurer.</t>
  </si>
  <si>
    <t>A celebrated war hero.</t>
  </si>
  <si>
    <t>A vain lord or lady.</t>
  </si>
  <si>
    <t>A powerful witch or wizard.</t>
  </si>
  <si>
    <t>A beloved sovereign.</t>
  </si>
  <si>
    <t>A prosperous merchant.</t>
  </si>
  <si>
    <t>A member of an ancient noble house.</t>
  </si>
  <si>
    <t>In a past age.</t>
  </si>
  <si>
    <t>Hundreds of years ago.</t>
  </si>
  <si>
    <t>A few decades ago.</t>
  </si>
  <si>
    <t>Within the past decade.</t>
  </si>
  <si>
    <t>Perfect; upkeep has been fastidious.</t>
  </si>
  <si>
    <t>Good; it been well-maintained.</t>
  </si>
  <si>
    <t>Decent; there are only a few cracks in the walls, but the place can withstand a siege.</t>
  </si>
  <si>
    <t>Fair; the castle has seen better days.</t>
  </si>
  <si>
    <t>Poor; the walls and towers are in dire need of repairs.</t>
  </si>
  <si>
    <t>Decrepit; the place is practically a ruin.</t>
  </si>
  <si>
    <t>A member of the royal family.</t>
  </si>
  <si>
    <t>An elderly lord or lady.</t>
  </si>
  <si>
    <t>A brash, young lord or lady.</t>
  </si>
  <si>
    <t>A mercenary company.</t>
  </si>
  <si>
    <t>A fearsome warlord or retired sellsword.</t>
  </si>
  <si>
    <t>A wealthy merchant.</t>
  </si>
  <si>
    <t>A retired pirate or thief.</t>
  </si>
  <si>
    <t>A former adventurer.</t>
  </si>
  <si>
    <t>An absentee noble lord.</t>
  </si>
  <si>
    <t>The crown, but the king or queen rarely stays here.</t>
  </si>
  <si>
    <t>Grains grow well on the surrounding land.</t>
  </si>
  <si>
    <t>The nearby mines are rich in ores or gems.</t>
  </si>
  <si>
    <t>The surrounding land is excellent for grazing livestock.</t>
  </si>
  <si>
    <t>Fruit trees grow on the surrounding land.</t>
  </si>
  <si>
    <t>The nearby pass is the easiest way to cross the mountains.</t>
  </si>
  <si>
    <t>The nearby harbor is important for trade.</t>
  </si>
  <si>
    <t>The nearby river is important for trade.</t>
  </si>
  <si>
    <t>The nearby source of freshwater is precious is in this region.</t>
  </si>
  <si>
    <t>The wild lands beyond are full of threats.</t>
  </si>
  <si>
    <t>The surrounding lands are part of a long-standing territorial dispute.</t>
  </si>
  <si>
    <t>The surrounding land is held sacred.</t>
  </si>
  <si>
    <t>The nearby lands are home to a rare herb, tree, or creature that has magical uses.</t>
  </si>
  <si>
    <t>A series of curtain walls and gatehouses.</t>
  </si>
  <si>
    <t>A treacherous climb to reach the castle walls.</t>
  </si>
  <si>
    <t>A moat that is home to one or more dangerous aquatic beasts.</t>
  </si>
  <si>
    <t>An immense barbican.</t>
  </si>
  <si>
    <t>A narrow footbridge to reach the postern.</t>
  </si>
  <si>
    <t>5 soldiers and 20 archers.</t>
  </si>
  <si>
    <t>20 soldiers, 5 knights, and 20 archers.</t>
  </si>
  <si>
    <t>50 soldiers, 10 knights, and 40 archers.</t>
  </si>
  <si>
    <t>20 knights, 20 archers, and 5 warmages.</t>
  </si>
  <si>
    <t>100 soldiers, 50 archers, and 5 warmages.</t>
  </si>
  <si>
    <t>100 soldiers, 20 knights, and 50 archers.</t>
  </si>
  <si>
    <t>200 soldiers, 50 knights, and 100 archers.</t>
  </si>
  <si>
    <t>200 soldiers, 100 knights, and 200 archers.</t>
  </si>
  <si>
    <t>50 people.</t>
  </si>
  <si>
    <t>100 people.</t>
  </si>
  <si>
    <t>200 people.</t>
  </si>
  <si>
    <t>500 people.</t>
  </si>
  <si>
    <t>1,000 people.</t>
  </si>
  <si>
    <t>2,000 people.</t>
  </si>
  <si>
    <t>Withstanding a grueling, lengthy siege.</t>
  </si>
  <si>
    <t>Suffering an immense conflagration.</t>
  </si>
  <si>
    <t>Changing hands several times over the course of the same war.</t>
  </si>
  <si>
    <t>Bringing ill-fortune to those who hold it.</t>
  </si>
  <si>
    <t>Being haunted by a former occupant.</t>
  </si>
  <si>
    <t>Never falling in a siege.</t>
  </si>
  <si>
    <t>Welcoming travelers seeking refuge.</t>
  </si>
  <si>
    <t>Turning away travelers seeking refuge.</t>
  </si>
  <si>
    <t>Its beautiful, historic tapestries.</t>
  </si>
  <si>
    <t>Its breathtakingly beautiful chapel.</t>
  </si>
  <si>
    <t>An underground tunnel that can serve as a last-gasp escape route.</t>
  </si>
  <si>
    <t>The weapon of a long-dead hero.</t>
  </si>
  <si>
    <t>A long-lost religious artifact.</t>
  </si>
  <si>
    <t>A book of vile curses.</t>
  </si>
  <si>
    <t>A book of dark and ancient secrets.</t>
  </si>
  <si>
    <t>A cursed treasure hoard.</t>
  </si>
  <si>
    <t>The last bottle of famous vintage of wine.</t>
  </si>
  <si>
    <t>A lost work of a celebrated artist.</t>
  </si>
  <si>
    <t>The crypt of an ancient sovereign.</t>
  </si>
  <si>
    <t>An unhatched dragon egg.</t>
  </si>
  <si>
    <t>Hundreds of arrow slits.</t>
  </si>
  <si>
    <t>One of the world's largest dual-portcullis gates.</t>
  </si>
  <si>
    <t>A winding climb to reach the entrance.</t>
  </si>
  <si>
    <t>Several covered parapets with murder holes under which intruders must pass.</t>
  </si>
  <si>
    <t>A wide courtyard surrounded by flanking towers in the curtain wall.</t>
  </si>
  <si>
    <t>An unusual or hidden means of entry.</t>
  </si>
  <si>
    <t xml:space="preserve">The tomb was built for </t>
  </si>
  <si>
    <t>An ancient king.</t>
  </si>
  <si>
    <t>An ancient queen.</t>
  </si>
  <si>
    <t>An ancient high priest or priestess.</t>
  </si>
  <si>
    <t>An ancient sorcerer.</t>
  </si>
  <si>
    <t>A mighty warrior.</t>
  </si>
  <si>
    <t>A terrible villain.</t>
  </si>
  <si>
    <t>A legendary adventurer.</t>
  </si>
  <si>
    <t>A vain mayor or townmaster.</t>
  </si>
  <si>
    <t>A powerful military commander or warlord.</t>
  </si>
  <si>
    <t>A powerful priest or priestess.</t>
  </si>
  <si>
    <t>A member of a noble house.</t>
  </si>
  <si>
    <t>The wife of a wealthy person or ruler.</t>
  </si>
  <si>
    <t>The mother of a wealthy person or ruler.</t>
  </si>
  <si>
    <t>The child of a wealthy person or ruler.</t>
  </si>
  <si>
    <t xml:space="preserve">The tomb's entrance is </t>
  </si>
  <si>
    <t xml:space="preserve">The tomb's layout is </t>
  </si>
  <si>
    <t xml:space="preserve">Many of the interior walls are </t>
  </si>
  <si>
    <t xml:space="preserve">The ceilings are </t>
  </si>
  <si>
    <t xml:space="preserve">It is rumored to </t>
  </si>
  <si>
    <t xml:space="preserve">It appears that the tomb was recently visited by </t>
  </si>
  <si>
    <t>Yawning open, letting much daylight into the entry chamber.</t>
  </si>
  <si>
    <t>Beneath a stone slab.</t>
  </si>
  <si>
    <t>A simple wooden door framed in stone.</t>
  </si>
  <si>
    <t>A heavy wooden door framed in stone.</t>
  </si>
  <si>
    <t>Behind a heavy stone door.</t>
  </si>
  <si>
    <t>Beneath a gnarled, old tree.</t>
  </si>
  <si>
    <t>Beneath an obelisk or similar monument.</t>
  </si>
  <si>
    <t>Beneath a large statue.</t>
  </si>
  <si>
    <t>Behind a huge pair of gold doors.</t>
  </si>
  <si>
    <t>Behind a huge pair of bronze doors.</t>
  </si>
  <si>
    <t>Behind a huge pair of iron doors.</t>
  </si>
  <si>
    <t>Behind a huge pair of brass doors.</t>
  </si>
  <si>
    <t>Hidden by a waterfall.</t>
  </si>
  <si>
    <t>Hidden by a rocky overhang.</t>
  </si>
  <si>
    <t>Hidden by a hillock.</t>
  </si>
  <si>
    <t>Hidden by a curtain of moss.</t>
  </si>
  <si>
    <t>Hidden by enormous tree roots.</t>
  </si>
  <si>
    <t>Hidden by overgrown vines.</t>
  </si>
  <si>
    <t>It is difficult to access; up/down a cliff face.</t>
  </si>
  <si>
    <t>It is difficult to access; down a deep hole.</t>
  </si>
  <si>
    <t>It is difficult to access; in an underwater tunnel.</t>
  </si>
  <si>
    <t>It is difficult to access; through an illusory rock wall.</t>
  </si>
  <si>
    <t>Hidden by boulders.</t>
  </si>
  <si>
    <t>Hidden by a briar patch.</t>
  </si>
  <si>
    <t>A sworn order of devout warriors.</t>
  </si>
  <si>
    <t>Sellswords.</t>
  </si>
  <si>
    <t>Impressive, colossal statues of warriors.</t>
  </si>
  <si>
    <t>Statues of beautiful maidens, beckoning visitors into a trap.</t>
  </si>
  <si>
    <t>Several crumbling statues.</t>
  </si>
  <si>
    <t>Skeletal warriors.</t>
  </si>
  <si>
    <t>An unsettling arrangement of bones.</t>
  </si>
  <si>
    <t>A band of outlaws who are carefully delving its secrets.</t>
  </si>
  <si>
    <t>Nothing; the tomb is rather homey and welcoming.</t>
  </si>
  <si>
    <t>Large, frightening statues of bats.</t>
  </si>
  <si>
    <t>Large, frightening statues of bears.</t>
  </si>
  <si>
    <t>Large, frightening statues of dragons.</t>
  </si>
  <si>
    <t>Large, frightening statues of eagles.</t>
  </si>
  <si>
    <t>Large, frightening statues of lions.</t>
  </si>
  <si>
    <t>Large, frightening statues of ravens.</t>
  </si>
  <si>
    <t>Large, frightening statues of snakes.</t>
  </si>
  <si>
    <t>Large, frightening statues of wolves.</t>
  </si>
  <si>
    <t>Just beyond a heavy door in the entry chamber.</t>
  </si>
  <si>
    <t>Down a steep set of spiraling stairs from the entry chamber.</t>
  </si>
  <si>
    <t>At the end of a long passageway lined with lesser crypts.</t>
  </si>
  <si>
    <t>At the end of a long passage lined with statues.</t>
  </si>
  <si>
    <t>At the end of a long passageway lined with passageways leading to lesser crypts.</t>
  </si>
  <si>
    <t>Several levels below the entry chamber.</t>
  </si>
  <si>
    <t>Simple; a large grand crypt with a handful of smaller crypts and rooms adjoining.</t>
  </si>
  <si>
    <t>Simple with a large entry chamber; the entry chamber leads off to smaller crypts and other rooms.</t>
  </si>
  <si>
    <t>Multi-layered; access to the lower layers is easy to find.</t>
  </si>
  <si>
    <t>Multi-layered; access to the lower layers is difficult to find.</t>
  </si>
  <si>
    <t>Multi-winged; access to some wings is difficult to find.</t>
  </si>
  <si>
    <t>A series of rooms arranged in a concentric fashion; the grand crypt is located among the inner rooms.</t>
  </si>
  <si>
    <t>Labyrinthine; designed to deliberately confuse intruders.</t>
  </si>
  <si>
    <t>Simple with an intricate complex hidden beneath the grand crypt.</t>
  </si>
  <si>
    <t>Rough hewn stone.</t>
  </si>
  <si>
    <t>Smooth cut stone.</t>
  </si>
  <si>
    <t>Painted or lacquered wood.</t>
  </si>
  <si>
    <t>Unfinished hardwood.</t>
  </si>
  <si>
    <t>Decorated with intricate mosaics.</t>
  </si>
  <si>
    <t>Decorated with elaborate murals.</t>
  </si>
  <si>
    <t>Decorated with bones and icons of death.</t>
  </si>
  <si>
    <t>Decorated with sacred texts and runes.</t>
  </si>
  <si>
    <t>Stone, smooth as glass.</t>
  </si>
  <si>
    <t>Stone, rough and jagged.</t>
  </si>
  <si>
    <t>Connected to the floor by columns.</t>
  </si>
  <si>
    <t>Painted or carved with iconic scenes.</t>
  </si>
  <si>
    <t>Crossed by wooden beams.</t>
  </si>
  <si>
    <t>A small altar set in an alcove in the wall.</t>
  </si>
  <si>
    <t>A plaque listing a family lineage.</t>
  </si>
  <si>
    <t>A plaque noting birth and death dates.</t>
  </si>
  <si>
    <t>A wall sconce holding several candles.</t>
  </si>
  <si>
    <t>An empty wall sconce for holding a torch.</t>
  </si>
  <si>
    <t>A rotten, earthy stench.</t>
  </si>
  <si>
    <t>A musty, moldy odor.</t>
  </si>
  <si>
    <t>The scent of decaying flesh.</t>
  </si>
  <si>
    <t>A mural depicting a mythological scene.</t>
  </si>
  <si>
    <t>A small fountain or reflecting pool.</t>
  </si>
  <si>
    <t>A huge book of sacred texts or prayers.</t>
  </si>
  <si>
    <t>An ornate oil lamp.</t>
  </si>
  <si>
    <t>A mosaic set into the floor of the room.</t>
  </si>
  <si>
    <t>A wide fresco or mural depicting a mythological or historical scene.</t>
  </si>
  <si>
    <t>A gilded sarcophagus.</t>
  </si>
  <si>
    <t>A simple stone sarcophagus.</t>
  </si>
  <si>
    <t>A finely-crafted, heavy wooden coffin.</t>
  </si>
  <si>
    <t>A simple, sturdy wooden coffin.</t>
  </si>
  <si>
    <t>A stone coffin marked with dates.</t>
  </si>
  <si>
    <t>An empty coffin.</t>
  </si>
  <si>
    <t>Hold tremendous treasure.</t>
  </si>
  <si>
    <t>Be heavily trapped to guard against intruders.</t>
  </si>
  <si>
    <t>Hold a legendary weapon or artifact.</t>
  </si>
  <si>
    <t>Bestow a powerful curse on intruders.</t>
  </si>
  <si>
    <t>House the remains of someone whose body is widely believed to have been lost.</t>
  </si>
  <si>
    <t>Have already been cleared of monsters and gold by treasure hunters.</t>
  </si>
  <si>
    <t>A devoted old priest or priestess.</t>
  </si>
  <si>
    <t>A curious young priest or priestess.</t>
  </si>
  <si>
    <t>A traveler or scholar from afar.</t>
  </si>
  <si>
    <t>A member of the deceased’s family.</t>
  </si>
  <si>
    <t>A greedy treasure hunter.</t>
  </si>
  <si>
    <t>A student of necromancy.</t>
  </si>
  <si>
    <t>A fugitive serial killer.</t>
  </si>
  <si>
    <t>A brave but foolish adventurer.</t>
  </si>
  <si>
    <t xml:space="preserve">The tomb's grand crypt is located </t>
  </si>
  <si>
    <t>Daisies.</t>
  </si>
  <si>
    <t>The Don.</t>
  </si>
  <si>
    <t>Blinkers.</t>
  </si>
  <si>
    <t>The Prude's Suspenders.</t>
  </si>
  <si>
    <t>Gold’s Dust.</t>
  </si>
  <si>
    <t>The Velvet Fang.</t>
  </si>
  <si>
    <t>The Whisper Home.</t>
  </si>
  <si>
    <t>The Hook.</t>
  </si>
  <si>
    <t>Over the River.</t>
  </si>
  <si>
    <t>Slooshes.</t>
  </si>
  <si>
    <t>The Rapid Rascal.</t>
  </si>
  <si>
    <t>The Stoat.</t>
  </si>
  <si>
    <t>The Fidgety Ferret.</t>
  </si>
  <si>
    <t>Long Shaft.</t>
  </si>
  <si>
    <t>The Guards.</t>
  </si>
  <si>
    <t>Chastity’s.</t>
  </si>
  <si>
    <t>The Mask.</t>
  </si>
  <si>
    <t>The Red Dress.</t>
  </si>
  <si>
    <t>Jewels.</t>
  </si>
  <si>
    <t>Silken Flute.</t>
  </si>
  <si>
    <t>The Nag’s Head.</t>
  </si>
  <si>
    <t>Drummers.</t>
  </si>
  <si>
    <t>Sailors Choice.</t>
  </si>
  <si>
    <t>Blacksmiths Envy.</t>
  </si>
  <si>
    <t>The Nagging Wife.</t>
  </si>
  <si>
    <t>Colins Rubble.</t>
  </si>
  <si>
    <t>Dron's Beat.</t>
  </si>
  <si>
    <t>The Wink.</t>
  </si>
  <si>
    <t>Maggie’s Horn.</t>
  </si>
  <si>
    <t>The Sun &amp; Cider.</t>
  </si>
  <si>
    <t>The Oakworm.</t>
  </si>
  <si>
    <t>Tickle &amp; Feather.</t>
  </si>
  <si>
    <t>The Mistress.</t>
  </si>
  <si>
    <t>Madam Zersannies's.</t>
  </si>
  <si>
    <t>The King's Court.</t>
  </si>
  <si>
    <t>The Cursed Coin.</t>
  </si>
  <si>
    <t>Slit.</t>
  </si>
  <si>
    <t>The Maiden Head.</t>
  </si>
  <si>
    <t>The Rusty.</t>
  </si>
  <si>
    <t>The Silken Ferret.</t>
  </si>
  <si>
    <t>Long Legs.</t>
  </si>
  <si>
    <t>Elven Whispers.</t>
  </si>
  <si>
    <t>The Leg.</t>
  </si>
  <si>
    <t>False Suspenders.</t>
  </si>
  <si>
    <t>Aunt Fannies Bloomers.</t>
  </si>
  <si>
    <t>Final Rest.</t>
  </si>
  <si>
    <t>Cocks Crow.</t>
  </si>
  <si>
    <t>The Unblinking Eye.</t>
  </si>
  <si>
    <t>The Bountiful Bosom.</t>
  </si>
  <si>
    <t>Tuskers.</t>
  </si>
  <si>
    <t>The Thrusting Gentleman.</t>
  </si>
  <si>
    <t>Tally Hoes.</t>
  </si>
  <si>
    <t>Rutting.</t>
  </si>
  <si>
    <t>Pigs in Blankets.</t>
  </si>
  <si>
    <t>The Delicate Touch.</t>
  </si>
  <si>
    <t>Aphrodite’s Wish.</t>
  </si>
  <si>
    <t>The Dirty Secret.</t>
  </si>
  <si>
    <t>Long Locks.</t>
  </si>
  <si>
    <t>Sweat.</t>
  </si>
  <si>
    <t>Brothel.</t>
  </si>
  <si>
    <t>Taters.</t>
  </si>
  <si>
    <t>The Swift Finish.</t>
  </si>
  <si>
    <t>Cumberlands.</t>
  </si>
  <si>
    <t>The Missing Sausage.</t>
  </si>
  <si>
    <t>The Fools Frolic.</t>
  </si>
  <si>
    <t>Dragons.</t>
  </si>
  <si>
    <t>The Bushel.</t>
  </si>
  <si>
    <t>Farmers Oats.</t>
  </si>
  <si>
    <t>The Raised Brow.</t>
  </si>
  <si>
    <t>Genies.</t>
  </si>
  <si>
    <t>The Farfetched Feather.</t>
  </si>
  <si>
    <t>Junk.</t>
  </si>
  <si>
    <t>The Connoisseur’s Choice.</t>
  </si>
  <si>
    <t>Colossus.</t>
  </si>
  <si>
    <t>The Smooth Ride.</t>
  </si>
  <si>
    <t>Bucking.</t>
  </si>
  <si>
    <t>The Great Big Globes.</t>
  </si>
  <si>
    <t>The Glimmeric.</t>
  </si>
  <si>
    <t>Loving Embrace.</t>
  </si>
  <si>
    <t>Chokers Necklace.</t>
  </si>
  <si>
    <t>The Grand Madame's Emporium of Fine Delicacies, Treats, and the Exotic.</t>
  </si>
  <si>
    <t>Thug’s Retreat.</t>
  </si>
  <si>
    <t>Warriors' Return.</t>
  </si>
  <si>
    <t>Gold Gobblers.</t>
  </si>
  <si>
    <t>Cackling Croons.</t>
  </si>
  <si>
    <t>The Warty.</t>
  </si>
  <si>
    <t>Bessie’s Best.</t>
  </si>
  <si>
    <t>Corset.</t>
  </si>
  <si>
    <t>Winkies.</t>
  </si>
  <si>
    <t>The Shagger.</t>
  </si>
  <si>
    <t>Port of Call.</t>
  </si>
  <si>
    <t>The Home Away from Hoes.</t>
  </si>
  <si>
    <t>Smooth.</t>
  </si>
  <si>
    <t>The Maiden Fair.</t>
  </si>
  <si>
    <t>The Bit.</t>
  </si>
  <si>
    <t>Hosted.</t>
  </si>
  <si>
    <t>Glamourous Delights</t>
  </si>
  <si>
    <t>Happily Ever After.</t>
  </si>
  <si>
    <t>Sultry Stare.</t>
  </si>
  <si>
    <t>The Full Flush.</t>
  </si>
  <si>
    <t>The Lighted Candle.</t>
  </si>
  <si>
    <t>The Red Candle.</t>
  </si>
  <si>
    <t>The Raised Candle.</t>
  </si>
  <si>
    <t>The Dancing Flame.</t>
  </si>
  <si>
    <t>The Candlelight Resort.</t>
  </si>
  <si>
    <t>The Sweetest Cherry.</t>
  </si>
  <si>
    <t>Cherry's.</t>
  </si>
  <si>
    <t>Cherry Pie.</t>
  </si>
  <si>
    <t>The Velvet Cherry.</t>
  </si>
  <si>
    <t>The Golden Cherry.</t>
  </si>
  <si>
    <t>The Silk Curtain.</t>
  </si>
  <si>
    <t>The Red Curtain.</t>
  </si>
  <si>
    <t>The Lacy Curtain.</t>
  </si>
  <si>
    <t>The Welcoming Curtain.</t>
  </si>
  <si>
    <t>The Satin Curtain.</t>
  </si>
  <si>
    <t>Satin Dolls.</t>
  </si>
  <si>
    <t>Sweet Dolls.</t>
  </si>
  <si>
    <t>Porcelain Dolls.</t>
  </si>
  <si>
    <t>The Sugar Doll.</t>
  </si>
  <si>
    <t>Dancers and Dolls.</t>
  </si>
  <si>
    <t>The Red Door.</t>
  </si>
  <si>
    <t>The Golden Door.</t>
  </si>
  <si>
    <t>The Silver Door.</t>
  </si>
  <si>
    <t>The Maiden's Door.</t>
  </si>
  <si>
    <t>The Dancers' Door.</t>
  </si>
  <si>
    <t>Lover's Embrace.</t>
  </si>
  <si>
    <t>Lady's Embrace.</t>
  </si>
  <si>
    <t>The Sweetest Embrace.</t>
  </si>
  <si>
    <t>The Warmest Embrace.</t>
  </si>
  <si>
    <t>Welcoming Embrace.</t>
  </si>
  <si>
    <t>The Satin Glove.</t>
  </si>
  <si>
    <t>Silky Gloves.</t>
  </si>
  <si>
    <t>Lacy Gloves.</t>
  </si>
  <si>
    <t>The Lady's Glove.</t>
  </si>
  <si>
    <t>The Maiden's Glove.</t>
  </si>
  <si>
    <t>The Shining Heart.</t>
  </si>
  <si>
    <t>Pink Hearts.</t>
  </si>
  <si>
    <t>Lacy Hearts.</t>
  </si>
  <si>
    <t>Sweetheart's</t>
  </si>
  <si>
    <t>The Maiden's Heart.</t>
  </si>
  <si>
    <t>The Night House.</t>
  </si>
  <si>
    <t>The Pink House.</t>
  </si>
  <si>
    <t>The Porcelain House.</t>
  </si>
  <si>
    <t>The Welcoming House.</t>
  </si>
  <si>
    <t>The Cozy House.</t>
  </si>
  <si>
    <t>The Warmest Lamp.</t>
  </si>
  <si>
    <t>The Red Lamp.</t>
  </si>
  <si>
    <t>The Pink Lamp.</t>
  </si>
  <si>
    <t>The Soft Lamp.</t>
  </si>
  <si>
    <t>The Lady's Lamp.</t>
  </si>
  <si>
    <t>The Lady's Kiss.</t>
  </si>
  <si>
    <t>The Maiden's Kiss.</t>
  </si>
  <si>
    <t>The Night's Kiss.</t>
  </si>
  <si>
    <t>Cozy Kisses.</t>
  </si>
  <si>
    <t>Satin Kisses.</t>
  </si>
  <si>
    <t>Peach's Place.</t>
  </si>
  <si>
    <t>The Peach.</t>
  </si>
  <si>
    <t>The Prettiest Peach.</t>
  </si>
  <si>
    <t>The Sweetest Peach.</t>
  </si>
  <si>
    <t>The Golden Peach.</t>
  </si>
  <si>
    <t>The Silky Purse.</t>
  </si>
  <si>
    <t>The Satin Purse.</t>
  </si>
  <si>
    <t>The Lady's Purse.</t>
  </si>
  <si>
    <t>The Dancer's Purse.</t>
  </si>
  <si>
    <t>The Pink Purse.</t>
  </si>
  <si>
    <t>The Maiden's Room.</t>
  </si>
  <si>
    <t>The Lovers' Room.</t>
  </si>
  <si>
    <t>The Night Room.</t>
  </si>
  <si>
    <t>The Warm Room.</t>
  </si>
  <si>
    <t>The Red Room.</t>
  </si>
  <si>
    <t>The Silver Slipper.</t>
  </si>
  <si>
    <t>The Satin Slipper.</t>
  </si>
  <si>
    <t>The Silk Slipper.</t>
  </si>
  <si>
    <t>The Red Slipper.</t>
  </si>
  <si>
    <t>The Dancer's Slipper.</t>
  </si>
  <si>
    <t>The Lacy Skirt.</t>
  </si>
  <si>
    <t>The Welcoming Skirt.</t>
  </si>
  <si>
    <t>The Pink Skirt.</t>
  </si>
  <si>
    <t>The Dancer's Skirt.</t>
  </si>
  <si>
    <t>The Lady's Skirt.</t>
  </si>
  <si>
    <t>The Maiden's Shoe.</t>
  </si>
  <si>
    <t>The Red Shoe.</t>
  </si>
  <si>
    <t>Cozy Shoes.</t>
  </si>
  <si>
    <t>Lovers' Shoes.</t>
  </si>
  <si>
    <t>Silver Shoes.</t>
  </si>
  <si>
    <t>Silky Stockings.</t>
  </si>
  <si>
    <t>The Red Stocking.</t>
  </si>
  <si>
    <t>The Lacy Stocking.</t>
  </si>
  <si>
    <t>The Lady's Stocking.</t>
  </si>
  <si>
    <t>The Softest Stockings.</t>
  </si>
  <si>
    <t>The Maiden's Veil.</t>
  </si>
  <si>
    <t>The Lacy Veil.</t>
  </si>
  <si>
    <t>The Silk Veil.</t>
  </si>
  <si>
    <t>The Lovers' Veil.</t>
  </si>
  <si>
    <t>The Veil of Night.</t>
  </si>
  <si>
    <t>Soft-Lighted Window.</t>
  </si>
  <si>
    <t>The Shining Window.</t>
  </si>
  <si>
    <t>The Lighted Window.</t>
  </si>
  <si>
    <t>The Pink Winodw.</t>
  </si>
  <si>
    <t>The Welcoming Window.</t>
  </si>
  <si>
    <t>In a shantytown.</t>
  </si>
  <si>
    <t>In a well-to-do residential neighborhood.</t>
  </si>
  <si>
    <t>In the docks district.</t>
  </si>
  <si>
    <t>In the riverfront district.</t>
  </si>
  <si>
    <t>In the barracks district.</t>
  </si>
  <si>
    <t>In an ally off a foreign bazaar.</t>
  </si>
  <si>
    <t>In an ally off the main market square.</t>
  </si>
  <si>
    <t>In the shadow of a temple.</t>
  </si>
  <si>
    <t xml:space="preserve">Above a boisterous tavern. </t>
  </si>
  <si>
    <t>Behind a tavern teeming with criminals.</t>
  </si>
  <si>
    <t>Adjacent to a tavern full of gamblers.</t>
  </si>
  <si>
    <t>Underground.</t>
  </si>
  <si>
    <t>Outside the walls of the city or on the outskirts of a town.</t>
  </si>
  <si>
    <t>At the base of a wizards’ tower.</t>
  </si>
  <si>
    <t>In cave that had been a monster’s lair.</t>
  </si>
  <si>
    <t>Above an inn on a busy trading route.</t>
  </si>
  <si>
    <t>In the basement of a tavern.</t>
  </si>
  <si>
    <t>On a street with many other brothels.</t>
  </si>
  <si>
    <t>In a house in a park, garden, or forest.</t>
  </si>
  <si>
    <t>In the slums.</t>
  </si>
  <si>
    <t>Really weird stuff, for those with the most interesting fetishes.</t>
  </si>
  <si>
    <t>Illegal stuff. If this is found out, the place would be burnt down, and the owners hung. It is clearly kept in great secret.</t>
  </si>
  <si>
    <t>Performances involving food.</t>
  </si>
  <si>
    <t>An outlet to live out violent fantasies.</t>
  </si>
  <si>
    <t>Exotic races.</t>
  </si>
  <si>
    <t>The most beautiful women and men. Not just a claim, it’s the gods’ honest truth.</t>
  </si>
  <si>
    <t>An all-inclusive lump-sum deal—all the harlots, food, and drink you can handle!</t>
  </si>
  <si>
    <t>The sale of mind-altering drugs.</t>
  </si>
  <si>
    <t>Stuff with exotic/magical ingredients, potions, etc.</t>
  </si>
  <si>
    <t>Magical delights.</t>
  </si>
  <si>
    <t>A collective of the inmates themselves.</t>
  </si>
  <si>
    <t>A mean old madam.</t>
  </si>
  <si>
    <t>A large madam with a no-nonsense attitude.</t>
  </si>
  <si>
    <t>A warm motherly figure.</t>
  </si>
  <si>
    <t>A surly brute.</t>
  </si>
  <si>
    <t>A tyrannical and cruel fellow.</t>
  </si>
  <si>
    <t>A sultry seductress.</t>
  </si>
  <si>
    <t>A charming witch.</t>
  </si>
  <si>
    <t xml:space="preserve">To eat, the place serves </t>
  </si>
  <si>
    <t>Simple snacks.</t>
  </si>
  <si>
    <t>Banquets.</t>
  </si>
  <si>
    <t>Peasant food.</t>
  </si>
  <si>
    <t>Food hand-fed to you by a harlot.</t>
  </si>
  <si>
    <t>Exotic delights.</t>
  </si>
  <si>
    <t>Spicy treats.</t>
  </si>
  <si>
    <t>Simple food.</t>
  </si>
  <si>
    <t>Sweets and delicacies.</t>
  </si>
  <si>
    <t>Grubby, poorly made meals.</t>
  </si>
  <si>
    <t>All you can eat buffets.</t>
  </si>
  <si>
    <t>Simple stew and bread.</t>
  </si>
  <si>
    <t>Nothing; it satisfies other appetites.</t>
  </si>
  <si>
    <t xml:space="preserve">To drink, the place serves </t>
  </si>
  <si>
    <t>Ales.</t>
  </si>
  <si>
    <t>Cocktails</t>
  </si>
  <si>
    <t>Grog, and nothing but grog.</t>
  </si>
  <si>
    <t>Cheap wines.</t>
  </si>
  <si>
    <t>Mead.</t>
  </si>
  <si>
    <t>The finest wines and champagnes.</t>
  </si>
  <si>
    <t>Lagers.</t>
  </si>
  <si>
    <t>Nothing; inebriation is not tolerated.</t>
  </si>
  <si>
    <t>The girls are underpaid and poorly treated.</t>
  </si>
  <si>
    <t>Nothing really; it’s a neighborhood brothel.</t>
  </si>
  <si>
    <t>A prominent noble or merchant is a regular.</t>
  </si>
  <si>
    <t>The goddess of love and fertility blessed this place and all her followers must visit.</t>
  </si>
  <si>
    <t>The usual stuff; a new girl is making a stir.</t>
  </si>
  <si>
    <t>Once a month it offers discounted services.</t>
  </si>
  <si>
    <t>It is secretly the home to a dark cult.</t>
  </si>
  <si>
    <t>All the inmates there are related.</t>
  </si>
  <si>
    <t>Nothing much, a popular girl is with child.</t>
  </si>
  <si>
    <t>You can also pay using contract work</t>
  </si>
  <si>
    <t>You can also pay using criminal favors</t>
  </si>
  <si>
    <t>You can also pay using goods</t>
  </si>
  <si>
    <t>You can also pay using religious services</t>
  </si>
  <si>
    <t>You can also pay using secrets</t>
  </si>
  <si>
    <t>You can also pay using stock</t>
  </si>
  <si>
    <t>A nobleman got one of the girls with child but refuses to acknowledge her or the baby.</t>
  </si>
  <si>
    <t>Someone slaughtered half of the workers and clients in the night.</t>
  </si>
  <si>
    <t>A client was stabbed with a letter opener.</t>
  </si>
  <si>
    <t>A man claiming to be a paragon of the god of love visited the place.</t>
  </si>
  <si>
    <t>A group of outraged townsfolk has started protesting outside of the brothel, disgusted with what it does.</t>
  </si>
  <si>
    <t>The oldest patron, who visited the brothel every day for the last fifty years has died. A day of mourning and celebration, along with a lavish funeral is being held for him.</t>
  </si>
  <si>
    <t>One of the inmates was strangled.</t>
  </si>
  <si>
    <t>One of the inmates has fallen madly in love with a client, but he or she is married.</t>
  </si>
  <si>
    <t>A sinkhole has appeared in the basement. No one can see bottom, and the boss worries it might grow and do more damage.</t>
  </si>
  <si>
    <t xml:space="preserve">Several clients have caught a disease. </t>
  </si>
  <si>
    <t>The scent of lavender.</t>
  </si>
  <si>
    <t>The scent of lilac perfume.</t>
  </si>
  <si>
    <t>The scent of ginger and cinnamon.</t>
  </si>
  <si>
    <t>The scent of roses.</t>
  </si>
  <si>
    <t>Scented candles.</t>
  </si>
  <si>
    <t>The soft red glow from a shaded lamp.</t>
  </si>
  <si>
    <t>A lamp burning dimly.</t>
  </si>
  <si>
    <t>A statue of two figures kissing.</t>
  </si>
  <si>
    <t>A statue of two figures coupling.</t>
  </si>
  <si>
    <t>A statue of a nude woman bathing.</t>
  </si>
  <si>
    <t>A painting of several nudes bathing.</t>
  </si>
  <si>
    <t>A painting of a pair of lovers.</t>
  </si>
  <si>
    <t>A curtain of beads.</t>
  </si>
  <si>
    <t>A silky curtain.</t>
  </si>
  <si>
    <t>A plush carpet beneath your feet.</t>
  </si>
  <si>
    <t>A thick fur carpet beneath your feet.</t>
  </si>
  <si>
    <t>The sound of distant, soft music.</t>
  </si>
  <si>
    <t>The sound of furniture creaking nearby.</t>
  </si>
  <si>
    <t>A lengthy, shrill scream.</t>
  </si>
  <si>
    <t>A long moan.</t>
  </si>
  <si>
    <t xml:space="preserve">is run by </t>
  </si>
  <si>
    <t>A four-poster bed with velvet curtains.</t>
  </si>
  <si>
    <t>A four-poster bed with lacy curtains.</t>
  </si>
  <si>
    <t>A large pile of pillows with soft tassels.</t>
  </si>
  <si>
    <t>A large pile of pillows with frilly edges.</t>
  </si>
  <si>
    <t>A table with fruit and wine set upon it.</t>
  </si>
  <si>
    <t>A table with perfumes and oils set upon it.</t>
  </si>
  <si>
    <t>A large mirror against one wall.</t>
  </si>
  <si>
    <t>A large mirror on the ceiling over the bed.</t>
  </si>
  <si>
    <t>A soft, leather chaise lounger.</t>
  </si>
  <si>
    <t>A plush, pink chaise lounger.</t>
  </si>
  <si>
    <t xml:space="preserve">The miner has </t>
  </si>
  <si>
    <t xml:space="preserve">The miner is looking to </t>
  </si>
  <si>
    <t xml:space="preserve">The miner carries </t>
  </si>
  <si>
    <t>Unkempt hair.</t>
  </si>
  <si>
    <t>Skin blackened with dust.</t>
  </si>
  <si>
    <t>Hard, leathery hands.</t>
  </si>
  <si>
    <t>Long whiskers.</t>
  </si>
  <si>
    <t>An excited laugh.</t>
  </si>
  <si>
    <t>A raspy voice.</t>
  </si>
  <si>
    <t xml:space="preserve">They wear </t>
  </si>
  <si>
    <t>A sweat-stained shirt.</t>
  </si>
  <si>
    <t>A belt of tools.</t>
  </si>
  <si>
    <t>Patched-knee breeches.</t>
  </si>
  <si>
    <t>A head lamp.</t>
  </si>
  <si>
    <t>Get rich quick.</t>
  </si>
  <si>
    <t>Make some coin to pay off a debt.</t>
  </si>
  <si>
    <t>Share a drink while prying for rumors.</t>
  </si>
  <si>
    <t>Make some coin to send home to family.</t>
  </si>
  <si>
    <t>A shovel and a pick.</t>
  </si>
  <si>
    <t>A length of rope and a lantern.</t>
  </si>
  <si>
    <t>A pouch of uncut gems or bits of raw ore.</t>
  </si>
  <si>
    <t>A flask of strong spirits.</t>
  </si>
  <si>
    <t xml:space="preserve"> A patient old man.</t>
  </si>
  <si>
    <t xml:space="preserve"> A wide-eyed young man.</t>
  </si>
  <si>
    <t xml:space="preserve"> A hot-tempered tyrant.</t>
  </si>
  <si>
    <t xml:space="preserve"> A patient and benevolent ruler.</t>
  </si>
  <si>
    <t xml:space="preserve"> A guest, a member of a powerful house.</t>
  </si>
  <si>
    <t xml:space="preserve"> A guest, a member of a lesser house.</t>
  </si>
  <si>
    <t>Dispose of an enemy.</t>
  </si>
  <si>
    <t>Negotiate a trade contract.</t>
  </si>
  <si>
    <t>Prepare the castle’s defenders for war.</t>
  </si>
  <si>
    <t>Sabotage a rival.</t>
  </si>
  <si>
    <t>Arrange a beneficial marriage.</t>
  </si>
  <si>
    <t>Have a good time with.</t>
  </si>
  <si>
    <t>Several deeds and titles.</t>
  </si>
  <si>
    <t>A family heirloom.</t>
  </si>
  <si>
    <t>Several inventories and invoices.</t>
  </si>
  <si>
    <t>An extremely valuable sword.</t>
  </si>
  <si>
    <t>A compromising love letter.</t>
  </si>
  <si>
    <t>A letter from a powerful lord or lady.</t>
  </si>
  <si>
    <t xml:space="preserve"> A wise old woman.</t>
  </si>
  <si>
    <t xml:space="preserve"> A passionate young woman.</t>
  </si>
  <si>
    <t xml:space="preserve"> A homely young lady.</t>
  </si>
  <si>
    <t xml:space="preserve"> An acerbic wit.</t>
  </si>
  <si>
    <t xml:space="preserve"> Help gain revenge against a bitter rival.</t>
  </si>
  <si>
    <t xml:space="preserve"> Bring to light a scandal involving an enemy.</t>
  </si>
  <si>
    <t>Secure a beneficial marriage.</t>
  </si>
  <si>
    <t>Talk some sense into her husband or father.</t>
  </si>
  <si>
    <t>Deliver a secret message.</t>
  </si>
  <si>
    <t>Share some wine and gossip.</t>
  </si>
  <si>
    <t>Some very valuable jewels.</t>
  </si>
  <si>
    <t>Love of his liege’s family.</t>
  </si>
  <si>
    <t>God and country.</t>
  </si>
  <si>
    <t>The chance to demonstrate his valor.</t>
  </si>
  <si>
    <t>The possibility of being raised to a knight.</t>
  </si>
  <si>
    <t>An unsightly scar.</t>
  </si>
  <si>
    <t>A haughty sneer.</t>
  </si>
  <si>
    <t>A look of sadness.</t>
  </si>
  <si>
    <t>An eager grin.</t>
  </si>
  <si>
    <t>A highly polished blade.</t>
  </si>
  <si>
    <t>A letter from a fallen comrade.</t>
  </si>
  <si>
    <t>A trophy from a fallen enemy.</t>
  </si>
  <si>
    <t>A ribbon from a sweet maiden.</t>
  </si>
  <si>
    <t>A beautiful youth.</t>
  </si>
  <si>
    <t>A brutish thug.</t>
  </si>
  <si>
    <t>A popular tavern patron.</t>
  </si>
  <si>
    <t>A favorite among the ladies.</t>
  </si>
  <si>
    <t>Ruggedly handsome.</t>
  </si>
  <si>
    <t>Protect his liege from harm.</t>
  </si>
  <si>
    <t>Defend his liege’s lands.</t>
  </si>
  <si>
    <t>Avenge his liege’s personal grievances.</t>
  </si>
  <si>
    <t>Protect his liege’s loved ones.</t>
  </si>
  <si>
    <t>Advance his liege’s ideals or faith.</t>
  </si>
  <si>
    <t>Ride to war in his liege’s name.</t>
  </si>
  <si>
    <t>A finely crafted longsword.</t>
  </si>
  <si>
    <t>A huge greatsword.</t>
  </si>
  <si>
    <t>A well-used battleaxe.</t>
  </si>
  <si>
    <t>A heavy warhammer.</t>
  </si>
  <si>
    <t>A letter from his liege.</t>
  </si>
  <si>
    <t>A favor from a faraway maiden.</t>
  </si>
  <si>
    <t>A squire from a lesser noble house.</t>
  </si>
  <si>
    <t>A frightened link boy.</t>
  </si>
  <si>
    <t>A long-time valet or squire.</t>
  </si>
  <si>
    <t>A reformed criminal-turned valet.</t>
  </si>
  <si>
    <t>A prisoner of war.</t>
  </si>
  <si>
    <t>A mysterious foreigner.</t>
  </si>
  <si>
    <t>A black eye.</t>
  </si>
  <si>
    <t>Wild, shaggy hair.</t>
  </si>
  <si>
    <t>A terrible stutter.</t>
  </si>
  <si>
    <t>A lot of self-confidence.</t>
  </si>
  <si>
    <t>Earn a little silver.</t>
  </si>
  <si>
    <t>Train with weapons to become a hero.</t>
  </si>
  <si>
    <t>Earn the affection of his master.</t>
  </si>
  <si>
    <t>Bring honor to his family name.</t>
  </si>
  <si>
    <t>Avoid entangling himself in a scandal.</t>
  </si>
  <si>
    <t>Have a drink and a rest.</t>
  </si>
  <si>
    <t>An eager young marksman.</t>
  </si>
  <si>
    <t>An trigger-happy hotshot.</t>
  </si>
  <si>
    <t>A braggart and a fool.</t>
  </si>
  <si>
    <t>A skilled hunter.</t>
  </si>
  <si>
    <t>An wily, old veteran.</t>
  </si>
  <si>
    <t>A local archery champion.</t>
  </si>
  <si>
    <t>Help his allies slaughter the enemy.</t>
  </si>
  <si>
    <t>Keep safe someone special in the castle.</t>
  </si>
  <si>
    <t>Hear word of any percolating wars.</t>
  </si>
  <si>
    <t>Eat, drink, and be merry.</t>
  </si>
  <si>
    <t>A longbow with a fraying string.</t>
  </si>
  <si>
    <t>A longbow crafted of superior wood.</t>
  </si>
  <si>
    <t>A flask containing a strong drink.</t>
  </si>
  <si>
    <t>A meticulous armorsmith.</t>
  </si>
  <si>
    <t>A blacksmith who makes decent swords.</t>
  </si>
  <si>
    <t>A farrier who can mend swords.</t>
  </si>
  <si>
    <t>A highly-skilled weaponsmith.</t>
  </si>
  <si>
    <t>Someone who can shoe horses.</t>
  </si>
  <si>
    <t>Steel of the highest quality.</t>
  </si>
  <si>
    <t>Dull blades to sharpen.</t>
  </si>
  <si>
    <t>A mug of strong ale.</t>
  </si>
  <si>
    <t>A hammer.</t>
  </si>
  <si>
    <t>A good luck charm.</t>
  </si>
  <si>
    <t>A filthy rag.</t>
  </si>
  <si>
    <t>Little more than a few coins.</t>
  </si>
  <si>
    <t xml:space="preserve"> A lesser member of the liege’s house.</t>
  </si>
  <si>
    <t xml:space="preserve"> A lesser member of a powerful house.</t>
  </si>
  <si>
    <t>A member of a lesser house.</t>
  </si>
  <si>
    <t>A commoner by birth.</t>
  </si>
  <si>
    <t>Deliver some letters.</t>
  </si>
  <si>
    <t>Help win over a sweetheart.</t>
  </si>
  <si>
    <t>Share a drink and a laugh.</t>
  </si>
  <si>
    <t>The gold and silver in the treasury.</t>
  </si>
  <si>
    <t>The stores of cured meat and hard cheese.</t>
  </si>
  <si>
    <t>Grains and ale.</t>
  </si>
  <si>
    <t>The stores of ale and wine.</t>
  </si>
  <si>
    <t>A devoted acolyte.</t>
  </si>
  <si>
    <t>An adept healer.</t>
  </si>
  <si>
    <t>A wise source of counsel.</t>
  </si>
  <si>
    <t>A drunken hypocrite.</t>
  </si>
  <si>
    <t xml:space="preserve"> News from the surrounding lands.</t>
  </si>
  <si>
    <t xml:space="preserve"> Sinners and heretics.</t>
  </si>
  <si>
    <t xml:space="preserve"> The answer to an ancient mystery.</t>
  </si>
  <si>
    <t xml:space="preserve"> The bottom of a goblet.</t>
  </si>
  <si>
    <t>A ceremonial cudgel or staff.</t>
  </si>
  <si>
    <t>A prominently displayed holy symbol.</t>
  </si>
  <si>
    <t>A pocketbook of sacred texts.</t>
  </si>
  <si>
    <t>A goblet of warm wine.</t>
  </si>
  <si>
    <t>A chunk of bread and a piece of cheese.</t>
  </si>
  <si>
    <t>A cup of onion soup.</t>
  </si>
  <si>
    <t>A tankard of mead.</t>
  </si>
  <si>
    <t xml:space="preserve"> Someone to chop onions.</t>
  </si>
  <si>
    <t xml:space="preserve"> Some better cabbage.</t>
  </si>
  <si>
    <t>A good joke or story.</t>
  </si>
  <si>
    <t>The bottom of a bottle.</t>
  </si>
  <si>
    <t>A dwarf.</t>
  </si>
  <si>
    <t>Morbidly obese.</t>
  </si>
  <si>
    <t>Wearing a mask.</t>
  </si>
  <si>
    <t>Dressed in motley.</t>
  </si>
  <si>
    <t>Dressed as a faux knight.</t>
  </si>
  <si>
    <t>Dressed as a faux wizard.</t>
  </si>
  <si>
    <t>Falling stunts.</t>
  </si>
  <si>
    <t>Gorging himself with food or drink.</t>
  </si>
  <si>
    <t>Singing silly songs.</t>
  </si>
  <si>
    <t>Being hit over the head.</t>
  </si>
  <si>
    <t>Lewd gestures.</t>
  </si>
  <si>
    <t>Juggling sharp objects.</t>
  </si>
  <si>
    <t>Swallowing flames.</t>
  </si>
  <si>
    <t>Witty jokes and observations.</t>
  </si>
  <si>
    <t>Bring smiles to others’ faces.</t>
  </si>
  <si>
    <t>Get as far from this castle as he can.</t>
  </si>
  <si>
    <t>Exact vengeance against a cruel noble.</t>
  </si>
  <si>
    <t>Kiss a pretty maiden.</t>
  </si>
  <si>
    <t>Have a drink and be merry.</t>
  </si>
  <si>
    <t>Get drunk and feel numb.</t>
  </si>
  <si>
    <t>A scholar trained at a university.</t>
  </si>
  <si>
    <t>A wizard trained at an academy.</t>
  </si>
  <si>
    <t>A wizard who had apprenticed to another.</t>
  </si>
  <si>
    <t>A self-taught scholar of noble birth.</t>
  </si>
  <si>
    <t>A monk of an order famed for wisdom.</t>
  </si>
  <si>
    <t>A priest dedicated to spreading knowledge.</t>
  </si>
  <si>
    <t>A trusted friend.</t>
  </si>
  <si>
    <t>A second father/mother.</t>
  </si>
  <si>
    <t>A weakling to be antagonized and bullied.</t>
  </si>
  <si>
    <t>A tyrant to be feared.</t>
  </si>
  <si>
    <t>Alchemy.</t>
  </si>
  <si>
    <t>Ancient mysteries.</t>
  </si>
  <si>
    <t>Astronomy.</t>
  </si>
  <si>
    <t>Herb lore.</t>
  </si>
  <si>
    <t>Mathematics.</t>
  </si>
  <si>
    <t>Mineralogy.</t>
  </si>
  <si>
    <t>Military history.</t>
  </si>
  <si>
    <t>Music.</t>
  </si>
  <si>
    <t>Poetry and songs.</t>
  </si>
  <si>
    <t>Political history.</t>
  </si>
  <si>
    <t>Theater and dance.</t>
  </si>
  <si>
    <t>Theology.</t>
  </si>
  <si>
    <t>Her ladyship’s/her lordship’s favorite.</t>
  </si>
  <si>
    <t>A long-time servant of the household.</t>
  </si>
  <si>
    <t>New to the household and always in trouble.</t>
  </si>
  <si>
    <t>New to the household and eager to please.</t>
  </si>
  <si>
    <t>A pretty smile, but crooked teeth.</t>
  </si>
  <si>
    <t>Beautiful but sad eyes.</t>
  </si>
  <si>
    <t>A wide frame.</t>
  </si>
  <si>
    <t>A bony figure.</t>
  </si>
  <si>
    <t>Avoid being alone with a particular noble.</t>
  </si>
  <si>
    <t>Discipline one of the children in the castle.</t>
  </si>
  <si>
    <t>Earn the affection of her mistress.</t>
  </si>
  <si>
    <t>Bend your ear for an old folk tale.</t>
  </si>
  <si>
    <t>A lesser member of a noble house.</t>
  </si>
  <si>
    <t>A dashing swashbuckler.</t>
  </si>
  <si>
    <t>An anointed knight.</t>
  </si>
  <si>
    <t>A career soldier.</t>
  </si>
  <si>
    <t>The resolve of the new recruits.</t>
  </si>
  <si>
    <t>The castle’s food stores.</t>
  </si>
  <si>
    <t>Sheltering too many commonfolk in a siege.</t>
  </si>
  <si>
    <t>Running out of ale during a siege.</t>
  </si>
  <si>
    <t>Information regarding enemy movements.</t>
  </si>
  <si>
    <t>Reinforcements or new recruits.</t>
  </si>
  <si>
    <t>News of his or his wife’s hometown.</t>
  </si>
  <si>
    <t>Drinking companions and storytellers.</t>
  </si>
  <si>
    <t>A superbly crafted sword.</t>
  </si>
  <si>
    <t>A trusted blade and a map.</t>
  </si>
  <si>
    <t>A lucky charm (rabbit’s foot, old coin).</t>
  </si>
  <si>
    <t>The token of a faraway love.</t>
  </si>
  <si>
    <t>A pipe and pouch of tobacco.</t>
  </si>
  <si>
    <t>A little jar of mustache wax.</t>
  </si>
  <si>
    <t>A knight lamed in combat years ago.</t>
  </si>
  <si>
    <t>The son of a servant to the liege’s family.</t>
  </si>
  <si>
    <t>A genius for breeding horses.</t>
  </si>
  <si>
    <t>A foreigner who grew up in the saddle.</t>
  </si>
  <si>
    <t>A sackful of oats strapped to his belt.</t>
  </si>
  <si>
    <t>A calm demeanor.</t>
  </si>
  <si>
    <t>A soft-spoken manner.</t>
  </si>
  <si>
    <t>A pointed beard.</t>
  </si>
  <si>
    <t>Have the fastest horses ready to carry his liege’s messages.</t>
  </si>
  <si>
    <t>Tell a tale of a grueling ride.</t>
  </si>
  <si>
    <t>Boast about a prized young mare.</t>
  </si>
  <si>
    <t>A shady-looking character.</t>
  </si>
  <si>
    <t>The son of another servant in the castle.</t>
  </si>
  <si>
    <t>A prisoner-of-war turned servant.</t>
  </si>
  <si>
    <t>A simple-minded stable boy.</t>
  </si>
  <si>
    <t>An awkward gait.</t>
  </si>
  <si>
    <t>Incredibly large hands.</t>
  </si>
  <si>
    <t>Quite an odor.</t>
  </si>
  <si>
    <t>A patchy beard.</t>
  </si>
  <si>
    <t>Avoid being kicked by a horse.</t>
  </si>
  <si>
    <t>Rise to the position of horsemaster.</t>
  </si>
  <si>
    <t>Pet the pretty horses.</t>
  </si>
  <si>
    <t>A member of the liege’s family.</t>
  </si>
  <si>
    <t>A gifted tracker.</t>
  </si>
  <si>
    <t>A former poacher.</t>
  </si>
  <si>
    <t>A sadistic killer.</t>
  </si>
  <si>
    <t>A kindly sportsman.</t>
  </si>
  <si>
    <t>Reports of strange creatures in the nearby lands.</t>
  </si>
  <si>
    <t>The reckless behavior of a fellow hunter.</t>
  </si>
  <si>
    <t>How best to protect commonfolk’s livestock.</t>
  </si>
  <si>
    <t>Bringing enough wine on the next hunt.</t>
  </si>
  <si>
    <t>Track an unusual beast.</t>
  </si>
  <si>
    <t>Find the lair of a rare beast.</t>
  </si>
  <si>
    <t>Find a place where game is plentiful.</t>
  </si>
  <si>
    <t>Swap tales and rumors.</t>
  </si>
  <si>
    <t>A sturdy hatchet.</t>
  </si>
  <si>
    <t>A large knife and a hunting trap.</t>
  </si>
  <si>
    <t>A finely made longbow.</t>
  </si>
  <si>
    <t>A trophy or piece of a wild beast.</t>
  </si>
  <si>
    <t>An eccentric dog-trainer.</t>
  </si>
  <si>
    <t>A short-tempered, portly fellow.</t>
  </si>
  <si>
    <t>A tall, gregarious fellow.</t>
  </si>
  <si>
    <t>Encourage a hunting expedition.</t>
  </si>
  <si>
    <t>Improve the breeding stock of the hounds.</t>
  </si>
  <si>
    <t>Show off a clever hound.</t>
  </si>
  <si>
    <t>Avoid questions regarding the hounds’ obedience.</t>
  </si>
  <si>
    <t>A dog whistle.</t>
  </si>
  <si>
    <t>A rope of some kind of jerky.</t>
  </si>
  <si>
    <t>A stick or club.</t>
  </si>
  <si>
    <t>A rope leash.</t>
  </si>
  <si>
    <t>A patient craftsman.</t>
  </si>
  <si>
    <t>An old archer, blind in one eye.</t>
  </si>
  <si>
    <t>A foreigner who puts unusual touches on the bows and feathers he makes.</t>
  </si>
  <si>
    <t>Skilled at mending bows and arrows, but not so good at making them from raw materials.</t>
  </si>
  <si>
    <t>Someone who can fletch arrows.</t>
  </si>
  <si>
    <t>Stray arrowheads.</t>
  </si>
  <si>
    <t>Intact arrow shafts.</t>
  </si>
  <si>
    <t>A whittling knife.</t>
  </si>
  <si>
    <t>A quiver of arrows to be mended.</t>
  </si>
  <si>
    <t>A quiver of newly made arrows.</t>
  </si>
  <si>
    <t>A bundle of fresh wood cuttings.</t>
  </si>
  <si>
    <t>The lord is</t>
  </si>
  <si>
    <t xml:space="preserve">The lord carries </t>
  </si>
  <si>
    <t xml:space="preserve">The noblewoman is </t>
  </si>
  <si>
    <t xml:space="preserve">She carries </t>
  </si>
  <si>
    <t xml:space="preserve">and he is seeking someone to </t>
  </si>
  <si>
    <t xml:space="preserve">and is seeking someone to </t>
  </si>
  <si>
    <t xml:space="preserve">The guard serves his liege for </t>
  </si>
  <si>
    <t xml:space="preserve">The guard carries </t>
  </si>
  <si>
    <t xml:space="preserve">The Knight is </t>
  </si>
  <si>
    <t xml:space="preserve">The retainer is </t>
  </si>
  <si>
    <t xml:space="preserve">They have </t>
  </si>
  <si>
    <t xml:space="preserve">They want to </t>
  </si>
  <si>
    <t xml:space="preserve">The archer is </t>
  </si>
  <si>
    <t xml:space="preserve">They are looking to </t>
  </si>
  <si>
    <t xml:space="preserve">They carry </t>
  </si>
  <si>
    <t xml:space="preserve">The smith is </t>
  </si>
  <si>
    <t xml:space="preserve">They are looking for </t>
  </si>
  <si>
    <t xml:space="preserve">The steward is </t>
  </si>
  <si>
    <t xml:space="preserve">The steward seeks someone to </t>
  </si>
  <si>
    <t xml:space="preserve">The steward is concerned about </t>
  </si>
  <si>
    <t>Obtain hard-to-get provisions.</t>
  </si>
  <si>
    <t xml:space="preserve">The chaplan is </t>
  </si>
  <si>
    <t xml:space="preserve">The cook greets you with </t>
  </si>
  <si>
    <t xml:space="preserve">The fool is </t>
  </si>
  <si>
    <t xml:space="preserve">They get the most laughs from </t>
  </si>
  <si>
    <t xml:space="preserve">They want nothing more than to </t>
  </si>
  <si>
    <t xml:space="preserve">The tutor is </t>
  </si>
  <si>
    <t xml:space="preserve">Their charges view him/her as </t>
  </si>
  <si>
    <t xml:space="preserve">They are well-versed in </t>
  </si>
  <si>
    <t xml:space="preserve">The maidservant is </t>
  </si>
  <si>
    <t xml:space="preserve">The guard captain is </t>
  </si>
  <si>
    <t xml:space="preserve">They are concerned about </t>
  </si>
  <si>
    <t xml:space="preserve">The Horsemaster is </t>
  </si>
  <si>
    <t xml:space="preserve">The stable hand is </t>
  </si>
  <si>
    <t xml:space="preserve">The huntsman is </t>
  </si>
  <si>
    <t xml:space="preserve">The kennelmaster is </t>
  </si>
  <si>
    <t xml:space="preserve">The bowyer is </t>
  </si>
  <si>
    <t>The Lord</t>
  </si>
  <si>
    <t>The Noblewoman</t>
  </si>
  <si>
    <t>The Guard</t>
  </si>
  <si>
    <t>The Knight</t>
  </si>
  <si>
    <t xml:space="preserve">They have sworn to </t>
  </si>
  <si>
    <t>Squire/Valet</t>
  </si>
  <si>
    <t>Archer</t>
  </si>
  <si>
    <t>The Smith</t>
  </si>
  <si>
    <t>The Steward</t>
  </si>
  <si>
    <t>The Chaplan</t>
  </si>
  <si>
    <t>The Cook</t>
  </si>
  <si>
    <t>The Fool</t>
  </si>
  <si>
    <t>The Tutor</t>
  </si>
  <si>
    <t>The Maidservant</t>
  </si>
  <si>
    <t>The Guard Captain</t>
  </si>
  <si>
    <t>The Horsemaster</t>
  </si>
  <si>
    <t>The Stable Hand</t>
  </si>
  <si>
    <t>The Kennelmaster</t>
  </si>
  <si>
    <t>The Bowyer</t>
  </si>
  <si>
    <t>The Huntsman</t>
  </si>
  <si>
    <t>You come upon:</t>
  </si>
  <si>
    <t>Close by is:</t>
  </si>
  <si>
    <t>The air smells:</t>
  </si>
  <si>
    <t>As you approach, you notice:</t>
  </si>
  <si>
    <t>The land around it is dominated by:</t>
  </si>
  <si>
    <t>Inside is:</t>
  </si>
  <si>
    <t>RANDOM ENCOUNTER</t>
  </si>
  <si>
    <t>Face</t>
  </si>
  <si>
    <t>Body</t>
  </si>
  <si>
    <t>Jewelry</t>
  </si>
  <si>
    <t>Clothes</t>
  </si>
  <si>
    <t>Mood</t>
  </si>
  <si>
    <t>Prejudice</t>
  </si>
  <si>
    <t>AN EARING</t>
  </si>
  <si>
    <t>A SMALL CHAIN AROUND NECK</t>
  </si>
  <si>
    <t>A LARGE CHAIN AROUND NECK</t>
  </si>
  <si>
    <t>A TIGHT CHOKER</t>
  </si>
  <si>
    <t>A BROOCH</t>
  </si>
  <si>
    <t>A RING</t>
  </si>
  <si>
    <t>A BRACELET</t>
  </si>
  <si>
    <t>A NOSE RING</t>
  </si>
  <si>
    <t>A MEDALLION</t>
  </si>
  <si>
    <t>AN ORNATE BELT</t>
  </si>
  <si>
    <t>LEATHER</t>
  </si>
  <si>
    <t>WOOD</t>
  </si>
  <si>
    <t>STONE</t>
  </si>
  <si>
    <t>HEMP</t>
  </si>
  <si>
    <t>Faith</t>
  </si>
  <si>
    <t>Tattoos</t>
  </si>
  <si>
    <t>RANDOM NPC DESCRIPTIONS</t>
  </si>
  <si>
    <t>The front door is:</t>
  </si>
  <si>
    <t>Your first impression is that it is:</t>
  </si>
  <si>
    <t>Once inside, you see that it is:</t>
  </si>
  <si>
    <t>Thick wood</t>
  </si>
  <si>
    <t>Open</t>
  </si>
  <si>
    <t>Narrow and rotting</t>
  </si>
  <si>
    <t>Broad</t>
  </si>
  <si>
    <t>Broken</t>
  </si>
  <si>
    <t>Losing popularity, and so falling into disrepair.</t>
  </si>
  <si>
    <t>The only hangout for miles around.</t>
  </si>
  <si>
    <t>In decline, having long since fallen in popularity.</t>
  </si>
  <si>
    <t>Nearly abandoned.</t>
  </si>
  <si>
    <t>More than just an inn/tavern.</t>
  </si>
  <si>
    <t>Slowly gaining popularity.</t>
  </si>
  <si>
    <t>Full of a sordid past.</t>
  </si>
  <si>
    <t>The hangout for the more upstanding citizens.</t>
  </si>
  <si>
    <t>The hangout for the more sordid citizens.</t>
  </si>
  <si>
    <t>Tonight's "Special":</t>
  </si>
  <si>
    <t>As you enter, you notice:</t>
  </si>
  <si>
    <t>Once settled, you notice:</t>
  </si>
  <si>
    <t xml:space="preserve">The tavern is famous for: </t>
  </si>
  <si>
    <t>The Innkeeper/Bartender</t>
  </si>
  <si>
    <t>Hone, Phonecian Date</t>
  </si>
  <si>
    <t>A DRINKING CONTEST.</t>
  </si>
  <si>
    <t>A BAR BRAWL.</t>
  </si>
  <si>
    <t>A BORING STORY TELLER.</t>
  </si>
  <si>
    <t>A PUGILISM CONTEST.</t>
  </si>
  <si>
    <t>A LOCAL FOOD CONTEST.</t>
  </si>
  <si>
    <t>AN INTERESTING STORY TELLER.</t>
  </si>
  <si>
    <t>The flurry of activity is:</t>
  </si>
  <si>
    <t>Random Patron</t>
  </si>
  <si>
    <t xml:space="preserve">The brothel is located: </t>
  </si>
  <si>
    <t xml:space="preserve">In addition to the "usual" fare, you can also procure: </t>
  </si>
  <si>
    <t xml:space="preserve">The brothel is run by: </t>
  </si>
  <si>
    <t xml:space="preserve">When people talk about this place, they say: </t>
  </si>
  <si>
    <t xml:space="preserve">Rumors suggest that recently: </t>
  </si>
  <si>
    <t>In the main entrance, you notice:</t>
  </si>
  <si>
    <t xml:space="preserve">The rooms are furnished with: </t>
  </si>
  <si>
    <t>Hostess/Owner</t>
  </si>
  <si>
    <t xml:space="preserve">Food: </t>
  </si>
  <si>
    <t>The Entrance is:</t>
  </si>
  <si>
    <t>Deep inside, you come across:</t>
  </si>
  <si>
    <t>The ceiling is:</t>
  </si>
  <si>
    <t>There are rumors of a monster living in this cave that is:</t>
  </si>
  <si>
    <t>Random Individual</t>
  </si>
  <si>
    <t xml:space="preserve">Their primary skillset: </t>
  </si>
  <si>
    <t>A grizzled outlaw.</t>
  </si>
  <si>
    <t>A lifelong wanderer.</t>
  </si>
  <si>
    <t>A disillusioned deserter.</t>
  </si>
  <si>
    <t>A bawdy adventurer.</t>
  </si>
  <si>
    <t>A cold professional.</t>
  </si>
  <si>
    <t>A glory-seeking soldier of fortune.</t>
  </si>
  <si>
    <t>A seeker of knowledge and experiences.</t>
  </si>
  <si>
    <t xml:space="preserve"> proud warrior on a quest to find a worthy opponent.</t>
  </si>
  <si>
    <t>A commoner looking to make some easy money.</t>
  </si>
  <si>
    <t xml:space="preserve"> A loveable scoundrel.</t>
  </si>
  <si>
    <t>A reputable veteran.</t>
  </si>
  <si>
    <t xml:space="preserve"> A bloodthirsty sadist.</t>
  </si>
  <si>
    <t xml:space="preserve"> An ascended beggar.</t>
  </si>
  <si>
    <t xml:space="preserve"> A hardened refugee.</t>
  </si>
  <si>
    <t xml:space="preserve"> A former member of a disbanded army.</t>
  </si>
  <si>
    <t xml:space="preserve"> A devious sellsword.</t>
  </si>
  <si>
    <t xml:space="preserve"> On a quest to cleanse the world of bandits or monsters.</t>
  </si>
  <si>
    <t xml:space="preserve"> Dishonored city watchman.</t>
  </si>
  <si>
    <t xml:space="preserve"> A runaway slave.</t>
  </si>
  <si>
    <t xml:space="preserve"> A merchant who has taken up killing</t>
  </si>
  <si>
    <t>A warrior or barbarian.</t>
  </si>
  <si>
    <t>A hunter or trapper.</t>
  </si>
  <si>
    <t>A rogue or assassin.</t>
  </si>
  <si>
    <t>A mage or enchanter.</t>
  </si>
  <si>
    <t>A healer or alchemist.</t>
  </si>
  <si>
    <t>A monster hunter or exterminator.</t>
  </si>
  <si>
    <t>A gladiator or pugilist.</t>
  </si>
  <si>
    <t>A swashbuckler or duelist.</t>
  </si>
  <si>
    <t>A cleric or priest.</t>
  </si>
  <si>
    <t xml:space="preserve"> A singer or bard.</t>
  </si>
  <si>
    <t>A longsword.</t>
  </si>
  <si>
    <t>A battleaxe.</t>
  </si>
  <si>
    <t>A scimitar.</t>
  </si>
  <si>
    <t>A halberd.</t>
  </si>
  <si>
    <t>A bow.</t>
  </si>
  <si>
    <t>A shortsword and dagger.</t>
  </si>
  <si>
    <t>A crossbow.</t>
  </si>
  <si>
    <t>A warmace</t>
  </si>
  <si>
    <t>Covered in mysterious runes.</t>
  </si>
  <si>
    <t>Made of an unusual material.</t>
  </si>
  <si>
    <t>Emitting a supernatural hum or glow.</t>
  </si>
  <si>
    <t>Obviously mastercrafted.</t>
  </si>
  <si>
    <t>Of foreign design.</t>
  </si>
  <si>
    <t>Poorly maintained and dirty.</t>
  </si>
  <si>
    <t>Battered to the point of breaking.</t>
  </si>
  <si>
    <t>Engraved with a name.</t>
  </si>
  <si>
    <t>Wears unusually light or heavy armor.</t>
  </si>
  <si>
    <t>Wears colorful clothing.</t>
  </si>
  <si>
    <t>Has a disfiguring facial scar.</t>
  </si>
  <si>
    <t>Has an unwillingness to do certain types of jobs.</t>
  </si>
  <si>
    <t>Is obviously foreign in origin.</t>
  </si>
  <si>
    <t>Wears a strange hairstyle or color.</t>
  </si>
  <si>
    <t>Exudes an aura of fear, respect, or professionalism.</t>
  </si>
  <si>
    <t>Looks remarkably similar to a certain criminal being searched for a few towns over.</t>
  </si>
  <si>
    <t>Is always either drunk or hungover.</t>
  </si>
  <si>
    <t xml:space="preserve"> Has an unusual level of attractiveness.</t>
  </si>
  <si>
    <t xml:space="preserve"> Flaunts expensive jewelry.</t>
  </si>
  <si>
    <t xml:space="preserve"> Has an unusual fighting style.</t>
  </si>
  <si>
    <t xml:space="preserve"> Wears protective charms and amulets.</t>
  </si>
  <si>
    <t xml:space="preserve"> Talks very little.</t>
  </si>
  <si>
    <t xml:space="preserve"> Displays the colors of his liege or realm of origin.</t>
  </si>
  <si>
    <t xml:space="preserve"> Is always looking to bed someone.</t>
  </si>
  <si>
    <t xml:space="preserve"> Speaks with extreme profanity.</t>
  </si>
  <si>
    <t xml:space="preserve"> Has a pet.</t>
  </si>
  <si>
    <t xml:space="preserve"> Has very bad teeth.</t>
  </si>
  <si>
    <t xml:space="preserve"> Smokes a pipe.</t>
  </si>
  <si>
    <t xml:space="preserve"> Is very old.</t>
  </si>
  <si>
    <t xml:space="preserve"> Sports religious symbols.</t>
  </si>
  <si>
    <t xml:space="preserve"> Has a loud, penetrating voice.</t>
  </si>
  <si>
    <t xml:space="preserve"> Is currently wounded.</t>
  </si>
  <si>
    <t xml:space="preserve"> Is wearing a trophy.</t>
  </si>
  <si>
    <t xml:space="preserve"> Is carrying a small book in a satchel.</t>
  </si>
  <si>
    <t xml:space="preserve"> Is fat.</t>
  </si>
  <si>
    <t xml:space="preserve"> Has heterochromatic eyes.</t>
  </si>
  <si>
    <t xml:space="preserve"> Has a speech impediment.</t>
  </si>
  <si>
    <t xml:space="preserve"> Is always eating something.</t>
  </si>
  <si>
    <t xml:space="preserve"> Wears an eyepatch.</t>
  </si>
  <si>
    <t xml:space="preserve"> Walks with a limp.</t>
  </si>
  <si>
    <t xml:space="preserve"> Is clad in black.</t>
  </si>
  <si>
    <t xml:space="preserve"> Is good with children.</t>
  </si>
  <si>
    <t xml:space="preserve"> Looks depressed or dead inside.</t>
  </si>
  <si>
    <t xml:space="preserve"> Is missing an ear.</t>
  </si>
  <si>
    <t xml:space="preserve"> Is clothed inappropriately for the weather.</t>
  </si>
  <si>
    <t xml:space="preserve"> Spits on the ground frequently.</t>
  </si>
  <si>
    <t xml:space="preserve"> Has an annoying laugh.</t>
  </si>
  <si>
    <t xml:space="preserve"> Is constantly fidgeting with a coin.</t>
  </si>
  <si>
    <t>Poor.</t>
  </si>
  <si>
    <t>Average.</t>
  </si>
  <si>
    <t>Good.</t>
  </si>
  <si>
    <t>Excellent.</t>
  </si>
  <si>
    <t>Unbelievably cheap.</t>
  </si>
  <si>
    <t>Low.</t>
  </si>
  <si>
    <t>Affordable.</t>
  </si>
  <si>
    <t>Above average.</t>
  </si>
  <si>
    <t>High.</t>
  </si>
  <si>
    <t>Exorbitant.</t>
  </si>
  <si>
    <t xml:space="preserve">This Mercenary Is: </t>
  </si>
  <si>
    <t xml:space="preserve">Their primary weapon: </t>
  </si>
  <si>
    <t>A staff</t>
  </si>
  <si>
    <t>A hammer</t>
  </si>
  <si>
    <t>The weapon is:</t>
  </si>
  <si>
    <t xml:space="preserve">Additionally, they </t>
  </si>
  <si>
    <t xml:space="preserve">Their competence is: </t>
  </si>
  <si>
    <t xml:space="preserve">Their pricing is: </t>
  </si>
  <si>
    <t xml:space="preserve">They are also good at: </t>
  </si>
  <si>
    <t>The miner has:</t>
  </si>
  <si>
    <t>They wear:</t>
  </si>
  <si>
    <t>The miner is looking to:</t>
  </si>
  <si>
    <t>The miner carries:</t>
  </si>
  <si>
    <t>MINER</t>
  </si>
  <si>
    <t>At some point, you come upon:</t>
  </si>
  <si>
    <t>MERCENARY/SOLDIER</t>
  </si>
  <si>
    <t>The cave's walls are:</t>
  </si>
  <si>
    <t xml:space="preserve">The mine is a source of: </t>
  </si>
  <si>
    <t>Most of the mine is:</t>
  </si>
  <si>
    <t>Material excavated from the mine is:</t>
  </si>
  <si>
    <t>Just inside the entrance, you notice:</t>
  </si>
  <si>
    <t>Further in, you find:</t>
  </si>
  <si>
    <t>It is widely believed to be:</t>
  </si>
  <si>
    <t>The mine is controlled by:</t>
  </si>
  <si>
    <t>The miners complain of trouble from a nearby colony of:</t>
  </si>
  <si>
    <t>If you dig too deeply, you come upon a creature that is:</t>
  </si>
  <si>
    <t>Source of:</t>
  </si>
  <si>
    <t>Ther mine is worked by:</t>
  </si>
  <si>
    <t xml:space="preserve">The miner carries: </t>
  </si>
  <si>
    <t>Foreman/Overseer</t>
  </si>
  <si>
    <t xml:space="preserve"> A veteran who may have been beautiful.</t>
  </si>
  <si>
    <t xml:space="preserve"> A friendly and plump woman.</t>
  </si>
  <si>
    <t xml:space="preserve"> The bastard daughter of a noble house.</t>
  </si>
  <si>
    <t xml:space="preserve"> A young foreigner.</t>
  </si>
  <si>
    <t>The boss’s favorite.</t>
  </si>
  <si>
    <t>An exotic beauty.</t>
  </si>
  <si>
    <t>New to the place and always in trouble.</t>
  </si>
  <si>
    <t xml:space="preserve"> New to the place and eager to please.</t>
  </si>
  <si>
    <t>A pretty smile.</t>
  </si>
  <si>
    <t>Beautiful eyes.</t>
  </si>
  <si>
    <t>Lovely, long eyelashes.</t>
  </si>
  <si>
    <t>Lush, curly locks.</t>
  </si>
  <si>
    <t>Short-cropped hair.</t>
  </si>
  <si>
    <t>A clean satin gown.</t>
  </si>
  <si>
    <t>A gimpy leg.</t>
  </si>
  <si>
    <t>Crooked teeth.</t>
  </si>
  <si>
    <t>A scowl on her face.</t>
  </si>
  <si>
    <t>An unfortunately shaped nose.</t>
  </si>
  <si>
    <t>A large mole on her face.</t>
  </si>
  <si>
    <t>Crossed-eyes.</t>
  </si>
  <si>
    <t>A mustache.</t>
  </si>
  <si>
    <t>Barely noticeable.</t>
  </si>
  <si>
    <t>Well-concealed by make-up or practice.</t>
  </si>
  <si>
    <t>Something you can look past.</t>
  </si>
  <si>
    <t>Intimidating.</t>
  </si>
  <si>
    <t xml:space="preserve"> Listening and offering emotional support.</t>
  </si>
  <si>
    <t xml:space="preserve"> Bringing a smile to her clients’ faces without even touching them.</t>
  </si>
  <si>
    <t>Bringing a smile to her clients’ faces as soon as she touches them.</t>
  </si>
  <si>
    <t>Embroidery and sewing.</t>
  </si>
  <si>
    <t>Cooking and cleaning.</t>
  </si>
  <si>
    <t>Drinking and swearing.</t>
  </si>
  <si>
    <t>The harlot is:</t>
  </si>
  <si>
    <t>They are looking to:</t>
  </si>
  <si>
    <t>HARLOTS</t>
  </si>
  <si>
    <t>Her most striking feature:</t>
  </si>
  <si>
    <t>She is beautiful, but has:</t>
  </si>
  <si>
    <t>She is looking to:</t>
  </si>
  <si>
    <t>The Jailer is:</t>
  </si>
  <si>
    <t>He is concerned about:</t>
  </si>
  <si>
    <t>He is looking to:</t>
  </si>
  <si>
    <t>He carries:</t>
  </si>
  <si>
    <t>JAILER</t>
  </si>
  <si>
    <t>GUARDS</t>
  </si>
  <si>
    <t>On his face is:</t>
  </si>
  <si>
    <t>The prisoner has:</t>
  </si>
  <si>
    <t>A long scraggly beard</t>
  </si>
  <si>
    <t>A patchy beard</t>
  </si>
  <si>
    <t>Skin draped loosely over their bones</t>
  </si>
  <si>
    <t>Boils and sores on their skin</t>
  </si>
  <si>
    <t>They are here because:</t>
  </si>
  <si>
    <t>They stole something</t>
  </si>
  <si>
    <t>They killed someone</t>
  </si>
  <si>
    <t>He raped someone</t>
  </si>
  <si>
    <t>They advocated rebellion and unrest</t>
  </si>
  <si>
    <t>They committed an act of fraud</t>
  </si>
  <si>
    <t>Mistaken identity</t>
  </si>
  <si>
    <t>PRISONERS</t>
  </si>
  <si>
    <t>A mug of ale.</t>
  </si>
  <si>
    <t>A goblet of wine.</t>
  </si>
  <si>
    <t>A glass of water.</t>
  </si>
  <si>
    <t>An offer to move to a better table.</t>
  </si>
  <si>
    <t>A look of exasperation.</t>
  </si>
  <si>
    <t>A warm handshake.</t>
  </si>
  <si>
    <t>A pat on the back.</t>
  </si>
  <si>
    <t xml:space="preserve"> A pretty smile.</t>
  </si>
  <si>
    <t xml:space="preserve"> An excuse to kick you out.</t>
  </si>
  <si>
    <t xml:space="preserve"> Someone more important to talk to.</t>
  </si>
  <si>
    <t xml:space="preserve"> Someone to do some pest removal.</t>
  </si>
  <si>
    <t xml:space="preserve"> A big tip.</t>
  </si>
  <si>
    <t>A pristine silk handkerchief.</t>
  </si>
  <si>
    <t>A piece of conspicuous jewelry.</t>
  </si>
  <si>
    <t>An unusual belt purse.</t>
  </si>
  <si>
    <t>The Server is looking for:</t>
  </si>
  <si>
    <t>They carry:</t>
  </si>
  <si>
    <t>The Barkeep greets you with:</t>
  </si>
  <si>
    <t>A CONTEST is obviously rigged (to the embarrasement of the mark) and the hustlers are beginning to demand payment.</t>
  </si>
  <si>
    <t>The guard took this job:</t>
  </si>
  <si>
    <t>For the steady pay.</t>
  </si>
  <si>
    <t>For the chance to bully others.</t>
  </si>
  <si>
    <t>The Troubled Den</t>
  </si>
  <si>
    <t>The Emerald Hollows</t>
  </si>
  <si>
    <t>The Decaying Abyss</t>
  </si>
  <si>
    <t>The Hungry Cave</t>
  </si>
  <si>
    <t>Dertara Abyss</t>
  </si>
  <si>
    <t>Graverane Caves</t>
  </si>
  <si>
    <t>Cartstead Den</t>
  </si>
  <si>
    <t>Tisram Subterrane</t>
  </si>
  <si>
    <t>Pasborg Overhang</t>
  </si>
  <si>
    <t>Birster Cave</t>
  </si>
  <si>
    <t>The Parched Caves</t>
  </si>
  <si>
    <t>The Adamantine Chasms</t>
  </si>
  <si>
    <t>The Lifeless Abyss</t>
  </si>
  <si>
    <t>The Sly Hole</t>
  </si>
  <si>
    <t>Cardows Hole</t>
  </si>
  <si>
    <t>Guilwick Hollow</t>
  </si>
  <si>
    <t>Sutdon Cavity</t>
  </si>
  <si>
    <t>Framinggrave Caves</t>
  </si>
  <si>
    <t>Humisle Cavity</t>
  </si>
  <si>
    <t>Ventware Chasms</t>
  </si>
  <si>
    <t>The Serene Hollow</t>
  </si>
  <si>
    <t>The Cunning Hideout</t>
  </si>
  <si>
    <t>The Perfumed Overhang</t>
  </si>
  <si>
    <t>The Windless Subterrane</t>
  </si>
  <si>
    <t>Barrlin Caverns</t>
  </si>
  <si>
    <t>Chesterman Cavity</t>
  </si>
  <si>
    <t>Broadcoln Grotto</t>
  </si>
  <si>
    <t>Alaport Subterrane</t>
  </si>
  <si>
    <t>Sedgehampton Subterrane</t>
  </si>
  <si>
    <t>Bloomstrie Overhang</t>
  </si>
  <si>
    <t>The Overhanging Caves</t>
  </si>
  <si>
    <t>The Faraway Caves</t>
  </si>
  <si>
    <t>The Open Subterrane</t>
  </si>
  <si>
    <t>The Welcoming Hollow</t>
  </si>
  <si>
    <t>Sudna Hideout</t>
  </si>
  <si>
    <t>Halitane Caverns</t>
  </si>
  <si>
    <t>Boxduff Shelter</t>
  </si>
  <si>
    <t>Vonheller Cave</t>
  </si>
  <si>
    <t>Hadsoll Hideout</t>
  </si>
  <si>
    <t>Casline Cave</t>
  </si>
  <si>
    <t>The Diamond Den</t>
  </si>
  <si>
    <t>The Dry Cavern</t>
  </si>
  <si>
    <t>The Shadow Chasms</t>
  </si>
  <si>
    <t>The Gargantuan Cavern</t>
  </si>
  <si>
    <t>Barnsay Den</t>
  </si>
  <si>
    <t>Grandmeda Chasm</t>
  </si>
  <si>
    <t>Templeforte Caverns</t>
  </si>
  <si>
    <t>Mansnear Abyss</t>
  </si>
  <si>
    <t>Dartbridge Overhang</t>
  </si>
  <si>
    <t>Hillsburg Caves</t>
  </si>
  <si>
    <t>The White Overhang</t>
  </si>
  <si>
    <t>The Depraved Hole</t>
  </si>
  <si>
    <t>The Titanic Subterrane</t>
  </si>
  <si>
    <t>The Wondering Chasms</t>
  </si>
  <si>
    <t>Hermiwall Cavity</t>
  </si>
  <si>
    <t>Petalan Overhang</t>
  </si>
  <si>
    <t>Kerrocoln Hole</t>
  </si>
  <si>
    <t>Arnronto Hollows</t>
  </si>
  <si>
    <t>Guillita Caves</t>
  </si>
  <si>
    <t>Tormeuse Cavity</t>
  </si>
  <si>
    <t>The Northern Hideout</t>
  </si>
  <si>
    <t>The Gleaming Cavity</t>
  </si>
  <si>
    <t>The Teal Cavity</t>
  </si>
  <si>
    <t>The Wasted Overhang</t>
  </si>
  <si>
    <t>Millerrial Caverns</t>
  </si>
  <si>
    <t>Dosons Shelter</t>
  </si>
  <si>
    <t>Ventstone Shelter</t>
  </si>
  <si>
    <t>Delisree Chasms</t>
  </si>
  <si>
    <t>Blackthon Hideout</t>
  </si>
  <si>
    <t>Banwick Hideout</t>
  </si>
  <si>
    <t>The Flaring Chasm</t>
  </si>
  <si>
    <t>The Frightening Cavern</t>
  </si>
  <si>
    <t>The Faraway Hollows</t>
  </si>
  <si>
    <t>The Grave Hole</t>
  </si>
  <si>
    <t>Fordguay Shelter</t>
  </si>
  <si>
    <t>Drumlem Sanctuary</t>
  </si>
  <si>
    <t>Cowanwich Shelter</t>
  </si>
  <si>
    <t>Wadeisle Hollows</t>
  </si>
  <si>
    <t>Franfell Hole</t>
  </si>
  <si>
    <t>Exmark Subterrane</t>
  </si>
  <si>
    <t>The Charmed Hollow</t>
  </si>
  <si>
    <t>The Restless Caves</t>
  </si>
  <si>
    <t>The Yearning Grotto</t>
  </si>
  <si>
    <t>The Violent Cavern</t>
  </si>
  <si>
    <t>Scarsgough Hollows</t>
  </si>
  <si>
    <t>Portscaster Chasms</t>
  </si>
  <si>
    <t>Ridgecour Chasm</t>
  </si>
  <si>
    <t>Lockesano Chasm</t>
  </si>
  <si>
    <t>Sandtou Chasm</t>
  </si>
  <si>
    <t>Shawford Den</t>
  </si>
  <si>
    <t>The Gigantic Hollow</t>
  </si>
  <si>
    <t>The Grave Abyss</t>
  </si>
  <si>
    <t>The Deserted Den</t>
  </si>
  <si>
    <t>The Shimmering Sanctuary</t>
  </si>
  <si>
    <t>Hatfield Sanctuary</t>
  </si>
  <si>
    <t>Gaulraine Chasms</t>
  </si>
  <si>
    <t>Nanster Hollow</t>
  </si>
  <si>
    <t>Gibdiac Grotto</t>
  </si>
  <si>
    <t>Greensard Subterrane</t>
  </si>
  <si>
    <t>Huntfolk Hideout</t>
  </si>
  <si>
    <t>The Immense Abyss</t>
  </si>
  <si>
    <t>The Turbulent Hollow</t>
  </si>
  <si>
    <t>The Slumberous Hole</t>
  </si>
  <si>
    <t>The Grim Den</t>
  </si>
  <si>
    <t>Hepthon Chasm</t>
  </si>
  <si>
    <t>Ironing Hideout</t>
  </si>
  <si>
    <t>Trigueuil Caves</t>
  </si>
  <si>
    <t>Parafail Den</t>
  </si>
  <si>
    <t>Alaterre Abyss</t>
  </si>
  <si>
    <t>Gravenronto Hideout</t>
  </si>
  <si>
    <t>The Vast Caves</t>
  </si>
  <si>
    <t>The Mammoth Chasms</t>
  </si>
  <si>
    <t>The Dreary Hideout</t>
  </si>
  <si>
    <t>The Ethereal Hollows</t>
  </si>
  <si>
    <t>Tiverde Hollows</t>
  </si>
  <si>
    <t>Lourbourg Sanctuary</t>
  </si>
  <si>
    <t>Neubourg Hole</t>
  </si>
  <si>
    <t>Wynside Hideout</t>
  </si>
  <si>
    <t>Lemtrie Subterrane</t>
  </si>
  <si>
    <t>Savaborg Hole</t>
  </si>
  <si>
    <t>The Beholding Shelter</t>
  </si>
  <si>
    <t>The Walled Hideout</t>
  </si>
  <si>
    <t>The Hellish Cavity</t>
  </si>
  <si>
    <t>The Isolated Overhang</t>
  </si>
  <si>
    <t>Brightshaw Hollow</t>
  </si>
  <si>
    <t>Sudcastle Hole</t>
  </si>
  <si>
    <t>Plaidon Shelter</t>
  </si>
  <si>
    <t>Attlecier Overhang</t>
  </si>
  <si>
    <t>Malarmore Cavern</t>
  </si>
  <si>
    <t>Bridgesano Abyss</t>
  </si>
  <si>
    <t>The Violent Hole</t>
  </si>
  <si>
    <t>The Dangerous Chasms</t>
  </si>
  <si>
    <t>The Haunted Hideout</t>
  </si>
  <si>
    <t>The Malicious Caves</t>
  </si>
  <si>
    <t>Rutnan Caves</t>
  </si>
  <si>
    <t>Lamfolk Shelter</t>
  </si>
  <si>
    <t>Beaversay Hole</t>
  </si>
  <si>
    <t>Golding Subterrane</t>
  </si>
  <si>
    <t>Shevista Cavern</t>
  </si>
  <si>
    <t>Rosery Sanctuary</t>
  </si>
  <si>
    <t>The Calmest Subterrane</t>
  </si>
  <si>
    <t>The Deep Sanctuary</t>
  </si>
  <si>
    <t>The Bare Shelter</t>
  </si>
  <si>
    <t>The Symmetrical Hole</t>
  </si>
  <si>
    <t>Chania Den</t>
  </si>
  <si>
    <t>Plymlow Grotto</t>
  </si>
  <si>
    <t>Rugtown Caves</t>
  </si>
  <si>
    <t>Smithssack Chasms</t>
  </si>
  <si>
    <t>Buckingcaster Hollows</t>
  </si>
  <si>
    <t>Drayto Grotto</t>
  </si>
  <si>
    <t>The Twisting Cavity</t>
  </si>
  <si>
    <t>The Pleasant Caverns</t>
  </si>
  <si>
    <t>The Scorching Hole</t>
  </si>
  <si>
    <t>The Restless Chasms</t>
  </si>
  <si>
    <t>Millergue Chasm</t>
  </si>
  <si>
    <t>Ferwaki Hollows</t>
  </si>
  <si>
    <t>Draywick Cavity</t>
  </si>
  <si>
    <t>Reidcarres Hollows</t>
  </si>
  <si>
    <t>Temiscier Overhang</t>
  </si>
  <si>
    <t>Clifvista Grotto</t>
  </si>
  <si>
    <t>The Emerald Cave</t>
  </si>
  <si>
    <t>The Glassy Cavern</t>
  </si>
  <si>
    <t>The Vast Chasms</t>
  </si>
  <si>
    <t>The Wondering Subterrane</t>
  </si>
  <si>
    <t>Richduff Hideout</t>
  </si>
  <si>
    <t>Stockgamau Chasms</t>
  </si>
  <si>
    <t>Baingrave Cavern</t>
  </si>
  <si>
    <t>Tolgan Chasms</t>
  </si>
  <si>
    <t>Bredenlisle Den</t>
  </si>
  <si>
    <t>Petrogan Cavity</t>
  </si>
  <si>
    <t>The Mammoth Subterrane</t>
  </si>
  <si>
    <t>The Slumbering Subterrane</t>
  </si>
  <si>
    <t>The Flowing Chasms</t>
  </si>
  <si>
    <t>The Eroded Hollows</t>
  </si>
  <si>
    <t>Beddinglis Cave</t>
  </si>
  <si>
    <t>Worside Subterrane</t>
  </si>
  <si>
    <t>Weyna Abyss</t>
  </si>
  <si>
    <t>Cortou Subterrane</t>
  </si>
  <si>
    <t>Rutdale Chasms</t>
  </si>
  <si>
    <t>Springlinet Shelter</t>
  </si>
  <si>
    <t>The Colorless Grotto</t>
  </si>
  <si>
    <t>The Ethereal Overhang</t>
  </si>
  <si>
    <t>The Ancient Subterrane</t>
  </si>
  <si>
    <t>The Bare Caverns</t>
  </si>
  <si>
    <t>Barnlisle Overhang</t>
  </si>
  <si>
    <t>Marlvern Den</t>
  </si>
  <si>
    <t>Ponsano Cave</t>
  </si>
  <si>
    <t>Shefsevain Hollow</t>
  </si>
  <si>
    <t>Bienna Overhang</t>
  </si>
  <si>
    <t>Clarenborg Hole</t>
  </si>
  <si>
    <t>The Harmonious Caves</t>
  </si>
  <si>
    <t>The Glistening Cavity</t>
  </si>
  <si>
    <t>The Hellish Chasm</t>
  </si>
  <si>
    <t>The Red Hole</t>
  </si>
  <si>
    <t>Bristhon Cavity</t>
  </si>
  <si>
    <t>Cordeen Subterrane</t>
  </si>
  <si>
    <t>Everfait Chasm</t>
  </si>
  <si>
    <t>Hampside Chasms</t>
  </si>
  <si>
    <t>Brooktonas Grotto</t>
  </si>
  <si>
    <t>Brisburn Cavern</t>
  </si>
  <si>
    <t>The Thundering Chasm</t>
  </si>
  <si>
    <t>The Relentless Grotto</t>
  </si>
  <si>
    <t>The Decaying Den</t>
  </si>
  <si>
    <t>The Narrow Cavern</t>
  </si>
  <si>
    <t>Romnora Overhang</t>
  </si>
  <si>
    <t>Cardnear Hollow</t>
  </si>
  <si>
    <t>Dofolk Hole</t>
  </si>
  <si>
    <t>Cliffley Sanctuary</t>
  </si>
  <si>
    <t>Wadeston Subterrane</t>
  </si>
  <si>
    <t>Senneswell Hollow</t>
  </si>
  <si>
    <t>The Slumbering Caverns</t>
  </si>
  <si>
    <t>The Yelling Cave</t>
  </si>
  <si>
    <t>The Harmonious Hollows</t>
  </si>
  <si>
    <t>The Southern Subterrane</t>
  </si>
  <si>
    <t>Ashill Hollows</t>
  </si>
  <si>
    <t>Hereronto Sanctuary</t>
  </si>
  <si>
    <t>Sunderbalt Cave</t>
  </si>
  <si>
    <t>Parrburg Cavity</t>
  </si>
  <si>
    <t>Mayburg Abyss</t>
  </si>
  <si>
    <t>Manworth Chasm</t>
  </si>
  <si>
    <t>Coal Field Corporation</t>
  </si>
  <si>
    <t>Brimming Grounds Mining Corporation</t>
  </si>
  <si>
    <t>Underground Company</t>
  </si>
  <si>
    <t>Stonework Mining Group</t>
  </si>
  <si>
    <t>Twin Springs Mining Group</t>
  </si>
  <si>
    <t>Diamond Downs Mining Group</t>
  </si>
  <si>
    <t>Ironwing Industries</t>
  </si>
  <si>
    <t>Panworks Company</t>
  </si>
  <si>
    <t>Prosperity Hill Mining</t>
  </si>
  <si>
    <t>Gem-Packed Expanse Mining</t>
  </si>
  <si>
    <t>Dirty Depths Mining Companies</t>
  </si>
  <si>
    <t>Diamond Rush Mineshaft</t>
  </si>
  <si>
    <t>Fortune Fields Corporation</t>
  </si>
  <si>
    <t>Gold Banks Mining Group</t>
  </si>
  <si>
    <t>Mineral Store Mines</t>
  </si>
  <si>
    <t>Tin Titans Company</t>
  </si>
  <si>
    <t>Iron Isles Corporation</t>
  </si>
  <si>
    <t>Metal Depths Mining Companies</t>
  </si>
  <si>
    <t>Fortune Fields Industries</t>
  </si>
  <si>
    <t>Gem-Packed Expanse Mining Corporation</t>
  </si>
  <si>
    <t>Gem Packed Company</t>
  </si>
  <si>
    <t>Tin Terrains Corporation</t>
  </si>
  <si>
    <t>Smashing Works Mineshaft</t>
  </si>
  <si>
    <t>Thunder Industries</t>
  </si>
  <si>
    <t>Tin Trove Corporation</t>
  </si>
  <si>
    <t>Mineral Ventures Mining Group</t>
  </si>
  <si>
    <t>Deposit Depths Company</t>
  </si>
  <si>
    <t>Brimstone Mines</t>
  </si>
  <si>
    <t>Tunnelworks Corporation</t>
  </si>
  <si>
    <t>Carbon Copy Mining Companies</t>
  </si>
  <si>
    <t>Coppervale Corporation</t>
  </si>
  <si>
    <t>Bedrock Bonanza Company</t>
  </si>
  <si>
    <t>Quarry Query Mining Group</t>
  </si>
  <si>
    <t>Boulderfist Mines</t>
  </si>
  <si>
    <t>Crag Works Mineshaft</t>
  </si>
  <si>
    <t>Diamond Rush Mining</t>
  </si>
  <si>
    <t>Silver Expanse Company</t>
  </si>
  <si>
    <t>Carbon Copy Mines</t>
  </si>
  <si>
    <t>Metal Picks Mining Corporation</t>
  </si>
  <si>
    <t>Terra Firma Mining Group</t>
  </si>
  <si>
    <t>Mineral Field Mining Companies</t>
  </si>
  <si>
    <t>Groundworks Mining Group</t>
  </si>
  <si>
    <t>Rare Reserve Corporation</t>
  </si>
  <si>
    <t>Firestone Mines</t>
  </si>
  <si>
    <t>Intrepid Depths Industries</t>
  </si>
  <si>
    <t>Hope Downs Mineshaft</t>
  </si>
  <si>
    <t>Sparkling Grounds Mining Group</t>
  </si>
  <si>
    <t>Silver Expanse Industries</t>
  </si>
  <si>
    <t>Brimming Grounds Mining Companies</t>
  </si>
  <si>
    <t>Grand Resources Industries</t>
  </si>
  <si>
    <t>Zinc Holes Company</t>
  </si>
  <si>
    <t>Crag Works Industries</t>
  </si>
  <si>
    <t>Terra Tunnels Company</t>
  </si>
  <si>
    <t>Apex Mineshaft</t>
  </si>
  <si>
    <t>Grand Measures Mineshaft</t>
  </si>
  <si>
    <t>Grand Expedition Industries</t>
  </si>
  <si>
    <t>Terra Tunnels Mines</t>
  </si>
  <si>
    <t>Mineral Grove Mining</t>
  </si>
  <si>
    <t>Echo Grounds Mining Companies</t>
  </si>
  <si>
    <t>Elemental Elevation Mining Corporation</t>
  </si>
  <si>
    <t>Basic Burrows Mining Corporation</t>
  </si>
  <si>
    <t>Ebony Hill Mining Group</t>
  </si>
  <si>
    <t>Terra Firma Mining Corporation</t>
  </si>
  <si>
    <t>Iron Baron Corporation</t>
  </si>
  <si>
    <t>Quarry Query Mining Corporation</t>
  </si>
  <si>
    <t>Obsidian Depths Mineshaft</t>
  </si>
  <si>
    <t>Ironwing Mining Companies</t>
  </si>
  <si>
    <t>Iron Field Mines</t>
  </si>
  <si>
    <t>Intrepid Depths Mining Corporation</t>
  </si>
  <si>
    <t>Draft Shaft Company</t>
  </si>
  <si>
    <t>Mineral Store Mining Group</t>
  </si>
  <si>
    <t>Eager Extracts Company</t>
  </si>
  <si>
    <t>Bursting Gorge Company</t>
  </si>
  <si>
    <t>Sediment Creek Mining Companies</t>
  </si>
  <si>
    <t>Treasure Trove Mines</t>
  </si>
  <si>
    <t>Avalon Corporation</t>
  </si>
  <si>
    <t>Grand Grounds Mines</t>
  </si>
  <si>
    <t>Ironwing Mining Group</t>
  </si>
  <si>
    <t>Echo Depths Mining</t>
  </si>
  <si>
    <t>Slate Works Mines</t>
  </si>
  <si>
    <t>Covert Coal Industries</t>
  </si>
  <si>
    <t>Sediment Banks Mining Companies</t>
  </si>
  <si>
    <t>Lead Legacy Mines</t>
  </si>
  <si>
    <t>Onyx Depths Mines</t>
  </si>
  <si>
    <t>Iron Mountain Mining</t>
  </si>
  <si>
    <t>Grand Quarry Corporation</t>
  </si>
  <si>
    <t>Gem-Packed Expanse Mineshaft</t>
  </si>
  <si>
    <t>Rainbow Minerals Mines</t>
  </si>
  <si>
    <t>Diamond Drifts Mining Group</t>
  </si>
  <si>
    <t>Rare Reserve Mining</t>
  </si>
  <si>
    <t>Mulligan Company</t>
  </si>
  <si>
    <t>Rock Bottom Industries</t>
  </si>
  <si>
    <t>Mineral Store Mining</t>
  </si>
  <si>
    <t>Mineral Store Mineshaft</t>
  </si>
  <si>
    <t>Blackrock Company</t>
  </si>
  <si>
    <t>Coal Creek Corporation</t>
  </si>
  <si>
    <t>Mining Company/Mine</t>
  </si>
  <si>
    <t>Prison Names</t>
  </si>
  <si>
    <t>Hot Spring Holding Center</t>
  </si>
  <si>
    <t>Blackford Juvenile Holding Center</t>
  </si>
  <si>
    <t>Blackwater Asylum</t>
  </si>
  <si>
    <t>Numb Mountain Asylum</t>
  </si>
  <si>
    <t>Bouldergate Detention Center</t>
  </si>
  <si>
    <t>Storm Bay Institute</t>
  </si>
  <si>
    <t>Iron Gate Holding Center</t>
  </si>
  <si>
    <t>Black Tower Prison</t>
  </si>
  <si>
    <t>Howling Fjord Juvenile Holding Center</t>
  </si>
  <si>
    <t>Ember Island Correctional Center</t>
  </si>
  <si>
    <t>Game Over Work Camp</t>
  </si>
  <si>
    <t>Hallow Hill Prison</t>
  </si>
  <si>
    <t>Black Mountain Juvenile Holding Center</t>
  </si>
  <si>
    <t>Joyville Asylum</t>
  </si>
  <si>
    <t>Boulderkeep Correctional Center</t>
  </si>
  <si>
    <t>Black Fortress Asylum</t>
  </si>
  <si>
    <t>Boulderkeep Work Camp</t>
  </si>
  <si>
    <t>Butcher's Cove Max Security Prison</t>
  </si>
  <si>
    <t>Red Garden Detention Center</t>
  </si>
  <si>
    <t>Storm Desert Holding Center</t>
  </si>
  <si>
    <t>Big Spring Correctional Center</t>
  </si>
  <si>
    <t>Dragontooth Detention Center</t>
  </si>
  <si>
    <t>Boarwood Penitentiary</t>
  </si>
  <si>
    <t>Iron Valley Regional Prison</t>
  </si>
  <si>
    <t>Frenzy Cay Prison</t>
  </si>
  <si>
    <t>Sky Vaults Low Security Prison</t>
  </si>
  <si>
    <t>Black Garden Work Camp</t>
  </si>
  <si>
    <t>Frostgate Work Camp</t>
  </si>
  <si>
    <t>Devil's Gate Juvenile Holding Center</t>
  </si>
  <si>
    <t>Black Castle Holding Center</t>
  </si>
  <si>
    <t>Shroudcliff Low Security Prison</t>
  </si>
  <si>
    <t>Stillwater Juvenile Holding Center</t>
  </si>
  <si>
    <t>Silverhold Max Security Prison</t>
  </si>
  <si>
    <t>Grandhaven Asylum</t>
  </si>
  <si>
    <t>Outcast Max Security Prison</t>
  </si>
  <si>
    <t>Irongate Institute</t>
  </si>
  <si>
    <t>Obsidian Tower Correctional Center</t>
  </si>
  <si>
    <t>Riverbend Correctional Facility</t>
  </si>
  <si>
    <t>Obsidian Dungeon Low Security Prison</t>
  </si>
  <si>
    <t>Early Grave Prison</t>
  </si>
  <si>
    <t>Stormvault Work Camp</t>
  </si>
  <si>
    <t>Joyville Low Security Prison</t>
  </si>
  <si>
    <t>Warfield Holding Center</t>
  </si>
  <si>
    <t>Darkside Work Camp</t>
  </si>
  <si>
    <t>Wild River Medium Security Prison</t>
  </si>
  <si>
    <t>Broken Hill Low Security Prison</t>
  </si>
  <si>
    <t>Dark Fortress Correctional Facility</t>
  </si>
  <si>
    <t>Blacktomb Juvenile Holding Center</t>
  </si>
  <si>
    <t>Stoneward Institute</t>
  </si>
  <si>
    <t>Numbwater Regional Prison</t>
  </si>
  <si>
    <t>Howling Fjord Penitentiary</t>
  </si>
  <si>
    <t>Dragon Isle Institution</t>
  </si>
  <si>
    <t>Ailing Woods Max Security Prison</t>
  </si>
  <si>
    <t>Shark Bay Asylum</t>
  </si>
  <si>
    <t>Shadow Isle Work Camp</t>
  </si>
  <si>
    <t>Terminus Holding Center</t>
  </si>
  <si>
    <t>Frozen Citadel Correctional Center</t>
  </si>
  <si>
    <t>Butcher's Cove Juvenile Holding Center</t>
  </si>
  <si>
    <t>Forest Edge Institute</t>
  </si>
  <si>
    <t>Ravenhold Max Security Prison</t>
  </si>
  <si>
    <t>Gatehouse Regional Prison</t>
  </si>
  <si>
    <t>Long Wait Correctional Facility</t>
  </si>
  <si>
    <t>Shadow Citadel Medium Security Prison</t>
  </si>
  <si>
    <t>Crimson Cove Detention Center</t>
  </si>
  <si>
    <t>Tinderland Low Security Prison</t>
  </si>
  <si>
    <t>Sky Vaults Institute</t>
  </si>
  <si>
    <t>Old Mountain Prison</t>
  </si>
  <si>
    <t>Silverbay Correctional Facility</t>
  </si>
  <si>
    <t>Black Tower Juvenile Holding Center</t>
  </si>
  <si>
    <t>Silverwater Institute</t>
  </si>
  <si>
    <t>Thunder Bay Institute</t>
  </si>
  <si>
    <t>Silverbay Institute</t>
  </si>
  <si>
    <t>Scarlet Mountain Prison</t>
  </si>
  <si>
    <t>Frost Mountain Medium Security Prison</t>
  </si>
  <si>
    <t>River Bank Institution</t>
  </si>
  <si>
    <t>Limbo Medium Security Prison</t>
  </si>
  <si>
    <t>Dark Portal Work Camp</t>
  </si>
  <si>
    <t>Warfield Low Security Prison</t>
  </si>
  <si>
    <t>Grandhaven Correctional Center</t>
  </si>
  <si>
    <t>Rockwood Penitentiary</t>
  </si>
  <si>
    <t>Edgeville Medium Security Prison</t>
  </si>
  <si>
    <t>Warfield Detention Center</t>
  </si>
  <si>
    <t>Purgatory Institute</t>
  </si>
  <si>
    <t>Forest Edge Regional Prison</t>
  </si>
  <si>
    <t>Brinestone Max Security Prison</t>
  </si>
  <si>
    <t>Riverbend Low Security Prison</t>
  </si>
  <si>
    <t>Dark Vaults Work Camp</t>
  </si>
  <si>
    <t>Obsidian Maze Medium Security Prison</t>
  </si>
  <si>
    <t>Ravenhold Institute</t>
  </si>
  <si>
    <t>Bitterhold Low Security Prison</t>
  </si>
  <si>
    <t>Rotten Creek Max Security Prison</t>
  </si>
  <si>
    <t>Doveport Work Camp</t>
  </si>
  <si>
    <t>Firevault Prison</t>
  </si>
  <si>
    <t>Ashfield Correctional Facility</t>
  </si>
  <si>
    <t>New Hope Detention Center</t>
  </si>
  <si>
    <t>Graveworth Juvenile Holding Center</t>
  </si>
  <si>
    <t>Boulderkeep Juvenile Holding Center</t>
  </si>
  <si>
    <t>Brinestone Low Security Prison</t>
  </si>
  <si>
    <t>Ravenhold Juvenile Holding Center</t>
  </si>
  <si>
    <t>Goldfield Institute</t>
  </si>
  <si>
    <t>Shadow Keep Regional Prison</t>
  </si>
  <si>
    <t>Silverwater Juvenile Holding Center</t>
  </si>
  <si>
    <t>Wild River Correctional Center</t>
  </si>
  <si>
    <t>Devil's Gate Prison</t>
  </si>
  <si>
    <t>Frozen Lake Max Security Prison</t>
  </si>
  <si>
    <t>Coldwater Asylum</t>
  </si>
  <si>
    <t>Dark Fortress Correctional Center</t>
  </si>
  <si>
    <t>Boarwood Prison</t>
  </si>
  <si>
    <t>Boulderkeep Max Security Prison</t>
  </si>
  <si>
    <t>Obsidian Dungeon Medium Security Prison</t>
  </si>
  <si>
    <t>Frozen Desert Low Security Prison</t>
  </si>
  <si>
    <t>Silver Lining Low Security Prison</t>
  </si>
  <si>
    <t>Ravenwing Low Security Prison</t>
  </si>
  <si>
    <t>Iron Valley Penitentiary</t>
  </si>
  <si>
    <t>Desolation Penitentiary</t>
  </si>
  <si>
    <t>Madstone Max Security Prison</t>
  </si>
  <si>
    <t>Rotten Creek Low Security Prison</t>
  </si>
  <si>
    <t>Dark Vaults Correctional Center</t>
  </si>
  <si>
    <t>Imp Mountain Institute</t>
  </si>
  <si>
    <t>Silverbay Medium Security Prison</t>
  </si>
  <si>
    <t>Forsaken Forest Institution</t>
  </si>
  <si>
    <t>Stormvault Correctional Facility</t>
  </si>
  <si>
    <t>Hallow Hill Institute</t>
  </si>
  <si>
    <t>Howling Fjord Institute</t>
  </si>
  <si>
    <t>Imp Mountain Asylum</t>
  </si>
  <si>
    <t>Winter Fortress Regional Prison</t>
  </si>
  <si>
    <t>Blacktomb Correctional Facility</t>
  </si>
  <si>
    <t>Iron Gate Juvenile Holding Center</t>
  </si>
  <si>
    <t>Purgatory Juvenile Holding Center</t>
  </si>
  <si>
    <t>Butcher's Cove Work Camp</t>
  </si>
  <si>
    <t>Deephold Work Camp</t>
  </si>
  <si>
    <t>Goldengate Asylum</t>
  </si>
  <si>
    <t>Frozen Citadel Holding Center</t>
  </si>
  <si>
    <t>Scarlet Mountain Max Security Prison</t>
  </si>
  <si>
    <t>Oakwood Medium Security Prison</t>
  </si>
  <si>
    <t>Hellbound Penitentiary</t>
  </si>
  <si>
    <t>Pyreford Detention Center</t>
  </si>
  <si>
    <t>Retirement Low Security Prison</t>
  </si>
  <si>
    <t>Silent Wind Holding Center</t>
  </si>
  <si>
    <t>Broken Bridge Correctional Facility</t>
  </si>
  <si>
    <t>Willow Creek Prison</t>
  </si>
  <si>
    <t>Irongrasp Correctional Facility</t>
  </si>
  <si>
    <t>Ashfield Low Security Prison</t>
  </si>
  <si>
    <t>The castle sits:</t>
  </si>
  <si>
    <t>The castle was built by:</t>
  </si>
  <si>
    <t>It was built:</t>
  </si>
  <si>
    <t>Currently, it's condition is:</t>
  </si>
  <si>
    <t>It's current occupant is:</t>
  </si>
  <si>
    <t>The territory it defends is valuable because:</t>
  </si>
  <si>
    <t>The outer defenses include:</t>
  </si>
  <si>
    <t>The inner keep defenses include:</t>
  </si>
  <si>
    <t>The castle can be held effectively by as few as:</t>
  </si>
  <si>
    <t>In addition to it's garrison, the castle can withstand a 3-month seige for up to:</t>
  </si>
  <si>
    <t>The castle is known for:</t>
  </si>
  <si>
    <t>Finally, the castle is rumored to contain:</t>
  </si>
  <si>
    <t>Castle Names</t>
  </si>
  <si>
    <t>TORTURER</t>
  </si>
  <si>
    <t>In a tower set apart from the main castle.</t>
  </si>
  <si>
    <t>Beneath the keep.</t>
  </si>
  <si>
    <t>In a flanking tower of the castle.</t>
  </si>
  <si>
    <t>Beneath flanking tower in the castle.</t>
  </si>
  <si>
    <t>In a corner tower of the castle.</t>
  </si>
  <si>
    <t>Beneath the corner tower.</t>
  </si>
  <si>
    <t>As part of the original castle.</t>
  </si>
  <si>
    <t>As a later addition.</t>
  </si>
  <si>
    <t>For another purpose originally.</t>
  </si>
  <si>
    <t>Long before most of the castle.</t>
  </si>
  <si>
    <t>Only a few rooms.</t>
  </si>
  <si>
    <t>An endless series of small rooms and staircases.</t>
  </si>
  <si>
    <t xml:space="preserve"> One or more huge pit with many other prisoners.</t>
  </si>
  <si>
    <t>Its quirky jailer.</t>
  </si>
  <si>
    <t xml:space="preserve"> The quality of its meals.</t>
  </si>
  <si>
    <t>The bones of a long-lost hero.</t>
  </si>
  <si>
    <t>A famous jewel by a notorious prisoner.</t>
  </si>
  <si>
    <t>A wooden door reinforced with steel bands.</t>
  </si>
  <si>
    <t>Steel bars where you expected a stone wall.</t>
  </si>
  <si>
    <t>Empty manacles along the wall.</t>
  </si>
  <si>
    <t>An empty sconce to hold a torch.</t>
  </si>
  <si>
    <t>Distant torchlight.</t>
  </si>
  <si>
    <t>The floor is uneven.</t>
  </si>
  <si>
    <t>A crack in the stone floor.</t>
  </si>
  <si>
    <t>A mouse skittering underfoot.</t>
  </si>
  <si>
    <t>The stench of rotting flesh.</t>
  </si>
  <si>
    <t xml:space="preserve"> The scent of stale urine.</t>
  </si>
  <si>
    <t xml:space="preserve"> A putrid smell.</t>
  </si>
  <si>
    <t xml:space="preserve"> A dank and moldy odor.</t>
  </si>
  <si>
    <t xml:space="preserve"> An uncomfortable groaning.</t>
  </si>
  <si>
    <t xml:space="preserve"> A faint scratching sound.</t>
  </si>
  <si>
    <t xml:space="preserve"> An odd tapping sound.</t>
  </si>
  <si>
    <t xml:space="preserve"> The squeaking of rats.</t>
  </si>
  <si>
    <t xml:space="preserve"> The shouting of distant voices.</t>
  </si>
  <si>
    <t xml:space="preserve"> Howls of agony.</t>
  </si>
  <si>
    <t xml:space="preserve"> Horrific screams.</t>
  </si>
  <si>
    <t xml:space="preserve"> The clanking of chains.</t>
  </si>
  <si>
    <t>A sadistic thug.</t>
  </si>
  <si>
    <t>A resentful cripple.</t>
  </si>
  <si>
    <t>A pale of cold porridge from the kitchens.</t>
  </si>
  <si>
    <t>Loot seized from several prisoners.</t>
  </si>
  <si>
    <t>A long scraggly beard.</t>
  </si>
  <si>
    <t>Skin draped loosely over his bones.</t>
  </si>
  <si>
    <t>Boils and sores on his skin.</t>
  </si>
  <si>
    <t>He stole something.</t>
  </si>
  <si>
    <t>He killed someone.</t>
  </si>
  <si>
    <t>He raped someone.</t>
  </si>
  <si>
    <t>He was caught poaching on his liege’s land.</t>
  </si>
  <si>
    <t>He committed an act of fraud.</t>
  </si>
  <si>
    <t>Someone confused him with someone else.</t>
  </si>
  <si>
    <t>No hope of escape.</t>
  </si>
  <si>
    <t>A foolish optimism of his escape prospects.</t>
  </si>
  <si>
    <t>A tenuous grasp on sanity.</t>
  </si>
  <si>
    <t>Been driven mad.</t>
  </si>
  <si>
    <t>The bastard son of a noble house.</t>
  </si>
  <si>
    <t>Impress his liege with efficient confessions.</t>
  </si>
  <si>
    <t>Break a particularly willful prisoner.</t>
  </si>
  <si>
    <t>Frighten someone with grisly tales.</t>
  </si>
  <si>
    <t>A large knife and a scourge.</t>
  </si>
  <si>
    <t>A leatherbound set of blades, hooks, and prongs.</t>
  </si>
  <si>
    <t>Several strange potions and poisons.</t>
  </si>
  <si>
    <t>A flask of spirits.</t>
  </si>
  <si>
    <t>The Dungeon is located:</t>
  </si>
  <si>
    <t>The layout is:</t>
  </si>
  <si>
    <t>Prisoners are held within:</t>
  </si>
  <si>
    <t>The cells condition is:</t>
  </si>
  <si>
    <t>Prisoners are treated:</t>
  </si>
  <si>
    <t>The dungeon is known for:</t>
  </si>
  <si>
    <t xml:space="preserve">According to rumor, within the dungeon lies: </t>
  </si>
  <si>
    <t>ridden down by the Huntsman</t>
  </si>
  <si>
    <t>Hunted by the castle hounds</t>
  </si>
  <si>
    <t>Marked by a shrieking ghost</t>
  </si>
  <si>
    <t>Hunted by the castle Knights</t>
  </si>
  <si>
    <t>Peppered with Arrows</t>
  </si>
  <si>
    <t>Escaped prisoners are:</t>
  </si>
  <si>
    <t xml:space="preserve">Already branded, and will never be able to reintegrate </t>
  </si>
  <si>
    <t>They are concerned about:</t>
  </si>
  <si>
    <t>Upon entering, you notice:</t>
  </si>
  <si>
    <t>They have:</t>
  </si>
  <si>
    <t>The torturer is:</t>
  </si>
  <si>
    <t>The Castle Dungeon</t>
  </si>
  <si>
    <t>Eynsworth Stronghold</t>
  </si>
  <si>
    <t>Chastershire Citadel</t>
  </si>
  <si>
    <t>Laventhorpe Fortress</t>
  </si>
  <si>
    <t>Middleborough Palace</t>
  </si>
  <si>
    <t>Kaerndal Palace</t>
  </si>
  <si>
    <t>Allerton Hold</t>
  </si>
  <si>
    <t>Kirkoswald Hold</t>
  </si>
  <si>
    <t>Laeves Keep</t>
  </si>
  <si>
    <t>Taetnire Fort</t>
  </si>
  <si>
    <t>Alderth Keep</t>
  </si>
  <si>
    <t>Bilesworth Citadel</t>
  </si>
  <si>
    <t>Cantlyn Keep</t>
  </si>
  <si>
    <t>Dewbury Citadel</t>
  </si>
  <si>
    <t>Kentillie Fort</t>
  </si>
  <si>
    <t>Darnstall Palace</t>
  </si>
  <si>
    <t>Lambridge Citadel</t>
  </si>
  <si>
    <t>Willbridge Stronghold</t>
  </si>
  <si>
    <t>Knaerwood Fort</t>
  </si>
  <si>
    <t>Custaeton Fort</t>
  </si>
  <si>
    <t>Cainfield Palace</t>
  </si>
  <si>
    <t>Elden Keep</t>
  </si>
  <si>
    <t>Coltherstone Stronghold</t>
  </si>
  <si>
    <t>Laeves Fortress</t>
  </si>
  <si>
    <t>Darlington Citadel</t>
  </si>
  <si>
    <t>Glottenham Stronghold</t>
  </si>
  <si>
    <t>Wintershold Castle</t>
  </si>
  <si>
    <t>Pomparley Castle</t>
  </si>
  <si>
    <t>Tornbridge Keep</t>
  </si>
  <si>
    <t>Starm Castle</t>
  </si>
  <si>
    <t>Darwaeton Citadel</t>
  </si>
  <si>
    <t>Blire Palace</t>
  </si>
  <si>
    <t>Darfield Palace</t>
  </si>
  <si>
    <t>Waelmore Hold</t>
  </si>
  <si>
    <t>Millford Stronghold</t>
  </si>
  <si>
    <t>Warington Stronghold</t>
  </si>
  <si>
    <t>Bundor Keep</t>
  </si>
  <si>
    <t>Yardway Keep</t>
  </si>
  <si>
    <t>Tarsington Fort</t>
  </si>
  <si>
    <t>Hingham Palace</t>
  </si>
  <si>
    <t>Daffield Castle</t>
  </si>
  <si>
    <t>Faemley Citadel</t>
  </si>
  <si>
    <t>Tarville Citadel</t>
  </si>
  <si>
    <t>Flatwick Hold</t>
  </si>
  <si>
    <t>Parandor Citadel</t>
  </si>
  <si>
    <t>Cadworth Castle</t>
  </si>
  <si>
    <t>Goodmond Fort</t>
  </si>
  <si>
    <t>Sangeries Keep</t>
  </si>
  <si>
    <t>Headow Fortress</t>
  </si>
  <si>
    <t>Blackdown Citadel</t>
  </si>
  <si>
    <t>Stowerling Stronghold</t>
  </si>
  <si>
    <t>Starminster Castle</t>
  </si>
  <si>
    <t>Narris Palace</t>
  </si>
  <si>
    <t>Flatwick Keep</t>
  </si>
  <si>
    <t>Tornbridge Palace</t>
  </si>
  <si>
    <t>Dunstead Castle</t>
  </si>
  <si>
    <t>Barknor Castle</t>
  </si>
  <si>
    <t>Earlton Castle</t>
  </si>
  <si>
    <t>Eastcairn Fort</t>
  </si>
  <si>
    <t>Garring Castle</t>
  </si>
  <si>
    <t>Fernyard Fortress</t>
  </si>
  <si>
    <t>Hayton Fort</t>
  </si>
  <si>
    <t>Artanges Stronghold</t>
  </si>
  <si>
    <t>Wintershold Citadel</t>
  </si>
  <si>
    <t>Norhall Keep</t>
  </si>
  <si>
    <t>Warltonwood Citadel</t>
  </si>
  <si>
    <t>Fowlsfield Fort</t>
  </si>
  <si>
    <t>Maetrine Castle</t>
  </si>
  <si>
    <t>Droskyn Hold</t>
  </si>
  <si>
    <t>Capvering Stronghold</t>
  </si>
  <si>
    <t>Starkport Hold</t>
  </si>
  <si>
    <t>Chilgrave Keep</t>
  </si>
  <si>
    <t>Mercle Keep</t>
  </si>
  <si>
    <t>Cantlyn Fortress</t>
  </si>
  <si>
    <t>Easkerton Hold</t>
  </si>
  <si>
    <t>Mandoom Citadel</t>
  </si>
  <si>
    <t>Midford Fort</t>
  </si>
  <si>
    <t>Gandum Stronghold</t>
  </si>
  <si>
    <t>Laeves Citadel</t>
  </si>
  <si>
    <t>Rachdale Citadel</t>
  </si>
  <si>
    <t>Bornesher Palace</t>
  </si>
  <si>
    <t>Bode Palace</t>
  </si>
  <si>
    <t>Stowerling Fort</t>
  </si>
  <si>
    <t>Baerth Citadel</t>
  </si>
  <si>
    <t>Starnborough Fort</t>
  </si>
  <si>
    <t>Castlebourne Keep</t>
  </si>
  <si>
    <t>Summerswind Palace</t>
  </si>
  <si>
    <t>Little Cardle Fortress</t>
  </si>
  <si>
    <t>Hopeshire Fort</t>
  </si>
  <si>
    <t>Easkerton Palace</t>
  </si>
  <si>
    <t>Tharnham Citadel</t>
  </si>
  <si>
    <t>Eastcairn Stronghold</t>
  </si>
  <si>
    <t>Harzelslack Palace</t>
  </si>
  <si>
    <t>Parlton Citadel</t>
  </si>
  <si>
    <t>Minbury Castle</t>
  </si>
  <si>
    <t>Starminster Stronghold</t>
  </si>
  <si>
    <t>Howers Castle</t>
  </si>
  <si>
    <t>Starkport Fort</t>
  </si>
  <si>
    <t>St. Clare Citadel</t>
  </si>
  <si>
    <t>Darnstall Keep</t>
  </si>
  <si>
    <t>Hillfield Fort</t>
  </si>
  <si>
    <t>Brawnlyn Palace</t>
  </si>
  <si>
    <t>Rose Fort</t>
  </si>
  <si>
    <t>Oakhampton Keep</t>
  </si>
  <si>
    <t>Galbury Palace</t>
  </si>
  <si>
    <t>Craentich Hold</t>
  </si>
  <si>
    <t>Merclefield Castle</t>
  </si>
  <si>
    <t>Saltwood Fort</t>
  </si>
  <si>
    <t>Bourgh Keep</t>
  </si>
  <si>
    <t>Baltso Hold</t>
  </si>
  <si>
    <t>Heathersage Citadel</t>
  </si>
  <si>
    <t>Kalepeck Citadel</t>
  </si>
  <si>
    <t>Riverfoot Castle</t>
  </si>
  <si>
    <t>Pomparley Keep</t>
  </si>
  <si>
    <t>Barviel Citadel</t>
  </si>
  <si>
    <t>Callborough Hold</t>
  </si>
  <si>
    <t>Galadhor Palace</t>
  </si>
  <si>
    <t>Perlington Stronghold</t>
  </si>
  <si>
    <t>Dewbury Palace</t>
  </si>
  <si>
    <t>Talsworth Citadel</t>
  </si>
  <si>
    <t>Cowle Castle</t>
  </si>
  <si>
    <t>Barkely Fort</t>
  </si>
  <si>
    <t>Bolltree Keep</t>
  </si>
  <si>
    <t>Cornby Palace</t>
  </si>
  <si>
    <t>Garring Fortress</t>
  </si>
  <si>
    <t>Faerdham Castle</t>
  </si>
  <si>
    <t>Seanton Hold</t>
  </si>
  <si>
    <t>Custaeton Palace</t>
  </si>
  <si>
    <t>Carleigh Citadel</t>
  </si>
  <si>
    <t>Lakewell Stronghold</t>
  </si>
  <si>
    <t>Bacre Citadel</t>
  </si>
  <si>
    <t>Strathenberg Hold</t>
  </si>
  <si>
    <t>Haerford Hold</t>
  </si>
  <si>
    <t>Bartham Fortress</t>
  </si>
  <si>
    <t>Cambolton Hold</t>
  </si>
  <si>
    <t>Ackermouth Fortress</t>
  </si>
  <si>
    <t>Carderby Castle</t>
  </si>
  <si>
    <t>Backton Palace</t>
  </si>
  <si>
    <t>Kingshill Fort</t>
  </si>
  <si>
    <t>Wringcaster Fortress</t>
  </si>
  <si>
    <t>Merliscire Fort</t>
  </si>
  <si>
    <t>Calbridge Hold</t>
  </si>
  <si>
    <t>Yorthendon Keep</t>
  </si>
  <si>
    <t>Parton Fortress</t>
  </si>
  <si>
    <t>Wallersley Castle</t>
  </si>
  <si>
    <t>Scarwood Hold</t>
  </si>
  <si>
    <t>Highburn Castle</t>
  </si>
  <si>
    <t>Larton Citadel</t>
  </si>
  <si>
    <t>Warcton Fort</t>
  </si>
  <si>
    <t>The entrance is guarded by:</t>
  </si>
  <si>
    <t>An antechamber to a crypt or chapel.</t>
  </si>
  <si>
    <t>A chapel dedicated to protecting the souls of the deceased.</t>
  </si>
  <si>
    <t>A chapel dedicated to aiding the journey of the souls of the deceased.</t>
  </si>
  <si>
    <t>A grand crypt for a person of importance (d4): 1. well-known hero; 2. high priest; 3. powerful noble; 4. wealthy merchant.</t>
  </si>
  <si>
    <t>A false crypt to attract and to trap graverobbers and treasure hunters.</t>
  </si>
  <si>
    <t>A crypt for immediate family members.</t>
  </si>
  <si>
    <t>A crypt for previous generations of the family.</t>
  </si>
  <si>
    <t>A crypt for the spouse of the deceased.</t>
  </si>
  <si>
    <t>A crypt of unmarked graves.</t>
  </si>
  <si>
    <t>A reflecting pool or fountain.</t>
  </si>
  <si>
    <t>A crypt for devoted servants or slaves.</t>
  </si>
  <si>
    <t>A priest’s robing room.</t>
  </si>
  <si>
    <t>Storage room for embalming tools.</t>
  </si>
  <si>
    <t>Storage room for tools and materials to maintain the tomb.</t>
  </si>
  <si>
    <t>Workshop for embalming the dead.</t>
  </si>
  <si>
    <t>A crypt hidden by a secret door where the most important person in the tomb rests.</t>
  </si>
  <si>
    <t>A priest’s quarters or robing room.</t>
  </si>
  <si>
    <t>You know this Crypt has:</t>
  </si>
  <si>
    <t>Divination Room</t>
  </si>
  <si>
    <t>Funeral Room</t>
  </si>
  <si>
    <t>Necromancy Room</t>
  </si>
  <si>
    <t>A guardroom with knights</t>
  </si>
  <si>
    <t>A guardroom with ghosts</t>
  </si>
  <si>
    <t>A guardroom with golems</t>
  </si>
  <si>
    <t>A guardroom with sellswords</t>
  </si>
  <si>
    <t>A guardroom with cultists</t>
  </si>
  <si>
    <t>A guardroom with skeletons</t>
  </si>
  <si>
    <t>Trophy gallery dedicated to the deceased</t>
  </si>
  <si>
    <t>Statue gallery dedicated to the deceased</t>
  </si>
  <si>
    <t>Painting gallery dedicated to the deceased</t>
  </si>
  <si>
    <t>Tomb Name</t>
  </si>
  <si>
    <t>Sternsnow</t>
  </si>
  <si>
    <t>Holypelt</t>
  </si>
  <si>
    <t>Spiderwoods</t>
  </si>
  <si>
    <t>Peacereaper</t>
  </si>
  <si>
    <t>Slatewhisk</t>
  </si>
  <si>
    <t>Shieldbraid</t>
  </si>
  <si>
    <t>Flintjumper</t>
  </si>
  <si>
    <t>Hazeblood</t>
  </si>
  <si>
    <t>Moltenbone</t>
  </si>
  <si>
    <t>Saurshield</t>
  </si>
  <si>
    <t>Holyless</t>
  </si>
  <si>
    <t>Darkbreaker</t>
  </si>
  <si>
    <t>Phoenixshade</t>
  </si>
  <si>
    <t>Pinesword</t>
  </si>
  <si>
    <t>Irondream</t>
  </si>
  <si>
    <t>Dragonscar</t>
  </si>
  <si>
    <t>Monstermantle</t>
  </si>
  <si>
    <t>Hawkcrest</t>
  </si>
  <si>
    <t>Saurmore</t>
  </si>
  <si>
    <t>Bronzedancer</t>
  </si>
  <si>
    <t>Ashbloom</t>
  </si>
  <si>
    <t>Sagefollower</t>
  </si>
  <si>
    <t>Autumnwind</t>
  </si>
  <si>
    <t>Plainvigor</t>
  </si>
  <si>
    <t>Nighthammer</t>
  </si>
  <si>
    <t>Ravengloom</t>
  </si>
  <si>
    <t>Meadowfang</t>
  </si>
  <si>
    <t>Roughrunner</t>
  </si>
  <si>
    <t>Thundervigor</t>
  </si>
  <si>
    <t>Keenwind</t>
  </si>
  <si>
    <t>Masterrider</t>
  </si>
  <si>
    <t>Ragebreaker</t>
  </si>
  <si>
    <t>Redwing</t>
  </si>
  <si>
    <t>Freeblight</t>
  </si>
  <si>
    <t>Earthsteam</t>
  </si>
  <si>
    <t>Bearbrook</t>
  </si>
  <si>
    <t>Serpentstone</t>
  </si>
  <si>
    <t>Sharpbasher</t>
  </si>
  <si>
    <t>Dirgeshard</t>
  </si>
  <si>
    <t>Solidoak</t>
  </si>
  <si>
    <t>Sunfury</t>
  </si>
  <si>
    <t>Freefang</t>
  </si>
  <si>
    <t>Gloomwolf</t>
  </si>
  <si>
    <t>Stoutriver</t>
  </si>
  <si>
    <t>Evensworn</t>
  </si>
  <si>
    <t>Tallstar</t>
  </si>
  <si>
    <t>Crestflaw</t>
  </si>
  <si>
    <t>Hardscar</t>
  </si>
  <si>
    <t>Fourgrain</t>
  </si>
  <si>
    <t>Downridge</t>
  </si>
  <si>
    <t>Earthflayer</t>
  </si>
  <si>
    <t>Daytrack</t>
  </si>
  <si>
    <t>Pridelance</t>
  </si>
  <si>
    <t>Goldwolf</t>
  </si>
  <si>
    <t>Singleshadow</t>
  </si>
  <si>
    <t>Distantfist</t>
  </si>
  <si>
    <t>Grayfang</t>
  </si>
  <si>
    <t>Chestlance</t>
  </si>
  <si>
    <t>Hammerarm</t>
  </si>
  <si>
    <t>Staghunter</t>
  </si>
  <si>
    <t>Moonlash</t>
  </si>
  <si>
    <t>Fistspirit</t>
  </si>
  <si>
    <t>Clanstriker</t>
  </si>
  <si>
    <t>Hillmantle</t>
  </si>
  <si>
    <t>Netherpelt</t>
  </si>
  <si>
    <t>Orbwillow</t>
  </si>
  <si>
    <t>Boneforge</t>
  </si>
  <si>
    <t>Rapidwatcher</t>
  </si>
  <si>
    <t>Truewhisper</t>
  </si>
  <si>
    <t>Threeshine</t>
  </si>
  <si>
    <t>Moonshaper</t>
  </si>
  <si>
    <t>Hardgleam</t>
  </si>
  <si>
    <t>Claworb</t>
  </si>
  <si>
    <t>Deadsinger</t>
  </si>
  <si>
    <t>Cindereyes</t>
  </si>
  <si>
    <t>Battlebreeze</t>
  </si>
  <si>
    <t>Wildforce</t>
  </si>
  <si>
    <t>Heavyleaf</t>
  </si>
  <si>
    <t>Tuskmoon</t>
  </si>
  <si>
    <t>Stoutlight</t>
  </si>
  <si>
    <t>Hammerfist</t>
  </si>
  <si>
    <t>Wildaxe</t>
  </si>
  <si>
    <t>Stonesplitter</t>
  </si>
  <si>
    <t>Sternwolf</t>
  </si>
  <si>
    <t>Dawnfury</t>
  </si>
  <si>
    <t>Earthhell</t>
  </si>
  <si>
    <t>Clawdraft</t>
  </si>
  <si>
    <t>Dirgemaw</t>
  </si>
  <si>
    <t>Highblaze</t>
  </si>
  <si>
    <t>Lunatrap</t>
  </si>
  <si>
    <t>Goretrack</t>
  </si>
  <si>
    <t>Saurblade</t>
  </si>
  <si>
    <t>Wildfist</t>
  </si>
  <si>
    <t>Wheattoe</t>
  </si>
  <si>
    <t>Fallensteam</t>
  </si>
  <si>
    <t>Lunaspirit</t>
  </si>
  <si>
    <t>Marblespear</t>
  </si>
  <si>
    <t>Lunabelly</t>
  </si>
  <si>
    <t>Dirgetrap</t>
  </si>
  <si>
    <t>Grassflaw</t>
  </si>
  <si>
    <t>Clawflame</t>
  </si>
  <si>
    <t>Honorblade</t>
  </si>
  <si>
    <t>Ashdown</t>
  </si>
  <si>
    <t>Frozenlash</t>
  </si>
  <si>
    <t>Plaindew</t>
  </si>
  <si>
    <t>Truthripper</t>
  </si>
  <si>
    <t>Lowsurge</t>
  </si>
  <si>
    <t>Nicklechaser</t>
  </si>
  <si>
    <t>Stillriver</t>
  </si>
  <si>
    <t>Winterbelly</t>
  </si>
  <si>
    <t>Marshrider</t>
  </si>
  <si>
    <t>Spiritbluff</t>
  </si>
  <si>
    <t>Solidbone</t>
  </si>
  <si>
    <t>Deadarm</t>
  </si>
  <si>
    <t>Highsplitter</t>
  </si>
  <si>
    <t>Seastone</t>
  </si>
  <si>
    <t>Craghunter</t>
  </si>
  <si>
    <t>Shadegust</t>
  </si>
  <si>
    <t>Hammerchaser</t>
  </si>
  <si>
    <t>Sternblaze</t>
  </si>
  <si>
    <t>Pyrelance</t>
  </si>
  <si>
    <t>Masterdreamer</t>
  </si>
  <si>
    <t>Grayblade</t>
  </si>
  <si>
    <t>Moonmourn</t>
  </si>
  <si>
    <t>Wiseblossom</t>
  </si>
  <si>
    <t>Shieldsplitter</t>
  </si>
  <si>
    <t>Horsekeep</t>
  </si>
  <si>
    <t>Tallfang</t>
  </si>
  <si>
    <t>Wintersinger</t>
  </si>
  <si>
    <t>Tuskbloom</t>
  </si>
  <si>
    <t>Shadesnarl</t>
  </si>
  <si>
    <t>Flinttree</t>
  </si>
  <si>
    <t>Saurbrew</t>
  </si>
  <si>
    <t>Stonefang</t>
  </si>
  <si>
    <t>Fourbrace</t>
  </si>
  <si>
    <t>Wyvernglow</t>
  </si>
  <si>
    <t>Bladetide</t>
  </si>
  <si>
    <t>Regalbreeze</t>
  </si>
  <si>
    <t>Springchewer</t>
  </si>
  <si>
    <t>Barleytide</t>
  </si>
  <si>
    <t>Summermaul</t>
  </si>
  <si>
    <t>Sternmaw</t>
  </si>
  <si>
    <t>Graylance</t>
  </si>
  <si>
    <t>Twoshaper</t>
  </si>
  <si>
    <t>Duskbash</t>
  </si>
  <si>
    <t>Farrowjumper</t>
  </si>
  <si>
    <t>Boulderchaser</t>
  </si>
  <si>
    <t>Battledrifter</t>
  </si>
  <si>
    <t>Ravencleaver</t>
  </si>
  <si>
    <t>Barleysworn</t>
  </si>
  <si>
    <t>Black.</t>
  </si>
  <si>
    <t>Red / scarlet.</t>
  </si>
  <si>
    <t>Forest green.</t>
  </si>
  <si>
    <t>Royal blue.</t>
  </si>
  <si>
    <t>Brown / beaver.</t>
  </si>
  <si>
    <t>Dark grey / gunmetal.</t>
  </si>
  <si>
    <t>Maroon.</t>
  </si>
  <si>
    <t>Dark brown / chocolate.</t>
  </si>
  <si>
    <t>Steel / blue grey.</t>
  </si>
  <si>
    <t>Olive green.</t>
  </si>
  <si>
    <t>The moon.</t>
  </si>
  <si>
    <t>A bat.</t>
  </si>
  <si>
    <t>A bull.</t>
  </si>
  <si>
    <t>A dragon.</t>
  </si>
  <si>
    <t>A falcon.</t>
  </si>
  <si>
    <t>A lion.</t>
  </si>
  <si>
    <t>A raven.</t>
  </si>
  <si>
    <t>A scorpion.</t>
  </si>
  <si>
    <t>A snake.</t>
  </si>
  <si>
    <t>A vulture.</t>
  </si>
  <si>
    <t>A wolf.</t>
  </si>
  <si>
    <t>A brazen outlaw.</t>
  </si>
  <si>
    <t>A charismatic demagogue.</t>
  </si>
  <si>
    <t>An outcast from a prominent family.</t>
  </si>
  <si>
    <t>A ruthless killer.</t>
  </si>
  <si>
    <t>A disgraced knight.</t>
  </si>
  <si>
    <t xml:space="preserve"> A former arena champion.</t>
  </si>
  <si>
    <t>Friendly and loyal.</t>
  </si>
  <si>
    <t>Respectful and business-like.</t>
  </si>
  <si>
    <t xml:space="preserve"> Cautious and uncertain.</t>
  </si>
  <si>
    <t xml:space="preserve"> Terrified and tight-lipped.</t>
  </si>
  <si>
    <t>Disappointed and rude.</t>
  </si>
  <si>
    <t xml:space="preserve"> Angry and rebellious.</t>
  </si>
  <si>
    <t>Gainfully employed as guards.</t>
  </si>
  <si>
    <t>Gainfully employed in war.</t>
  </si>
  <si>
    <t xml:space="preserve"> Under contract with some criminals.</t>
  </si>
  <si>
    <t xml:space="preserve"> Under contract with some merchants.</t>
  </si>
  <si>
    <t>Under contract with some nobles.</t>
  </si>
  <si>
    <t xml:space="preserve"> Looking for work.</t>
  </si>
  <si>
    <t>Siege-breaking.</t>
  </si>
  <si>
    <t>Holding a redoubt or fort.</t>
  </si>
  <si>
    <t>Frontal assault.</t>
  </si>
  <si>
    <t xml:space="preserve"> Infiltration tactics.</t>
  </si>
  <si>
    <t>Skirmishes.</t>
  </si>
  <si>
    <t xml:space="preserve"> Laying ambushes.</t>
  </si>
  <si>
    <t>Patrolling.</t>
  </si>
  <si>
    <t>Flanking maneuvers.</t>
  </si>
  <si>
    <t>Guerilla tactics.</t>
  </si>
  <si>
    <t xml:space="preserve"> Raiding and pillaging.</t>
  </si>
  <si>
    <t xml:space="preserve"> Taking no prisoners.</t>
  </si>
  <si>
    <t xml:space="preserve"> Leaving the dead to be eaten by beasts.</t>
  </si>
  <si>
    <t xml:space="preserve"> Tattooing or branding prisoners.</t>
  </si>
  <si>
    <t xml:space="preserve"> Scalping or flaying prisoners.</t>
  </si>
  <si>
    <t xml:space="preserve"> Burning villages and fields.</t>
  </si>
  <si>
    <t xml:space="preserve"> Betraying their employers.</t>
  </si>
  <si>
    <t>Singing bawdy songs.</t>
  </si>
  <si>
    <t>Drinking too much ale and wine.</t>
  </si>
  <si>
    <t>Hit-and-run tactics.</t>
  </si>
  <si>
    <t>Making a direct assault.</t>
  </si>
  <si>
    <t>Fancy footwork.</t>
  </si>
  <si>
    <t>Unpredictable lurches.</t>
  </si>
  <si>
    <t>Masterful combat maneuvers.</t>
  </si>
  <si>
    <t>No mercy.</t>
  </si>
  <si>
    <t>Lots of taunts and jeers.</t>
  </si>
  <si>
    <t>Dirty tactics.</t>
  </si>
  <si>
    <t>Exotic robes.</t>
  </si>
  <si>
    <t>Leather armor.</t>
  </si>
  <si>
    <t>Studded leather armor.</t>
  </si>
  <si>
    <t>Hide armor</t>
  </si>
  <si>
    <t>Ringmail.</t>
  </si>
  <si>
    <t>Chainmail.</t>
  </si>
  <si>
    <t>Scale armor.</t>
  </si>
  <si>
    <t>Plate armor.</t>
  </si>
  <si>
    <t>Longswords.</t>
  </si>
  <si>
    <t>Longswords and shields.</t>
  </si>
  <si>
    <t>Shortswords and spears.</t>
  </si>
  <si>
    <t>Shortswords and shields.</t>
  </si>
  <si>
    <t>Longswords and crossbows.</t>
  </si>
  <si>
    <t>Greatswords.</t>
  </si>
  <si>
    <t>Spears and shields.</t>
  </si>
  <si>
    <t>Battleaxes.</t>
  </si>
  <si>
    <t>Battleaxes and shields.</t>
  </si>
  <si>
    <t xml:space="preserve"> Warhammers.</t>
  </si>
  <si>
    <t xml:space="preserve"> Scimitars.</t>
  </si>
  <si>
    <t xml:space="preserve"> Scimitars and a shields.</t>
  </si>
  <si>
    <t>The Mercenary Colors are:</t>
  </si>
  <si>
    <t>Their banner features:</t>
  </si>
  <si>
    <t>Their commander is:</t>
  </si>
  <si>
    <t>The troops attitude towards their commander is:</t>
  </si>
  <si>
    <t>They are currently:</t>
  </si>
  <si>
    <t>They specialize in:</t>
  </si>
  <si>
    <t>They are notorious for:</t>
  </si>
  <si>
    <t>They fight with:</t>
  </si>
  <si>
    <t>They weild:</t>
  </si>
  <si>
    <t>The sun.</t>
  </si>
  <si>
    <t>A skull.</t>
  </si>
  <si>
    <t>A ghost.</t>
  </si>
  <si>
    <t>A clenched fist.</t>
  </si>
  <si>
    <t>A flame.</t>
  </si>
  <si>
    <t>An arrow.</t>
  </si>
  <si>
    <t>A dagger.</t>
  </si>
  <si>
    <t>A sword.</t>
  </si>
  <si>
    <t>Mercenary Company/Soldiers</t>
  </si>
  <si>
    <t xml:space="preserve"> </t>
  </si>
  <si>
    <t>Poaching from the sovereign's preserve or a prominent noble’s lands.</t>
  </si>
  <si>
    <t>Harboring fugitives.</t>
  </si>
  <si>
    <t>Harassing government officials and nobles who pass along the road.</t>
  </si>
  <si>
    <t>Robbing caravans carrying gems, precious metals, and exotic goods.</t>
  </si>
  <si>
    <t>Holding up incoming or outgoing ships or wagons.</t>
  </si>
  <si>
    <t>Smuggling rare antiquities.</t>
  </si>
  <si>
    <t>Smuggling stolen goods.</t>
  </si>
  <si>
    <t>Serving as muscle for shady merchants and/or brothel-keepers.</t>
  </si>
  <si>
    <t>Bronze.</t>
  </si>
  <si>
    <t>Tan / khaki.</t>
  </si>
  <si>
    <t xml:space="preserve"> Olive green.</t>
  </si>
  <si>
    <t>A goblet.</t>
  </si>
  <si>
    <t>A star.</t>
  </si>
  <si>
    <t>A badger.</t>
  </si>
  <si>
    <t>A spider.</t>
  </si>
  <si>
    <t xml:space="preserve"> A rat.</t>
  </si>
  <si>
    <t xml:space="preserve"> A wolf.</t>
  </si>
  <si>
    <t xml:space="preserve"> A bear.</t>
  </si>
  <si>
    <t>A dangerous megalomaniac.</t>
  </si>
  <si>
    <t>A talented thief.</t>
  </si>
  <si>
    <t>A member of a prominent family.</t>
  </si>
  <si>
    <t>A femme fatale.</t>
  </si>
  <si>
    <t>A charming rogue.</t>
  </si>
  <si>
    <t xml:space="preserve"> A brutish thug.</t>
  </si>
  <si>
    <t xml:space="preserve"> A devoted priest.</t>
  </si>
  <si>
    <t xml:space="preserve"> A well-known fugitive.</t>
  </si>
  <si>
    <t>Out-of-work artisans.</t>
  </si>
  <si>
    <t>Displaced peasants.</t>
  </si>
  <si>
    <t>Desperate peasants.</t>
  </si>
  <si>
    <t>Escaped slaves.</t>
  </si>
  <si>
    <t>Combat veterans.</t>
  </si>
  <si>
    <t>Foreign refugees.</t>
  </si>
  <si>
    <t>Domination of the region’s trade.</t>
  </si>
  <si>
    <t>Sabotage of the region’s trade.</t>
  </si>
  <si>
    <t>Revenge against a rival band of outlaws.</t>
  </si>
  <si>
    <t>Revenge against the region’s elite.</t>
  </si>
  <si>
    <t>Rebellion against the region’s elite.</t>
  </si>
  <si>
    <t>Equality and freedom for all.</t>
  </si>
  <si>
    <t>A wealthy and peaceful retirement.</t>
  </si>
  <si>
    <t>Violence to slake their bloodlust.</t>
  </si>
  <si>
    <t>Wooden clubs.</t>
  </si>
  <si>
    <t>Over-sized daggers.</t>
  </si>
  <si>
    <t>Shortbows and arrows.</t>
  </si>
  <si>
    <t>Longbows and arrows.</t>
  </si>
  <si>
    <t>Daggers and crossbows.</t>
  </si>
  <si>
    <t>Axes and knives.</t>
  </si>
  <si>
    <t>Sticks and stones.</t>
  </si>
  <si>
    <t>Shortswords.</t>
  </si>
  <si>
    <t>Brass knuckles.</t>
  </si>
  <si>
    <t xml:space="preserve"> Daggers and sling shots.</t>
  </si>
  <si>
    <t>The residence of a prominent noble.</t>
  </si>
  <si>
    <t>The village’s market square.</t>
  </si>
  <si>
    <t>A wayside inn.</t>
  </si>
  <si>
    <t>A tavern.</t>
  </si>
  <si>
    <t>A brothel.</t>
  </si>
  <si>
    <t>An old lighthouse.</t>
  </si>
  <si>
    <t>An abandoned cabin.</t>
  </si>
  <si>
    <t>A waterfall.</t>
  </si>
  <si>
    <t>A cave.</t>
  </si>
  <si>
    <t xml:space="preserve"> A dense forest.</t>
  </si>
  <si>
    <t>Ambassadors and tax collectors.</t>
  </si>
  <si>
    <t>Merchants and peddlers.</t>
  </si>
  <si>
    <t>Politicians and magistrates.</t>
  </si>
  <si>
    <t>Guards and sheriffs.</t>
  </si>
  <si>
    <t>Soldiers and warriors.</t>
  </si>
  <si>
    <t>Nobles and wealthy travelers.</t>
  </si>
  <si>
    <t>Knights and loyalists.</t>
  </si>
  <si>
    <t>Peasants and farmers.</t>
  </si>
  <si>
    <t>Priests and sages.</t>
  </si>
  <si>
    <t xml:space="preserve"> Women and children.</t>
  </si>
  <si>
    <t>A flashy earring ring.</t>
  </si>
  <si>
    <t>Shiny leather boots.</t>
  </si>
  <si>
    <t>A hole in the toe of one boot.</t>
  </si>
  <si>
    <t>A dagger in each boot.</t>
  </si>
  <si>
    <t>A mask on the face.</t>
  </si>
  <si>
    <t>A wide-brimmed hat.</t>
  </si>
  <si>
    <t>A dragon tattoo on the forearm.</t>
  </si>
  <si>
    <t>A flame tattoo around the arm.</t>
  </si>
  <si>
    <t>A maniacal laugh.</t>
  </si>
  <si>
    <t xml:space="preserve"> A bent, broken nose.</t>
  </si>
  <si>
    <t xml:space="preserve"> An open shirt and a very hairy chest.</t>
  </si>
  <si>
    <t xml:space="preserve"> Extravagant mustaches.</t>
  </si>
  <si>
    <t>The bands primary business is:</t>
  </si>
  <si>
    <t>smuggling drugs</t>
  </si>
  <si>
    <t>Smuggling living things (slaves/harlots)</t>
  </si>
  <si>
    <t>Their colors are:</t>
  </si>
  <si>
    <t>The band's leader is:</t>
  </si>
  <si>
    <t>Their symbol is:</t>
  </si>
  <si>
    <t>The band's members are primarily:</t>
  </si>
  <si>
    <t xml:space="preserve">Their goals include: </t>
  </si>
  <si>
    <t>They are based out of:</t>
  </si>
  <si>
    <t>They are feared/respected by:</t>
  </si>
  <si>
    <t>All members have:</t>
  </si>
  <si>
    <t>Outlaw Band</t>
  </si>
  <si>
    <t>Navy Blue.</t>
  </si>
  <si>
    <t>Swarm tactics.</t>
  </si>
  <si>
    <t>Ambush tactics.</t>
  </si>
  <si>
    <t>Choreographed maneuvers.</t>
  </si>
  <si>
    <t>Unpredictable maneuvers.</t>
  </si>
  <si>
    <t>Lots of fancy footwork.</t>
  </si>
  <si>
    <t>Never leaving survivors.</t>
  </si>
  <si>
    <t>Branding captives.</t>
  </si>
  <si>
    <t>Scalping captives.</t>
  </si>
  <si>
    <t>Burning wagons and ships.</t>
  </si>
  <si>
    <t>Using explosives.</t>
  </si>
  <si>
    <t>Romantic escapades.</t>
  </si>
  <si>
    <t>Drinking too much ale.</t>
  </si>
  <si>
    <t>The Robbers typically strike with:</t>
  </si>
  <si>
    <t>Robber Band</t>
  </si>
  <si>
    <t>Underground tunnels.</t>
  </si>
  <si>
    <t>Secret compartments.</t>
  </si>
  <si>
    <t>Stealth watercraft.</t>
  </si>
  <si>
    <t>Humanoid mules.</t>
  </si>
  <si>
    <t>Bribery of officials.</t>
  </si>
  <si>
    <t>A network of safehouses.</t>
  </si>
  <si>
    <t>A prominent merchant.</t>
  </si>
  <si>
    <t>An important minister or magistrate.</t>
  </si>
  <si>
    <t>A major crime boss.</t>
  </si>
  <si>
    <t>A pirate captain.</t>
  </si>
  <si>
    <t>An admiral.</t>
  </si>
  <si>
    <t>A group of subversives.</t>
  </si>
  <si>
    <t>The captain of the guard or a local sheriff.</t>
  </si>
  <si>
    <t>The sovereign’s main rival.</t>
  </si>
  <si>
    <t>The Smugglers primary transport methods are:</t>
  </si>
  <si>
    <t>The ring is supported by:</t>
  </si>
  <si>
    <t>Smuggler Band</t>
  </si>
  <si>
    <t>Her flaw is that she is:</t>
  </si>
  <si>
    <t>She is particularly skilled at:</t>
  </si>
  <si>
    <t>Earn enough coin to get out of this place.</t>
  </si>
  <si>
    <t>Bring to light a scandal involving a rival.</t>
  </si>
  <si>
    <t>Secure a marriage to get out of this place.</t>
  </si>
  <si>
    <t>Hear word of a child given away.</t>
  </si>
  <si>
    <t>Hatch a plan for revenge against the man who ruined her life</t>
  </si>
  <si>
    <t>Drink some wine and have a laugh.</t>
  </si>
  <si>
    <t>Become the owner by any mean's necessary.</t>
  </si>
  <si>
    <t>Indoctrinate people into her cult</t>
  </si>
  <si>
    <t>they're the highest-ranking priest of their god in the city, something like a bishop.</t>
  </si>
  <si>
    <t>they are quite vocal in their opposition to recent reforms within their church.</t>
  </si>
  <si>
    <t>they are vocal in favor of reforms they feel their church is overdue for.</t>
  </si>
  <si>
    <t>they are known in certain circles to provide healing without asking how the wounds were acquired.</t>
  </si>
  <si>
    <t>they fearlessly run a soup kitchen in an area most charitable organizations avoid.</t>
  </si>
  <si>
    <t>rumors are circulating about unsavory habits involving young parishioners.</t>
  </si>
  <si>
    <t>Drunkenness. He will out-drink you.</t>
  </si>
  <si>
    <t>Toughness. He will punch you in the face if you insult his god.</t>
  </si>
  <si>
    <t>Geniality. He's quick with a joke and a toast, and always makes those around him feel better.</t>
  </si>
  <si>
    <t xml:space="preserve"> Hard-line beliefs. He preaches death to infidels.</t>
  </si>
  <si>
    <t xml:space="preserve"> Tolerance. He regularly dines with adherents of other faiths or those with no faith at all.</t>
  </si>
  <si>
    <t xml:space="preserve"> Pacifism. He always advocates non-violence, even to the point of being beat nearly to death by some thugs.</t>
  </si>
  <si>
    <t xml:space="preserve"> Curiosity. He is well-read and well-versed in many scholarly subjects.</t>
  </si>
  <si>
    <t xml:space="preserve"> Teaching advocacy. He is a gifted teacher and is committed to increasing literacy among members of the lower classes.</t>
  </si>
  <si>
    <t xml:space="preserve"> Preaching. He is a captivating speaker, able to attract and to motivate large crowds.</t>
  </si>
  <si>
    <t xml:space="preserve"> Humorless, they only wear dark colored clothing.</t>
  </si>
  <si>
    <t xml:space="preserve"> Cynical, they don't actually believe what they preach.</t>
  </si>
  <si>
    <t xml:space="preserve"> Dry witted, they are prone to sarcastic replies when not preaching.</t>
  </si>
  <si>
    <t xml:space="preserve"> Cryptic, they often answer a question with a question.</t>
  </si>
  <si>
    <t xml:space="preserve"> Political, they take aim at the establishment in their sermons.</t>
  </si>
  <si>
    <t xml:space="preserve"> Dangerous, they might be starting a cult.</t>
  </si>
  <si>
    <t xml:space="preserve"> False, they have been accused of convincing people to walk into a trap from another religion.</t>
  </si>
  <si>
    <t xml:space="preserve"> Associated with dangerous humanoids whom they send gullible parishioners to as tribute.</t>
  </si>
  <si>
    <t xml:space="preserve"> Drug addled, they claim to see visions while using a pungent smoke.</t>
  </si>
  <si>
    <t xml:space="preserve"> A Prophet, they actually have divine visions.</t>
  </si>
  <si>
    <t xml:space="preserve"> They claim to be a demigod or angel.</t>
  </si>
  <si>
    <t xml:space="preserve"> Poor, his parish has nothing but he perseveres.</t>
  </si>
  <si>
    <t xml:space="preserve"> Retired, he was an adventurer in a prior life.</t>
  </si>
  <si>
    <t xml:space="preserve"> Blessed, he was slain in battle with an enemy but the gods revived him.</t>
  </si>
  <si>
    <t xml:space="preserve"> Smelly, his pipe smoke is extremely pungent. </t>
  </si>
  <si>
    <t>they are rumored to have taken a demon as a lover.</t>
  </si>
  <si>
    <t>they misspoke and cause an entire town to go barren.</t>
  </si>
  <si>
    <t>they saved an entire garrison using only a minor spell.</t>
  </si>
  <si>
    <t>they angered a cruel baroness by animating her favorite brush.</t>
  </si>
  <si>
    <t>they move every full moon because children go missing.</t>
  </si>
  <si>
    <t>they are hated by every other mage for their good looks.</t>
  </si>
  <si>
    <t>He keeps dangerous minions in his tower.</t>
  </si>
  <si>
    <t>One of his experiments escaped and ran through the streets of the city.</t>
  </si>
  <si>
    <t>A dragon came to visit him last autumn.</t>
  </si>
  <si>
    <t xml:space="preserve"> He keeps a hedge maze to keep away unwanted guests.</t>
  </si>
  <si>
    <t xml:space="preserve"> He breeds war beasts for the kings army.</t>
  </si>
  <si>
    <t xml:space="preserve"> The king has been trying to bring him under his thumb for months.</t>
  </si>
  <si>
    <t xml:space="preserve"> One of his rages burned down half the city.</t>
  </si>
  <si>
    <t xml:space="preserve"> He's actually fond of visitors, but people are still scared of him. No one knows if they actually should be.</t>
  </si>
  <si>
    <t xml:space="preserve"> His automatons purchase all his food in the city on monthly errands.</t>
  </si>
  <si>
    <t xml:space="preserve"> Anyone who enters his tower never comes out</t>
  </si>
  <si>
    <t xml:space="preserve"> He often comes to town to entertain children with his cantrips.</t>
  </si>
  <si>
    <t xml:space="preserve"> He's an expert in divination spells, and will cast them for anyone for a small fee.</t>
  </si>
  <si>
    <t xml:space="preserve"> It's rumored that he curses people without them realizing it.</t>
  </si>
  <si>
    <t xml:space="preserve"> It's rumored that he has magical cures for certain... maladies.</t>
  </si>
  <si>
    <t>Bold. He stole the crown of the Dragon-Emperor right off his head.</t>
  </si>
  <si>
    <t>Audacious. He stole the maidenhood of the king's own daughter.</t>
  </si>
  <si>
    <t>Extraordinary. He single-handedly stole an entire wagon train of spices and silver in the Bleak Wastes.</t>
  </si>
  <si>
    <t>Amorous. He stole the heart of a Southron queen who's been after his head ever since he left her for a fortune teller.</t>
  </si>
  <si>
    <t>Daring. He stole the spellbook of the most powerful elf-witch in the world.</t>
  </si>
  <si>
    <t>Heroic. He crept into the Duke's camp and swapped the Duke's map for a phony that led him to maneuver his host right into the rebels trap.</t>
  </si>
  <si>
    <t>Magnanimous. He slipped in and out of the Pit of Despair six times to bring food and news to the captive prince.</t>
  </si>
  <si>
    <t>Devilish. He climbed the walls of the Black Keep just to steal a kiss from the shadow sorceress as she slept.</t>
  </si>
  <si>
    <t>Handsome. He has the most amazing mustache.</t>
  </si>
  <si>
    <t xml:space="preserve"> Generous. He sells the loot he steals to feed the orphans of the River District.</t>
  </si>
  <si>
    <t xml:space="preserve"> Did something impossible, like stealing a dragons tail.Tale perhaps? The dragon was a bard and the original story is much less epic?</t>
  </si>
  <si>
    <t xml:space="preserve"> Killed a man with a fork.</t>
  </si>
  <si>
    <t xml:space="preserve"> Is the sole survivor from a legendary job.</t>
  </si>
  <si>
    <t xml:space="preserve"> Is the last living man who knows where a great treasure is hidden.</t>
  </si>
  <si>
    <t xml:space="preserve"> Buried a great treasure then killed himself for reasons unknown.</t>
  </si>
  <si>
    <t xml:space="preserve"> Works for the army as a scout.</t>
  </si>
  <si>
    <t xml:space="preserve"> Stole something important, but no one can prove it.</t>
  </si>
  <si>
    <t xml:space="preserve"> On the lam after tricking a devil into selling its soul.</t>
  </si>
  <si>
    <t xml:space="preserve"> Tough. He lost two fingers in a trapped chest, but still managed to snag the goods from inside.</t>
  </si>
  <si>
    <t xml:space="preserve"> Slippery. He's escaped from the world's most inescapable prison. Twice.</t>
  </si>
  <si>
    <t>they gouge outrageous prices if their customers have no alternatives.</t>
  </si>
  <si>
    <t>they are exceptionally wealthy, surpassing even the local ruler.</t>
  </si>
  <si>
    <t>they have donated gold to noble causes in the past.</t>
  </si>
  <si>
    <t>they are known in certain circles to buy items without asking where they came from</t>
  </si>
  <si>
    <t>they are known to hire ruthless thugs to go after debtors.</t>
  </si>
  <si>
    <t>they are said to have made their first fortune by illegally minting coins.</t>
  </si>
  <si>
    <t>They are reputed to sell illegal magic items.</t>
  </si>
  <si>
    <t>They are well known in the fur trade.</t>
  </si>
  <si>
    <t>They always wear an elaborate headdress.</t>
  </si>
  <si>
    <t xml:space="preserve"> They are up and coming, and seek to eliminate the competition.</t>
  </si>
  <si>
    <t xml:space="preserve"> They own a ship or fleet.</t>
  </si>
  <si>
    <t xml:space="preserve"> They helped found an important company.</t>
  </si>
  <si>
    <t xml:space="preserve"> In distant places their company is actually more powerful than the king.</t>
  </si>
  <si>
    <t xml:space="preserve"> they're often the butt of jokes made in the local tavern.</t>
  </si>
  <si>
    <t xml:space="preserve"> rumor says that it's entirely made up of doppelgangers.</t>
  </si>
  <si>
    <t xml:space="preserve"> of their reputation to having access to highly restricted goods.</t>
  </si>
  <si>
    <t xml:space="preserve"> the local populace invoke they're name as a foul mouthed curse.</t>
  </si>
  <si>
    <t xml:space="preserve"> members are identifiable by their yellow and red armor.</t>
  </si>
  <si>
    <t xml:space="preserve"> of their ruthless efficiency in advancing their mysterious goals.</t>
  </si>
  <si>
    <t xml:space="preserve"> they hold an iron grip on the local cheese market.</t>
  </si>
  <si>
    <t>He published a book of his sojourns in a distant land. The book gained fame for its vivid and outlandish stories. (Which may or may not be true, which might lead to moral dilemma if the party is positioned to expose him as a fraud.)</t>
  </si>
  <si>
    <t>She was a noblewoman who decided to travel to the holy city of a foreign land. Her actions are on the one hand considered improper, yet everyone is eager to hear of her adventures.</t>
  </si>
  <si>
    <t>He and several other adventurers participated in a race to be the first to get to one of the most inhospitable places on the continent. He was the only one to come back alive.</t>
  </si>
  <si>
    <t>He went on an expedition to a far off island years ago, promising to return with a horde of magical metal. He just returned recently, mostly empty handed, and completely disgraced.</t>
  </si>
  <si>
    <t>Had his ships custom built.</t>
  </si>
  <si>
    <t>Published a book about his sojourns claiming a prior explorers book is full of crap.</t>
  </si>
  <si>
    <t>Bumped off a rival in a distant land.</t>
  </si>
  <si>
    <t>Is seeking to launch one last expedition to clean his name from the disgrace of his failed ventures.</t>
  </si>
  <si>
    <t>She became a noblewomen of a distant land through her exploits and has returned home because....?</t>
  </si>
  <si>
    <t xml:space="preserve"> He has be believed dead a dozen times already, but always turns up alive and well.</t>
  </si>
  <si>
    <t xml:space="preserve"> You have heard of this Merchant/Smuggler/Caravaner before because</t>
  </si>
  <si>
    <t>You have heard of this sorcerer before because:</t>
  </si>
  <si>
    <t>You have heard of this Priest/Cleric before because:</t>
  </si>
  <si>
    <t xml:space="preserve"> You have heard of this Explorer/Mapmaker/Naturalist before because:</t>
  </si>
  <si>
    <t>You have heard of this Mercenary Band because they are:</t>
  </si>
  <si>
    <t>Spotless, they are a reliable professional</t>
  </si>
  <si>
    <t>Eccentric, they are a capable professional with unusual methods</t>
  </si>
  <si>
    <t>Brave, they won't back down from a fight</t>
  </si>
  <si>
    <t>Reliable, they won't back out when the going gets tough</t>
  </si>
  <si>
    <t>Skilled, they can handle a difficult mission</t>
  </si>
  <si>
    <t>Legendary, they won an impossible battle</t>
  </si>
  <si>
    <t>Lengthy, they are known for many successful past missions</t>
  </si>
  <si>
    <t>Exotic, they are from a far away land</t>
  </si>
  <si>
    <t>Stalwart, they are known for having stood their ground during a dangerous battle</t>
  </si>
  <si>
    <t xml:space="preserve"> Noble, they fought a desperate battle pro bono</t>
  </si>
  <si>
    <t>Neutral, they hold to the letter of the contract</t>
  </si>
  <si>
    <t>Raucous, but reliable in a fight</t>
  </si>
  <si>
    <t>Solved a problem in a nearby city, but charge a large amount for it</t>
  </si>
  <si>
    <t>Professional, they are loyal to the contract</t>
  </si>
  <si>
    <t>Stern, their leader is known to be humorless</t>
  </si>
  <si>
    <t>Unremarkable, they have won some battles and lost some to</t>
  </si>
  <si>
    <t>Safe, they kept looters under control during a tense situation</t>
  </si>
  <si>
    <t>Rigid, they kept to the contract even though they could have helped</t>
  </si>
  <si>
    <t>New, they have yet to prove themselves</t>
  </si>
  <si>
    <t xml:space="preserve"> Enigmatic, they are known as a professional but the exact nature of their missions is unknown</t>
  </si>
  <si>
    <t>Disgraced, they abandoned a contract when it got to difficult</t>
  </si>
  <si>
    <t>Dangerous, they killed someone they should not have</t>
  </si>
  <si>
    <t>Damaged, most of their troops were lost in a recent battle</t>
  </si>
  <si>
    <t>Fanatical, they believe in an unpopular god for the region and clash with their employer</t>
  </si>
  <si>
    <t>Messy, they destroy the land they pass through with their foraging</t>
  </si>
  <si>
    <t>Unreliable, they lost their last four battles</t>
  </si>
  <si>
    <t>Spineless, they ran from a recent battle</t>
  </si>
  <si>
    <t>Deserters, they took and employers money and disappeared</t>
  </si>
  <si>
    <t xml:space="preserve"> Rebels, they are former army troops fighting against the kingdom now for dubious causes</t>
  </si>
  <si>
    <t>The cause of a serious problem in a nearby city</t>
  </si>
  <si>
    <t>You have heard of this thief/spy/assassin before because they are:</t>
  </si>
  <si>
    <t>RUMORS (YOU HAVE HEARD OF THEM BEFORE…)</t>
  </si>
  <si>
    <t>A coastal harbor.</t>
  </si>
  <si>
    <t>A calm, coastal bay.</t>
  </si>
  <si>
    <t>A large freshwater lake.</t>
  </si>
  <si>
    <t>A wide, navigable river.</t>
  </si>
  <si>
    <t>A river navigable by small craft.</t>
  </si>
  <si>
    <t>The mouth of a river or a river delta.</t>
  </si>
  <si>
    <t>The confluence of two rivers.</t>
  </si>
  <si>
    <t>A series of natural springs.</t>
  </si>
  <si>
    <t>A well-traveled crossroads.</t>
  </si>
  <si>
    <t xml:space="preserve"> A water source and a well-traveled road.</t>
  </si>
  <si>
    <t>Iron ore.</t>
  </si>
  <si>
    <t>Copper ore.</t>
  </si>
  <si>
    <t>Gold or silver deposits.</t>
  </si>
  <si>
    <t>Clay or granite deposits.</t>
  </si>
  <si>
    <t>Quartz or salt deposits.</t>
  </si>
  <si>
    <t>Peat or coal deposits.</t>
  </si>
  <si>
    <t>Hardwood lumber.</t>
  </si>
  <si>
    <t>Barley and oats.</t>
  </si>
  <si>
    <t>Beans and corn.</t>
  </si>
  <si>
    <t xml:space="preserve"> Nuts and olives.</t>
  </si>
  <si>
    <t xml:space="preserve"> Rice or wheat.</t>
  </si>
  <si>
    <t xml:space="preserve"> Potatoes and leeks.</t>
  </si>
  <si>
    <t xml:space="preserve"> Sugar cane.</t>
  </si>
  <si>
    <t xml:space="preserve"> Tobacco.</t>
  </si>
  <si>
    <t xml:space="preserve"> Cotton.</t>
  </si>
  <si>
    <t xml:space="preserve"> Fruit trees.</t>
  </si>
  <si>
    <t xml:space="preserve"> Cabbages and beets.</t>
  </si>
  <si>
    <t xml:space="preserve"> Cattle.</t>
  </si>
  <si>
    <t xml:space="preserve"> Dairy cows.</t>
  </si>
  <si>
    <t xml:space="preserve"> Sheep.</t>
  </si>
  <si>
    <t>Architectural style.</t>
  </si>
  <si>
    <t>Architectural feats.</t>
  </si>
  <si>
    <t>Artists and poets.</t>
  </si>
  <si>
    <t>Inventive cuisine.</t>
  </si>
  <si>
    <t>Traditional cuisine.</t>
  </si>
  <si>
    <t>Suggestive dancing.</t>
  </si>
  <si>
    <t>Gladiatorial games.</t>
  </si>
  <si>
    <t>Horse races.</t>
  </si>
  <si>
    <t>Scholars and sages.</t>
  </si>
  <si>
    <t xml:space="preserve"> Music and/or dance.</t>
  </si>
  <si>
    <t xml:space="preserve"> Romance.</t>
  </si>
  <si>
    <t xml:space="preserve"> Jousting games.</t>
  </si>
  <si>
    <t xml:space="preserve"> Superior soldiers.</t>
  </si>
  <si>
    <t xml:space="preserve"> Street festivals.</t>
  </si>
  <si>
    <t xml:space="preserve"> Religious feasts.</t>
  </si>
  <si>
    <t xml:space="preserve"> Religious fervor.</t>
  </si>
  <si>
    <t xml:space="preserve"> Traditional dress.</t>
  </si>
  <si>
    <t xml:space="preserve"> Unusual dress.</t>
  </si>
  <si>
    <t xml:space="preserve"> Theater scene.</t>
  </si>
  <si>
    <t xml:space="preserve"> Wine and/or ale.</t>
  </si>
  <si>
    <t>The head of a noble family.</t>
  </si>
  <si>
    <t>A council of distinguished nobles.</t>
  </si>
  <si>
    <t>A council of wealthy merchants.</t>
  </si>
  <si>
    <t>A council of elected officials.</t>
  </si>
  <si>
    <t>An elected mayor.</t>
  </si>
  <si>
    <t>A benevolent sovereign.</t>
  </si>
  <si>
    <t>A wicked tyrant.</t>
  </si>
  <si>
    <t>A brutal warlord.</t>
  </si>
  <si>
    <t>A cabal of witches and wizards.</t>
  </si>
  <si>
    <t xml:space="preserve"> The leaders of a religious order.</t>
  </si>
  <si>
    <t>Mass conversions.</t>
  </si>
  <si>
    <t>An earthquake.</t>
  </si>
  <si>
    <t>An age of exploration.</t>
  </si>
  <si>
    <t>A terrible famine.</t>
  </si>
  <si>
    <t>A disastrous flood.</t>
  </si>
  <si>
    <t>A legendary storm.</t>
  </si>
  <si>
    <t>An assassination.</t>
  </si>
  <si>
    <t>A series of riots.</t>
  </si>
  <si>
    <t>A great discovery.</t>
  </si>
  <si>
    <t xml:space="preserve"> A vermin infestation.</t>
  </si>
  <si>
    <t xml:space="preserve"> A destructive fire.</t>
  </si>
  <si>
    <t xml:space="preserve"> A deadly plague.</t>
  </si>
  <si>
    <t xml:space="preserve"> A bloody rebellion.</t>
  </si>
  <si>
    <t xml:space="preserve"> A lengthy siege.</t>
  </si>
  <si>
    <t xml:space="preserve"> Religious wars.</t>
  </si>
  <si>
    <t xml:space="preserve"> Territorial wars.</t>
  </si>
  <si>
    <t xml:space="preserve"> A foreign occupation.</t>
  </si>
  <si>
    <t xml:space="preserve"> An economic boom.</t>
  </si>
  <si>
    <t xml:space="preserve"> A great depression.</t>
  </si>
  <si>
    <t xml:space="preserve"> A dragon attack.</t>
  </si>
  <si>
    <t>Bandits and outlaws.</t>
  </si>
  <si>
    <t>Barbarian invasions.</t>
  </si>
  <si>
    <t>Disease outbreaks.</t>
  </si>
  <si>
    <t>A dragon or legendary beast.</t>
  </si>
  <si>
    <t>Destructive flooding.</t>
  </si>
  <si>
    <t>Food shortages.</t>
  </si>
  <si>
    <t>Occupation by a foreign empire.</t>
  </si>
  <si>
    <t>The wrath of a vengeful god.</t>
  </si>
  <si>
    <t>Magic and new inventions.</t>
  </si>
  <si>
    <t xml:space="preserve"> Pirates, smugglers, and bands of thieves.</t>
  </si>
  <si>
    <t xml:space="preserve"> A recently established religion.</t>
  </si>
  <si>
    <t xml:space="preserve"> A rival city.</t>
  </si>
  <si>
    <t>A disciplined military guard.</t>
  </si>
  <si>
    <t>A standing army of devoted soldiers.</t>
  </si>
  <si>
    <t>A company of sellswords and knaves.</t>
  </si>
  <si>
    <t>An order of holy knights.</t>
  </si>
  <si>
    <t>Little; the city’s been sacked many times.</t>
  </si>
  <si>
    <t>A huge, fortress or citadel within the city.</t>
  </si>
  <si>
    <t>A series of watchtowers and forts spread throughout the region.</t>
  </si>
  <si>
    <t>Thick stone walls and impenetrable gates.</t>
  </si>
  <si>
    <t>High stone walls, catapults, and scorpions.</t>
  </si>
  <si>
    <t xml:space="preserve"> A powerful magical ward or gigantic golem.</t>
  </si>
  <si>
    <t>Enforced by a strict, orderly city watch.</t>
  </si>
  <si>
    <t>Enforced by a corrupt, roguish city watch.</t>
  </si>
  <si>
    <t>Not enforced among the wealthy elite.</t>
  </si>
  <si>
    <t>Enforced in a haphazard fashion, incomprehensible to visitors.</t>
  </si>
  <si>
    <t>Not enforced for those who pay bribes.</t>
  </si>
  <si>
    <t>More like guidelines.</t>
  </si>
  <si>
    <t>Enforced by a secret society of assassins, mages, or priests.</t>
  </si>
  <si>
    <t>Enforced by a company of mercenaries.</t>
  </si>
  <si>
    <t>Simple, easy to learn and to follow.</t>
  </si>
  <si>
    <t xml:space="preserve"> Extensive and complicated, nonsensical.</t>
  </si>
  <si>
    <t xml:space="preserve"> Enforced by a cheerful drunken sheriff.</t>
  </si>
  <si>
    <t xml:space="preserve"> Enforced by a rigid soldier-turned-sheriff.</t>
  </si>
  <si>
    <t>A ruthless assassins’ guild.</t>
  </si>
  <si>
    <t>A populist demagogue.</t>
  </si>
  <si>
    <t>The captain of a mercenary company.</t>
  </si>
  <si>
    <t>A champion knight or arena fighter.</t>
  </si>
  <si>
    <t>One or more crafting guilds.</t>
  </si>
  <si>
    <t>A dangerous crime boss.</t>
  </si>
  <si>
    <t>One or more criminal gangs.</t>
  </si>
  <si>
    <t>A charismatic cult leader.</t>
  </si>
  <si>
    <t>One or more merchant guilds.</t>
  </si>
  <si>
    <t xml:space="preserve"> A scheming noble lord or lady.</t>
  </si>
  <si>
    <t xml:space="preserve"> An outspoken philosopher or scholar.</t>
  </si>
  <si>
    <t xml:space="preserve"> A celebrated poet and playwright.</t>
  </si>
  <si>
    <t xml:space="preserve"> A popular priest or priestess.</t>
  </si>
  <si>
    <t xml:space="preserve"> A secret society of lorekeepers.</t>
  </si>
  <si>
    <t xml:space="preserve"> Smugglers and black market dealers.</t>
  </si>
  <si>
    <t xml:space="preserve"> The son or daughter of a deposed ruler.</t>
  </si>
  <si>
    <t xml:space="preserve"> A wealthy trader of exotic goods.</t>
  </si>
  <si>
    <t xml:space="preserve"> A conniving vampire or fiend.</t>
  </si>
  <si>
    <t xml:space="preserve"> A bold war hero.</t>
  </si>
  <si>
    <t xml:space="preserve"> A clever witch or wizard.</t>
  </si>
  <si>
    <t>A wide, rectangular plaza.</t>
  </si>
  <si>
    <t>A large, circular or elliptical plaza.</t>
  </si>
  <si>
    <t>An intersection of two wide roads.</t>
  </si>
  <si>
    <t>A sprawling maze of small alleyways.</t>
  </si>
  <si>
    <t>A sprawling maze of tunnels beneath the city streets.</t>
  </si>
  <si>
    <t>A huge pavilion with a solid roof overhead.</t>
  </si>
  <si>
    <t>A disorganized series of large tents.</t>
  </si>
  <si>
    <t>Type of merchandise.</t>
  </si>
  <si>
    <t>Nation of origin of the merchandise.</t>
  </si>
  <si>
    <t>Race or ethnicity of the merchants.</t>
  </si>
  <si>
    <t>Nothing; the place is a big disorganized mess.</t>
  </si>
  <si>
    <t>Religious or political affiliation of the merchants.</t>
  </si>
  <si>
    <t>Raw materials and commodities on one half of the market, finished products on the other half.</t>
  </si>
  <si>
    <t>Imported goods on one half of the market, local goods on the other half.</t>
  </si>
  <si>
    <t>An intricate and archaic system put down in an ancient civic or religious document.</t>
  </si>
  <si>
    <t>The social class to which the vendor caters.</t>
  </si>
  <si>
    <t xml:space="preserve"> Order of arrival at the marketplace on any given day.</t>
  </si>
  <si>
    <t>A little push cart.</t>
  </si>
  <si>
    <t>A small, mule-drawn cart.</t>
  </si>
  <si>
    <t>A sizable, horse- or ox-drawn wagon.</t>
  </si>
  <si>
    <t>A handful of crates or chests the vendor has set up.</t>
  </si>
  <si>
    <t>A large rug on which the vendor has laid out the merchandise.</t>
  </si>
  <si>
    <t>A flimsy wooden booth.</t>
  </si>
  <si>
    <t>A sturdy wooden booth with a cotton awning.</t>
  </si>
  <si>
    <t>A semi-permanent wooden stall.</t>
  </si>
  <si>
    <t>A permanent stone stall.</t>
  </si>
  <si>
    <t xml:space="preserve"> A huge sack the merchant has set down on the ground.</t>
  </si>
  <si>
    <t xml:space="preserve"> A one- or two-man tent.</t>
  </si>
  <si>
    <t xml:space="preserve"> A myriad of pockets in the vendor's clothes or a hidden demiplane.</t>
  </si>
  <si>
    <t>Raw foodstuffs.</t>
  </si>
  <si>
    <t>Prepared foodstuffs.</t>
  </si>
  <si>
    <t>Arms and armor.</t>
  </si>
  <si>
    <t>Clothing, apparel, or accessories.</t>
  </si>
  <si>
    <t>Tools, trinkets, or other household goods.</t>
  </si>
  <si>
    <t>Potions, talismans, religious relics, or other magical goods.</t>
  </si>
  <si>
    <t>Live animals.</t>
  </si>
  <si>
    <t>Raw materials.</t>
  </si>
  <si>
    <t>In a foreign land.</t>
  </si>
  <si>
    <t>In a local workshop.</t>
  </si>
  <si>
    <t>By slaves.</t>
  </si>
  <si>
    <t>By skilled laborers or crafters.</t>
  </si>
  <si>
    <t>By the vendor him- or herself.</t>
  </si>
  <si>
    <t>By laborers or crafters working under horrible conditions.</t>
  </si>
  <si>
    <t>In a distant city or region known for goods of this type.</t>
  </si>
  <si>
    <t>Somewhere by someone; the vendor neither knows nor cares.</t>
  </si>
  <si>
    <t>Of poor quality.</t>
  </si>
  <si>
    <t>Cheap but usable, a real bargain.</t>
  </si>
  <si>
    <t>Priced for more than they are worth.</t>
  </si>
  <si>
    <t>Of decent quality and fairly priced.</t>
  </si>
  <si>
    <t>Of the highest quality and quite expensive.</t>
  </si>
  <si>
    <t>A mixed bag of low-quality and high-quality stuff.</t>
  </si>
  <si>
    <t>Of mysterious origin.</t>
  </si>
  <si>
    <t>Possibly stolen.</t>
  </si>
  <si>
    <t>An old woman.</t>
  </si>
  <si>
    <t>An old man.</t>
  </si>
  <si>
    <t>A fat man.</t>
  </si>
  <si>
    <t>A scrawny man.</t>
  </si>
  <si>
    <t>A hardy woman.</t>
  </si>
  <si>
    <t>A plain-faced maid.</t>
  </si>
  <si>
    <t>A large woman.</t>
  </si>
  <si>
    <t>An odd foreigner.</t>
  </si>
  <si>
    <t>Cheerful.</t>
  </si>
  <si>
    <t>Surly.</t>
  </si>
  <si>
    <t>Suspicious.</t>
  </si>
  <si>
    <t>Friendly.</t>
  </si>
  <si>
    <t>Alert.</t>
  </si>
  <si>
    <t>Sleepy.</t>
  </si>
  <si>
    <t>Nervous.</t>
  </si>
  <si>
    <t>Frightened.</t>
  </si>
  <si>
    <t>Very busy; customers are waiting in line to make purchases.</t>
  </si>
  <si>
    <t>Reasonably busy; the vendor makes a sale every few minutes.</t>
  </si>
  <si>
    <t>A little slow; the vendor makes a few sales every hour.</t>
  </si>
  <si>
    <t>Very slow; the vendor makes only a few sales a day.</t>
  </si>
  <si>
    <t>Geography:</t>
  </si>
  <si>
    <t>Governmental Structure:</t>
  </si>
  <si>
    <t>Frequent Threats:</t>
  </si>
  <si>
    <t>Defenses:</t>
  </si>
  <si>
    <t>Law Enforcement:</t>
  </si>
  <si>
    <t>Power Players:</t>
  </si>
  <si>
    <t>Known for:</t>
  </si>
  <si>
    <t>Main Export:</t>
  </si>
  <si>
    <t>Most Recent Historical Event:</t>
  </si>
  <si>
    <t>The Main Marketplace is located in:</t>
  </si>
  <si>
    <t>Vendors are organized by:</t>
  </si>
  <si>
    <t>Vendor is selling wares out of:</t>
  </si>
  <si>
    <t>Vendor Specializes in:</t>
  </si>
  <si>
    <t>Vendor's wares are produced/prepared:</t>
  </si>
  <si>
    <t>The goods are:</t>
  </si>
  <si>
    <t>The vendor is:</t>
  </si>
  <si>
    <t>The Vendor's Mood is:</t>
  </si>
  <si>
    <t>The stall is:</t>
  </si>
  <si>
    <t>Actors</t>
  </si>
  <si>
    <t>Alchemists</t>
  </si>
  <si>
    <t>Apprentice crafters</t>
  </si>
  <si>
    <t>Artisans</t>
  </si>
  <si>
    <t>Barbarians</t>
  </si>
  <si>
    <t>Bards</t>
  </si>
  <si>
    <t>Cobblers</t>
  </si>
  <si>
    <t>Cultists</t>
  </si>
  <si>
    <t>Cultists, snake</t>
  </si>
  <si>
    <t>Elves, dark</t>
  </si>
  <si>
    <t>Elves, high</t>
  </si>
  <si>
    <t>Elves, wood</t>
  </si>
  <si>
    <t>Farmfolk</t>
  </si>
  <si>
    <t>Fishermen</t>
  </si>
  <si>
    <t>Gladiators</t>
  </si>
  <si>
    <t>Gnomes</t>
  </si>
  <si>
    <t>Graverobbers</t>
  </si>
  <si>
    <t>Guards, city or town</t>
  </si>
  <si>
    <t>Half-breeds</t>
  </si>
  <si>
    <t>Halflings</t>
  </si>
  <si>
    <t>Harlots</t>
  </si>
  <si>
    <t>Investigators (constable, sheriff)</t>
  </si>
  <si>
    <t>Merchants, guild</t>
  </si>
  <si>
    <t>Mercenaries</t>
  </si>
  <si>
    <t>Armorers</t>
  </si>
  <si>
    <t>Camp followers</t>
  </si>
  <si>
    <t>Commanders</t>
  </si>
  <si>
    <t>Cooks</t>
  </si>
  <si>
    <t>Quartermasters</t>
  </si>
  <si>
    <t>Scouts</t>
  </si>
  <si>
    <t>Soldiers</t>
  </si>
  <si>
    <t>Stable hands/squires/valets</t>
  </si>
  <si>
    <t>Miners</t>
  </si>
  <si>
    <t>Monks</t>
  </si>
  <si>
    <t>Monster hunters</t>
  </si>
  <si>
    <t>Necromancers</t>
  </si>
  <si>
    <t>Nobles</t>
  </si>
  <si>
    <t>Orc warlords</t>
  </si>
  <si>
    <t>Outlaws</t>
  </si>
  <si>
    <t>Pirates</t>
  </si>
  <si>
    <t>Priests</t>
  </si>
  <si>
    <t>Barkeeps/barmaids</t>
  </si>
  <si>
    <t>Criminals</t>
  </si>
  <si>
    <t>Law officials</t>
  </si>
  <si>
    <t>Seers</t>
  </si>
  <si>
    <t>Smiths</t>
  </si>
  <si>
    <t>Travelers</t>
  </si>
  <si>
    <t>Treasure hunters</t>
  </si>
  <si>
    <t>Vendor</t>
  </si>
  <si>
    <t>Villains (Recurring villains)</t>
  </si>
  <si>
    <t>Woodsmen</t>
  </si>
  <si>
    <t>Sailors</t>
  </si>
  <si>
    <t>Sellswords</t>
  </si>
  <si>
    <t>Shopkeepers</t>
  </si>
  <si>
    <t>Strange people</t>
  </si>
  <si>
    <t>Torturers</t>
  </si>
  <si>
    <t>Thieves</t>
  </si>
  <si>
    <t>Serial killers</t>
  </si>
  <si>
    <t>Witches</t>
  </si>
  <si>
    <t>Merchant caravan</t>
  </si>
  <si>
    <t>Knights</t>
  </si>
  <si>
    <t>Healers</t>
  </si>
  <si>
    <t>Assassins</t>
  </si>
  <si>
    <t>Druids</t>
  </si>
  <si>
    <t>You run across a:</t>
  </si>
  <si>
    <t>STREET NAMES</t>
  </si>
  <si>
    <t>Yew Way</t>
  </si>
  <si>
    <t>Baker Street</t>
  </si>
  <si>
    <t>Pinnacle Passage</t>
  </si>
  <si>
    <t>Pioneer Passage</t>
  </si>
  <si>
    <t>Pine Street</t>
  </si>
  <si>
    <t>Seaview Lane</t>
  </si>
  <si>
    <t>Castle Street</t>
  </si>
  <si>
    <t>Monument Row</t>
  </si>
  <si>
    <t>Silver Route</t>
  </si>
  <si>
    <t>Low Street</t>
  </si>
  <si>
    <t>Hind Avenue</t>
  </si>
  <si>
    <t>Heirloom Route</t>
  </si>
  <si>
    <t>Farmer Passage</t>
  </si>
  <si>
    <t>School Avenue</t>
  </si>
  <si>
    <t>Campus Row</t>
  </si>
  <si>
    <t>Hazelnut Passage</t>
  </si>
  <si>
    <t>Smith Route</t>
  </si>
  <si>
    <t>Prince Street</t>
  </si>
  <si>
    <t>Senna Lane</t>
  </si>
  <si>
    <t>Summit Avenue</t>
  </si>
  <si>
    <t>Gray Route</t>
  </si>
  <si>
    <t>Heart Row</t>
  </si>
  <si>
    <t>Bridgewater Lane</t>
  </si>
  <si>
    <t>Fox Lane</t>
  </si>
  <si>
    <t>Elmwood Way</t>
  </si>
  <si>
    <t>Gravel Route</t>
  </si>
  <si>
    <t>Museum Street</t>
  </si>
  <si>
    <t>Polygon Street</t>
  </si>
  <si>
    <t>Marine Passage</t>
  </si>
  <si>
    <t>Starfall Street</t>
  </si>
  <si>
    <t>General Street</t>
  </si>
  <si>
    <t>Lotus Route</t>
  </si>
  <si>
    <t>Union Avenue</t>
  </si>
  <si>
    <t>Flax Lane</t>
  </si>
  <si>
    <t>Amber Boulevard</t>
  </si>
  <si>
    <t>Brown Boulevard</t>
  </si>
  <si>
    <t>Diamond Street</t>
  </si>
  <si>
    <t>Delta Street</t>
  </si>
  <si>
    <t>Ashland Avenue</t>
  </si>
  <si>
    <t>Great Street</t>
  </si>
  <si>
    <t>Crown Street</t>
  </si>
  <si>
    <t>Beaver Way</t>
  </si>
  <si>
    <t>Walnut Avenue</t>
  </si>
  <si>
    <t>Mason Avenue</t>
  </si>
  <si>
    <t>Oval Boulevard</t>
  </si>
  <si>
    <t>Ranger Way</t>
  </si>
  <si>
    <t>Flint Passage</t>
  </si>
  <si>
    <t>Haven Boulevard</t>
  </si>
  <si>
    <t>Medieval Avenue</t>
  </si>
  <si>
    <t>Greenfield Avenue</t>
  </si>
  <si>
    <t>Luna Street</t>
  </si>
  <si>
    <t>Saffron Row</t>
  </si>
  <si>
    <t>Heritage Boulevard</t>
  </si>
  <si>
    <t>Great Way</t>
  </si>
  <si>
    <t>Storm Boulevard</t>
  </si>
  <si>
    <t>Union Way</t>
  </si>
  <si>
    <t>Acorn Row</t>
  </si>
  <si>
    <t>Granite Route</t>
  </si>
  <si>
    <t>Broom Avenue</t>
  </si>
  <si>
    <t>Orchard Lane</t>
  </si>
  <si>
    <t>Long Route</t>
  </si>
  <si>
    <t>Polygon Way</t>
  </si>
  <si>
    <t>Revolution Passage</t>
  </si>
  <si>
    <t>Lumber Route</t>
  </si>
  <si>
    <t>Crystal Avenue</t>
  </si>
  <si>
    <t>Haven Passage</t>
  </si>
  <si>
    <t>Clove Street</t>
  </si>
  <si>
    <t>Emerald Boulevard</t>
  </si>
  <si>
    <t>Hart Lane</t>
  </si>
  <si>
    <t>Shadow Lane</t>
  </si>
  <si>
    <t>Merchant Avenue</t>
  </si>
  <si>
    <t>Palm Avenue</t>
  </si>
  <si>
    <t>Wetland Way</t>
  </si>
  <si>
    <t>Ferry Row</t>
  </si>
  <si>
    <t>Pinnacle Route</t>
  </si>
  <si>
    <t>Achorage Lane</t>
  </si>
  <si>
    <t>King Row</t>
  </si>
  <si>
    <t>West Row</t>
  </si>
  <si>
    <t>Colonel Lane</t>
  </si>
  <si>
    <t>Congress Boulevard</t>
  </si>
  <si>
    <t>Chapel Lane</t>
  </si>
  <si>
    <t>Barley Way</t>
  </si>
  <si>
    <t>Apostle Avenue</t>
  </si>
  <si>
    <t>Cedar Avenue</t>
  </si>
  <si>
    <t>Sycamore Avenue</t>
  </si>
  <si>
    <t>Ivy Avenue</t>
  </si>
  <si>
    <t>Meadow Lane</t>
  </si>
  <si>
    <t>Bard Street</t>
  </si>
  <si>
    <t>King Avenue</t>
  </si>
  <si>
    <t>Bay Avenue</t>
  </si>
  <si>
    <t>Crown Lane</t>
  </si>
  <si>
    <t>Fountain Way</t>
  </si>
  <si>
    <t>Duchess Lane</t>
  </si>
  <si>
    <t>Gilded Boulevard</t>
  </si>
  <si>
    <t>Juniper Passage</t>
  </si>
  <si>
    <t>Brewer Way</t>
  </si>
  <si>
    <t>Forest Row</t>
  </si>
  <si>
    <t>Dew Street</t>
  </si>
  <si>
    <t>Hope Avenue</t>
  </si>
  <si>
    <t>Fleet Route</t>
  </si>
  <si>
    <t>Sugarplum Street</t>
  </si>
  <si>
    <t>Bath Lane</t>
  </si>
  <si>
    <t>Lower Boulevard</t>
  </si>
  <si>
    <t>Coach Lane</t>
  </si>
  <si>
    <t>Ebon Passage</t>
  </si>
  <si>
    <t>Marine Row</t>
  </si>
  <si>
    <t>Bay Passage</t>
  </si>
  <si>
    <t>Delta Passage</t>
  </si>
  <si>
    <t>Union Street</t>
  </si>
  <si>
    <t>Juniper Street</t>
  </si>
  <si>
    <t>Sugarplum Route</t>
  </si>
  <si>
    <t>Sapphire Street</t>
  </si>
  <si>
    <t>High Row</t>
  </si>
  <si>
    <t>Copper Row</t>
  </si>
  <si>
    <t>Fleet Avenue</t>
  </si>
  <si>
    <t>West Street</t>
  </si>
  <si>
    <t>Starfall Row</t>
  </si>
  <si>
    <t>Frost Row</t>
  </si>
  <si>
    <t>Coach Passage</t>
  </si>
  <si>
    <t>Clove Boulevard</t>
  </si>
  <si>
    <t>Theater Row</t>
  </si>
  <si>
    <t>Cannon Row</t>
  </si>
  <si>
    <t>Honor Street</t>
  </si>
  <si>
    <t>Arch Street</t>
  </si>
  <si>
    <t>Beacon Street</t>
  </si>
  <si>
    <t>Redwood Row</t>
  </si>
  <si>
    <t>Anchor Avenue</t>
  </si>
  <si>
    <t>Old Route</t>
  </si>
  <si>
    <t>Orchid Lane</t>
  </si>
  <si>
    <t>Brown Row</t>
  </si>
  <si>
    <t>Serenity Row</t>
  </si>
  <si>
    <t>Grove Street</t>
  </si>
  <si>
    <t>Knight Lane</t>
  </si>
  <si>
    <t>Anchor Lane</t>
  </si>
  <si>
    <t>College Street</t>
  </si>
  <si>
    <t>Senna Street</t>
  </si>
  <si>
    <t>Gray Passage</t>
  </si>
  <si>
    <t>Knight Passage</t>
  </si>
  <si>
    <t>Copper Avenue</t>
  </si>
  <si>
    <t>Pioneer Lane</t>
  </si>
  <si>
    <t>Cavern Lane</t>
  </si>
  <si>
    <t>Broad Street</t>
  </si>
  <si>
    <t>Canal Street</t>
  </si>
  <si>
    <t>River Lane</t>
  </si>
  <si>
    <t>Flax Passage</t>
  </si>
  <si>
    <t>Clarity Boulevard</t>
  </si>
  <si>
    <t>Farmer Way</t>
  </si>
  <si>
    <t>Lake Boulevard</t>
  </si>
  <si>
    <t>Spruce Row</t>
  </si>
  <si>
    <t>Grime Lane</t>
  </si>
  <si>
    <t>Corporation Avenue</t>
  </si>
  <si>
    <t>Love Passage</t>
  </si>
  <si>
    <t>Pioneer Row</t>
  </si>
  <si>
    <t>Oceanview Street</t>
  </si>
  <si>
    <t>Fleet Lane</t>
  </si>
  <si>
    <t>Beach Avenue</t>
  </si>
  <si>
    <t>Snowflake Avenue</t>
  </si>
  <si>
    <t>Butcher Route</t>
  </si>
  <si>
    <t>Ember Passage</t>
  </si>
  <si>
    <t>Boulder Lane</t>
  </si>
  <si>
    <t>Serenity Passage</t>
  </si>
  <si>
    <t>Noble Street</t>
  </si>
  <si>
    <t>Silver Lane</t>
  </si>
  <si>
    <t>Starlight Way</t>
  </si>
  <si>
    <t>Vista Avenue</t>
  </si>
  <si>
    <t>Brewer Row</t>
  </si>
  <si>
    <t>River Avenue</t>
  </si>
  <si>
    <t>Vermilion Lane</t>
  </si>
  <si>
    <t>Fox Avenue</t>
  </si>
  <si>
    <t>Gravel Street</t>
  </si>
  <si>
    <t>Mill Lane</t>
  </si>
  <si>
    <t>Justice Boulevard</t>
  </si>
  <si>
    <t>Shadow Way</t>
  </si>
  <si>
    <t>Autumn Row</t>
  </si>
  <si>
    <t>Colonel Way</t>
  </si>
  <si>
    <t>Vermilion Avenue</t>
  </si>
  <si>
    <t>Shadow Route</t>
  </si>
  <si>
    <t>Beacon Lane</t>
  </si>
  <si>
    <t>Elmwood Row</t>
  </si>
  <si>
    <t>Cypress Avenue</t>
  </si>
  <si>
    <t>Apollo Lane</t>
  </si>
  <si>
    <t>Gray Street</t>
  </si>
  <si>
    <t>Justice Row</t>
  </si>
  <si>
    <t>Mandarin Avenue</t>
  </si>
  <si>
    <t>Marine Street</t>
  </si>
  <si>
    <t>Lawn Lane</t>
  </si>
  <si>
    <t>Bridgeway Street</t>
  </si>
  <si>
    <t>Bard Avenue</t>
  </si>
  <si>
    <t>Aurora Way</t>
  </si>
  <si>
    <t>Monument Boulevard</t>
  </si>
  <si>
    <t>Jade Row</t>
  </si>
  <si>
    <t>Shade Row</t>
  </si>
  <si>
    <t>Locust Lane</t>
  </si>
  <si>
    <t>Marble Street</t>
  </si>
  <si>
    <t>Chestnut Way</t>
  </si>
  <si>
    <t>FAMOUS/INFAMOUS STORES/INDIVIDUALS</t>
  </si>
  <si>
    <t>Academy or university.</t>
  </si>
  <si>
    <t>Ancient ruin.</t>
  </si>
  <si>
    <t>Arena.</t>
  </si>
  <si>
    <t>Cemetery.</t>
  </si>
  <si>
    <t>Civic hall, council hall, or guild hall.</t>
  </si>
  <si>
    <t>Common or greenway.</t>
  </si>
  <si>
    <t>Fortress.</t>
  </si>
  <si>
    <t>Gateway or arch.</t>
  </si>
  <si>
    <t>Library.</t>
  </si>
  <si>
    <t xml:space="preserve"> Lighthouse or watchtower.</t>
  </si>
  <si>
    <t xml:space="preserve"> Marketplace.</t>
  </si>
  <si>
    <t xml:space="preserve"> Palace.</t>
  </si>
  <si>
    <t xml:space="preserve"> Parade grounds or drilling yard.</t>
  </si>
  <si>
    <t xml:space="preserve"> Pier, marina, or traveler's bazaar.</t>
  </si>
  <si>
    <t xml:space="preserve"> Plaza or public square.</t>
  </si>
  <si>
    <t xml:space="preserve"> Temple.</t>
  </si>
  <si>
    <t xml:space="preserve"> Theater.</t>
  </si>
  <si>
    <t xml:space="preserve"> Stockyards.</t>
  </si>
  <si>
    <t>Slums.</t>
  </si>
  <si>
    <t>Residential district, poor.</t>
  </si>
  <si>
    <t>Residential district, middle class.</t>
  </si>
  <si>
    <t>Residential district, upper class.</t>
  </si>
  <si>
    <t>Palace district.</t>
  </si>
  <si>
    <t>Temple district.</t>
  </si>
  <si>
    <t>Crafting district.</t>
  </si>
  <si>
    <t>Riverfront district.</t>
  </si>
  <si>
    <t xml:space="preserve"> Harbor district.</t>
  </si>
  <si>
    <t xml:space="preserve"> University district.</t>
  </si>
  <si>
    <t xml:space="preserve"> Military district.</t>
  </si>
  <si>
    <t xml:space="preserve"> Market district.</t>
  </si>
  <si>
    <t xml:space="preserve"> Garden district.</t>
  </si>
  <si>
    <t xml:space="preserve"> Monument district.</t>
  </si>
  <si>
    <t xml:space="preserve"> Necropolis.</t>
  </si>
  <si>
    <t xml:space="preserve"> Theater district.</t>
  </si>
  <si>
    <t xml:space="preserve"> Civic center.</t>
  </si>
  <si>
    <t xml:space="preserve"> Ethnic enclave.</t>
  </si>
  <si>
    <t xml:space="preserve"> Foreign enclave.</t>
  </si>
  <si>
    <t>Prominent Landmark</t>
  </si>
  <si>
    <t>Located in the:</t>
  </si>
  <si>
    <t>PROMINENT LANDMARKS</t>
  </si>
  <si>
    <t>Rumors</t>
  </si>
  <si>
    <t>It's a barbaric monument to a dead people.</t>
  </si>
  <si>
    <t>It's unmistakable as anything else.</t>
  </si>
  <si>
    <t>It dangerous to go there and extremely spooky.</t>
  </si>
  <si>
    <t>You only see it if you have made a terrible mistake and gone somewhere bad.</t>
  </si>
  <si>
    <t>It's rumored to move around.</t>
  </si>
  <si>
    <t>It's man made, like a ship graveyard.</t>
  </si>
  <si>
    <t>It's naturally occurring, like a mesa.</t>
  </si>
  <si>
    <t>It's less of a landmark and more of a region with a distinct character.</t>
  </si>
  <si>
    <t>It was formed by a great disaster.</t>
  </si>
  <si>
    <t xml:space="preserve"> Travelers come from leagues around to see it.</t>
  </si>
  <si>
    <t xml:space="preserve"> Pilgrims leave trinkets and carvings in/on/at it as they make their way for good luck.</t>
  </si>
  <si>
    <t xml:space="preserve"> It is thought that the tree will endure forever, so lovers carve their initials into it.</t>
  </si>
  <si>
    <t xml:space="preserve"> Children rub the statue's nose for good luck.</t>
  </si>
  <si>
    <t xml:space="preserve"> A famous assassination occurred on this spot.</t>
  </si>
  <si>
    <t xml:space="preserve"> The world grieved when the sorceress who is interred here died.</t>
  </si>
  <si>
    <t xml:space="preserve"> Your elder brother came to this place on his Grand Tour of the realm.</t>
  </si>
  <si>
    <t xml:space="preserve"> It's ugly as sin and doesn't at all fit with the surrounding architecture.</t>
  </si>
  <si>
    <t xml:space="preserve"> They are a major port and trading hub.</t>
  </si>
  <si>
    <t xml:space="preserve"> They are at war with another city.</t>
  </si>
  <si>
    <t xml:space="preserve"> They are the only place an important spice can be grown.</t>
  </si>
  <si>
    <t xml:space="preserve"> It is built around a giant mine.</t>
  </si>
  <si>
    <t xml:space="preserve"> The lord of the city is a dragon.</t>
  </si>
  <si>
    <t xml:space="preserve"> The city was the site of a great magical disaster.</t>
  </si>
  <si>
    <t xml:space="preserve"> The city was the site of a great magical experiment.</t>
  </si>
  <si>
    <t xml:space="preserve"> A great artist makes his home there.</t>
  </si>
  <si>
    <t xml:space="preserve"> It's so far away you've only barely heard its name before.</t>
  </si>
  <si>
    <t xml:space="preserve"> It's caught between two large, aggressive neighbors.</t>
  </si>
  <si>
    <t xml:space="preserve"> It's home to the largest cathedral to &lt;god&gt; in the realm.</t>
  </si>
  <si>
    <t xml:space="preserve"> It suffers a terrible reputation as a wretched hive of scum and villainy.</t>
  </si>
  <si>
    <t xml:space="preserve"> Dark magics seem to gravitate to the region. </t>
  </si>
  <si>
    <t>You have heard of this city before because:</t>
  </si>
  <si>
    <t>Weapons</t>
  </si>
  <si>
    <t>Armor</t>
  </si>
  <si>
    <t>Magical items</t>
  </si>
  <si>
    <t>Fresh food</t>
  </si>
  <si>
    <t>Cured food</t>
  </si>
  <si>
    <t>Livestock</t>
  </si>
  <si>
    <t>Slaves</t>
  </si>
  <si>
    <t>Services</t>
  </si>
  <si>
    <t>Mostly junk</t>
  </si>
  <si>
    <t xml:space="preserve"> Artwork</t>
  </si>
  <si>
    <t xml:space="preserve"> Jewellery</t>
  </si>
  <si>
    <t xml:space="preserve"> Gems and Ores</t>
  </si>
  <si>
    <t xml:space="preserve"> Mining tools</t>
  </si>
  <si>
    <t xml:space="preserve"> Household goods</t>
  </si>
  <si>
    <t xml:space="preserve"> Farming tools</t>
  </si>
  <si>
    <t xml:space="preserve"> Animal feed</t>
  </si>
  <si>
    <t xml:space="preserve"> Crafting tools</t>
  </si>
  <si>
    <t xml:space="preserve"> Ales and Liqueur</t>
  </si>
  <si>
    <t xml:space="preserve"> Items of interest from a previous generation</t>
  </si>
  <si>
    <t xml:space="preserve"> Items of interest from a far-away land</t>
  </si>
  <si>
    <t xml:space="preserve"> Clothing</t>
  </si>
  <si>
    <t xml:space="preserve"> Gnomish Gadgets</t>
  </si>
  <si>
    <t xml:space="preserve"> Potions</t>
  </si>
  <si>
    <t xml:space="preserve"> Poisons</t>
  </si>
  <si>
    <t xml:space="preserve"> Alchemical Supplies</t>
  </si>
  <si>
    <t xml:space="preserve"> Magical Supplies</t>
  </si>
  <si>
    <t xml:space="preserve"> Musical instruments</t>
  </si>
  <si>
    <t xml:space="preserve"> Fabrics</t>
  </si>
  <si>
    <t xml:space="preserve"> A little bit of everything</t>
  </si>
  <si>
    <t xml:space="preserve"> Spices</t>
  </si>
  <si>
    <t xml:space="preserve"> Hunting Tools</t>
  </si>
  <si>
    <t xml:space="preserve"> Herbs</t>
  </si>
  <si>
    <t xml:space="preserve"> Remedies and tonics</t>
  </si>
  <si>
    <t xml:space="preserve"> Books</t>
  </si>
  <si>
    <t xml:space="preserve"> Dolls</t>
  </si>
  <si>
    <t xml:space="preserve"> Toys</t>
  </si>
  <si>
    <t xml:space="preserve"> Exotic Animals</t>
  </si>
  <si>
    <t xml:space="preserve"> Furs and Pelts</t>
  </si>
  <si>
    <t xml:space="preserve"> Illicit Goods</t>
  </si>
  <si>
    <t xml:space="preserve"> Cheeses</t>
  </si>
  <si>
    <t xml:space="preserve"> Meats</t>
  </si>
  <si>
    <t xml:space="preserve"> Pack animals</t>
  </si>
  <si>
    <t xml:space="preserve"> Building supplies</t>
  </si>
  <si>
    <t xml:space="preserve"> Fruits and vegetables</t>
  </si>
  <si>
    <t xml:space="preserve"> Supplies for a local guild</t>
  </si>
  <si>
    <t xml:space="preserve"> Leather goods</t>
  </si>
  <si>
    <t xml:space="preserve"> Good crafted from rare metals</t>
  </si>
  <si>
    <t xml:space="preserve"> Beauty and hygiene supplies</t>
  </si>
  <si>
    <t xml:space="preserve"> Magical creatures</t>
  </si>
  <si>
    <t xml:space="preserve"> Wagon wheels</t>
  </si>
  <si>
    <t>A building in a merchant district</t>
  </si>
  <si>
    <t>Attached to the merchant's home</t>
  </si>
  <si>
    <t>A wagon pulled by a horse or ox team</t>
  </si>
  <si>
    <t>Under a tent</t>
  </si>
  <si>
    <t>In an open bazaar on a rug</t>
  </si>
  <si>
    <t>In a stall in a bazaar</t>
  </si>
  <si>
    <t>In the back room of another shop</t>
  </si>
  <si>
    <t>A merchant caravan</t>
  </si>
  <si>
    <t>In a place only accessibly by magic</t>
  </si>
  <si>
    <t xml:space="preserve"> A franchise. The shop can be found in multiple places</t>
  </si>
  <si>
    <t>A beady-eyed accountant</t>
  </si>
  <si>
    <t>A guild leader</t>
  </si>
  <si>
    <t>A noble</t>
  </si>
  <si>
    <t>An obsessive-compulsive gnome</t>
  </si>
  <si>
    <t>A greedy dwarf</t>
  </si>
  <si>
    <t>A former soldier</t>
  </si>
  <si>
    <t>A farmer's wife</t>
  </si>
  <si>
    <t>A snobby high-elf</t>
  </si>
  <si>
    <t>A forgetful halfling</t>
  </si>
  <si>
    <t xml:space="preserve"> An oppressive brute</t>
  </si>
  <si>
    <t xml:space="preserve"> An old crone</t>
  </si>
  <si>
    <t xml:space="preserve"> A lazy half-orc</t>
  </si>
  <si>
    <t>Brand new. Everything has a place, and is in its place</t>
  </si>
  <si>
    <t>Well maintained. It is cleaned regularly</t>
  </si>
  <si>
    <t>Average. A little dusty</t>
  </si>
  <si>
    <t>Unkempt. Bugs and rodents scurry away from your footsteps</t>
  </si>
  <si>
    <t>Dark. There is no natural light. Only a candle or two light the shop</t>
  </si>
  <si>
    <t>Decrepit. The building should be condemned</t>
  </si>
  <si>
    <t>Pristine. Kept in the best possible condition</t>
  </si>
  <si>
    <t>Cleaned regularly</t>
  </si>
  <si>
    <t>Mixed. Some items look new, while some look like they have been there a long time</t>
  </si>
  <si>
    <t>Dusty and dirty</t>
  </si>
  <si>
    <t>Ancient</t>
  </si>
  <si>
    <t>They are crafted or attained by the merchant himself</t>
  </si>
  <si>
    <t>They are crafted or attained by the merchant's apprentices</t>
  </si>
  <si>
    <t>The merchant's business partner</t>
  </si>
  <si>
    <t>They are crafted elsewhere in bulk, and sold in the shop</t>
  </si>
  <si>
    <t>They are purchased from other people in town and resold</t>
  </si>
  <si>
    <t>No one knows, and no one asks</t>
  </si>
  <si>
    <t>Fairly</t>
  </si>
  <si>
    <t>Below value</t>
  </si>
  <si>
    <t>Above value</t>
  </si>
  <si>
    <t>Exorbitantly</t>
  </si>
  <si>
    <t>Everything is for barter</t>
  </si>
  <si>
    <t>"Other" means of payment are encouraged</t>
  </si>
  <si>
    <t>Based on the merchant's mood</t>
  </si>
  <si>
    <t>Based on how much the merchant thinks the customer needs it.</t>
  </si>
  <si>
    <t>Giant. Multiple rooms</t>
  </si>
  <si>
    <t>Large. One big room</t>
  </si>
  <si>
    <t>Average. One room big enough to hold what is needed</t>
  </si>
  <si>
    <t>Small. The room feels cluttered</t>
  </si>
  <si>
    <t>Tiny. The merchant practically operates out of a pack</t>
  </si>
  <si>
    <t>It's one of the most popular places to visit</t>
  </si>
  <si>
    <t>A few people mill in and out of the shop</t>
  </si>
  <si>
    <t>Not very busy. You are the only people there</t>
  </si>
  <si>
    <t>It rarely sees a customer</t>
  </si>
  <si>
    <t>The shopkeeper lives in a room attached to the shop</t>
  </si>
  <si>
    <t>There is a secret room in the back to sell illicit wares</t>
  </si>
  <si>
    <t>The shopkeeper does not seem to belong there</t>
  </si>
  <si>
    <t>One of the items does not seem to belong there</t>
  </si>
  <si>
    <t>A bell rings every time someone enters the shop</t>
  </si>
  <si>
    <t>The shopkeeper is unusually friendly</t>
  </si>
  <si>
    <t>The shopkeeper does not seem to want any business</t>
  </si>
  <si>
    <t>Some items are oddly magical (or non-magical)</t>
  </si>
  <si>
    <t>You feel an unseen presence watching you</t>
  </si>
  <si>
    <t xml:space="preserve"> Magical barriers prevent people from handling the merchandise</t>
  </si>
  <si>
    <t xml:space="preserve"> A goblin is handling some of the wares</t>
  </si>
  <si>
    <t xml:space="preserve"> A ogre is leashed to one of the walls</t>
  </si>
  <si>
    <t xml:space="preserve"> A couple dogs keep an eye on you, while chewing on a bone</t>
  </si>
  <si>
    <t xml:space="preserve"> A cat follows you around the shop</t>
  </si>
  <si>
    <t xml:space="preserve"> A goat seems to be keeping guard outside the shop</t>
  </si>
  <si>
    <t xml:space="preserve"> A rats nest is forming in a secluded corner</t>
  </si>
  <si>
    <t xml:space="preserve"> A talking bird insists on yelling obscenities at you</t>
  </si>
  <si>
    <t xml:space="preserve"> Many items are being packed for sale</t>
  </si>
  <si>
    <t xml:space="preserve"> A new shipment has just arrived, and is being stocked</t>
  </si>
  <si>
    <t xml:space="preserve"> You hear noises from the roof or room above the shop</t>
  </si>
  <si>
    <t xml:space="preserve"> The floor is cracked</t>
  </si>
  <si>
    <t xml:space="preserve"> The merchant is cleaning up an item that was ruined on the shop floor</t>
  </si>
  <si>
    <t xml:space="preserve"> The shopkeeper is arguing with an employee</t>
  </si>
  <si>
    <t xml:space="preserve"> A monkey follows you and tries to hand merchandise to you</t>
  </si>
  <si>
    <t xml:space="preserve"> Footprints lead directly into a wall</t>
  </si>
  <si>
    <t xml:space="preserve"> A raven tries to steal items from your bag</t>
  </si>
  <si>
    <t xml:space="preserve"> The merchant's young children are trying unsuccessfully at a hard sale</t>
  </si>
  <si>
    <t xml:space="preserve"> The merchant does not speak common</t>
  </si>
  <si>
    <t xml:space="preserve"> Items change when you're not looking</t>
  </si>
  <si>
    <t xml:space="preserve"> Music is playing throughout the shop</t>
  </si>
  <si>
    <t xml:space="preserve"> The merchant can tell a story behind everything he sells</t>
  </si>
  <si>
    <t xml:space="preserve"> Some of the items appear stolen</t>
  </si>
  <si>
    <t xml:space="preserve"> The shop is only open at night</t>
  </si>
  <si>
    <t xml:space="preserve"> The shop is closed for the day</t>
  </si>
  <si>
    <t xml:space="preserve"> An unusual item is for sale with a dark backstory</t>
  </si>
  <si>
    <t xml:space="preserve"> A couple of thugs are holding up the merchant</t>
  </si>
  <si>
    <t xml:space="preserve"> One of the customers is trying to shoplift</t>
  </si>
  <si>
    <t xml:space="preserve"> The shop has a strong odor of mildew</t>
  </si>
  <si>
    <t xml:space="preserve"> The shop is owned by a friend or former party member</t>
  </si>
  <si>
    <t xml:space="preserve"> A ghost is browsing the merchandise</t>
  </si>
  <si>
    <t xml:space="preserve"> The shopkeeper is fast asleep</t>
  </si>
  <si>
    <t xml:space="preserve"> The shopkeeper has a pungent and offensive smell</t>
  </si>
  <si>
    <t xml:space="preserve"> The shopkeeper is a forceful salesman</t>
  </si>
  <si>
    <t xml:space="preserve"> A legendary weapon is on display, but not for sale</t>
  </si>
  <si>
    <t xml:space="preserve"> Murals line the walls</t>
  </si>
  <si>
    <t xml:space="preserve"> The merchant insists he is from an ancient line of powerful merchants</t>
  </si>
  <si>
    <t xml:space="preserve"> The merchant dresses much better than expected</t>
  </si>
  <si>
    <t xml:space="preserve"> The merchant looks like a beggar</t>
  </si>
  <si>
    <t xml:space="preserve"> Constables or the local guard are interviewing everyone in the shop</t>
  </si>
  <si>
    <t xml:space="preserve"> The shopkeeper just died</t>
  </si>
  <si>
    <t>This shop sells:</t>
  </si>
  <si>
    <t>The shop is:</t>
  </si>
  <si>
    <t>The shop owner is:</t>
  </si>
  <si>
    <t>The shop condition is:</t>
  </si>
  <si>
    <t>The merchandise condition is:</t>
  </si>
  <si>
    <t>The supplies come from:</t>
  </si>
  <si>
    <t>The items are priced:</t>
  </si>
  <si>
    <t>The shop size is:</t>
  </si>
  <si>
    <t>Shop popularity:</t>
  </si>
  <si>
    <t>Something interesting:</t>
  </si>
  <si>
    <t>RANDOM SHOPS</t>
  </si>
  <si>
    <t>RANDOM MARKET STALLS</t>
  </si>
  <si>
    <t>Ancient and well-respected by all houses, great and small.</t>
  </si>
  <si>
    <t>Ancient and greatly diminished in standing from what it once was.</t>
  </si>
  <si>
    <t>Old with the respect of many houses, great and small.</t>
  </si>
  <si>
    <t>Old and struggling to maintain respect of other houses.</t>
  </si>
  <si>
    <t>Old but often overshadowed by other houses.</t>
  </si>
  <si>
    <t>Newly raised up to the nobility.</t>
  </si>
  <si>
    <t>Violet.</t>
  </si>
  <si>
    <t>Silver / light grey.</t>
  </si>
  <si>
    <t xml:space="preserve"> Brown / beaver.</t>
  </si>
  <si>
    <t xml:space="preserve"> Dark grey / gunmetal.</t>
  </si>
  <si>
    <t xml:space="preserve"> White.</t>
  </si>
  <si>
    <t xml:space="preserve"> Maroon.</t>
  </si>
  <si>
    <t xml:space="preserve"> Sky blue.</t>
  </si>
  <si>
    <t xml:space="preserve"> Navy blue.</t>
  </si>
  <si>
    <t xml:space="preserve"> Dark brown / chocolate.</t>
  </si>
  <si>
    <t xml:space="preserve"> Teal / turquoise.</t>
  </si>
  <si>
    <t xml:space="preserve"> Yellow.</t>
  </si>
  <si>
    <t xml:space="preserve"> Orange.</t>
  </si>
  <si>
    <t>The house's symbol is...</t>
  </si>
  <si>
    <t>Compassion.</t>
  </si>
  <si>
    <t>Courage.</t>
  </si>
  <si>
    <t>Courtesy.</t>
  </si>
  <si>
    <t>Determination.</t>
  </si>
  <si>
    <t>Discipline.</t>
  </si>
  <si>
    <t>Duty.</t>
  </si>
  <si>
    <t>Excellence.</t>
  </si>
  <si>
    <t>Faith.</t>
  </si>
  <si>
    <t>Generosity.</t>
  </si>
  <si>
    <t xml:space="preserve"> Honor.</t>
  </si>
  <si>
    <t xml:space="preserve"> Hope.</t>
  </si>
  <si>
    <t xml:space="preserve"> Integrity.</t>
  </si>
  <si>
    <t xml:space="preserve"> Justice.</t>
  </si>
  <si>
    <t xml:space="preserve"> Loyalty.</t>
  </si>
  <si>
    <t xml:space="preserve"> Mercy.</t>
  </si>
  <si>
    <t xml:space="preserve"> Patience.</t>
  </si>
  <si>
    <t xml:space="preserve"> Righteousness.</t>
  </si>
  <si>
    <t xml:space="preserve"> Strength.</t>
  </si>
  <si>
    <t xml:space="preserve"> Trust.</t>
  </si>
  <si>
    <t xml:space="preserve"> Wisdom.</t>
  </si>
  <si>
    <t>A gallant knight.</t>
  </si>
  <si>
    <t>A beautiful woman.</t>
  </si>
  <si>
    <t>A ruthless negotiator.</t>
  </si>
  <si>
    <t>An adept diplomat.</t>
  </si>
  <si>
    <t>A famous traveler or explorer.</t>
  </si>
  <si>
    <t>A brilliant military strategist.</t>
  </si>
  <si>
    <t>A notorious rebel or outlaw.</t>
  </si>
  <si>
    <t>A fearsome warrior.</t>
  </si>
  <si>
    <t xml:space="preserve"> A brilliant scholar.</t>
  </si>
  <si>
    <t xml:space="preserve"> A gifted orator.</t>
  </si>
  <si>
    <t xml:space="preserve"> A dangerous and mad ruler.</t>
  </si>
  <si>
    <t>A kindly old man or woman.</t>
  </si>
  <si>
    <t>A ruthless old man or woman.</t>
  </si>
  <si>
    <t>A wily old man or woman.</t>
  </si>
  <si>
    <t>A charming man or woman.</t>
  </si>
  <si>
    <t>A grim veteran of wars.</t>
  </si>
  <si>
    <t>An astute politician.</t>
  </si>
  <si>
    <t>A devout adherent of a religion.</t>
  </si>
  <si>
    <t>A heartbroken widower or widow.</t>
  </si>
  <si>
    <t>A reckless or hot-headed young man or woman.</t>
  </si>
  <si>
    <t xml:space="preserve"> A child.</t>
  </si>
  <si>
    <t>Domination of the city or region's politics.</t>
  </si>
  <si>
    <t>Domination of the city or region's trade.</t>
  </si>
  <si>
    <t>Revenge against a rival house in the same city or region.</t>
  </si>
  <si>
    <t>Revenge against a rival house in another city or region.</t>
  </si>
  <si>
    <t>Sabotage of a group run by commoners—a guild, academy, religious faith, or secret society.</t>
  </si>
  <si>
    <t>Fomenting rebellion against the city or region's ruling house.</t>
  </si>
  <si>
    <t>Marriage with a powerful allied house.</t>
  </si>
  <si>
    <t>Marriage with a powerful rival house.</t>
  </si>
  <si>
    <t>A long-time scandalous romance.</t>
  </si>
  <si>
    <t>The existence of a bastard child.</t>
  </si>
  <si>
    <t>A murder in one of the house's keeps, castles, or palaces.</t>
  </si>
  <si>
    <t>Religious zealotry.</t>
  </si>
  <si>
    <t>The birth of a malformed freak.</t>
  </si>
  <si>
    <t>Treason against the region's sovereign.</t>
  </si>
  <si>
    <t>The senility or madness of family members.</t>
  </si>
  <si>
    <t>Criminal sabotage of a rival house.</t>
  </si>
  <si>
    <t>The House is:</t>
  </si>
  <si>
    <t>The Colors are:</t>
  </si>
  <si>
    <t>The House Symbol is a:</t>
  </si>
  <si>
    <t>The House Motto Champions:</t>
  </si>
  <si>
    <t>The most famous member was:</t>
  </si>
  <si>
    <t>The current head is:</t>
  </si>
  <si>
    <t>The House goals are:</t>
  </si>
  <si>
    <t>A member keeps secret:</t>
  </si>
  <si>
    <t>The Local Noble House</t>
  </si>
  <si>
    <t>CITY NAME</t>
  </si>
  <si>
    <t>Qriuby</t>
  </si>
  <si>
    <t>Ylimont</t>
  </si>
  <si>
    <t>Disey</t>
  </si>
  <si>
    <t>Enoset</t>
  </si>
  <si>
    <t>Izreistin</t>
  </si>
  <si>
    <t>Phison</t>
  </si>
  <si>
    <t>Greley</t>
  </si>
  <si>
    <t>Wrerton</t>
  </si>
  <si>
    <t>Cracore</t>
  </si>
  <si>
    <t>Bluiphaka</t>
  </si>
  <si>
    <t>Ipreaymont</t>
  </si>
  <si>
    <t>Kricshire</t>
  </si>
  <si>
    <t>Inorough</t>
  </si>
  <si>
    <t>Uhupling</t>
  </si>
  <si>
    <t>Aeraoding</t>
  </si>
  <si>
    <t>Ploni</t>
  </si>
  <si>
    <t>Krido</t>
  </si>
  <si>
    <t>Noria</t>
  </si>
  <si>
    <t>Grufroria</t>
  </si>
  <si>
    <t>Srevleka</t>
  </si>
  <si>
    <t>Hecaster</t>
  </si>
  <si>
    <t>Khiedale</t>
  </si>
  <si>
    <t>Doammont</t>
  </si>
  <si>
    <t>Uiyieland</t>
  </si>
  <si>
    <t>Uaploaving</t>
  </si>
  <si>
    <t>Hagos</t>
  </si>
  <si>
    <t>Ylery</t>
  </si>
  <si>
    <t>Qago</t>
  </si>
  <si>
    <t>Aclootaco</t>
  </si>
  <si>
    <t>Zrutale</t>
  </si>
  <si>
    <t>Icliford</t>
  </si>
  <si>
    <t>Qrusgate</t>
  </si>
  <si>
    <t>Yloactol</t>
  </si>
  <si>
    <t>Easeuxgow</t>
  </si>
  <si>
    <t>Aezheixtol</t>
  </si>
  <si>
    <t>Udaka</t>
  </si>
  <si>
    <t>Zhery</t>
  </si>
  <si>
    <t>Qrego</t>
  </si>
  <si>
    <t>Saozeley</t>
  </si>
  <si>
    <t>Xebririe</t>
  </si>
  <si>
    <t>Ewraachester</t>
  </si>
  <si>
    <t>Vraapset</t>
  </si>
  <si>
    <t>Zreeyvale</t>
  </si>
  <si>
    <t>Iezhifast</t>
  </si>
  <si>
    <t>Uneoford</t>
  </si>
  <si>
    <t>Khont</t>
  </si>
  <si>
    <t>Estrouver</t>
  </si>
  <si>
    <t>Lans</t>
  </si>
  <si>
    <t>Blegront</t>
  </si>
  <si>
    <t>Uyluching</t>
  </si>
  <si>
    <t>Vluhsall</t>
  </si>
  <si>
    <t>Yhoiburg</t>
  </si>
  <si>
    <t>Khepver</t>
  </si>
  <si>
    <t>Aorohsea</t>
  </si>
  <si>
    <t>Ivekcester</t>
  </si>
  <si>
    <t>Kheka</t>
  </si>
  <si>
    <t>Klita</t>
  </si>
  <si>
    <t>Keigh</t>
  </si>
  <si>
    <t>Ephicleim</t>
  </si>
  <si>
    <t>Phowrando</t>
  </si>
  <si>
    <t>Gechester</t>
  </si>
  <si>
    <t>Jufsey</t>
  </si>
  <si>
    <t>Cumore</t>
  </si>
  <si>
    <t>Ephuoptin</t>
  </si>
  <si>
    <t>Uajuokbert</t>
  </si>
  <si>
    <t>Yhesa</t>
  </si>
  <si>
    <t>Zroit</t>
  </si>
  <si>
    <t>Ding</t>
  </si>
  <si>
    <t>Iglidralo</t>
  </si>
  <si>
    <t>Luuzlille</t>
  </si>
  <si>
    <t>Cheahvine</t>
  </si>
  <si>
    <t>Blidon</t>
  </si>
  <si>
    <t>Vlaicrough</t>
  </si>
  <si>
    <t>Ochokrith</t>
  </si>
  <si>
    <t>Apouving</t>
  </si>
  <si>
    <t>Srence</t>
  </si>
  <si>
    <t>Ylury</t>
  </si>
  <si>
    <t>Crento</t>
  </si>
  <si>
    <t>Qraflora</t>
  </si>
  <si>
    <t>Gafark</t>
  </si>
  <si>
    <t>Wrucaster</t>
  </si>
  <si>
    <t>Sausnard</t>
  </si>
  <si>
    <t>Slocaster</t>
  </si>
  <si>
    <t>Ioviunnard</t>
  </si>
  <si>
    <t>Inuoftin</t>
  </si>
  <si>
    <t>Rouis</t>
  </si>
  <si>
    <t>Crodon</t>
  </si>
  <si>
    <t>Drale</t>
  </si>
  <si>
    <t>Zroihago</t>
  </si>
  <si>
    <t>Grabury</t>
  </si>
  <si>
    <t>Iyraphia</t>
  </si>
  <si>
    <t>Pheofgend</t>
  </si>
  <si>
    <t>Kliornard</t>
  </si>
  <si>
    <t>Awipool</t>
  </si>
  <si>
    <t>Esibert</t>
  </si>
  <si>
    <t>Ofrane</t>
  </si>
  <si>
    <t>Dreley</t>
  </si>
  <si>
    <t>Kheigh</t>
  </si>
  <si>
    <t>Istreprinas</t>
  </si>
  <si>
    <t>Phoemand</t>
  </si>
  <si>
    <t>Tatin</t>
  </si>
  <si>
    <t>Qroigow</t>
  </si>
  <si>
    <t>Sluidence</t>
  </si>
  <si>
    <t>Emeuyburgh</t>
  </si>
  <si>
    <t>Awrapchester</t>
  </si>
  <si>
    <t>Zrila</t>
  </si>
  <si>
    <t>Zloln</t>
  </si>
  <si>
    <t>Chens</t>
  </si>
  <si>
    <t>Shiqoit</t>
  </si>
  <si>
    <t>Crouwans</t>
  </si>
  <si>
    <t>Rehull</t>
  </si>
  <si>
    <t>Vliuhphia</t>
  </si>
  <si>
    <t>Kupool</t>
  </si>
  <si>
    <t>Aecromont</t>
  </si>
  <si>
    <t>Evreasport</t>
  </si>
  <si>
    <t>Flada</t>
  </si>
  <si>
    <t>Lork</t>
  </si>
  <si>
    <t>Sesa</t>
  </si>
  <si>
    <t>Boafladena</t>
  </si>
  <si>
    <t>Mopaka</t>
  </si>
  <si>
    <t>Oqriwell</t>
  </si>
  <si>
    <t>Daiford</t>
  </si>
  <si>
    <t>Grorgow</t>
  </si>
  <si>
    <t>Oklilford</t>
  </si>
  <si>
    <t>Uenusey</t>
  </si>
  <si>
    <t>Yhont</t>
  </si>
  <si>
    <t>Yaka</t>
  </si>
  <si>
    <t>Tanta</t>
  </si>
  <si>
    <t>Eweawares</t>
  </si>
  <si>
    <t>Ufluepraco</t>
  </si>
  <si>
    <t>Greesea</t>
  </si>
  <si>
    <t>Liphull</t>
  </si>
  <si>
    <t>Veogow</t>
  </si>
  <si>
    <t>Evatol</t>
  </si>
  <si>
    <t>Uyiespolis</t>
  </si>
  <si>
    <t>Otria</t>
  </si>
  <si>
    <t>Tence</t>
  </si>
  <si>
    <t>Nona</t>
  </si>
  <si>
    <t>Oproweah</t>
  </si>
  <si>
    <t>Klodans</t>
  </si>
  <si>
    <t>Bahmond</t>
  </si>
  <si>
    <t>Vlapginia</t>
  </si>
  <si>
    <t>Clixnard</t>
  </si>
  <si>
    <t>Uenediff</t>
  </si>
  <si>
    <t>Oodrekling</t>
  </si>
  <si>
    <t>Usagos</t>
  </si>
  <si>
    <t>Iweles</t>
  </si>
  <si>
    <t>Vico</t>
  </si>
  <si>
    <t>Avlaihila</t>
  </si>
  <si>
    <t>Krawinas</t>
  </si>
  <si>
    <t>Coogate</t>
  </si>
  <si>
    <t>Klaasey</t>
  </si>
  <si>
    <t>Mottol</t>
  </si>
  <si>
    <t>Umagan</t>
  </si>
  <si>
    <t>Eploayrough</t>
  </si>
  <si>
    <t>Clury</t>
  </si>
  <si>
    <t>Xirie</t>
  </si>
  <si>
    <t>Uleim</t>
  </si>
  <si>
    <t>Zhubrada</t>
  </si>
  <si>
    <t>Kruwago</t>
  </si>
  <si>
    <t>Choovale</t>
  </si>
  <si>
    <t>Fadton</t>
  </si>
  <si>
    <t>Suowood</t>
  </si>
  <si>
    <t>Aboomledo</t>
  </si>
  <si>
    <t>Eevootvale</t>
  </si>
  <si>
    <t>Mares</t>
  </si>
  <si>
    <t>Qreley</t>
  </si>
  <si>
    <t>Igleka</t>
  </si>
  <si>
    <t>Blegurgh</t>
  </si>
  <si>
    <t>Suamesa</t>
  </si>
  <si>
    <t>Wrelas</t>
  </si>
  <si>
    <t>Mendence</t>
  </si>
  <si>
    <t>Ticaster</t>
  </si>
  <si>
    <t>Ephuodtol</t>
  </si>
  <si>
    <t>Uakroginia</t>
  </si>
  <si>
    <t>Brard</t>
  </si>
  <si>
    <t>Qrarc</t>
  </si>
  <si>
    <t>Cille</t>
  </si>
  <si>
    <t>Glokido</t>
  </si>
  <si>
    <t>Zimirie</t>
  </si>
  <si>
    <t>Oshiaross</t>
  </si>
  <si>
    <t>Frekbridge</t>
  </si>
  <si>
    <t>Yoolas</t>
  </si>
  <si>
    <t>Awroinport</t>
  </si>
  <si>
    <t>Uoqeaver</t>
  </si>
  <si>
    <t>Blance</t>
  </si>
  <si>
    <t>Chury</t>
  </si>
  <si>
    <t>Bleigh</t>
  </si>
  <si>
    <t>Ovuvrey</t>
  </si>
  <si>
    <t>Priqury</t>
  </si>
  <si>
    <t>Geamham</t>
  </si>
  <si>
    <t>Trucester</t>
  </si>
  <si>
    <t>Zuoplens</t>
  </si>
  <si>
    <t>Ufupdon</t>
  </si>
  <si>
    <t>Esaapolis</t>
  </si>
  <si>
    <t>Idrey</t>
  </si>
  <si>
    <t>Teka</t>
  </si>
  <si>
    <t>Fada</t>
  </si>
  <si>
    <t>Frajing</t>
  </si>
  <si>
    <t>Zliagloni</t>
  </si>
  <si>
    <t>Qrongow</t>
  </si>
  <si>
    <t>Yhucaster</t>
  </si>
  <si>
    <t>Varridge</t>
  </si>
  <si>
    <t>Obliuhham</t>
  </si>
  <si>
    <t>Agraubury</t>
  </si>
  <si>
    <t>Ecrester</t>
  </si>
  <si>
    <t>Blarc</t>
  </si>
  <si>
    <t>Srine</t>
  </si>
  <si>
    <t>Yuitrinas</t>
  </si>
  <si>
    <t>Kizreka</t>
  </si>
  <si>
    <t>Noukdence</t>
  </si>
  <si>
    <t>Idroulham</t>
  </si>
  <si>
    <t>Klepolis</t>
  </si>
  <si>
    <t>Ukroectin</t>
  </si>
  <si>
    <t>Icuuver</t>
  </si>
  <si>
    <t>Win</t>
  </si>
  <si>
    <t>Moit</t>
  </si>
  <si>
    <t>Cheles</t>
  </si>
  <si>
    <t>Raestona</t>
  </si>
  <si>
    <t>Muaklont</t>
  </si>
  <si>
    <t>Ezluvale</t>
  </si>
  <si>
    <t>Srirora</t>
  </si>
  <si>
    <t>Icleustead</t>
  </si>
  <si>
    <t>Aewruptol</t>
  </si>
  <si>
    <t>Eifrastin</t>
  </si>
  <si>
    <t>Eyhille</t>
  </si>
  <si>
    <t>Fery</t>
  </si>
  <si>
    <t>Blille</t>
  </si>
  <si>
    <t>Owoidrard</t>
  </si>
  <si>
    <t>Qealing</t>
  </si>
  <si>
    <t>Togate</t>
  </si>
  <si>
    <t>Yraland</t>
  </si>
  <si>
    <t>Jesea</t>
  </si>
  <si>
    <t>Aenogan</t>
  </si>
  <si>
    <t>Afroridge</t>
  </si>
  <si>
    <t>Abririe</t>
  </si>
  <si>
    <t>Tarc</t>
  </si>
  <si>
    <t>Xarc</t>
  </si>
  <si>
    <t>Pribison</t>
  </si>
  <si>
    <t>Eqrievlagos</t>
  </si>
  <si>
    <t>Miners.</t>
  </si>
  <si>
    <t>Foresters.</t>
  </si>
  <si>
    <t>Farmers.</t>
  </si>
  <si>
    <t>Laborers.</t>
  </si>
  <si>
    <t>Smithies.</t>
  </si>
  <si>
    <t>Barbers and dentists.</t>
  </si>
  <si>
    <t>Jewelers.</t>
  </si>
  <si>
    <t>Fools, entertainers, and players.</t>
  </si>
  <si>
    <t>Shipwrights.</t>
  </si>
  <si>
    <t xml:space="preserve"> Tanners, furriers, and shoemakers.</t>
  </si>
  <si>
    <t xml:space="preserve"> Butchers.</t>
  </si>
  <si>
    <t xml:space="preserve"> Locksmiths and nailsmiths.</t>
  </si>
  <si>
    <t xml:space="preserve"> Potters and dyers.</t>
  </si>
  <si>
    <t xml:space="preserve"> Saddlers, farriers, and stable masters.</t>
  </si>
  <si>
    <t xml:space="preserve"> Joiners, wheelwrights, and coopers.</t>
  </si>
  <si>
    <t xml:space="preserve"> Masons.</t>
  </si>
  <si>
    <t xml:space="preserve"> Weavers and tailors</t>
  </si>
  <si>
    <t xml:space="preserve"> Goldsmiths and watchmakers</t>
  </si>
  <si>
    <t>Poor; though once great, this guild has fallen on hard times and is struggling to maintain its power.</t>
  </si>
  <si>
    <t>Brand new, and frantically recruiting members in order to snatch power.</t>
  </si>
  <si>
    <t>Exponentially rising, a recent boon has granted them great profits.</t>
  </si>
  <si>
    <t>Slowing, a rising competitor is slowly cutting into profits.</t>
  </si>
  <si>
    <t>Absolute, they have complete dominance in their field.</t>
  </si>
  <si>
    <t>Spotty, depending on the will of the coin and the market this guild may be drinking Elven wine or rotten grog.</t>
  </si>
  <si>
    <t>Unquestioned, they exert complete dominance over all other guilds in the area.</t>
  </si>
  <si>
    <t>Questionable, though they claim to have control, some operators have undermined it.</t>
  </si>
  <si>
    <t>Literally nothing, they are paragons of upright morality.</t>
  </si>
  <si>
    <t>Staying well within the law, if slipping on a few taxes due to ignorance, of course.</t>
  </si>
  <si>
    <t>Knowing how to play the political game, they garner a few indirect favors from officials.</t>
  </si>
  <si>
    <t>Guild leaders having dollar signs for eyes, and setting advantageous prices in the city.</t>
  </si>
  <si>
    <t>Price floors becoming commonplace, and officials are often bribed in order to overlook some minor illicit activities.</t>
  </si>
  <si>
    <t>A variety of upper-level bribes, some minor scams, and the dismay of local priests.</t>
  </si>
  <si>
    <t>Rampant corruption, with large-scale bribery of various city officials and contracts with thieves’ guild and occasionally an assassin.</t>
  </si>
  <si>
    <t>Pacts with devils, large-scale counterfeiting, and treasonous activities are a normal Tuesday morning for this guild.</t>
  </si>
  <si>
    <t>The leader's or leaders' personal residence, a large manor.</t>
  </si>
  <si>
    <t>The dusty basement of the city's capital hall.</t>
  </si>
  <si>
    <t>A single, thin, and very tall townhouse that leans slightly into the street.</t>
  </si>
  <si>
    <t>A moored ship, especially curious in landlocked cities.</t>
  </si>
  <si>
    <t>An open-air pavilion centered in the city's bazaar.</t>
  </si>
  <si>
    <t>Doubling as a large and prestigious bank.</t>
  </si>
  <si>
    <t>An opulent demiplane hidden in a shady back-alley.</t>
  </si>
  <si>
    <t>Jointly shared with all the guilds of the city, and the thieves guild lurks in the sewers below.</t>
  </si>
  <si>
    <t>This is a Guild for:</t>
  </si>
  <si>
    <t>Guild Status and Control is:</t>
  </si>
  <si>
    <t>Guild's illicit affairs comprise:</t>
  </si>
  <si>
    <t>Guild Headquarters is:</t>
  </si>
  <si>
    <t>NOTABLE GUILDS</t>
  </si>
  <si>
    <t>The Caravan is:</t>
  </si>
  <si>
    <t>The Pack animals are:</t>
  </si>
  <si>
    <t>The caravan is transporting:</t>
  </si>
  <si>
    <t>The general mood is:</t>
  </si>
  <si>
    <t>The Caravan Master is:</t>
  </si>
  <si>
    <t>They are looking for:</t>
  </si>
  <si>
    <t>They are taking special care to avoid:</t>
  </si>
  <si>
    <t>A wagon train.</t>
  </si>
  <si>
    <t>A long wagon train.</t>
  </si>
  <si>
    <t>A small train of pack animals.</t>
  </si>
  <si>
    <t>A long train of pack animals.</t>
  </si>
  <si>
    <t>A train of pack animals with livestock.</t>
  </si>
  <si>
    <t>Traveling on foot with a few animals.</t>
  </si>
  <si>
    <t>One-humped camels.</t>
  </si>
  <si>
    <t>Two-humped camels.</t>
  </si>
  <si>
    <t>Large draft horses.</t>
  </si>
  <si>
    <t>Reliable garrons.</t>
  </si>
  <si>
    <t>Sure-footed ponies.</t>
  </si>
  <si>
    <t>Mules.</t>
  </si>
  <si>
    <t>Oxen.</t>
  </si>
  <si>
    <t>Drugs or contraband.</t>
  </si>
  <si>
    <t>Spices and teas.</t>
  </si>
  <si>
    <t>Wine and spirits.</t>
  </si>
  <si>
    <t>Desperate; a calamity has befallen them.</t>
  </si>
  <si>
    <t>Foul; morale is bad, and provisions are low.</t>
  </si>
  <si>
    <t>Tired; the journey is long and longer yet.</t>
  </si>
  <si>
    <t>Eager; great riches await at journey’s end.</t>
  </si>
  <si>
    <t>A celebrated explorer.</t>
  </si>
  <si>
    <t>Information regarding the route ahead.</t>
  </si>
  <si>
    <t>The location of an ancient ruin.</t>
  </si>
  <si>
    <t>Extra muscle for the journey.</t>
  </si>
  <si>
    <t>News from the origin or destination.</t>
  </si>
  <si>
    <t>Revenge against a bitter rival.</t>
  </si>
  <si>
    <t>Ways to cheat the caravan’s owner.</t>
  </si>
  <si>
    <t>Ways to speed up the caravan’s pace.</t>
  </si>
  <si>
    <t>Ancient ruins and cursed places.</t>
  </si>
  <si>
    <t>Barbarians.</t>
  </si>
  <si>
    <t>Bandits.</t>
  </si>
  <si>
    <t>Other caravans.</t>
  </si>
  <si>
    <t>Thieves.</t>
  </si>
  <si>
    <t>Wild beasts.</t>
  </si>
  <si>
    <t>Several daggers and a purse of gold.</t>
  </si>
  <si>
    <t>Extravagant jewels and silks.</t>
  </si>
  <si>
    <t>Keys of many shapes and sizes.</t>
  </si>
  <si>
    <t>Exotic beasts</t>
  </si>
  <si>
    <t>NOTABLE CARAVANS PASSING THROUGH</t>
  </si>
  <si>
    <t>Running heists of and/or fencing stolen gems and precious metals.</t>
  </si>
  <si>
    <t>Petty theft, burglary, and/or pickpocketing.</t>
  </si>
  <si>
    <t>Assassinations that look like accidents or that frame someone else.</t>
  </si>
  <si>
    <t>Shaking down legitimate local businesses and/or city officials.</t>
  </si>
  <si>
    <t>Holding up outgoing ships or wagons.</t>
  </si>
  <si>
    <t xml:space="preserve"> Steel / blue grey.</t>
  </si>
  <si>
    <t>An open hand.</t>
  </si>
  <si>
    <t>A crown.</t>
  </si>
  <si>
    <t xml:space="preserve"> A goblet.</t>
  </si>
  <si>
    <t xml:space="preserve"> The moon.</t>
  </si>
  <si>
    <t xml:space="preserve"> A star.</t>
  </si>
  <si>
    <t xml:space="preserve"> A fish.</t>
  </si>
  <si>
    <t xml:space="preserve"> A snake.</t>
  </si>
  <si>
    <t xml:space="preserve"> A badger.</t>
  </si>
  <si>
    <t xml:space="preserve"> A spider.</t>
  </si>
  <si>
    <t xml:space="preserve"> An eagle.</t>
  </si>
  <si>
    <t>Shirts.</t>
  </si>
  <si>
    <t>Jackets.</t>
  </si>
  <si>
    <t>Scarves.</t>
  </si>
  <si>
    <t>Vests.</t>
  </si>
  <si>
    <t>Bandannas.</t>
  </si>
  <si>
    <t>Boots.</t>
  </si>
  <si>
    <t>Tattoos.</t>
  </si>
  <si>
    <t>Hats.</t>
  </si>
  <si>
    <t>Scars.</t>
  </si>
  <si>
    <t xml:space="preserve"> Mustaches.</t>
  </si>
  <si>
    <t>A well-known public figure.</t>
  </si>
  <si>
    <t>Artisans.</t>
  </si>
  <si>
    <t>Relocated peasants.</t>
  </si>
  <si>
    <t>Sailors.</t>
  </si>
  <si>
    <t>Drunks.</t>
  </si>
  <si>
    <t>Beggars.</t>
  </si>
  <si>
    <t>Servants and slaves.</t>
  </si>
  <si>
    <t xml:space="preserve"> Foreigners.</t>
  </si>
  <si>
    <t xml:space="preserve"> Young children.</t>
  </si>
  <si>
    <t xml:space="preserve"> Circus performers.</t>
  </si>
  <si>
    <t>Domination of the city's politics.</t>
  </si>
  <si>
    <t>Domination of the city's trade.</t>
  </si>
  <si>
    <t>Revenge against a rival gang in the same city.</t>
  </si>
  <si>
    <t>Revenge against a rival gang in another city.</t>
  </si>
  <si>
    <t>Revenge against the city's elite.</t>
  </si>
  <si>
    <t>Rebellion against the city's elite.</t>
  </si>
  <si>
    <t>Throwing knives.</t>
  </si>
  <si>
    <t>Serrated daggers.</t>
  </si>
  <si>
    <t>Hammers and daggers.</t>
  </si>
  <si>
    <t xml:space="preserve"> Bare fists.</t>
  </si>
  <si>
    <t>Lots of smiles and jokes.</t>
  </si>
  <si>
    <t>Lots of screaming and shouting.</t>
  </si>
  <si>
    <t>Kicking and stomping.</t>
  </si>
  <si>
    <t xml:space="preserve"> Lots of head-butting.</t>
  </si>
  <si>
    <t>The residence of the leader or a senior gangmember.</t>
  </si>
  <si>
    <t>An artisan's shop or guildhall.</t>
  </si>
  <si>
    <t>A merchant's office.</t>
  </si>
  <si>
    <t>A warehouse or shipyard.</t>
  </si>
  <si>
    <t>A temple complex.</t>
  </si>
  <si>
    <t>The city's sewers.</t>
  </si>
  <si>
    <t>The town hall.</t>
  </si>
  <si>
    <t xml:space="preserve"> An abandoned guildhall or warehouse.</t>
  </si>
  <si>
    <t xml:space="preserve"> A shantytown</t>
  </si>
  <si>
    <t xml:space="preserve"> The residence of a wealthy individual.</t>
  </si>
  <si>
    <t>Fishermen and sailors.</t>
  </si>
  <si>
    <t>Beggars and thieves.</t>
  </si>
  <si>
    <t>Merchants and moneychangers.</t>
  </si>
  <si>
    <t>Jewelers and gemcutters.</t>
  </si>
  <si>
    <t>Gladiators and pugilists.</t>
  </si>
  <si>
    <t xml:space="preserve"> Servants and slaves.</t>
  </si>
  <si>
    <t xml:space="preserve"> Priests and sages.</t>
  </si>
  <si>
    <t>The gang's money-making scheme involves:</t>
  </si>
  <si>
    <t>The Gang Colors are:</t>
  </si>
  <si>
    <t>The gang's symbol is:</t>
  </si>
  <si>
    <t>Distributing drugs</t>
  </si>
  <si>
    <t>Gang members wear matching:</t>
  </si>
  <si>
    <t>The Gang leader is:</t>
  </si>
  <si>
    <t>For recruitment, the gang targets:</t>
  </si>
  <si>
    <t>The Gang's goals include:</t>
  </si>
  <si>
    <t>Gangmembers fight with:</t>
  </si>
  <si>
    <t>The Gang's headquarters is:</t>
  </si>
  <si>
    <t>The Gang is feared/respected by:</t>
  </si>
  <si>
    <t>Gangmembers arm themselves with:</t>
  </si>
  <si>
    <t>NOTABLE URBAN GANGS</t>
  </si>
  <si>
    <t>The Watch's Colors are:</t>
  </si>
  <si>
    <t>The Watch's symbol is:</t>
  </si>
  <si>
    <t>The Watch's Captain is:</t>
  </si>
  <si>
    <t>The Watch's Attitude towards their Captain is:</t>
  </si>
  <si>
    <t>The Watch has a Reputation for:</t>
  </si>
  <si>
    <t>The Watch is outfitted with:</t>
  </si>
  <si>
    <t>Members of the Watch carry:</t>
  </si>
  <si>
    <t>The Constable is:</t>
  </si>
  <si>
    <t>The Constable works for:</t>
  </si>
  <si>
    <t>On the Constables face is:</t>
  </si>
  <si>
    <t>The Constable Carries</t>
  </si>
  <si>
    <t>The Guard is:</t>
  </si>
  <si>
    <t>The Guard works for:</t>
  </si>
  <si>
    <t>The Guard carries:</t>
  </si>
  <si>
    <t>A religious zealot.</t>
  </si>
  <si>
    <t>High morals.</t>
  </si>
  <si>
    <t>Rough-spun wool cloaks.</t>
  </si>
  <si>
    <t>Longswords and shortbows.</t>
  </si>
  <si>
    <t>A priest or monk.</t>
  </si>
  <si>
    <t>A scar from a burn.</t>
  </si>
  <si>
    <t>A magnifying lens.</t>
  </si>
  <si>
    <t>A farm boy.</t>
  </si>
  <si>
    <t>A gauntlet.</t>
  </si>
  <si>
    <t>A scion from a prominent family.</t>
  </si>
  <si>
    <t>Efficiency.</t>
  </si>
  <si>
    <t>Whatever armor they can find.</t>
  </si>
  <si>
    <t>A stoic monk.</t>
  </si>
  <si>
    <t>A chance to bring evil-doers to justice.</t>
  </si>
  <si>
    <t>A jagged scar.</t>
  </si>
  <si>
    <t>The son of a miner or fisherman.</t>
  </si>
  <si>
    <t>A shield.</t>
  </si>
  <si>
    <t xml:space="preserve"> Completely indifferent.</t>
  </si>
  <si>
    <t>Reliability.</t>
  </si>
  <si>
    <t>Leather armor marked with the symbol of the watch.</t>
  </si>
  <si>
    <t>A former soldier.</t>
  </si>
  <si>
    <t>Gold to repay debts.</t>
  </si>
  <si>
    <t>A hard-set jaw.</t>
  </si>
  <si>
    <t>A veteran of warfare.</t>
  </si>
  <si>
    <t>Brutality.</t>
  </si>
  <si>
    <t>Leather armor marked with the symbol of their city or lord.</t>
  </si>
  <si>
    <t>A friendly grin.</t>
  </si>
  <si>
    <t>A blade made of blackened steel.</t>
  </si>
  <si>
    <t>A foreigner.</t>
  </si>
  <si>
    <t>Terrified and tight-lipped.</t>
  </si>
  <si>
    <t>Taking bribes.</t>
  </si>
  <si>
    <t>Helms and breastplates emblazoned with the symbol of their city or lord.</t>
  </si>
  <si>
    <t>A pompous windbag.</t>
  </si>
  <si>
    <t>The joy of solving mysteries.</t>
  </si>
  <si>
    <t>A faraway look.</t>
  </si>
  <si>
    <t>An unusual hat.</t>
  </si>
  <si>
    <t>The son of a poor man.</t>
  </si>
  <si>
    <t>An eye.</t>
  </si>
  <si>
    <t xml:space="preserve"> Disappointed and disrespectful.</t>
  </si>
  <si>
    <t>Shaking down shopkeepers and artisans.</t>
  </si>
  <si>
    <t>Well-maintained chainmail.</t>
  </si>
  <si>
    <t>Maces and shields.</t>
  </si>
  <si>
    <t>An accomplished scholar.</t>
  </si>
  <si>
    <t>A chance for vengeance.</t>
  </si>
  <si>
    <t>A furrowed brow.</t>
  </si>
  <si>
    <t>A clue from an unsolved crime.</t>
  </si>
  <si>
    <t>A drunk.</t>
  </si>
  <si>
    <t>An eagle.</t>
  </si>
  <si>
    <t>Frequenting brothels.</t>
  </si>
  <si>
    <t>Maces and daggers.</t>
  </si>
  <si>
    <t>A violent drunk.</t>
  </si>
  <si>
    <t>A pair of piercing eyes.</t>
  </si>
  <si>
    <t>A token from a lost love.</t>
  </si>
  <si>
    <t>A reformed criminal.</t>
  </si>
  <si>
    <t>White.</t>
  </si>
  <si>
    <t>An owl.</t>
  </si>
  <si>
    <t>Cowardice.</t>
  </si>
  <si>
    <t>Pikes and shortswords.</t>
  </si>
  <si>
    <t>A criminal lackey.</t>
  </si>
  <si>
    <t>A broken nose.</t>
  </si>
  <si>
    <t>Props for several disguises.</t>
  </si>
  <si>
    <t>A thug.</t>
  </si>
  <si>
    <t>A grizzled veteran.</t>
  </si>
  <si>
    <t>Incompetence.</t>
  </si>
  <si>
    <t>Halberds and daggers.</t>
  </si>
  <si>
    <t>Bushy eyebrows.</t>
  </si>
  <si>
    <t>Alchemical reference manual.</t>
  </si>
  <si>
    <t>A failed craftsman.</t>
  </si>
  <si>
    <t xml:space="preserve"> A lion.</t>
  </si>
  <si>
    <t xml:space="preserve"> An adept investigator.</t>
  </si>
  <si>
    <t xml:space="preserve"> Intoxication.</t>
  </si>
  <si>
    <t xml:space="preserve"> Halberds and crossbows.</t>
  </si>
  <si>
    <t xml:space="preserve"> Ruggedly handsome.</t>
  </si>
  <si>
    <t xml:space="preserve"> Unshaven stubble.</t>
  </si>
  <si>
    <t xml:space="preserve"> A pocket-sized almanac.</t>
  </si>
  <si>
    <t xml:space="preserve"> A favorite among the ladies.</t>
  </si>
  <si>
    <t xml:space="preserve"> A raven.</t>
  </si>
  <si>
    <t xml:space="preserve"> An erudite detective.</t>
  </si>
  <si>
    <t xml:space="preserve"> A neatly-trimmed beard.</t>
  </si>
  <si>
    <t>The guard works for...</t>
  </si>
  <si>
    <t xml:space="preserve"> A devoted public servant.</t>
  </si>
  <si>
    <t xml:space="preserve"> An intimidating mustache.</t>
  </si>
  <si>
    <t>A chance to deal out sadistic punishment.</t>
  </si>
  <si>
    <t>Gold to aid a family member.</t>
  </si>
  <si>
    <t>A chance to escape from life imprisonment.</t>
  </si>
  <si>
    <t>Patriotic devotion.</t>
  </si>
  <si>
    <t>A large wart.</t>
  </si>
  <si>
    <t>A look of determination.</t>
  </si>
  <si>
    <t>A foolish grin.</t>
  </si>
  <si>
    <t>A stupid stare.</t>
  </si>
  <si>
    <t>A look of confusion.</t>
  </si>
  <si>
    <t>A bulbous nose.</t>
  </si>
  <si>
    <t>Fearsome sideburns.</t>
  </si>
  <si>
    <t xml:space="preserve"> An unruly beard.</t>
  </si>
  <si>
    <t xml:space="preserve"> A neatly-trimmed mustache.</t>
  </si>
  <si>
    <t xml:space="preserve"> A waxed mustache.</t>
  </si>
  <si>
    <t>A blade with soft leather tassels dangling from the pommel.</t>
  </si>
  <si>
    <t>A blade with an inscription.</t>
  </si>
  <si>
    <t>A token from a favorite harlot.</t>
  </si>
  <si>
    <t>A trophy from a criminal.</t>
  </si>
  <si>
    <t>A ribbon from a noble maiden.</t>
  </si>
  <si>
    <t>A silk handkerchief.</t>
  </si>
  <si>
    <t>A flask of wine.</t>
  </si>
  <si>
    <t xml:space="preserve"> A grocery list.</t>
  </si>
  <si>
    <t>A lucky charm</t>
  </si>
  <si>
    <t>Maces and crossbows.</t>
  </si>
  <si>
    <t>Gold to support his addiction</t>
  </si>
  <si>
    <t>CITY WATCH</t>
  </si>
  <si>
    <t>LOCAL DETECTIVE/CONSTABLE/SHERIFF</t>
  </si>
  <si>
    <t>MINERS</t>
  </si>
  <si>
    <t>Varieties: This dish is...</t>
  </si>
  <si>
    <t>Carrots.</t>
  </si>
  <si>
    <t>This dish is</t>
  </si>
  <si>
    <t>Preperation</t>
  </si>
  <si>
    <t>Presentation</t>
  </si>
  <si>
    <t>Sold with:</t>
  </si>
  <si>
    <t>Sweet Flavors</t>
  </si>
  <si>
    <t>Spicy Flavors</t>
  </si>
  <si>
    <t>Pixie parts</t>
  </si>
  <si>
    <t>Sour Flavors</t>
  </si>
  <si>
    <t>Fruits</t>
  </si>
  <si>
    <t>Vegetables</t>
  </si>
  <si>
    <t>Savory</t>
  </si>
  <si>
    <t>Seafood</t>
  </si>
  <si>
    <t>Unusual Seafood</t>
  </si>
  <si>
    <t>Uncommon Meants</t>
  </si>
  <si>
    <t>Breads</t>
  </si>
  <si>
    <t>Sweet</t>
  </si>
  <si>
    <t>Baked</t>
  </si>
  <si>
    <t>Spicy</t>
  </si>
  <si>
    <t>Boiled</t>
  </si>
  <si>
    <t>Meats</t>
  </si>
  <si>
    <t>Sour</t>
  </si>
  <si>
    <t>Broiled</t>
  </si>
  <si>
    <t>Fried</t>
  </si>
  <si>
    <t>Rice</t>
  </si>
  <si>
    <t>Grilled</t>
  </si>
  <si>
    <t>Poached</t>
  </si>
  <si>
    <t>Roasted</t>
  </si>
  <si>
    <t>Cider</t>
  </si>
  <si>
    <t>Sugar</t>
  </si>
  <si>
    <t>Curry</t>
  </si>
  <si>
    <t>Yogurt</t>
  </si>
  <si>
    <t>White cheese</t>
  </si>
  <si>
    <t>Lemon</t>
  </si>
  <si>
    <t>Asparagus</t>
  </si>
  <si>
    <t>Clams</t>
  </si>
  <si>
    <t>Skate</t>
  </si>
  <si>
    <t>Juice</t>
  </si>
  <si>
    <t>Molasses</t>
  </si>
  <si>
    <t>Cumin</t>
  </si>
  <si>
    <t>Sour cream</t>
  </si>
  <si>
    <t>Sharp cheese</t>
  </si>
  <si>
    <t>Lime</t>
  </si>
  <si>
    <t>Arugula</t>
  </si>
  <si>
    <t>Crab</t>
  </si>
  <si>
    <t>Cuttlefish</t>
  </si>
  <si>
    <t>Black pepper</t>
  </si>
  <si>
    <t>Mild cheese</t>
  </si>
  <si>
    <t>Grapes</t>
  </si>
  <si>
    <t>Broccoli</t>
  </si>
  <si>
    <t>Herring</t>
  </si>
  <si>
    <t>Flounder</t>
  </si>
  <si>
    <t>Mutton</t>
  </si>
  <si>
    <t>Red pepper</t>
  </si>
  <si>
    <t>Stinky cheese</t>
  </si>
  <si>
    <t>Apple</t>
  </si>
  <si>
    <t>Carrots</t>
  </si>
  <si>
    <t>Lobster</t>
  </si>
  <si>
    <t>Grouper</t>
  </si>
  <si>
    <t>Chicken</t>
  </si>
  <si>
    <t>Chili powder</t>
  </si>
  <si>
    <t>Pungent cheese</t>
  </si>
  <si>
    <t>Cucumber</t>
  </si>
  <si>
    <t>Mussels</t>
  </si>
  <si>
    <t>Marlin</t>
  </si>
  <si>
    <t>Turkey</t>
  </si>
  <si>
    <t>Bear</t>
  </si>
  <si>
    <t>Wine</t>
  </si>
  <si>
    <t>Cinnamon</t>
  </si>
  <si>
    <t>Blue cheese</t>
  </si>
  <si>
    <t>Cherry</t>
  </si>
  <si>
    <t>Cauliflower</t>
  </si>
  <si>
    <t>Snapper</t>
  </si>
  <si>
    <t>Green chili pepper</t>
  </si>
  <si>
    <t>Yellow cheese</t>
  </si>
  <si>
    <t>Pear</t>
  </si>
  <si>
    <t>Salmon</t>
  </si>
  <si>
    <t>Monkfish</t>
  </si>
  <si>
    <t>Crocodile</t>
  </si>
  <si>
    <t>Sauteed</t>
  </si>
  <si>
    <t>Ghost chili pepper</t>
  </si>
  <si>
    <t>Goat cheese</t>
  </si>
  <si>
    <t>Plum</t>
  </si>
  <si>
    <t>Smelt</t>
  </si>
  <si>
    <t>Seared</t>
  </si>
  <si>
    <t>Paprika</t>
  </si>
  <si>
    <t>Sheep's milk cheese</t>
  </si>
  <si>
    <t>Haddock</t>
  </si>
  <si>
    <t>Swordfish</t>
  </si>
  <si>
    <t xml:space="preserve"> Steamed</t>
  </si>
  <si>
    <t xml:space="preserve"> Sriracha</t>
  </si>
  <si>
    <t xml:space="preserve"> Sunflower seeds</t>
  </si>
  <si>
    <t xml:space="preserve"> Mango</t>
  </si>
  <si>
    <t xml:space="preserve"> Corn</t>
  </si>
  <si>
    <t xml:space="preserve"> Mackerel</t>
  </si>
  <si>
    <t xml:space="preserve"> Electric eel</t>
  </si>
  <si>
    <t xml:space="preserve"> Ox</t>
  </si>
  <si>
    <t xml:space="preserve"> Rat</t>
  </si>
  <si>
    <t xml:space="preserve"> Red dragon oil</t>
  </si>
  <si>
    <t xml:space="preserve"> Pumpkin seeds</t>
  </si>
  <si>
    <t xml:space="preserve"> Coconut</t>
  </si>
  <si>
    <t xml:space="preserve"> Parsnips</t>
  </si>
  <si>
    <t xml:space="preserve"> Squid</t>
  </si>
  <si>
    <t xml:space="preserve"> Dolphin</t>
  </si>
  <si>
    <t xml:space="preserve"> Lamb</t>
  </si>
  <si>
    <t xml:space="preserve"> Panther</t>
  </si>
  <si>
    <t xml:space="preserve"> Flecks of salamander</t>
  </si>
  <si>
    <t xml:space="preserve"> Poppy seeds</t>
  </si>
  <si>
    <t xml:space="preserve"> Banana</t>
  </si>
  <si>
    <t xml:space="preserve"> Shrimp</t>
  </si>
  <si>
    <t xml:space="preserve"> Whale</t>
  </si>
  <si>
    <t xml:space="preserve"> Veal</t>
  </si>
  <si>
    <t xml:space="preserve"> Beaver</t>
  </si>
  <si>
    <t xml:space="preserve"> Soybeans</t>
  </si>
  <si>
    <t xml:space="preserve"> Papaya</t>
  </si>
  <si>
    <t xml:space="preserve"> Turnips</t>
  </si>
  <si>
    <t xml:space="preserve"> Prawns</t>
  </si>
  <si>
    <t xml:space="preserve"> Seal</t>
  </si>
  <si>
    <t xml:space="preserve"> Pheasant</t>
  </si>
  <si>
    <t xml:space="preserve"> Bat</t>
  </si>
  <si>
    <t xml:space="preserve"> Pine nuts</t>
  </si>
  <si>
    <t xml:space="preserve"> Blueberries</t>
  </si>
  <si>
    <t xml:space="preserve"> Radishes</t>
  </si>
  <si>
    <t xml:space="preserve"> Tuna</t>
  </si>
  <si>
    <t xml:space="preserve"> Walrus</t>
  </si>
  <si>
    <t xml:space="preserve"> Quail</t>
  </si>
  <si>
    <t xml:space="preserve"> Beetles</t>
  </si>
  <si>
    <t xml:space="preserve"> Almonds</t>
  </si>
  <si>
    <t xml:space="preserve"> Raspberries</t>
  </si>
  <si>
    <t xml:space="preserve"> Beets</t>
  </si>
  <si>
    <t xml:space="preserve"> Halibut</t>
  </si>
  <si>
    <t xml:space="preserve"> Sea cucumber</t>
  </si>
  <si>
    <t xml:space="preserve"> Rabbit</t>
  </si>
  <si>
    <t xml:space="preserve"> Crickets</t>
  </si>
  <si>
    <t xml:space="preserve"> Pecans</t>
  </si>
  <si>
    <t xml:space="preserve"> Blackberries</t>
  </si>
  <si>
    <t xml:space="preserve"> Peas</t>
  </si>
  <si>
    <t xml:space="preserve"> Cod</t>
  </si>
  <si>
    <t xml:space="preserve"> Starfish</t>
  </si>
  <si>
    <t xml:space="preserve"> Boar</t>
  </si>
  <si>
    <t xml:space="preserve"> Maggots</t>
  </si>
  <si>
    <t xml:space="preserve"> Hickory nuts</t>
  </si>
  <si>
    <t xml:space="preserve"> Watermelon</t>
  </si>
  <si>
    <t xml:space="preserve"> Spinach</t>
  </si>
  <si>
    <t xml:space="preserve"> Sardines</t>
  </si>
  <si>
    <t xml:space="preserve"> Jellyfish</t>
  </si>
  <si>
    <t xml:space="preserve"> Goat</t>
  </si>
  <si>
    <t xml:space="preserve"> Frog</t>
  </si>
  <si>
    <t xml:space="preserve"> Peanuts</t>
  </si>
  <si>
    <t xml:space="preserve"> Cantaloupe</t>
  </si>
  <si>
    <t xml:space="preserve"> Sprouts</t>
  </si>
  <si>
    <t xml:space="preserve"> Anchovies</t>
  </si>
  <si>
    <t xml:space="preserve"> Kraken suckers</t>
  </si>
  <si>
    <t xml:space="preserve"> Pigeon</t>
  </si>
  <si>
    <t xml:space="preserve"> Turtle</t>
  </si>
  <si>
    <t xml:space="preserve"> Pistachios</t>
  </si>
  <si>
    <t xml:space="preserve"> Honeydew</t>
  </si>
  <si>
    <t xml:space="preserve"> Scallops</t>
  </si>
  <si>
    <t xml:space="preserve"> Mermaid fin</t>
  </si>
  <si>
    <t xml:space="preserve"> Lion</t>
  </si>
  <si>
    <t xml:space="preserve"> Walnuts</t>
  </si>
  <si>
    <t xml:space="preserve"> Dryad melons</t>
  </si>
  <si>
    <t xml:space="preserve"> Sea bass</t>
  </si>
  <si>
    <t xml:space="preserve"> Aberrant tentacles</t>
  </si>
  <si>
    <t xml:space="preserve"> Antelope</t>
  </si>
  <si>
    <t>Unusual Meats</t>
  </si>
  <si>
    <t>Savories</t>
  </si>
  <si>
    <t>a Sourdough baguette</t>
  </si>
  <si>
    <t>a Whole-grain baguette</t>
  </si>
  <si>
    <t>a Bread bowl</t>
  </si>
  <si>
    <t>a Crusty roll</t>
  </si>
  <si>
    <t>a Soft roll</t>
  </si>
  <si>
    <t>a Pumpernickel roll</t>
  </si>
  <si>
    <t>a Sesame seed bun</t>
  </si>
  <si>
    <t>a Tortilla</t>
  </si>
  <si>
    <t>a Pita</t>
  </si>
  <si>
    <t>a Mini pizza</t>
  </si>
  <si>
    <t>a Hot pocket</t>
  </si>
  <si>
    <t>Flat bread</t>
  </si>
  <si>
    <t>Vendor:</t>
  </si>
  <si>
    <t>Food:</t>
  </si>
  <si>
    <t>Drink:</t>
  </si>
  <si>
    <t>STREET FOOD VENDORS</t>
  </si>
  <si>
    <t>a Pastry</t>
  </si>
  <si>
    <t xml:space="preserve"> Settlement name (part 1)..</t>
  </si>
  <si>
    <t>Stone</t>
  </si>
  <si>
    <t>Water</t>
  </si>
  <si>
    <t>Leaf</t>
  </si>
  <si>
    <t>Ice</t>
  </si>
  <si>
    <t>Flame</t>
  </si>
  <si>
    <t>Sol</t>
  </si>
  <si>
    <t>Storm</t>
  </si>
  <si>
    <t>Earth</t>
  </si>
  <si>
    <t>Gleam</t>
  </si>
  <si>
    <t xml:space="preserve"> Star</t>
  </si>
  <si>
    <t xml:space="preserve"> Art</t>
  </si>
  <si>
    <t xml:space="preserve"> War</t>
  </si>
  <si>
    <t xml:space="preserve"> Heart</t>
  </si>
  <si>
    <t xml:space="preserve"> Hard</t>
  </si>
  <si>
    <t xml:space="preserve"> Fall</t>
  </si>
  <si>
    <t xml:space="preserve"> Rock</t>
  </si>
  <si>
    <t xml:space="preserve"> Doom</t>
  </si>
  <si>
    <t xml:space="preserve"> Oak</t>
  </si>
  <si>
    <t xml:space="preserve"> Tear</t>
  </si>
  <si>
    <t xml:space="preserve"> Raven</t>
  </si>
  <si>
    <t xml:space="preserve"> Badger</t>
  </si>
  <si>
    <t xml:space="preserve"> Snake</t>
  </si>
  <si>
    <t xml:space="preserve"> Hell</t>
  </si>
  <si>
    <t xml:space="preserve"> Rage</t>
  </si>
  <si>
    <t xml:space="preserve"> Brine</t>
  </si>
  <si>
    <t xml:space="preserve"> Buck</t>
  </si>
  <si>
    <t xml:space="preserve"> Lily</t>
  </si>
  <si>
    <t xml:space="preserve"> Core</t>
  </si>
  <si>
    <t xml:space="preserve"> Stench</t>
  </si>
  <si>
    <t xml:space="preserve"> Mage</t>
  </si>
  <si>
    <t xml:space="preserve"> God</t>
  </si>
  <si>
    <t xml:space="preserve"> Soil</t>
  </si>
  <si>
    <t xml:space="preserve"> Pure</t>
  </si>
  <si>
    <t xml:space="preserve"> Mal</t>
  </si>
  <si>
    <t xml:space="preserve"> Cam</t>
  </si>
  <si>
    <t xml:space="preserve"> Fen</t>
  </si>
  <si>
    <t xml:space="preserve"> Clear</t>
  </si>
  <si>
    <t xml:space="preserve"> Split</t>
  </si>
  <si>
    <t xml:space="preserve"> Heir</t>
  </si>
  <si>
    <t xml:space="preserve"> Fair</t>
  </si>
  <si>
    <t xml:space="preserve"> Spin</t>
  </si>
  <si>
    <t xml:space="preserve"> Snow</t>
  </si>
  <si>
    <t xml:space="preserve"> Settlement name (part 2)...</t>
  </si>
  <si>
    <t>crest.</t>
  </si>
  <si>
    <t>bridge.</t>
  </si>
  <si>
    <t>run.</t>
  </si>
  <si>
    <t>catch.</t>
  </si>
  <si>
    <t>blade.</t>
  </si>
  <si>
    <t>haven.</t>
  </si>
  <si>
    <t>rise.</t>
  </si>
  <si>
    <t>more.</t>
  </si>
  <si>
    <t>light.</t>
  </si>
  <si>
    <t>Population size...</t>
  </si>
  <si>
    <t>50 people (hamlet).</t>
  </si>
  <si>
    <t>100 people (small village).</t>
  </si>
  <si>
    <t>250 people (village).</t>
  </si>
  <si>
    <t>1'000 people (small town).</t>
  </si>
  <si>
    <t>5'000 people (town).</t>
  </si>
  <si>
    <t xml:space="preserve"> The settlement's atmosphere is...</t>
  </si>
  <si>
    <t>Calm.</t>
  </si>
  <si>
    <t>Quaint.</t>
  </si>
  <si>
    <t>Peaceful.</t>
  </si>
  <si>
    <t>Vaguely unsettling.</t>
  </si>
  <si>
    <t>Decidedly sinister.</t>
  </si>
  <si>
    <t>Tense.</t>
  </si>
  <si>
    <t>Violent.</t>
  </si>
  <si>
    <t>Fearful.</t>
  </si>
  <si>
    <t>Bustling.</t>
  </si>
  <si>
    <t xml:space="preserve"> Tumultuous.</t>
  </si>
  <si>
    <t xml:space="preserve"> Chaotic.</t>
  </si>
  <si>
    <t xml:space="preserve"> Pleasant.</t>
  </si>
  <si>
    <t xml:space="preserve"> Dark.</t>
  </si>
  <si>
    <t xml:space="preserve"> Heavy.</t>
  </si>
  <si>
    <t xml:space="preserve"> Stifling.</t>
  </si>
  <si>
    <t xml:space="preserve"> Relaxing.</t>
  </si>
  <si>
    <t xml:space="preserve"> Freeing.</t>
  </si>
  <si>
    <t xml:space="preserve"> Spiritual.</t>
  </si>
  <si>
    <t xml:space="preserve"> Apathetic.</t>
  </si>
  <si>
    <t xml:space="preserve"> Grief-stricken.</t>
  </si>
  <si>
    <t>Its beautiful parks.</t>
  </si>
  <si>
    <t>Its majestic orchards.</t>
  </si>
  <si>
    <t>A notable library.</t>
  </si>
  <si>
    <t>A powerful guild.</t>
  </si>
  <si>
    <t>The smell of baked bread.</t>
  </si>
  <si>
    <t>The sounds of blacksmiths working.</t>
  </si>
  <si>
    <t>The abundance of game in the surrounding land.</t>
  </si>
  <si>
    <t>The extensive farmland surrounding it.</t>
  </si>
  <si>
    <t>Its exotic goods.</t>
  </si>
  <si>
    <t xml:space="preserve"> The slums.</t>
  </si>
  <si>
    <t xml:space="preserve"> Its criminal syndicate.</t>
  </si>
  <si>
    <t xml:space="preserve"> Its high-class brothels.</t>
  </si>
  <si>
    <t xml:space="preserve"> Its ban on prostitution.</t>
  </si>
  <si>
    <t xml:space="preserve"> That it is protected by thick stone walls.</t>
  </si>
  <si>
    <t xml:space="preserve"> That it stands atop a floating mote of earth.</t>
  </si>
  <si>
    <t xml:space="preserve"> Its visible magic wards, which repel monsters.</t>
  </si>
  <si>
    <t xml:space="preserve"> That it is constantly besieged.</t>
  </si>
  <si>
    <t xml:space="preserve"> That it is ruled by a tyrant.</t>
  </si>
  <si>
    <t xml:space="preserve"> The law is enforced harshly.</t>
  </si>
  <si>
    <t xml:space="preserve"> The lack of government; anarchy reigns.</t>
  </si>
  <si>
    <t xml:space="preserve"> A large temple.</t>
  </si>
  <si>
    <t xml:space="preserve"> A gated cemetery larger than is warranted.</t>
  </si>
  <si>
    <t xml:space="preserve"> A system of tunnels beneath the settlement.</t>
  </si>
  <si>
    <t xml:space="preserve"> A planar gate.</t>
  </si>
  <si>
    <t xml:space="preserve"> A powerful curse.</t>
  </si>
  <si>
    <t xml:space="preserve"> That adventurers are hated by the people.</t>
  </si>
  <si>
    <t xml:space="preserve"> A mysterious obelisk towers over other buildings.</t>
  </si>
  <si>
    <t xml:space="preserve"> A famous entertainer inhabits the settlement.</t>
  </si>
  <si>
    <t xml:space="preserve"> That magic is hated by the people.</t>
  </si>
  <si>
    <t xml:space="preserve"> Its heavily armed, well-trained guards.</t>
  </si>
  <si>
    <t xml:space="preserve"> The tamed monster that defends it.</t>
  </si>
  <si>
    <t xml:space="preserve"> A well-traveled trade route that runs through it.</t>
  </si>
  <si>
    <t xml:space="preserve"> Its "friendly" barmaids.</t>
  </si>
  <si>
    <t xml:space="preserve"> The local ale distillery.</t>
  </si>
  <si>
    <t xml:space="preserve"> A keep of a noble lord.</t>
  </si>
  <si>
    <t xml:space="preserve"> A tower in which a princess is locked up.</t>
  </si>
  <si>
    <t xml:space="preserve"> That it's overrun with pests.</t>
  </si>
  <si>
    <t xml:space="preserve"> That it's in an economic depression.</t>
  </si>
  <si>
    <t xml:space="preserve"> That it's being extorted by an intelligent monster.</t>
  </si>
  <si>
    <t xml:space="preserve"> A group of refugees tenting near the settlement.</t>
  </si>
  <si>
    <t xml:space="preserve"> That it's on the path of a gypsy caravan.</t>
  </si>
  <si>
    <t xml:space="preserve"> That a traveling carnival often passes through.</t>
  </si>
  <si>
    <t xml:space="preserve"> The nearby vineyards.</t>
  </si>
  <si>
    <t xml:space="preserve"> Its history as a battleground.</t>
  </si>
  <si>
    <t xml:space="preserve"> Its proximity to a monster stronghold.</t>
  </si>
  <si>
    <t xml:space="preserve"> A wishing well with a local legend.</t>
  </si>
  <si>
    <t xml:space="preserve"> That it is built in a dead magic zone.</t>
  </si>
  <si>
    <t xml:space="preserve"> That it is built in a wild magic zone.</t>
  </si>
  <si>
    <t xml:space="preserve"> That it was the site of a mythic event.</t>
  </si>
  <si>
    <t xml:space="preserve"> That it was built atop ancient ruins.</t>
  </si>
  <si>
    <t xml:space="preserve"> A statue honoring some long-dead hero.</t>
  </si>
  <si>
    <t xml:space="preserve"> An abundance of a particular animal.</t>
  </si>
  <si>
    <t xml:space="preserve"> A shrine to an evil god.</t>
  </si>
  <si>
    <t xml:space="preserve"> An affordable periodical carrying news of the realm.</t>
  </si>
  <si>
    <t xml:space="preserve"> A peaceful cult.</t>
  </si>
  <si>
    <t xml:space="preserve"> Its wide streets.</t>
  </si>
  <si>
    <t xml:space="preserve"> Its incredibly beautiful architecture.</t>
  </si>
  <si>
    <t xml:space="preserve"> Its patronage of the arts.</t>
  </si>
  <si>
    <t xml:space="preserve"> The nearby academy of magic.</t>
  </si>
  <si>
    <t xml:space="preserve"> The rare herbs that grow nearby.</t>
  </si>
  <si>
    <t xml:space="preserve"> The use of glowing crystal as streetlamps.</t>
  </si>
  <si>
    <t xml:space="preserve"> The settlement's astronomy observatory.</t>
  </si>
  <si>
    <t xml:space="preserve"> A bridge that spans a wide river.</t>
  </si>
  <si>
    <t xml:space="preserve"> The fiercely patriotic inhabitants.</t>
  </si>
  <si>
    <t xml:space="preserve"> A gallows erected in the main square.</t>
  </si>
  <si>
    <t xml:space="preserve"> A genial ghost.</t>
  </si>
  <si>
    <t xml:space="preserve"> Its "no-weapons" policy.</t>
  </si>
  <si>
    <t xml:space="preserve"> A corrupt politician.</t>
  </si>
  <si>
    <t xml:space="preserve"> Regular raids by a nearby group of bandits.</t>
  </si>
  <si>
    <t xml:space="preserve"> That it was founded by cannibals, and some continue the tradition.</t>
  </si>
  <si>
    <t xml:space="preserve"> That it's actually a bandit base.</t>
  </si>
  <si>
    <t xml:space="preserve"> That all light except sunlight is smothered.</t>
  </si>
  <si>
    <t xml:space="preserve"> That it was the location of a pirate's unclaimed treasure hoard.</t>
  </si>
  <si>
    <t xml:space="preserve"> The nearby mines.</t>
  </si>
  <si>
    <t xml:space="preserve"> A history of assassinations.</t>
  </si>
  <si>
    <t xml:space="preserve"> Its very progressive attitude.</t>
  </si>
  <si>
    <t xml:space="preserve"> Its staunch conservative attitude.</t>
  </si>
  <si>
    <t xml:space="preserve"> Its incompetent buffoon of a leader.</t>
  </si>
  <si>
    <t xml:space="preserve"> Its paranoia.</t>
  </si>
  <si>
    <t xml:space="preserve"> Its xenophobia.</t>
  </si>
  <si>
    <t xml:space="preserve"> Its tolerance of others.</t>
  </si>
  <si>
    <t xml:space="preserve"> A coven of witches as rulers.</t>
  </si>
  <si>
    <t xml:space="preserve"> Its predominantly male population.</t>
  </si>
  <si>
    <t xml:space="preserve"> Its predominantly female population.</t>
  </si>
  <si>
    <t xml:space="preserve"> Its high concentration of children.</t>
  </si>
  <si>
    <t xml:space="preserve"> Its noticeable lack of children.</t>
  </si>
  <si>
    <t xml:space="preserve"> Its connection to the Feywild.</t>
  </si>
  <si>
    <t xml:space="preserve"> Its connection to the Shadowfell.</t>
  </si>
  <si>
    <t xml:space="preserve"> Its grimy feel.</t>
  </si>
  <si>
    <t xml:space="preserve"> The stench of sewage.</t>
  </si>
  <si>
    <t xml:space="preserve"> A river that divides it.</t>
  </si>
  <si>
    <t xml:space="preserve"> The undead servants that perform labor.</t>
  </si>
  <si>
    <t xml:space="preserve"> That it's the center of a manhunt.</t>
  </si>
  <si>
    <t xml:space="preserve"> A pony mascot with an adorable name.</t>
  </si>
  <si>
    <t xml:space="preserve"> The overpowering smell of sulfur.</t>
  </si>
  <si>
    <t xml:space="preserve"> A low hum that permeates the settlement with no known cause.</t>
  </si>
  <si>
    <t xml:space="preserve"> A thousand-year-old tree in town square.</t>
  </si>
  <si>
    <t xml:space="preserve"> That it is under the protection of friendly elemental spirits.</t>
  </si>
  <si>
    <t xml:space="preserve"> The blistering heat of its forges.</t>
  </si>
  <si>
    <t xml:space="preserve"> The players should care about the settlement because...</t>
  </si>
  <si>
    <t>It has magic item shop(s).</t>
  </si>
  <si>
    <t>A dungeon was discovered nearby recently.</t>
  </si>
  <si>
    <t>A powerful wizard lives there.</t>
  </si>
  <si>
    <t>A NPC the players have met before is there.</t>
  </si>
  <si>
    <t>Something they want is there.</t>
  </si>
  <si>
    <t>A thief stole something from them here.</t>
  </si>
  <si>
    <t>It was mentioned in a letter found on a slain foe.</t>
  </si>
  <si>
    <t>They are hired by someone in the settlement.</t>
  </si>
  <si>
    <t>This is the only settlement with which to resupply within leagues.</t>
  </si>
  <si>
    <t xml:space="preserve"> One of the inhabitants asked for help with a problem.</t>
  </si>
  <si>
    <t xml:space="preserve"> It is the only save haven from the monster-infested surroundings.</t>
  </si>
  <si>
    <t xml:space="preserve"> They are implicated in a crime and asked not to leave town.</t>
  </si>
  <si>
    <t xml:space="preserve"> There are some interesting rumors about their foes.</t>
  </si>
  <si>
    <t xml:space="preserve"> The players liberated some prisoners who asked to be taken there.</t>
  </si>
  <si>
    <t xml:space="preserve"> An enemy has called them out.</t>
  </si>
  <si>
    <t xml:space="preserve"> The rewards on the job board are high.</t>
  </si>
  <si>
    <t xml:space="preserve"> Things don't quite add up; perhaps investigation is called for.</t>
  </si>
  <si>
    <t xml:space="preserve"> It keeps getting mentioned wherever they go.</t>
  </si>
  <si>
    <t xml:space="preserve"> The townspeople greet them like heroes.</t>
  </si>
  <si>
    <t xml:space="preserve"> They need to take shelter from a severe storm.</t>
  </si>
  <si>
    <t xml:space="preserve"> They need help that the settlement can provide.</t>
  </si>
  <si>
    <t xml:space="preserve"> A child/helpless NPC is in danger and needs help.</t>
  </si>
  <si>
    <t xml:space="preserve"> There are signs of a monster infestation.</t>
  </si>
  <si>
    <t xml:space="preserve"> A creature whose goals clash with theirs lives there.</t>
  </si>
  <si>
    <t xml:space="preserve"> A powerful NPC tries to put them under a "geas".</t>
  </si>
  <si>
    <t xml:space="preserve"> A patron promises them jobs there.</t>
  </si>
  <si>
    <t xml:space="preserve"> They hear rumors of a hidden magic item nearby.</t>
  </si>
  <si>
    <t xml:space="preserve"> A strange crime is committed, peripherally involving them.</t>
  </si>
  <si>
    <t xml:space="preserve"> A local NPC did them a favor, and wants to cash in.</t>
  </si>
  <si>
    <t xml:space="preserve"> A powerful entity offers them a deal there.</t>
  </si>
  <si>
    <t>Main inhabitants:</t>
  </si>
  <si>
    <t xml:space="preserve">Population Size: </t>
  </si>
  <si>
    <t>Humans</t>
  </si>
  <si>
    <t>Wood Elves</t>
  </si>
  <si>
    <t>High Elves</t>
  </si>
  <si>
    <t>Eladrin</t>
  </si>
  <si>
    <t>Half-Elves</t>
  </si>
  <si>
    <t>Drow</t>
  </si>
  <si>
    <t>Mountain Dwarves</t>
  </si>
  <si>
    <t>Hill Dwarves</t>
  </si>
  <si>
    <t>Lightfoot Halflings</t>
  </si>
  <si>
    <t>Stout Halflings</t>
  </si>
  <si>
    <t>Rock gnomes</t>
  </si>
  <si>
    <t>Forest Gnomes</t>
  </si>
  <si>
    <t>Dragonborn</t>
  </si>
  <si>
    <t>Orcs and Half-orcs</t>
  </si>
  <si>
    <t>Tieflings and Fiends</t>
  </si>
  <si>
    <t>Arakocra</t>
  </si>
  <si>
    <t>Genasi and Elementals</t>
  </si>
  <si>
    <t>Shifts and Lycanthropes</t>
  </si>
  <si>
    <t>Goliaths and Giants</t>
  </si>
  <si>
    <t>Changlings and Doppelgangers</t>
  </si>
  <si>
    <t>Warforged and Constructs</t>
  </si>
  <si>
    <t>Aasimar and Celestials</t>
  </si>
  <si>
    <t>The atmosphere is:</t>
  </si>
  <si>
    <t>Its famous impartiality.</t>
  </si>
  <si>
    <t xml:space="preserve">It is known for: </t>
  </si>
  <si>
    <t>The players should care because:</t>
  </si>
  <si>
    <t>RANDOM ENCOUNTERS</t>
  </si>
  <si>
    <t>An axe.</t>
  </si>
  <si>
    <t xml:space="preserve"> A bull.</t>
  </si>
  <si>
    <t xml:space="preserve"> A dragon.</t>
  </si>
  <si>
    <t xml:space="preserve"> A falcon.</t>
  </si>
  <si>
    <t xml:space="preserve"> A scorpion.</t>
  </si>
  <si>
    <t xml:space="preserve"> A stag.</t>
  </si>
  <si>
    <t>A brilliant strategist.</t>
  </si>
  <si>
    <t>A career soldier</t>
  </si>
  <si>
    <t>Disappointed and disrespectful.</t>
  </si>
  <si>
    <t xml:space="preserve"> Agitated and restless.</t>
  </si>
  <si>
    <t>Holding redoubts.</t>
  </si>
  <si>
    <t>Frontal assaults.</t>
  </si>
  <si>
    <t xml:space="preserve"> Foraging.</t>
  </si>
  <si>
    <t xml:space="preserve"> Scarring or branding prisoners.</t>
  </si>
  <si>
    <t xml:space="preserve"> Incompetence.</t>
  </si>
  <si>
    <t xml:space="preserve"> Cowardice.</t>
  </si>
  <si>
    <t xml:space="preserve"> Eating everything that is available.</t>
  </si>
  <si>
    <t>Patched leather armor.</t>
  </si>
  <si>
    <t>Leather armor marked with the symbol of their liege lord.</t>
  </si>
  <si>
    <t>Helms and breastplates emblazoned with the symbol of their liege lord.</t>
  </si>
  <si>
    <t>Well-worn scale armor.</t>
  </si>
  <si>
    <t>Newly-forged scale armor.</t>
  </si>
  <si>
    <t>Shortswords and longbows.</t>
  </si>
  <si>
    <t>Mornngstars and crossbows.</t>
  </si>
  <si>
    <t>Battleaxes and handaxes.</t>
  </si>
  <si>
    <t>Warhammers and shields.</t>
  </si>
  <si>
    <t xml:space="preserve"> Longspears and shortswords.</t>
  </si>
  <si>
    <t xml:space="preserve"> Pikes and shortswords.</t>
  </si>
  <si>
    <t xml:space="preserve"> Halberds and handaxes.</t>
  </si>
  <si>
    <t>Trained men-at-arms.</t>
  </si>
  <si>
    <t>Militia men.</t>
  </si>
  <si>
    <t>Veterans of war.</t>
  </si>
  <si>
    <t>Prisoners of war.</t>
  </si>
  <si>
    <t>Conscripts from a city.</t>
  </si>
  <si>
    <t>Conscripts from peasant villages.</t>
  </si>
  <si>
    <t>Convicted criminals.</t>
  </si>
  <si>
    <t>Green boys.</t>
  </si>
  <si>
    <t>main.</t>
  </si>
  <si>
    <t>blaze.</t>
  </si>
  <si>
    <t>place.</t>
  </si>
  <si>
    <t>tear.</t>
  </si>
  <si>
    <t>fold.</t>
  </si>
  <si>
    <t>rest.</t>
  </si>
  <si>
    <t>host.</t>
  </si>
  <si>
    <t>craft.</t>
  </si>
  <si>
    <t>lair.</t>
  </si>
  <si>
    <t>hollow.</t>
  </si>
  <si>
    <t>vale.</t>
  </si>
  <si>
    <t>hammer.</t>
  </si>
  <si>
    <t>pike.</t>
  </si>
  <si>
    <t>rail.</t>
  </si>
  <si>
    <t>spike.</t>
  </si>
  <si>
    <t>ring.</t>
  </si>
  <si>
    <t>henge.</t>
  </si>
  <si>
    <t>coil.</t>
  </si>
  <si>
    <t>spring.</t>
  </si>
  <si>
    <t>jaw.</t>
  </si>
  <si>
    <t>mark.</t>
  </si>
  <si>
    <t>hail.</t>
  </si>
  <si>
    <t>loch.</t>
  </si>
  <si>
    <t>child.</t>
  </si>
  <si>
    <t>keep.</t>
  </si>
  <si>
    <t>fort.</t>
  </si>
  <si>
    <t>brook.</t>
  </si>
  <si>
    <t>forth.</t>
  </si>
  <si>
    <t>melt.</t>
  </si>
  <si>
    <t>borourgh.</t>
  </si>
  <si>
    <t>ford.</t>
  </si>
  <si>
    <t>crawl.</t>
  </si>
  <si>
    <t>moral.</t>
  </si>
  <si>
    <t>combe.</t>
  </si>
  <si>
    <t>glen.</t>
  </si>
  <si>
    <t>garden.</t>
  </si>
  <si>
    <t>wish.</t>
  </si>
  <si>
    <t>fellow.</t>
  </si>
  <si>
    <t>ridge.</t>
  </si>
  <si>
    <t>ward.</t>
  </si>
  <si>
    <t>town.</t>
  </si>
  <si>
    <t xml:space="preserve"> Founder's </t>
  </si>
  <si>
    <t xml:space="preserve"> Lord's </t>
  </si>
  <si>
    <t xml:space="preserve"> King's </t>
  </si>
  <si>
    <t xml:space="preserve"> Servant's </t>
  </si>
  <si>
    <t xml:space="preserve"> Demon's </t>
  </si>
  <si>
    <t xml:space="preserve"> Land's </t>
  </si>
  <si>
    <t>Node Frequency</t>
  </si>
  <si>
    <t>Dungeon</t>
  </si>
  <si>
    <t>City</t>
  </si>
  <si>
    <t>Wilderness</t>
  </si>
  <si>
    <t>Ancient Ruins</t>
  </si>
  <si>
    <t>d20</t>
  </si>
  <si>
    <t>Description</t>
  </si>
  <si>
    <t>Chamber</t>
  </si>
  <si>
    <t>Contents</t>
  </si>
  <si>
    <t>Castle Room</t>
  </si>
  <si>
    <t>District</t>
  </si>
  <si>
    <t>Feature</t>
  </si>
  <si>
    <t>Encounter Type</t>
  </si>
  <si>
    <t>Encounter Verb</t>
  </si>
  <si>
    <t>Clause</t>
  </si>
  <si>
    <t>Encounter</t>
  </si>
  <si>
    <t xml:space="preserve"> burrow</t>
  </si>
  <si>
    <t xml:space="preserve"> apartment</t>
  </si>
  <si>
    <t>Humble</t>
  </si>
  <si>
    <t>Battlefield</t>
  </si>
  <si>
    <t>of Blood</t>
  </si>
  <si>
    <t>Lock</t>
  </si>
  <si>
    <t>Find</t>
  </si>
  <si>
    <t>cracked</t>
  </si>
  <si>
    <t>street</t>
  </si>
  <si>
    <t>buried in rubble</t>
  </si>
  <si>
    <t>white apes swing down from above</t>
  </si>
  <si>
    <t xml:space="preserve"> bed chamber</t>
  </si>
  <si>
    <t>Busy</t>
  </si>
  <si>
    <t>Caves</t>
  </si>
  <si>
    <t>of Bones</t>
  </si>
  <si>
    <t>Key</t>
  </si>
  <si>
    <t>Investigate</t>
  </si>
  <si>
    <t>crumbling</t>
  </si>
  <si>
    <t>alley</t>
  </si>
  <si>
    <t>covered in silt</t>
  </si>
  <si>
    <t>shadows reach out from darkness</t>
  </si>
  <si>
    <t xml:space="preserve"> buttery</t>
  </si>
  <si>
    <t>Crowded</t>
  </si>
  <si>
    <t>Temple</t>
  </si>
  <si>
    <t>of Death</t>
  </si>
  <si>
    <t>Puzzle</t>
  </si>
  <si>
    <t>Convince</t>
  </si>
  <si>
    <t>broken</t>
  </si>
  <si>
    <t>boulevard</t>
  </si>
  <si>
    <t>broken in pieces</t>
  </si>
  <si>
    <t>gloom spiders scuttle from their lairs</t>
  </si>
  <si>
    <t>cramped</t>
  </si>
  <si>
    <t xml:space="preserve"> chamber</t>
  </si>
  <si>
    <t xml:space="preserve"> cabinet</t>
  </si>
  <si>
    <t>Crumbling</t>
  </si>
  <si>
    <t>Cliffs</t>
  </si>
  <si>
    <t>of Demons</t>
  </si>
  <si>
    <t>Combat</t>
  </si>
  <si>
    <t>Defeat</t>
  </si>
  <si>
    <t>collapsed</t>
  </si>
  <si>
    <t>avenue</t>
  </si>
  <si>
    <t>wreathed in cobwebs</t>
  </si>
  <si>
    <t>howling beastmen lurch from ruins</t>
  </si>
  <si>
    <t>dripping</t>
  </si>
  <si>
    <t xml:space="preserve"> covered in cobwebs</t>
  </si>
  <si>
    <t xml:space="preserve"> cellar</t>
  </si>
  <si>
    <t>Deserted</t>
  </si>
  <si>
    <t>Desert</t>
  </si>
  <si>
    <t>of Despair</t>
  </si>
  <si>
    <t>Hazard</t>
  </si>
  <si>
    <t>eroded</t>
  </si>
  <si>
    <t>bridge</t>
  </si>
  <si>
    <t>entwined in thorny weeds</t>
  </si>
  <si>
    <t>the spectral knight approaches</t>
  </si>
  <si>
    <t>dusty</t>
  </si>
  <si>
    <t xml:space="preserve"> chapel</t>
  </si>
  <si>
    <t>Exotic</t>
  </si>
  <si>
    <t>Slums</t>
  </si>
  <si>
    <t>Foothills</t>
  </si>
  <si>
    <t>of Doom</t>
  </si>
  <si>
    <t>scarred</t>
  </si>
  <si>
    <t>amphitheater</t>
  </si>
  <si>
    <t>inscribed with faintly glowing runes</t>
  </si>
  <si>
    <t>ghostly masked revelers pass</t>
  </si>
  <si>
    <t xml:space="preserve"> crypt</t>
  </si>
  <si>
    <t xml:space="preserve"> dovecote</t>
  </si>
  <si>
    <t>Grand</t>
  </si>
  <si>
    <t>of the Dragon</t>
  </si>
  <si>
    <t>Interaction</t>
  </si>
  <si>
    <t>weathered</t>
  </si>
  <si>
    <t>mansion</t>
  </si>
  <si>
    <t>blackened with soot</t>
  </si>
  <si>
    <t>fine snow begins to fall</t>
  </si>
  <si>
    <t xml:space="preserve"> gatehouse</t>
  </si>
  <si>
    <t>Graveyard</t>
  </si>
  <si>
    <t>of Fear</t>
  </si>
  <si>
    <t>Exploration</t>
  </si>
  <si>
    <t>ruined</t>
  </si>
  <si>
    <t>tower</t>
  </si>
  <si>
    <t>hidden in shadows</t>
  </si>
  <si>
    <t>wind whips through street</t>
  </si>
  <si>
    <t xml:space="preserve"> in which echoes sound</t>
  </si>
  <si>
    <t xml:space="preserve"> great hall</t>
  </si>
  <si>
    <t>Shores</t>
  </si>
  <si>
    <t>of Fire</t>
  </si>
  <si>
    <t>overgrown</t>
  </si>
  <si>
    <t>smithy</t>
  </si>
  <si>
    <t>lit by ghostly lamplight</t>
  </si>
  <si>
    <t>sound of distant harp</t>
  </si>
  <si>
    <t>long</t>
  </si>
  <si>
    <t xml:space="preserve"> guardroom</t>
  </si>
  <si>
    <t>Imposing</t>
  </si>
  <si>
    <t>Island</t>
  </si>
  <si>
    <t>of Ghosts</t>
  </si>
  <si>
    <t>eerie</t>
  </si>
  <si>
    <t>workshop</t>
  </si>
  <si>
    <t>gleaming in the moonlight</t>
  </si>
  <si>
    <t>echo of distant voices</t>
  </si>
  <si>
    <t xml:space="preserve"> inscribed with runes</t>
  </si>
  <si>
    <t xml:space="preserve"> icehouse</t>
  </si>
  <si>
    <t>Noisy</t>
  </si>
  <si>
    <t>Lake</t>
  </si>
  <si>
    <t>of Glass</t>
  </si>
  <si>
    <t>luminescent</t>
  </si>
  <si>
    <t>statue</t>
  </si>
  <si>
    <t>blanketed in snow</t>
  </si>
  <si>
    <t>hooves on cobblestones</t>
  </si>
  <si>
    <t>narrow</t>
  </si>
  <si>
    <t xml:space="preserve"> mausoleum</t>
  </si>
  <si>
    <t xml:space="preserve"> kitchen</t>
  </si>
  <si>
    <t>Opulent</t>
  </si>
  <si>
    <t>of Gold</t>
  </si>
  <si>
    <t>pillar-lined</t>
  </si>
  <si>
    <t>archway</t>
  </si>
  <si>
    <t>rimed with hoarfrost</t>
  </si>
  <si>
    <t>distant singing</t>
  </si>
  <si>
    <t xml:space="preserve"> mine</t>
  </si>
  <si>
    <t xml:space="preserve"> overgrown with fungus</t>
  </si>
  <si>
    <t xml:space="preserve"> larder</t>
  </si>
  <si>
    <t>Peaceful</t>
  </si>
  <si>
    <t>Plains</t>
  </si>
  <si>
    <t>of Ice</t>
  </si>
  <si>
    <t>marble</t>
  </si>
  <si>
    <t>obelisk</t>
  </si>
  <si>
    <t>glazed with ice</t>
  </si>
  <si>
    <t>distant laughter</t>
  </si>
  <si>
    <t xml:space="preserve"> room</t>
  </si>
  <si>
    <t xml:space="preserve"> pulsing with arcane energy</t>
  </si>
  <si>
    <t xml:space="preserve"> lavatory</t>
  </si>
  <si>
    <t>Quiet</t>
  </si>
  <si>
    <t>of Iron</t>
  </si>
  <si>
    <t>alabaster</t>
  </si>
  <si>
    <t>observatory</t>
  </si>
  <si>
    <t>beside a frozen river</t>
  </si>
  <si>
    <t>crunching of footsteps in snow</t>
  </si>
  <si>
    <t>shadowy</t>
  </si>
  <si>
    <t xml:space="preserve"> smelling of dung</t>
  </si>
  <si>
    <t xml:space="preserve"> library</t>
  </si>
  <si>
    <t>Rat-Infested</t>
  </si>
  <si>
    <t>Road</t>
  </si>
  <si>
    <t>of Mystery</t>
  </si>
  <si>
    <t>elegant</t>
  </si>
  <si>
    <t>plaza</t>
  </si>
  <si>
    <t>blocks the way</t>
  </si>
  <si>
    <t>wolf howls</t>
  </si>
  <si>
    <t xml:space="preserve"> storeroom</t>
  </si>
  <si>
    <t xml:space="preserve"> pantry</t>
  </si>
  <si>
    <t>Relaxed</t>
  </si>
  <si>
    <t>Ruins</t>
  </si>
  <si>
    <t>of Serpents</t>
  </si>
  <si>
    <t>ornate</t>
  </si>
  <si>
    <t>library</t>
  </si>
  <si>
    <t>clouds cover moon</t>
  </si>
  <si>
    <t xml:space="preserve"> tomb</t>
  </si>
  <si>
    <t xml:space="preserve"> solar</t>
  </si>
  <si>
    <t>Shabby</t>
  </si>
  <si>
    <t>Swamp</t>
  </si>
  <si>
    <t>of Shadows</t>
  </si>
  <si>
    <t>grand</t>
  </si>
  <si>
    <t>bath house</t>
  </si>
  <si>
    <t>moon shines through clouds</t>
  </si>
  <si>
    <t>warm</t>
  </si>
  <si>
    <t>Stately</t>
  </si>
  <si>
    <t>of the Damned</t>
  </si>
  <si>
    <t>garden</t>
  </si>
  <si>
    <t>bell rings out</t>
  </si>
  <si>
    <t>water-filled</t>
  </si>
  <si>
    <t xml:space="preserve"> study</t>
  </si>
  <si>
    <t>Stinking</t>
  </si>
  <si>
    <t>Valley</t>
  </si>
  <si>
    <t>of the Dead</t>
  </si>
  <si>
    <t>fountain</t>
  </si>
  <si>
    <t>distant flute playing</t>
  </si>
  <si>
    <t>vast</t>
  </si>
  <si>
    <t xml:space="preserve"> warren</t>
  </si>
  <si>
    <t xml:space="preserve"> undercroft</t>
  </si>
  <si>
    <t>Waterfront</t>
  </si>
  <si>
    <t>Village</t>
  </si>
  <si>
    <t>of the Lost</t>
  </si>
  <si>
    <t>quayside</t>
  </si>
  <si>
    <t>candlelight moves past distant window</t>
  </si>
  <si>
    <t>Tower of the Moon</t>
  </si>
  <si>
    <t>Ale by the pint.</t>
  </si>
  <si>
    <t>Amulets and totems.</t>
  </si>
  <si>
    <t>Apples.</t>
  </si>
  <si>
    <t>Attractive young slaves (bedmates).</t>
  </si>
  <si>
    <t>Axes and hammers.</t>
  </si>
  <si>
    <t>Bearskin rugs and capes.</t>
  </si>
  <si>
    <t>Beer by the barrel.</t>
  </si>
  <si>
    <t>Biscuits and rolls.</t>
  </si>
  <si>
    <t>Blankets and pillows.</t>
  </si>
  <si>
    <t>Blessings.</t>
  </si>
  <si>
    <t>Bouquets of flowers.</t>
  </si>
  <si>
    <t>Bows and arrows.</t>
  </si>
  <si>
    <t>Brass candlesticks, plates, and lamps.</t>
  </si>
  <si>
    <t>Brass horns and flutes.</t>
  </si>
  <si>
    <t>Cabbages.</t>
  </si>
  <si>
    <t>Candles and candlesticks.</t>
  </si>
  <si>
    <t>Carved stone figures.</t>
  </si>
  <si>
    <t>Carved wooden figures.</t>
  </si>
  <si>
    <t>Ceramic vases and cups.</t>
  </si>
  <si>
    <t>Cheap jewelry and trinkets.</t>
  </si>
  <si>
    <t>Cherries.</t>
  </si>
  <si>
    <t>Clay pots, bowls, cups, and vases.</t>
  </si>
  <si>
    <t>Copper bowls, spoons, kettles, cups.</t>
  </si>
  <si>
    <t>Corn on the cob.</t>
  </si>
  <si>
    <t>Cotton shirts and pants.</t>
  </si>
  <si>
    <t>Dogs and cats.</t>
  </si>
  <si>
    <t>Domestic slaves (maidservants).</t>
  </si>
  <si>
    <t>Dried fish.</t>
  </si>
  <si>
    <t>Dried herbs.</t>
  </si>
  <si>
    <t>Dried venison.</t>
  </si>
  <si>
    <t>Dried whole grain.</t>
  </si>
  <si>
    <t>Drums and bells.</t>
  </si>
  <si>
    <t>Exotic spices.</t>
  </si>
  <si>
    <t>Exotic teas.</t>
  </si>
  <si>
    <t>Firewood.</t>
  </si>
  <si>
    <t>Flower seeds.</t>
  </si>
  <si>
    <t>Foreign books.</t>
  </si>
  <si>
    <t>Foreign coins.</t>
  </si>
  <si>
    <t>Fresh bread.</t>
  </si>
  <si>
    <t>Fresh fish.</t>
  </si>
  <si>
    <t>Fruit pies.</t>
  </si>
  <si>
    <t>Glass bottles, jars, vials, and cups.</t>
  </si>
  <si>
    <t>Hardy slaves (laborers).</t>
  </si>
  <si>
    <t>Hot soup.</t>
  </si>
  <si>
    <t>Iron candlesticks and tools.</t>
  </si>
  <si>
    <t>Iron pots and pans.</t>
  </si>
  <si>
    <t>Knives, forks, spoons and cooking utensils.</t>
  </si>
  <si>
    <t>Lamps, lanterns, and oil.</t>
  </si>
  <si>
    <t>Leather boots and caps.</t>
  </si>
  <si>
    <t>Live poultry.</t>
  </si>
  <si>
    <t>Lutes and fiddles.</t>
  </si>
  <si>
    <t>Manure.</t>
  </si>
  <si>
    <t>Meat pies.</t>
  </si>
  <si>
    <t>Medicinal teas.</t>
  </si>
  <si>
    <t>Onions.</t>
  </si>
  <si>
    <t>Pears and plums.</t>
  </si>
  <si>
    <t>Perfumes and scented oils.</t>
  </si>
  <si>
    <t>Piglets.</t>
  </si>
  <si>
    <t>Poisons and remedies.</t>
  </si>
  <si>
    <t>Polished stones and crystals.</t>
  </si>
  <si>
    <t>Potatoes.</t>
  </si>
  <si>
    <t>Potions.</t>
  </si>
  <si>
    <t>Potted herbs.</t>
  </si>
  <si>
    <t>Quarrels and crossbows.</t>
  </si>
  <si>
    <t>Rats and pigeons.</t>
  </si>
  <si>
    <t>Rope.</t>
  </si>
  <si>
    <t>Rough-cut gems.</t>
  </si>
  <si>
    <t>Saddles and bridles.</t>
  </si>
  <si>
    <t>Salted pork.</t>
  </si>
  <si>
    <t>Saplings.</t>
  </si>
  <si>
    <t>Seasonal berries.</t>
  </si>
  <si>
    <t>Shields and helms.</t>
  </si>
  <si>
    <t>Shiny leather shoes.</t>
  </si>
  <si>
    <t>Silk shirts and scarves.</t>
  </si>
  <si>
    <t>Snakeskin boots.</t>
  </si>
  <si>
    <t>Soap.</t>
  </si>
  <si>
    <t>Stone-ground flour.</t>
  </si>
  <si>
    <t>Sturdy leather shoes.</t>
  </si>
  <si>
    <t>Swords and spears.</t>
  </si>
  <si>
    <t>Tables and chairs.</t>
  </si>
  <si>
    <t>Tankards and mugs.</t>
  </si>
  <si>
    <t>Tarot readings.</t>
  </si>
  <si>
    <t>Torches and rations.</t>
  </si>
  <si>
    <t>Traditional spices.</t>
  </si>
  <si>
    <t>Turnips.</t>
  </si>
  <si>
    <t>Used books.</t>
  </si>
  <si>
    <t>Used horses and ponies.</t>
  </si>
  <si>
    <t>Wagons and carts.</t>
  </si>
  <si>
    <t>Waterskins and wineskins.</t>
  </si>
  <si>
    <t>Whale oil.</t>
  </si>
  <si>
    <t>Wine by the barrel.</t>
  </si>
  <si>
    <t>Wine by the bottle.</t>
  </si>
  <si>
    <t>Wolfskin rugs and capes.</t>
  </si>
  <si>
    <t>Wooden-soled shoes.</t>
  </si>
  <si>
    <t>Wool shirts and caps.</t>
  </si>
  <si>
    <t>Woven baskets.</t>
  </si>
  <si>
    <t>Young horses and ponies.</t>
  </si>
  <si>
    <t>MINING GUILD</t>
  </si>
  <si>
    <t>The Company's Colors are:</t>
  </si>
  <si>
    <t>The company's Banner Features:</t>
  </si>
  <si>
    <t>The Company's Commander is:</t>
  </si>
  <si>
    <t>The Company's Attitude towards their commander is:</t>
  </si>
  <si>
    <t>The Company specializes in:</t>
  </si>
  <si>
    <t>The Company is notorious for:</t>
  </si>
  <si>
    <t>Most soldiers in the company are outfitted with:</t>
  </si>
  <si>
    <t>Most soldiers in the company are equipped with:</t>
  </si>
  <si>
    <t>Most soldiers in the company are:</t>
  </si>
  <si>
    <t>CASTLE GARRISON SOLDIER COMPANY</t>
  </si>
  <si>
    <t>25'000 people (city)</t>
  </si>
  <si>
    <t>winding corridor</t>
  </si>
  <si>
    <t>locked door</t>
  </si>
  <si>
    <t>open door</t>
  </si>
  <si>
    <t>straight hall</t>
  </si>
  <si>
    <t>splintered door</t>
  </si>
  <si>
    <t>trapped doorway</t>
  </si>
  <si>
    <t>long hallway</t>
  </si>
  <si>
    <t>confusing corridor</t>
  </si>
  <si>
    <t>short hallway</t>
  </si>
  <si>
    <t>false wall</t>
  </si>
  <si>
    <t>trapped hallway</t>
  </si>
  <si>
    <t>bloody hall</t>
  </si>
  <si>
    <t>hole</t>
  </si>
  <si>
    <t>arcane door</t>
  </si>
  <si>
    <t>secret passage</t>
  </si>
  <si>
    <t>Dungeons</t>
  </si>
  <si>
    <t>servant hole</t>
  </si>
  <si>
    <t>Room/District/Region Connections</t>
  </si>
  <si>
    <t>staircase</t>
  </si>
  <si>
    <t>arched opening</t>
  </si>
  <si>
    <t>broken hallway</t>
  </si>
  <si>
    <t>Ruined castle</t>
  </si>
  <si>
    <t>Docks/Trade district.</t>
  </si>
  <si>
    <t xml:space="preserve"> with an upset person</t>
  </si>
  <si>
    <t xml:space="preserve"> with a nervous person</t>
  </si>
  <si>
    <t xml:space="preserve"> with an unstable ceiling</t>
  </si>
  <si>
    <t xml:space="preserve"> with loose, falling rocks</t>
  </si>
  <si>
    <t xml:space="preserve"> with a wide, slippery patch of mold</t>
  </si>
  <si>
    <t xml:space="preserve"> with a recent encampment</t>
  </si>
  <si>
    <t xml:space="preserve"> with fresh bones/blood</t>
  </si>
  <si>
    <t xml:space="preserve"> with old, dry bones</t>
  </si>
  <si>
    <t xml:space="preserve"> with abandoned equipment</t>
  </si>
  <si>
    <t xml:space="preserve"> with an alter</t>
  </si>
  <si>
    <t>MINE</t>
  </si>
  <si>
    <t>TOMB 1</t>
  </si>
  <si>
    <t>TOMB 2</t>
  </si>
  <si>
    <t>A chapel for protecting the deceased</t>
  </si>
  <si>
    <t>A chapel for aid</t>
  </si>
  <si>
    <t>A grand crypt</t>
  </si>
  <si>
    <t>A false crypt</t>
  </si>
  <si>
    <t>A crypt for immediate family</t>
  </si>
  <si>
    <t>A crypt for previous generations</t>
  </si>
  <si>
    <t>A crypt for the spouse</t>
  </si>
  <si>
    <t>A ritual room</t>
  </si>
  <si>
    <t>A gallery</t>
  </si>
  <si>
    <t>A guardroom</t>
  </si>
  <si>
    <t>A hidden crypt</t>
  </si>
  <si>
    <t>A damp chamber with water on the walls and floor</t>
  </si>
  <si>
    <t>A room covered in fungus</t>
  </si>
  <si>
    <t>A cavern with a strange echo</t>
  </si>
  <si>
    <t>A claustrophobic tunnel</t>
  </si>
  <si>
    <t>A forked path with minecart tracks</t>
  </si>
  <si>
    <t>A dark, unlit room</t>
  </si>
  <si>
    <t>A brightly lit room with mining equipment</t>
  </si>
  <si>
    <t>A cavern filled with ore veins</t>
  </si>
  <si>
    <t>A cavern that is currently being worked</t>
  </si>
  <si>
    <t>A room devoted to slag piles</t>
  </si>
  <si>
    <t>A low cave that is hard to traverse</t>
  </si>
  <si>
    <t>Clean tunnel</t>
  </si>
  <si>
    <t>rubble tunnel</t>
  </si>
  <si>
    <t>closed door</t>
  </si>
  <si>
    <t>narrow hallway</t>
  </si>
  <si>
    <t>mine tracks</t>
  </si>
  <si>
    <t>a clatter of rocks falling.</t>
  </si>
  <si>
    <t>An Antechamber</t>
  </si>
  <si>
    <t>An underground lake</t>
  </si>
  <si>
    <t>A stagnant pool</t>
  </si>
  <si>
    <t>A rickety bridge over a chasm</t>
  </si>
  <si>
    <t>A narrow chasm</t>
  </si>
  <si>
    <t>A deep chasm with no bottom</t>
  </si>
  <si>
    <t>A chamber covered in mold</t>
  </si>
  <si>
    <t xml:space="preserve">An abandoned room </t>
  </si>
  <si>
    <t>A room only recently excavated</t>
  </si>
  <si>
    <t>An awe inspiring cavern</t>
  </si>
  <si>
    <t>low tunnel</t>
  </si>
  <si>
    <t>cramped tunnel</t>
  </si>
  <si>
    <t>busy tunnel</t>
  </si>
  <si>
    <t>unnatural tunnel</t>
  </si>
  <si>
    <t>MINE LAYOUT</t>
  </si>
  <si>
    <t xml:space="preserve"> cavern</t>
  </si>
  <si>
    <t xml:space="preserve"> room with a pit</t>
  </si>
  <si>
    <t xml:space="preserve"> exposed mine</t>
  </si>
  <si>
    <t xml:space="preserve">  storeroom</t>
  </si>
  <si>
    <t xml:space="preserve"> low room</t>
  </si>
  <si>
    <t xml:space="preserve"> vaulted cavern</t>
  </si>
  <si>
    <t>A desecrated chamber</t>
  </si>
  <si>
    <t>A crypt for devoted servants or slaves</t>
  </si>
  <si>
    <t>Storage room for embalming tools</t>
  </si>
  <si>
    <t>Storage room for tools and materials to maintain the tomb</t>
  </si>
  <si>
    <t>Workshop for embalming the dead</t>
  </si>
  <si>
    <t>A priest’s quarters or robing room</t>
  </si>
  <si>
    <t>climb/descend</t>
  </si>
  <si>
    <t>TOMB LAYOUT</t>
  </si>
  <si>
    <t>Residential district, poor</t>
  </si>
  <si>
    <t>Residential district, middle class</t>
  </si>
  <si>
    <t>Residential district, upper class</t>
  </si>
  <si>
    <t>Palace district</t>
  </si>
  <si>
    <t>Temple district</t>
  </si>
  <si>
    <t>Crafting district</t>
  </si>
  <si>
    <t>Docks/Trade district</t>
  </si>
  <si>
    <t>Riverfront district</t>
  </si>
  <si>
    <t xml:space="preserve"> Harbor district</t>
  </si>
  <si>
    <t xml:space="preserve"> University district</t>
  </si>
  <si>
    <t xml:space="preserve"> Military district</t>
  </si>
  <si>
    <t xml:space="preserve"> Market district</t>
  </si>
  <si>
    <t xml:space="preserve"> Garden district</t>
  </si>
  <si>
    <t xml:space="preserve"> Monument district</t>
  </si>
  <si>
    <t xml:space="preserve"> Necropolis</t>
  </si>
  <si>
    <t xml:space="preserve"> Theater district</t>
  </si>
  <si>
    <t xml:space="preserve"> Civic center</t>
  </si>
  <si>
    <t xml:space="preserve"> Ethnic enclave</t>
  </si>
  <si>
    <t xml:space="preserve"> Foreign enclave</t>
  </si>
  <si>
    <t>BASIC CITY LAYOUT. ADJUST AS NEEDED</t>
  </si>
  <si>
    <t>A priest’s robing room</t>
  </si>
  <si>
    <t>A crypt of unmarked graves</t>
  </si>
  <si>
    <t>breezy</t>
  </si>
  <si>
    <t>damp</t>
  </si>
  <si>
    <t>cold</t>
  </si>
  <si>
    <t>still</t>
  </si>
  <si>
    <t>putrid</t>
  </si>
  <si>
    <t>stale</t>
  </si>
  <si>
    <t>foggy</t>
  </si>
  <si>
    <t>earthy</t>
  </si>
  <si>
    <t>a year ago from tonight</t>
  </si>
  <si>
    <t>one night last month</t>
  </si>
  <si>
    <t>twice last month</t>
  </si>
  <si>
    <t>twice last week</t>
  </si>
  <si>
    <t>one day last week</t>
  </si>
  <si>
    <t>one night last week</t>
  </si>
  <si>
    <t>three nights ago</t>
  </si>
  <si>
    <t>the day before yesterday</t>
  </si>
  <si>
    <t>yesterday morning</t>
  </si>
  <si>
    <t>yesterday afternoon</t>
  </si>
  <si>
    <t>just before sunset</t>
  </si>
  <si>
    <t>after sunset</t>
  </si>
  <si>
    <t>after nightfall</t>
  </si>
  <si>
    <t>before midnight</t>
  </si>
  <si>
    <t>past midnight</t>
  </si>
  <si>
    <t>in the wee hours</t>
  </si>
  <si>
    <t>just before dawn</t>
  </si>
  <si>
    <t>at daybreak</t>
  </si>
  <si>
    <t>earlier today</t>
  </si>
  <si>
    <t xml:space="preserve"> merchant</t>
  </si>
  <si>
    <t>a thief</t>
  </si>
  <si>
    <t>a lord</t>
  </si>
  <si>
    <t>a knight</t>
  </si>
  <si>
    <t>the mayor</t>
  </si>
  <si>
    <t>an innkeeper</t>
  </si>
  <si>
    <t>a dwarf</t>
  </si>
  <si>
    <t>an elf</t>
  </si>
  <si>
    <t>a singer</t>
  </si>
  <si>
    <t>a pirate</t>
  </si>
  <si>
    <t>a witch</t>
  </si>
  <si>
    <t xml:space="preserve"> prostitute</t>
  </si>
  <si>
    <t>a sack of coins</t>
  </si>
  <si>
    <t>the prince/princess</t>
  </si>
  <si>
    <t>a fortune teller</t>
  </si>
  <si>
    <t>an alchemist</t>
  </si>
  <si>
    <t>an assassin</t>
  </si>
  <si>
    <t>a barmaid</t>
  </si>
  <si>
    <t>a beggar</t>
  </si>
  <si>
    <t>a saddled horse</t>
  </si>
  <si>
    <t>a hunting hound</t>
  </si>
  <si>
    <t>a mule and cart</t>
  </si>
  <si>
    <t>a fake mustache</t>
  </si>
  <si>
    <t>the asylum</t>
  </si>
  <si>
    <t>the library</t>
  </si>
  <si>
    <t>the barracks</t>
  </si>
  <si>
    <t>the gatehouse</t>
  </si>
  <si>
    <t>the bridge</t>
  </si>
  <si>
    <t>the temple</t>
  </si>
  <si>
    <t>the market square</t>
  </si>
  <si>
    <t>the warehouse district</t>
  </si>
  <si>
    <t>the garden district</t>
  </si>
  <si>
    <t>the lighthouse</t>
  </si>
  <si>
    <t>the riverfront</t>
  </si>
  <si>
    <t>an arcane sigil</t>
  </si>
  <si>
    <t>a frightened crowd</t>
  </si>
  <si>
    <t>an angel</t>
  </si>
  <si>
    <t>a devil</t>
  </si>
  <si>
    <t>a series of claw marks</t>
  </si>
  <si>
    <t xml:space="preserve"> I heard it from [whom]...</t>
  </si>
  <si>
    <t>a shopkeeper</t>
  </si>
  <si>
    <t>a basketweaver</t>
  </si>
  <si>
    <t>a grocer</t>
  </si>
  <si>
    <t>a peddler</t>
  </si>
  <si>
    <t>an urchin</t>
  </si>
  <si>
    <t>a barkeep</t>
  </si>
  <si>
    <t>a serving girl</t>
  </si>
  <si>
    <t>a squire</t>
  </si>
  <si>
    <t xml:space="preserve"> ..., so it [veracity].</t>
  </si>
  <si>
    <t>might be true</t>
  </si>
  <si>
    <t>must be true</t>
  </si>
  <si>
    <t>has to be true</t>
  </si>
  <si>
    <t>can't be true</t>
  </si>
  <si>
    <t>could be true</t>
  </si>
  <si>
    <t>is definitely true</t>
  </si>
  <si>
    <t>may be true</t>
  </si>
  <si>
    <t>is likely true</t>
  </si>
  <si>
    <t>is possibly true</t>
  </si>
  <si>
    <t>I heard that</t>
  </si>
  <si>
    <t>the night before last</t>
  </si>
  <si>
    <t>the king/queen</t>
  </si>
  <si>
    <t>a farmer</t>
  </si>
  <si>
    <t>a merchant</t>
  </si>
  <si>
    <t>a wizard</t>
  </si>
  <si>
    <t>a cleric</t>
  </si>
  <si>
    <t>a druid</t>
  </si>
  <si>
    <t>an orphan</t>
  </si>
  <si>
    <t>a sailor</t>
  </si>
  <si>
    <t>a prostitute</t>
  </si>
  <si>
    <t>a drunk</t>
  </si>
  <si>
    <t>an artefact</t>
  </si>
  <si>
    <t>a talking sword</t>
  </si>
  <si>
    <t>a Drow</t>
  </si>
  <si>
    <t>an escaped convict</t>
  </si>
  <si>
    <t>a vial of poison</t>
  </si>
  <si>
    <t>a book of spells</t>
  </si>
  <si>
    <t>a talking animal</t>
  </si>
  <si>
    <t>the docks</t>
  </si>
  <si>
    <t>the palace</t>
  </si>
  <si>
    <t>the crafts guild</t>
  </si>
  <si>
    <t>the mages guild</t>
  </si>
  <si>
    <t>the brothel</t>
  </si>
  <si>
    <t>the merchant quarter</t>
  </si>
  <si>
    <t>the tavern</t>
  </si>
  <si>
    <t>the prison</t>
  </si>
  <si>
    <t>the museum</t>
  </si>
  <si>
    <t xml:space="preserve"> ...and nearby there was [who or what]...</t>
  </si>
  <si>
    <t>a dead commoner</t>
  </si>
  <si>
    <t>a dead monster</t>
  </si>
  <si>
    <t>an explosion</t>
  </si>
  <si>
    <t>a bloody weapon</t>
  </si>
  <si>
    <t>a planar gate</t>
  </si>
  <si>
    <t>a demon</t>
  </si>
  <si>
    <t>a vampire</t>
  </si>
  <si>
    <t>an angry mob</t>
  </si>
  <si>
    <t>a dead noble</t>
  </si>
  <si>
    <t>a series of scorch marks</t>
  </si>
  <si>
    <t>an empty vial</t>
  </si>
  <si>
    <t>a burned book</t>
  </si>
  <si>
    <t>a werewolf</t>
  </si>
  <si>
    <t>a ghost</t>
  </si>
  <si>
    <t>a horde of zombies</t>
  </si>
  <si>
    <t>a musician</t>
  </si>
  <si>
    <t>a madame</t>
  </si>
  <si>
    <t>a watchman</t>
  </si>
  <si>
    <t>a ship's captain</t>
  </si>
  <si>
    <t>a peasant woman</t>
  </si>
  <si>
    <t>a fisherman's wife</t>
  </si>
  <si>
    <t>a monk</t>
  </si>
  <si>
    <t>a sellsword</t>
  </si>
  <si>
    <t>a gambler</t>
  </si>
  <si>
    <t>some guy in a pub</t>
  </si>
  <si>
    <t>a little bird</t>
  </si>
  <si>
    <t>is certainly true</t>
  </si>
  <si>
    <t>is absolutely true</t>
  </si>
  <si>
    <t>is probably true</t>
  </si>
  <si>
    <t>is likely partially true</t>
  </si>
  <si>
    <t>is definitely not true</t>
  </si>
  <si>
    <t>can't be entirely false</t>
  </si>
  <si>
    <t>isn't likely false</t>
  </si>
  <si>
    <t>isn't likely entirely false</t>
  </si>
  <si>
    <t>might not be true</t>
  </si>
  <si>
    <t>isn't likely the whole story</t>
  </si>
  <si>
    <t>is probably just idle gossip</t>
  </si>
  <si>
    <t>the</t>
  </si>
  <si>
    <t>was seen with</t>
  </si>
  <si>
    <t>down near</t>
  </si>
  <si>
    <t>Local Rumor:</t>
  </si>
  <si>
    <t>FOGGY</t>
  </si>
  <si>
    <t>HAZY</t>
  </si>
  <si>
    <t>MISTY</t>
  </si>
  <si>
    <t>CLEAR.</t>
  </si>
  <si>
    <t>FOGGY along the ground</t>
  </si>
  <si>
    <t>And is:</t>
  </si>
  <si>
    <t>SMELLS DANK AND MOULDY</t>
  </si>
  <si>
    <t>SMELLS EARTHY</t>
  </si>
  <si>
    <t>SMELLS LIKE MANURE</t>
  </si>
  <si>
    <t>SMELLS PUTRID</t>
  </si>
  <si>
    <t>SMELLS LIKE URINE</t>
  </si>
  <si>
    <t>SMELLS OF COMPOST</t>
  </si>
  <si>
    <t>SMELLS OF DECAY/DEATH</t>
  </si>
  <si>
    <t>SMELLS CLEAN</t>
  </si>
  <si>
    <t>SMELLS WET</t>
  </si>
  <si>
    <t>SMELLS DAMP</t>
  </si>
  <si>
    <t>SMELLS LIKE OZONE</t>
  </si>
  <si>
    <t>SMELLS SULPHUROUS</t>
  </si>
  <si>
    <t>SMELLS LIKE CHLORINE</t>
  </si>
  <si>
    <t xml:space="preserve">The air: </t>
  </si>
  <si>
    <t>The victim was:</t>
  </si>
  <si>
    <t>craftsman</t>
  </si>
  <si>
    <t>guard</t>
  </si>
  <si>
    <t>noble</t>
  </si>
  <si>
    <t>slave</t>
  </si>
  <si>
    <t>servant</t>
  </si>
  <si>
    <t>child</t>
  </si>
  <si>
    <t>lord</t>
  </si>
  <si>
    <t>ORIGIN</t>
  </si>
  <si>
    <t>local</t>
  </si>
  <si>
    <t>foreign</t>
  </si>
  <si>
    <t>exotic looking</t>
  </si>
  <si>
    <t>unknown</t>
  </si>
  <si>
    <t xml:space="preserve"> VICTIM</t>
  </si>
  <si>
    <t>man</t>
  </si>
  <si>
    <t>woman</t>
  </si>
  <si>
    <t xml:space="preserve"> mage</t>
  </si>
  <si>
    <t xml:space="preserve"> priest</t>
  </si>
  <si>
    <t xml:space="preserve"> thief</t>
  </si>
  <si>
    <t xml:space="preserve"> assassin</t>
  </si>
  <si>
    <t xml:space="preserve"> officer</t>
  </si>
  <si>
    <t xml:space="preserve"> hobo</t>
  </si>
  <si>
    <t xml:space="preserve"> criminal</t>
  </si>
  <si>
    <t xml:space="preserve"> art collector</t>
  </si>
  <si>
    <t xml:space="preserve"> archivist</t>
  </si>
  <si>
    <t xml:space="preserve"> CRIME Is believed to have been...</t>
  </si>
  <si>
    <t>killed</t>
  </si>
  <si>
    <t>robbed</t>
  </si>
  <si>
    <t>kidnapped</t>
  </si>
  <si>
    <t>extorted</t>
  </si>
  <si>
    <t>blackmailed</t>
  </si>
  <si>
    <t>attacked</t>
  </si>
  <si>
    <t>eaten</t>
  </si>
  <si>
    <t>decapitated</t>
  </si>
  <si>
    <t>mutilated</t>
  </si>
  <si>
    <t xml:space="preserve"> set on fire</t>
  </si>
  <si>
    <t>at home</t>
  </si>
  <si>
    <t>in the street in broad daylight</t>
  </si>
  <si>
    <t>in a dark alley</t>
  </si>
  <si>
    <t>in a tavern</t>
  </si>
  <si>
    <t>at a brothel</t>
  </si>
  <si>
    <t>on the outskirts of town</t>
  </si>
  <si>
    <t>in the park</t>
  </si>
  <si>
    <t>in someone’s garden</t>
  </si>
  <si>
    <t>in a temple</t>
  </si>
  <si>
    <t xml:space="preserve"> on the town square</t>
  </si>
  <si>
    <t xml:space="preserve"> out in the woods</t>
  </si>
  <si>
    <t xml:space="preserve"> down by the lake</t>
  </si>
  <si>
    <t xml:space="preserve"> in the swamp</t>
  </si>
  <si>
    <t xml:space="preserve"> in the nearby ruin</t>
  </si>
  <si>
    <t xml:space="preserve"> in a nearby cave</t>
  </si>
  <si>
    <t xml:space="preserve"> by the sewer exit</t>
  </si>
  <si>
    <t xml:space="preserve"> in a guard tower</t>
  </si>
  <si>
    <t xml:space="preserve"> in an abandoned house</t>
  </si>
  <si>
    <t xml:space="preserve"> in an abandoned warehouse</t>
  </si>
  <si>
    <t xml:space="preserve"> in an old mansion</t>
  </si>
  <si>
    <t xml:space="preserve"> in the stable of an old estate</t>
  </si>
  <si>
    <t xml:space="preserve"> in the greenhouse of an old mansion</t>
  </si>
  <si>
    <t xml:space="preserve"> in a crypt</t>
  </si>
  <si>
    <t xml:space="preserve"> in a library</t>
  </si>
  <si>
    <t xml:space="preserve"> at the victims own place of work</t>
  </si>
  <si>
    <t xml:space="preserve"> in the victims own bedroom</t>
  </si>
  <si>
    <t xml:space="preserve"> in a hidden room in the victims own house</t>
  </si>
  <si>
    <t xml:space="preserve"> in the common room of a local guild</t>
  </si>
  <si>
    <t xml:space="preserve"> on a boat on the lake</t>
  </si>
  <si>
    <t xml:space="preserve"> on a quiet mountain road</t>
  </si>
  <si>
    <t xml:space="preserve"> on a track in the woods</t>
  </si>
  <si>
    <t xml:space="preserve"> out by the waterfall</t>
  </si>
  <si>
    <t xml:space="preserve"> in the cathedral</t>
  </si>
  <si>
    <t xml:space="preserve"> in the old church</t>
  </si>
  <si>
    <t xml:space="preserve"> in the catacombs</t>
  </si>
  <si>
    <t xml:space="preserve"> at an undisclosed location</t>
  </si>
  <si>
    <t xml:space="preserve"> CIRCUMSTANCES</t>
  </si>
  <si>
    <t>to no real surprise to the local population.</t>
  </si>
  <si>
    <t>under obviously mysterious circumstances.</t>
  </si>
  <si>
    <t>causing great unrest among the local population.</t>
  </si>
  <si>
    <t>like several similar victims before.</t>
  </si>
  <si>
    <t>without getting any real attention from the local population.</t>
  </si>
  <si>
    <t>and the remnants of dark magic is still draining all light from the spot.</t>
  </si>
  <si>
    <t>and the local population hasn’t spoken a word since.</t>
  </si>
  <si>
    <t>and the town is now under curfew.</t>
  </si>
  <si>
    <t>and people believe it to be politically motivated.</t>
  </si>
  <si>
    <t xml:space="preserve"> as it happens every month.</t>
  </si>
  <si>
    <t>INVESTIGATORS The case is being handled by...</t>
  </si>
  <si>
    <t>the city guard</t>
  </si>
  <si>
    <t>a fearsome crew with obvious scars of battle</t>
  </si>
  <si>
    <t>a strange and quiet group, not known by any of the locals</t>
  </si>
  <si>
    <t>men of the church</t>
  </si>
  <si>
    <t>an old man in a robe and his dog</t>
  </si>
  <si>
    <t>INTEREST who are... solving it</t>
  </si>
  <si>
    <t>keen on</t>
  </si>
  <si>
    <t>not very interested in</t>
  </si>
  <si>
    <t>doing all they can in</t>
  </si>
  <si>
    <t>letting no one stand in their way of</t>
  </si>
  <si>
    <t>not doing so much for</t>
  </si>
  <si>
    <t>clearly making sure nothing is done in</t>
  </si>
  <si>
    <t xml:space="preserve"> WILLINGNESS and ... share details.</t>
  </si>
  <si>
    <t>are hostile when asked to</t>
  </si>
  <si>
    <t>are in no way willing to</t>
  </si>
  <si>
    <t>are very skeptical to</t>
  </si>
  <si>
    <t>are scared to</t>
  </si>
  <si>
    <t>are clearly not allowed to</t>
  </si>
  <si>
    <t>are, when completely hammered, somewhat willing to</t>
  </si>
  <si>
    <t>skeptical, but somewhat willing to</t>
  </si>
  <si>
    <t>somewhat willing to</t>
  </si>
  <si>
    <t>willing to</t>
  </si>
  <si>
    <t xml:space="preserve"> very willing to</t>
  </si>
  <si>
    <t xml:space="preserve"> way to willing to</t>
  </si>
  <si>
    <t xml:space="preserve"> SOURCE</t>
  </si>
  <si>
    <t>According to your sources on the local tavern, there’s</t>
  </si>
  <si>
    <t>A less-reputable local paper writes about</t>
  </si>
  <si>
    <t>A scrawny town crier tell passers-by of</t>
  </si>
  <si>
    <t>A group of craftsmen walking by talks about</t>
  </si>
  <si>
    <t>According to the flyers distributed in quite overwhelming numbers around town, there is definitely</t>
  </si>
  <si>
    <t>A man without teeth comes up and whispers to a PC</t>
  </si>
  <si>
    <t>By the gate, A hideously deformed man passes you a note mentioning</t>
  </si>
  <si>
    <t>At the scene of the crime is a verse from a poem, written with intestines laid out in beautiful cursive - it has</t>
  </si>
  <si>
    <t>A note on a players bed speaks of</t>
  </si>
  <si>
    <t xml:space="preserve"> The players heard the victim scream something, when the crime took place, that hinted at</t>
  </si>
  <si>
    <t xml:space="preserve"> CLUE a connection to...</t>
  </si>
  <si>
    <t>a local cult with rather extreme beliefs</t>
  </si>
  <si>
    <t>a lock of strange fur</t>
  </si>
  <si>
    <t>a rumoured jealous lover</t>
  </si>
  <si>
    <t>a hot tempered spouse</t>
  </si>
  <si>
    <t>the local child, the one with the strangest eyes</t>
  </si>
  <si>
    <t>markings of something having entered from beyond</t>
  </si>
  <si>
    <t>remnants of the darkest magic</t>
  </si>
  <si>
    <t>revenge</t>
  </si>
  <si>
    <t>lust</t>
  </si>
  <si>
    <t xml:space="preserve"> greed</t>
  </si>
  <si>
    <t xml:space="preserve"> a murky acquaintance from the victim’s past</t>
  </si>
  <si>
    <t xml:space="preserve"> that old tablet covered in obscure symbols</t>
  </si>
  <si>
    <t xml:space="preserve"> the terrible story no one wants to remember</t>
  </si>
  <si>
    <t xml:space="preserve"> an old friend of the PCs</t>
  </si>
  <si>
    <t xml:space="preserve"> a beautiful young woman, who only came to town recently</t>
  </si>
  <si>
    <t xml:space="preserve"> another horrid crime committed not long ago</t>
  </si>
  <si>
    <t xml:space="preserve"> the escaped criminal, rumored to be in hiding nearby</t>
  </si>
  <si>
    <t xml:space="preserve"> markings of a wild animal</t>
  </si>
  <si>
    <t xml:space="preserve"> that deep rumble, that you might hear coming from below the surface of the paved roads from time to time.</t>
  </si>
  <si>
    <t xml:space="preserve"> the nightly activities of one of the PCs, but it’s all so hazy…</t>
  </si>
  <si>
    <t>location</t>
  </si>
  <si>
    <t xml:space="preserve"> yelling at everyone trying to</t>
  </si>
  <si>
    <t>CRIMES</t>
  </si>
  <si>
    <t xml:space="preserve">Crime: </t>
  </si>
  <si>
    <t xml:space="preserve">Investigation: </t>
  </si>
  <si>
    <t xml:space="preserve">Clue: </t>
  </si>
  <si>
    <t>0 My cousin told me about...</t>
  </si>
  <si>
    <t>0 ...and they...</t>
  </si>
  <si>
    <t>0 ...and discovered...</t>
  </si>
  <si>
    <t>A new disease.</t>
  </si>
  <si>
    <t>A powerful artefact.</t>
  </si>
  <si>
    <t>A cursed item.</t>
  </si>
  <si>
    <t>A sleeping monster.</t>
  </si>
  <si>
    <t>A treasure map.</t>
  </si>
  <si>
    <t>A hero/villain thought dead, returned to life.</t>
  </si>
  <si>
    <t>A book of secrets.</t>
  </si>
  <si>
    <t>A key to a vast fortune.</t>
  </si>
  <si>
    <t>A suppressed truth about the ruling kingdom.</t>
  </si>
  <si>
    <t xml:space="preserve"> A door to another plane.</t>
  </si>
  <si>
    <t>0 ...and now...</t>
  </si>
  <si>
    <t>People are disappearing!</t>
  </si>
  <si>
    <t>People are sick!</t>
  </si>
  <si>
    <t>The king has decreed strange new laws!</t>
  </si>
  <si>
    <t>The temple has issued strange new tenets!</t>
  </si>
  <si>
    <t>The sun might not come back up!</t>
  </si>
  <si>
    <t>The moon might fracture!</t>
  </si>
  <si>
    <t>The world might be invaded!</t>
  </si>
  <si>
    <t>People are having bad dreams every night!</t>
  </si>
  <si>
    <t>People are unable to sleep!</t>
  </si>
  <si>
    <t xml:space="preserve"> People are afraid to come outside!</t>
  </si>
  <si>
    <t>A child</t>
  </si>
  <si>
    <t>A fat merchant</t>
  </si>
  <si>
    <t>A temple priest</t>
  </si>
  <si>
    <t>A sailor</t>
  </si>
  <si>
    <t>A soldier</t>
  </si>
  <si>
    <t>A magician</t>
  </si>
  <si>
    <t>A rogue</t>
  </si>
  <si>
    <t>A crazy monk</t>
  </si>
  <si>
    <t xml:space="preserve"> A drunken farmer</t>
  </si>
  <si>
    <t>Got drunk</t>
  </si>
  <si>
    <t>Got washed out to sea</t>
  </si>
  <si>
    <t>Got stuck on a runaway horse</t>
  </si>
  <si>
    <t>Found an old well</t>
  </si>
  <si>
    <t>Disappeared for 3 days</t>
  </si>
  <si>
    <t>Found an old tomb</t>
  </si>
  <si>
    <t>Met a weird stranger</t>
  </si>
  <si>
    <t>Found a magic item</t>
  </si>
  <si>
    <t>Were sleepwalking</t>
  </si>
  <si>
    <t xml:space="preserve"> Walked off into the forest</t>
  </si>
  <si>
    <t>Rumors speak of a</t>
  </si>
  <si>
    <t>When wanting to scare the children, locals tell an old tale of a</t>
  </si>
  <si>
    <t>In the corner of the taverns sits a group of pale figures, with low voices they’re talking about a</t>
  </si>
  <si>
    <t>Legend speak of a</t>
  </si>
  <si>
    <t>An old man walking around town speaks of a</t>
  </si>
  <si>
    <t>Etched into a stone is the warning of a</t>
  </si>
  <si>
    <t>In the hand of the corpse of a woman along the road is a map with a drawing of a</t>
  </si>
  <si>
    <t>Nailed to a tree is a small note with a warning to all about a</t>
  </si>
  <si>
    <t>Underneath a large stone is an weather-worn diary. The last page is about a</t>
  </si>
  <si>
    <t xml:space="preserve"> Passers-by talk about the disappearance of someone. They mention a</t>
  </si>
  <si>
    <t> - DESCRIPTOR 1</t>
  </si>
  <si>
    <t>haunted</t>
  </si>
  <si>
    <t>cursed</t>
  </si>
  <si>
    <t>dark</t>
  </si>
  <si>
    <t>musty old</t>
  </si>
  <si>
    <t>unfinished</t>
  </si>
  <si>
    <t>hidden</t>
  </si>
  <si>
    <t>foul smelling</t>
  </si>
  <si>
    <t>strange</t>
  </si>
  <si>
    <t xml:space="preserve"> living</t>
  </si>
  <si>
    <t xml:space="preserve"> shapeshifting</t>
  </si>
  <si>
    <t xml:space="preserve"> overgrown</t>
  </si>
  <si>
    <t xml:space="preserve"> ordinary looking</t>
  </si>
  <si>
    <t xml:space="preserve"> enchanted</t>
  </si>
  <si>
    <t xml:space="preserve"> strangely alluring</t>
  </si>
  <si>
    <t xml:space="preserve"> growling</t>
  </si>
  <si>
    <t xml:space="preserve"> singing</t>
  </si>
  <si>
    <t xml:space="preserve"> ever burning</t>
  </si>
  <si>
    <t xml:space="preserve"> hovering</t>
  </si>
  <si>
    <t xml:space="preserve"> damp</t>
  </si>
  <si>
    <t>0 - PLACE</t>
  </si>
  <si>
    <t>house</t>
  </si>
  <si>
    <t>villa</t>
  </si>
  <si>
    <t>small community of houses</t>
  </si>
  <si>
    <t>estate</t>
  </si>
  <si>
    <t>castle</t>
  </si>
  <si>
    <t>fort</t>
  </si>
  <si>
    <t>fortress</t>
  </si>
  <si>
    <t>underground complex</t>
  </si>
  <si>
    <t>temple</t>
  </si>
  <si>
    <t xml:space="preserve"> monestary</t>
  </si>
  <si>
    <t xml:space="preserve"> graveyard</t>
  </si>
  <si>
    <t xml:space="preserve"> monument</t>
  </si>
  <si>
    <t xml:space="preserve"> statue</t>
  </si>
  <si>
    <t xml:space="preserve"> tree</t>
  </si>
  <si>
    <t xml:space="preserve"> basement</t>
  </si>
  <si>
    <t xml:space="preserve"> giant nest</t>
  </si>
  <si>
    <t xml:space="preserve"> water-mill</t>
  </si>
  <si>
    <t xml:space="preserve"> granary</t>
  </si>
  <si>
    <t xml:space="preserve"> workshop</t>
  </si>
  <si>
    <t xml:space="preserve"> barrack</t>
  </si>
  <si>
    <t xml:space="preserve"> mansion</t>
  </si>
  <si>
    <t xml:space="preserve"> warehouse</t>
  </si>
  <si>
    <t xml:space="preserve"> stable</t>
  </si>
  <si>
    <t xml:space="preserve"> kennel</t>
  </si>
  <si>
    <t xml:space="preserve"> sign post</t>
  </si>
  <si>
    <t xml:space="preserve"> deep hole in the ground</t>
  </si>
  <si>
    <t xml:space="preserve"> shop</t>
  </si>
  <si>
    <t xml:space="preserve"> marketsplace</t>
  </si>
  <si>
    <t xml:space="preserve"> ship</t>
  </si>
  <si>
    <t xml:space="preserve"> gate</t>
  </si>
  <si>
    <t xml:space="preserve"> tower</t>
  </si>
  <si>
    <t xml:space="preserve"> wall</t>
  </si>
  <si>
    <t xml:space="preserve"> inn</t>
  </si>
  <si>
    <t xml:space="preserve"> tavern</t>
  </si>
  <si>
    <t xml:space="preserve"> hotel</t>
  </si>
  <si>
    <t xml:space="preserve"> quarry</t>
  </si>
  <si>
    <t xml:space="preserve"> shrine</t>
  </si>
  <si>
    <t xml:space="preserve"> door</t>
  </si>
  <si>
    <t xml:space="preserve"> hatch</t>
  </si>
  <si>
    <t xml:space="preserve"> ladder</t>
  </si>
  <si>
    <t xml:space="preserve"> bridge</t>
  </si>
  <si>
    <t xml:space="preserve"> bedroll</t>
  </si>
  <si>
    <t xml:space="preserve"> tent</t>
  </si>
  <si>
    <t xml:space="preserve"> tree house</t>
  </si>
  <si>
    <t xml:space="preserve"> log cabin</t>
  </si>
  <si>
    <t xml:space="preserve"> hut</t>
  </si>
  <si>
    <t xml:space="preserve"> shed</t>
  </si>
  <si>
    <t xml:space="preserve"> obelisk</t>
  </si>
  <si>
    <t xml:space="preserve"> monolith</t>
  </si>
  <si>
    <t xml:space="preserve"> column</t>
  </si>
  <si>
    <t xml:space="preserve"> city block</t>
  </si>
  <si>
    <t xml:space="preserve"> guard house</t>
  </si>
  <si>
    <t xml:space="preserve"> hospital</t>
  </si>
  <si>
    <t xml:space="preserve"> townhouse</t>
  </si>
  <si>
    <t xml:space="preserve"> hamlet</t>
  </si>
  <si>
    <t xml:space="preserve"> community</t>
  </si>
  <si>
    <t xml:space="preserve"> township</t>
  </si>
  <si>
    <t xml:space="preserve"> dwelling</t>
  </si>
  <si>
    <t xml:space="preserve"> park</t>
  </si>
  <si>
    <t xml:space="preserve"> field</t>
  </si>
  <si>
    <t xml:space="preserve"> property</t>
  </si>
  <si>
    <t xml:space="preserve"> area</t>
  </si>
  <si>
    <t xml:space="preserve"> row of townhouses</t>
  </si>
  <si>
    <t xml:space="preserve"> lodge</t>
  </si>
  <si>
    <t xml:space="preserve"> lumber camp</t>
  </si>
  <si>
    <t xml:space="preserve"> fisherman’s hut</t>
  </si>
  <si>
    <t xml:space="preserve"> sanctuary</t>
  </si>
  <si>
    <t xml:space="preserve"> holy site</t>
  </si>
  <si>
    <t xml:space="preserve"> crossroads</t>
  </si>
  <si>
    <t xml:space="preserve"> small sized town</t>
  </si>
  <si>
    <t xml:space="preserve"> medium sized town</t>
  </si>
  <si>
    <t xml:space="preserve"> large sized town</t>
  </si>
  <si>
    <t xml:space="preserve"> small sized settlement</t>
  </si>
  <si>
    <t xml:space="preserve"> medium sized settlement</t>
  </si>
  <si>
    <t xml:space="preserve"> large sized settlement</t>
  </si>
  <si>
    <t xml:space="preserve"> small sized village</t>
  </si>
  <si>
    <t xml:space="preserve"> medium sized village</t>
  </si>
  <si>
    <t xml:space="preserve"> large sized village</t>
  </si>
  <si>
    <t xml:space="preserve"> compound</t>
  </si>
  <si>
    <t xml:space="preserve"> construction site</t>
  </si>
  <si>
    <t xml:space="preserve"> gravestone</t>
  </si>
  <si>
    <t xml:space="preserve"> cairn</t>
  </si>
  <si>
    <t xml:space="preserve"> mural</t>
  </si>
  <si>
    <t xml:space="preserve"> garden</t>
  </si>
  <si>
    <t xml:space="preserve"> greenhouse</t>
  </si>
  <si>
    <t xml:space="preserve"> observatory</t>
  </si>
  <si>
    <t xml:space="preserve"> museum</t>
  </si>
  <si>
    <t xml:space="preserve"> manor</t>
  </si>
  <si>
    <t xml:space="preserve"> château</t>
  </si>
  <si>
    <t xml:space="preserve"> palace</t>
  </si>
  <si>
    <t xml:space="preserve"> citadel</t>
  </si>
  <si>
    <t xml:space="preserve"> keep</t>
  </si>
  <si>
    <t xml:space="preserve"> stronghold</t>
  </si>
  <si>
    <t xml:space="preserve"> den</t>
  </si>
  <si>
    <t> - DESCRIPTOR 2</t>
  </si>
  <si>
    <t>long forgotten</t>
  </si>
  <si>
    <t>long abandoned</t>
  </si>
  <si>
    <t>with the markings of a terrible beast</t>
  </si>
  <si>
    <t>with the markings of a group terrible beasts</t>
  </si>
  <si>
    <t>covered in etchings of dark teachings</t>
  </si>
  <si>
    <t>with a glowing aura of a silvery light</t>
  </si>
  <si>
    <t>said to be owned by an old man or woman</t>
  </si>
  <si>
    <t>said to be the site of a terrible crime</t>
  </si>
  <si>
    <t>said to be the site of a spell going terribly wrong</t>
  </si>
  <si>
    <t xml:space="preserve"> letting off the feeling of a strange presence</t>
  </si>
  <si>
    <t xml:space="preserve"> with the etchings of a dark ritual</t>
  </si>
  <si>
    <t xml:space="preserve"> said to be home to evil spirits</t>
  </si>
  <si>
    <t xml:space="preserve"> said to be corrupted by dark forces</t>
  </si>
  <si>
    <t xml:space="preserve"> said to house something truly abnormal</t>
  </si>
  <si>
    <t xml:space="preserve"> said to hold a cursed item</t>
  </si>
  <si>
    <t xml:space="preserve"> said to be the location of a decadent monthly feast with masked guests</t>
  </si>
  <si>
    <t xml:space="preserve"> said to be a fantastic place to visit</t>
  </si>
  <si>
    <t xml:space="preserve"> said to be a place of madness</t>
  </si>
  <si>
    <t xml:space="preserve"> covered in eldritch symbols</t>
  </si>
  <si>
    <t xml:space="preserve"> said to be place from where no one ever returns</t>
  </si>
  <si>
    <t> - AREA - somewhere</t>
  </si>
  <si>
    <t>within the city wall</t>
  </si>
  <si>
    <t>not far from town</t>
  </si>
  <si>
    <t>near the outpost</t>
  </si>
  <si>
    <t>in the wilderness</t>
  </si>
  <si>
    <t>in the mountains</t>
  </si>
  <si>
    <t>in the forest</t>
  </si>
  <si>
    <t>in the ocean</t>
  </si>
  <si>
    <t>in the swamp</t>
  </si>
  <si>
    <t>in the desert</t>
  </si>
  <si>
    <t xml:space="preserve"> on the great plains</t>
  </si>
  <si>
    <t xml:space="preserve"> along the coast</t>
  </si>
  <si>
    <t xml:space="preserve"> along the road</t>
  </si>
  <si>
    <t xml:space="preserve"> on a magical plane</t>
  </si>
  <si>
    <t xml:space="preserve"> by the lake</t>
  </si>
  <si>
    <t xml:space="preserve"> below the city</t>
  </si>
  <si>
    <t xml:space="preserve"> below the mountain</t>
  </si>
  <si>
    <t xml:space="preserve"> in the neighboring nation</t>
  </si>
  <si>
    <t xml:space="preserve"> far away</t>
  </si>
  <si>
    <t> - SITUATION - If asked further, people will tell you, that</t>
  </si>
  <si>
    <t xml:space="preserve"> the town idiot returned from there and said it’s really isn’t as bad as people say it is. For some reason however,</t>
  </si>
  <si>
    <t> ACTION</t>
  </si>
  <si>
    <t>starts crying when asked about the place.</t>
  </si>
  <si>
    <t>asks of the players to travel there with him.</t>
  </si>
  <si>
    <t>asks the players to go explore.</t>
  </si>
  <si>
    <t>asks the players to destroy it.</t>
  </si>
  <si>
    <t>asks the players to collect something from there.</t>
  </si>
  <si>
    <t>asks for a souvenir from there.</t>
  </si>
  <si>
    <t>invites the players to a party, when asked about the place.</t>
  </si>
  <si>
    <t>faints, when asked about the place.</t>
  </si>
  <si>
    <t>suddenly disappears, when asked about the place.</t>
  </si>
  <si>
    <t xml:space="preserve"> starts growling, when asked about the place.</t>
  </si>
  <si>
    <t xml:space="preserve"> calls the guard, when asked about the place.</t>
  </si>
  <si>
    <t xml:space="preserve"> hushes on the players and leads them to his/her home, when asked about the place.</t>
  </si>
  <si>
    <t xml:space="preserve"> tries to kill the players in their sleep.</t>
  </si>
  <si>
    <t xml:space="preserve"> is seen with a map leading there.</t>
  </si>
  <si>
    <t xml:space="preserve"> tries to rally people on the street to go there together for some reason.</t>
  </si>
  <si>
    <t xml:space="preserve"> has covered all the walls of his house with drawings of the place.</t>
  </si>
  <si>
    <t xml:space="preserve"> starts drooling when asked about the place.</t>
  </si>
  <si>
    <t xml:space="preserve"> freezes for a second before completely ignoring the players and walking away, when asked about the place.</t>
  </si>
  <si>
    <t xml:space="preserve"> starts singing and dancing, when asked about the place.</t>
  </si>
  <si>
    <t xml:space="preserve"> says it’s already too late.</t>
  </si>
  <si>
    <t>lair</t>
  </si>
  <si>
    <t xml:space="preserve">it makes people mad. Which might explain </t>
  </si>
  <si>
    <t xml:space="preserve">it turns people homicidal. Which explains </t>
  </si>
  <si>
    <t xml:space="preserve">it should be avoided at all cost. Which doesn't really explain why </t>
  </si>
  <si>
    <t xml:space="preserve">a(nother) strange fellow also asked everyone about it not too long ago. Might have a relation as to why </t>
  </si>
  <si>
    <t xml:space="preserve">a group of adventurers went there a few days ago and haven’t been seen since. Might explain why </t>
  </si>
  <si>
    <t>it’s definitely just a myth and you shouldn't worry. But,</t>
  </si>
  <si>
    <t>people who’ve seen it are not the same. Might be why</t>
  </si>
  <si>
    <t>it is also said to hold great treasure. However,</t>
  </si>
  <si>
    <t>people who’ve seen it starts rambling in a strange language. Might explain why,</t>
  </si>
  <si>
    <t>region</t>
  </si>
  <si>
    <t>Local Legend:</t>
  </si>
  <si>
    <t>SMELLS ACRID</t>
  </si>
  <si>
    <t>hazy</t>
  </si>
  <si>
    <t>acrid</t>
  </si>
  <si>
    <t xml:space="preserve"> with a mold covered recess in the wall</t>
  </si>
  <si>
    <t>A wide fresco depicting a historical scene</t>
  </si>
  <si>
    <t>SMELLS METALLIC. YOU CAN ALMOST TASTE IT</t>
  </si>
  <si>
    <t>SMELLS SALTY, AND WET</t>
  </si>
  <si>
    <t>SMELLS OF ROTTEN MEAT</t>
  </si>
  <si>
    <t>SMELLS LIKE SULFUR</t>
  </si>
  <si>
    <t>SMELLS LIKE FEET FROM A SOLDIER</t>
  </si>
  <si>
    <t>smooth</t>
  </si>
  <si>
    <t xml:space="preserve"> with an unnatural echo</t>
  </si>
  <si>
    <t>Cave Max Density:</t>
  </si>
  <si>
    <t>Air currents</t>
  </si>
  <si>
    <t>slight breeze</t>
  </si>
  <si>
    <t>damp, slight breeze</t>
  </si>
  <si>
    <t>gusting breeze</t>
  </si>
  <si>
    <t>cold current</t>
  </si>
  <si>
    <t>slight downdraft</t>
  </si>
  <si>
    <t>strong downdraft</t>
  </si>
  <si>
    <t>strong, moaning wind</t>
  </si>
  <si>
    <t>strong, gusting wind</t>
  </si>
  <si>
    <t>strong wind</t>
  </si>
  <si>
    <t>strong updraft</t>
  </si>
  <si>
    <t>slight updraft</t>
  </si>
  <si>
    <t>warm and still</t>
  </si>
  <si>
    <t>very cold and still</t>
  </si>
  <si>
    <t>chlorine</t>
  </si>
  <si>
    <t>mouldy</t>
  </si>
  <si>
    <t>maure</t>
  </si>
  <si>
    <t>metallic</t>
  </si>
  <si>
    <t>ozone</t>
  </si>
  <si>
    <t>urine</t>
  </si>
  <si>
    <t>sulphurous</t>
  </si>
  <si>
    <t>smoky</t>
  </si>
  <si>
    <t>rotten</t>
  </si>
  <si>
    <t>dank</t>
  </si>
  <si>
    <t>clear</t>
  </si>
  <si>
    <t>misted</t>
  </si>
  <si>
    <t>no breeze</t>
  </si>
  <si>
    <t xml:space="preserve">Around the entrance is: </t>
  </si>
  <si>
    <t>foggy near the floor</t>
  </si>
  <si>
    <t>banging/slamming</t>
  </si>
  <si>
    <t>bellowing</t>
  </si>
  <si>
    <t>buzzing</t>
  </si>
  <si>
    <t>chanting</t>
  </si>
  <si>
    <t>chiming</t>
  </si>
  <si>
    <t>clanking</t>
  </si>
  <si>
    <t>chirping</t>
  </si>
  <si>
    <t>clashing</t>
  </si>
  <si>
    <t>clicking</t>
  </si>
  <si>
    <t>coughing</t>
  </si>
  <si>
    <t>creaking</t>
  </si>
  <si>
    <t>drumming</t>
  </si>
  <si>
    <t>footsteps</t>
  </si>
  <si>
    <t>gong</t>
  </si>
  <si>
    <t>grating</t>
  </si>
  <si>
    <t>groaning</t>
  </si>
  <si>
    <t>grunting</t>
  </si>
  <si>
    <t>hissing</t>
  </si>
  <si>
    <t>hooting</t>
  </si>
  <si>
    <t>howling</t>
  </si>
  <si>
    <t>humming</t>
  </si>
  <si>
    <t>jingling</t>
  </si>
  <si>
    <t>knocking</t>
  </si>
  <si>
    <t>laughter</t>
  </si>
  <si>
    <t>moaning</t>
  </si>
  <si>
    <t>murmuring</t>
  </si>
  <si>
    <t>music</t>
  </si>
  <si>
    <t>rattling</t>
  </si>
  <si>
    <t>roaring</t>
  </si>
  <si>
    <t>rustling</t>
  </si>
  <si>
    <t>scratching/scrabbling</t>
  </si>
  <si>
    <t>screaming</t>
  </si>
  <si>
    <t>scuttling</t>
  </si>
  <si>
    <t>shuffling</t>
  </si>
  <si>
    <t>snapping</t>
  </si>
  <si>
    <t>slithering</t>
  </si>
  <si>
    <t>splashing</t>
  </si>
  <si>
    <t>splintering</t>
  </si>
  <si>
    <t>tapping</t>
  </si>
  <si>
    <t>thudding</t>
  </si>
  <si>
    <t>thumping</t>
  </si>
  <si>
    <t>tinkling</t>
  </si>
  <si>
    <t>twanging</t>
  </si>
  <si>
    <t>whispering</t>
  </si>
  <si>
    <t>whistling</t>
  </si>
  <si>
    <t>CAVE LAYOUT (1ST LEVEL)</t>
  </si>
  <si>
    <t>CAVE LAYOUT (2ND LEVEL)</t>
  </si>
  <si>
    <t>Exit/Access</t>
  </si>
  <si>
    <t>Entrance/Access</t>
  </si>
  <si>
    <t>Mine Density:</t>
  </si>
  <si>
    <t xml:space="preserve">This tomb is: </t>
  </si>
  <si>
    <t>Tomb Density:</t>
  </si>
  <si>
    <t>Abandoned; the people here are merely squatters</t>
  </si>
  <si>
    <t>Haunted; are these people really here?</t>
  </si>
  <si>
    <t>A group of travelers lead by a</t>
  </si>
  <si>
    <t>A caravan lead by a</t>
  </si>
  <si>
    <t>An adventuring party lead by a</t>
  </si>
  <si>
    <t>A group of pilgrims following a</t>
  </si>
  <si>
    <t>A young</t>
  </si>
  <si>
    <t>An old</t>
  </si>
  <si>
    <t>A down on his luck</t>
  </si>
  <si>
    <t>A common</t>
  </si>
  <si>
    <t>A few</t>
  </si>
  <si>
    <t>A hated</t>
  </si>
  <si>
    <t>Another</t>
  </si>
  <si>
    <t>A middleaged</t>
  </si>
  <si>
    <t>The family of a</t>
  </si>
  <si>
    <t>The friend of a</t>
  </si>
  <si>
    <t>A strange</t>
  </si>
  <si>
    <t>A famous</t>
  </si>
  <si>
    <t>A well-liked</t>
  </si>
  <si>
    <t>A simple dressed</t>
  </si>
  <si>
    <t>An extravagantly dressed</t>
  </si>
  <si>
    <t>A commonly dressed</t>
  </si>
  <si>
    <t>unjustly banished</t>
  </si>
  <si>
    <t>blown up</t>
  </si>
  <si>
    <t xml:space="preserve">eviscerated </t>
  </si>
  <si>
    <t>fed to wild animals</t>
  </si>
  <si>
    <t>thrown into a pit</t>
  </si>
  <si>
    <t>tricked</t>
  </si>
  <si>
    <t>the local constable</t>
  </si>
  <si>
    <t>the royal guard</t>
  </si>
  <si>
    <t>a peculiar man who won't disclose his relationship to the victim</t>
  </si>
  <si>
    <t>a peculiar woman who won't disclose her relationship to the victim</t>
  </si>
  <si>
    <t>a citizen vigilante group</t>
  </si>
  <si>
    <t>found buried</t>
  </si>
  <si>
    <t>found hung</t>
  </si>
  <si>
    <t>taken hostage</t>
  </si>
  <si>
    <t>assaulted</t>
  </si>
  <si>
    <t>The Merchant/Smuggler has goods for a:</t>
  </si>
  <si>
    <t>Occasionally in this mine, you see:</t>
  </si>
  <si>
    <t>A BEAR</t>
  </si>
  <si>
    <t>A LONE WOLF</t>
  </si>
  <si>
    <t>A WOLF PACK</t>
  </si>
  <si>
    <t>A LARGE, WILDCAT</t>
  </si>
  <si>
    <t>A MALEVOLENT GHOST</t>
  </si>
  <si>
    <t>AN OGRE</t>
  </si>
  <si>
    <t>A BEAR CUB</t>
  </si>
  <si>
    <t>A PARANOID SHAPESHIFTER</t>
  </si>
  <si>
    <t>IRRITABLE TROLL(S)</t>
  </si>
  <si>
    <t>A GIANT SNAKE</t>
  </si>
  <si>
    <t>A LIZARDFOLK LAIR</t>
  </si>
  <si>
    <t>A BEAR WEARING A COLLAR</t>
  </si>
  <si>
    <t>A PAIR OF GOBLIN SCOUTS</t>
  </si>
  <si>
    <t>A DANCING SATYR</t>
  </si>
  <si>
    <t>A HIGH ELF SAGE</t>
  </si>
  <si>
    <t>You will experience the following number of encounters:</t>
  </si>
  <si>
    <t>Cave Levels (1-2):</t>
  </si>
  <si>
    <t>ringing</t>
  </si>
  <si>
    <t>Non-comabt Encounters:</t>
  </si>
  <si>
    <t>blood-stained</t>
  </si>
  <si>
    <t xml:space="preserve"> staircase</t>
  </si>
  <si>
    <t xml:space="preserve"> hallway</t>
  </si>
  <si>
    <t xml:space="preserve"> corridor</t>
  </si>
  <si>
    <t xml:space="preserve"> tunnel</t>
  </si>
  <si>
    <t>At the center of it all is...</t>
  </si>
  <si>
    <t>A mayor's</t>
  </si>
  <si>
    <t>A king's / queen's</t>
  </si>
  <si>
    <t>A prince's / princess's</t>
  </si>
  <si>
    <t>A noble's</t>
  </si>
  <si>
    <t>A citizen's</t>
  </si>
  <si>
    <t>A guild leader's</t>
  </si>
  <si>
    <t>Self</t>
  </si>
  <si>
    <t>Parent</t>
  </si>
  <si>
    <t>Grandparent</t>
  </si>
  <si>
    <t>Sibling</t>
  </si>
  <si>
    <t>Best friend</t>
  </si>
  <si>
    <t>Trusted adviser</t>
  </si>
  <si>
    <t>Child</t>
  </si>
  <si>
    <t>Cousin</t>
  </si>
  <si>
    <t>Aunt / Uncle</t>
  </si>
  <si>
    <t xml:space="preserve"> Who is trying to...</t>
  </si>
  <si>
    <t>Start a coup</t>
  </si>
  <si>
    <t>Corrupt the leader</t>
  </si>
  <si>
    <t>Control the leader from the behind the scenes</t>
  </si>
  <si>
    <t>Gain more power</t>
  </si>
  <si>
    <t>Gain more influence</t>
  </si>
  <si>
    <t>Defect</t>
  </si>
  <si>
    <t>Assassinate the leader</t>
  </si>
  <si>
    <t>Assassinate a rival</t>
  </si>
  <si>
    <t xml:space="preserve"> ...who will...</t>
  </si>
  <si>
    <t>Trade favors for sex</t>
  </si>
  <si>
    <t>Trade favors for money</t>
  </si>
  <si>
    <t>Trade favors for information</t>
  </si>
  <si>
    <t>Trade favors for favors</t>
  </si>
  <si>
    <t>Trade favors for drugs</t>
  </si>
  <si>
    <t>Trade favors for influence</t>
  </si>
  <si>
    <t>Only assist family</t>
  </si>
  <si>
    <t>Only assist friends</t>
  </si>
  <si>
    <t>Only lookout for themselves</t>
  </si>
  <si>
    <t xml:space="preserve"> Do anything to achieve their goal</t>
  </si>
  <si>
    <t xml:space="preserve"> ...and is motivated because...</t>
  </si>
  <si>
    <t>They wish to regain a lost station</t>
  </si>
  <si>
    <t>It's necessary for the good of the nation</t>
  </si>
  <si>
    <t>They are simply bored</t>
  </si>
  <si>
    <t xml:space="preserve"> Your heard about this from...</t>
  </si>
  <si>
    <t>A member of a secret society</t>
  </si>
  <si>
    <t>Someone close to the leader</t>
  </si>
  <si>
    <t>Someone close to the leader's relation</t>
  </si>
  <si>
    <t>A secretive observer</t>
  </si>
  <si>
    <t>It's common knowledge</t>
  </si>
  <si>
    <t>Rumors in a tavern</t>
  </si>
  <si>
    <t>A note left in the night</t>
  </si>
  <si>
    <t>relation</t>
  </si>
  <si>
    <t>who is trying to</t>
  </si>
  <si>
    <t>they will</t>
  </si>
  <si>
    <t>their motivation is</t>
  </si>
  <si>
    <t>You heard this from</t>
  </si>
  <si>
    <t>Spouse</t>
  </si>
  <si>
    <t>Courtesan</t>
  </si>
  <si>
    <t>Personal guard</t>
  </si>
  <si>
    <t>Nephew / Niece</t>
  </si>
  <si>
    <t>Mistress / Lover</t>
  </si>
  <si>
    <t>Rival</t>
  </si>
  <si>
    <t>Handmaiden / Servant</t>
  </si>
  <si>
    <t>Secret lover</t>
  </si>
  <si>
    <t>Jester</t>
  </si>
  <si>
    <t>Doctor</t>
  </si>
  <si>
    <t>Cook</t>
  </si>
  <si>
    <t>Discredit the leader</t>
  </si>
  <si>
    <t>Discredit a rival</t>
  </si>
  <si>
    <t>Force a war to start</t>
  </si>
  <si>
    <t>Commit genocide</t>
  </si>
  <si>
    <t>Usurp the throne</t>
  </si>
  <si>
    <t>Steal money from the people</t>
  </si>
  <si>
    <t>Steal money from the kingdom</t>
  </si>
  <si>
    <t>Collect personal favors</t>
  </si>
  <si>
    <t>Find a position of power for all of their friends and family</t>
  </si>
  <si>
    <t>Play a massive joke on the people</t>
  </si>
  <si>
    <t>Ingratiate themselves with a group of powerful people</t>
  </si>
  <si>
    <t>A family member was killed.</t>
  </si>
  <si>
    <t>A friend was killed.</t>
  </si>
  <si>
    <t>They are compelled by greed.</t>
  </si>
  <si>
    <t>They are compelled by power.</t>
  </si>
  <si>
    <t>of A warped sense of patriotism</t>
  </si>
  <si>
    <t>It is their god's will</t>
  </si>
  <si>
    <t>The person themselves</t>
  </si>
  <si>
    <t>The victim of the plot</t>
  </si>
  <si>
    <t>Whispers from the grave</t>
  </si>
  <si>
    <t>A foreign national with their own interests</t>
  </si>
  <si>
    <t>Someone who's own plot is being hampered by this plot.</t>
  </si>
  <si>
    <t>Role</t>
  </si>
  <si>
    <t>Location</t>
  </si>
  <si>
    <t>Relationship</t>
  </si>
  <si>
    <t xml:space="preserve">A sickly </t>
  </si>
  <si>
    <t>official</t>
  </si>
  <si>
    <t>a nearby city</t>
  </si>
  <si>
    <t xml:space="preserve">A dishonest </t>
  </si>
  <si>
    <t>priest</t>
  </si>
  <si>
    <t>a forgotten temple</t>
  </si>
  <si>
    <t xml:space="preserve">A radical </t>
  </si>
  <si>
    <t>a rival's house</t>
  </si>
  <si>
    <t xml:space="preserve">A drunken </t>
  </si>
  <si>
    <t>merchant</t>
  </si>
  <si>
    <t xml:space="preserve">An aging </t>
  </si>
  <si>
    <t>sage</t>
  </si>
  <si>
    <t>a secret meeting place</t>
  </si>
  <si>
    <t xml:space="preserve">A retired </t>
  </si>
  <si>
    <t>artisan</t>
  </si>
  <si>
    <t>an overstuffed warehouse</t>
  </si>
  <si>
    <t xml:space="preserve">A fugitive </t>
  </si>
  <si>
    <t>soldier</t>
  </si>
  <si>
    <t>a dangerous neighborhood</t>
  </si>
  <si>
    <t xml:space="preserve">A wealthy </t>
  </si>
  <si>
    <t>widow</t>
  </si>
  <si>
    <t>the court district</t>
  </si>
  <si>
    <t xml:space="preserve">A vicious </t>
  </si>
  <si>
    <t>criminal</t>
  </si>
  <si>
    <t>an illegal market</t>
  </si>
  <si>
    <t xml:space="preserve">A disheveled </t>
  </si>
  <si>
    <t>beggar</t>
  </si>
  <si>
    <t>a public square</t>
  </si>
  <si>
    <t xml:space="preserve">A visiting </t>
  </si>
  <si>
    <t>dignitary</t>
  </si>
  <si>
    <t>a local tavern</t>
  </si>
  <si>
    <t xml:space="preserve">An evil </t>
  </si>
  <si>
    <t>cultist</t>
  </si>
  <si>
    <t>the marketplace</t>
  </si>
  <si>
    <t xml:space="preserve">A reclusive </t>
  </si>
  <si>
    <t>wizard</t>
  </si>
  <si>
    <t>a busy workshop</t>
  </si>
  <si>
    <t xml:space="preserve">A wily </t>
  </si>
  <si>
    <t>thief</t>
  </si>
  <si>
    <t>a wealthy neighborhood</t>
  </si>
  <si>
    <t xml:space="preserve">An occult </t>
  </si>
  <si>
    <t>scholar</t>
  </si>
  <si>
    <t>a ship in port</t>
  </si>
  <si>
    <t xml:space="preserve">A corrupt </t>
  </si>
  <si>
    <t>guildmaster</t>
  </si>
  <si>
    <t>a military garrison</t>
  </si>
  <si>
    <t xml:space="preserve">A nomadic </t>
  </si>
  <si>
    <t>tribesman</t>
  </si>
  <si>
    <t>the royal palace</t>
  </si>
  <si>
    <t xml:space="preserve">A bankrupt </t>
  </si>
  <si>
    <t>head of a fallen house</t>
  </si>
  <si>
    <t>a travelling circus</t>
  </si>
  <si>
    <t xml:space="preserve">A charismatic </t>
  </si>
  <si>
    <t>huckster</t>
  </si>
  <si>
    <t>a rundown building</t>
  </si>
  <si>
    <t xml:space="preserve">A mad </t>
  </si>
  <si>
    <t>street poet</t>
  </si>
  <si>
    <t>the slums</t>
  </si>
  <si>
    <t xml:space="preserve"> friend of </t>
  </si>
  <si>
    <t xml:space="preserve"> hates </t>
  </si>
  <si>
    <t xml:space="preserve"> envies </t>
  </si>
  <si>
    <t xml:space="preserve"> employed by </t>
  </si>
  <si>
    <t xml:space="preserve"> owes money to </t>
  </si>
  <si>
    <t xml:space="preserve"> stole from </t>
  </si>
  <si>
    <t xml:space="preserve"> secret lover of </t>
  </si>
  <si>
    <t xml:space="preserve"> illegitimate child of </t>
  </si>
  <si>
    <t xml:space="preserve"> sibling of </t>
  </si>
  <si>
    <t xml:space="preserve"> cuckolding </t>
  </si>
  <si>
    <t xml:space="preserve"> knows </t>
  </si>
  <si>
    <t xml:space="preserve"> has heard of </t>
  </si>
  <si>
    <t xml:space="preserve"> knows secret about </t>
  </si>
  <si>
    <t xml:space="preserve"> did business with </t>
  </si>
  <si>
    <t xml:space="preserve"> once met </t>
  </si>
  <si>
    <t xml:space="preserve"> can identify </t>
  </si>
  <si>
    <t xml:space="preserve"> tells lies about </t>
  </si>
  <si>
    <t xml:space="preserve"> ally of </t>
  </si>
  <si>
    <t xml:space="preserve"> heard rumor about </t>
  </si>
  <si>
    <t xml:space="preserve"> is aware of </t>
  </si>
  <si>
    <t>Convoluted Scale: 1-100</t>
  </si>
  <si>
    <t>POLITICAL PLOTS</t>
  </si>
  <si>
    <t xml:space="preserve">PLOT 2 </t>
  </si>
  <si>
    <t xml:space="preserve">PLOT 1 </t>
  </si>
  <si>
    <t xml:space="preserve">PLOT 3 </t>
  </si>
  <si>
    <t>NPC RELATIONSHIPS FOR CRIMES/POLITICAL PLOTS</t>
  </si>
  <si>
    <t>Number of Hours Hiked this Day:</t>
  </si>
  <si>
    <t xml:space="preserve">narrow crevice </t>
  </si>
  <si>
    <t xml:space="preserve"> with a stagnant pool</t>
  </si>
  <si>
    <t>Collapsed roof</t>
  </si>
  <si>
    <t>Collapsed floor</t>
  </si>
  <si>
    <t>Chasm with no bridge</t>
  </si>
  <si>
    <t>Cliff or very high wall</t>
  </si>
  <si>
    <t>Door locked on the other side</t>
  </si>
  <si>
    <t>Door blocked by debris</t>
  </si>
  <si>
    <t>Door with key broken off in the lock</t>
  </si>
  <si>
    <t>Door has been bricked over and is hidden</t>
  </si>
  <si>
    <t>Area is totally flooded with water</t>
  </si>
  <si>
    <t>Area is on fire</t>
  </si>
  <si>
    <t>Area is overgrown with large plants</t>
  </si>
  <si>
    <t>Area is full of flammable, toxic gas</t>
  </si>
  <si>
    <t>Area is full of stalactites and stalagmites</t>
  </si>
  <si>
    <t>Area is full of unused or broken dungeon features</t>
  </si>
  <si>
    <t>Area is an abandoned monster den full of rotten food and dung</t>
  </si>
  <si>
    <t>Area is full of corpses</t>
  </si>
  <si>
    <t>Area is blocked by a half-built structure</t>
  </si>
  <si>
    <t>Area is being used as a storeroom by something</t>
  </si>
  <si>
    <t>Area is full of choking smoke or dust</t>
  </si>
  <si>
    <t>Area is full of a large boulder</t>
  </si>
  <si>
    <t>A swarm of tiny insects has infested the area</t>
  </si>
  <si>
    <t>Mud and broken stone creates difficult terrain</t>
  </si>
  <si>
    <t>A foul smell makes everyone nauseated</t>
  </si>
  <si>
    <t>The area is magically dark</t>
  </si>
  <si>
    <t>Something is banging on the door or wall</t>
  </si>
  <si>
    <t>An old, broken trap is still around</t>
  </si>
  <si>
    <t>A loud noise muffles all sound</t>
  </si>
  <si>
    <t>A permanent thunderstorm is going off in the area</t>
  </si>
  <si>
    <t>The floor is unstable and holes keep appearing</t>
  </si>
  <si>
    <t>The roof is unstable and everyone has to dodge debris</t>
  </si>
  <si>
    <t>The floor is so slick with algae you can't stand up</t>
  </si>
  <si>
    <t>The walls are dangerous and deal damage when touched</t>
  </si>
  <si>
    <t>Acidic runoff drips from the ceiling</t>
  </si>
  <si>
    <t>Volcanic tremors keep shaking the area</t>
  </si>
  <si>
    <t>Everything in the area is disease-ridden</t>
  </si>
  <si>
    <t>Gravity isn't right in the area</t>
  </si>
  <si>
    <t>Everything in the area is charged with electricity</t>
  </si>
  <si>
    <t>The air is full of scalding steam</t>
  </si>
  <si>
    <t>A very strong wind is blowing out of nowhere</t>
  </si>
  <si>
    <t>Any sound in the room is massively magnified</t>
  </si>
  <si>
    <t>You Encounter</t>
  </si>
  <si>
    <t>But it gets worse:</t>
  </si>
  <si>
    <t>RANDOM HAZARDS</t>
  </si>
  <si>
    <t>Hazards</t>
  </si>
  <si>
    <t>rope bridge</t>
  </si>
  <si>
    <t>inside is a:</t>
  </si>
  <si>
    <t>pool</t>
  </si>
  <si>
    <t>dark tunnel</t>
  </si>
  <si>
    <t>stream of water</t>
  </si>
  <si>
    <t>stream of blood</t>
  </si>
  <si>
    <t>stagnant pool</t>
  </si>
  <si>
    <t>deep pool</t>
  </si>
  <si>
    <t>unnatural light</t>
  </si>
  <si>
    <t>strange gemstone</t>
  </si>
  <si>
    <t>broken chest</t>
  </si>
  <si>
    <t>intact chest</t>
  </si>
  <si>
    <t>you see:</t>
  </si>
  <si>
    <t>a crevice</t>
  </si>
  <si>
    <t>a hole</t>
  </si>
  <si>
    <t>a side corridor</t>
  </si>
  <si>
    <t>a side room</t>
  </si>
  <si>
    <t>an alcove</t>
  </si>
  <si>
    <t>a closed off tunnel</t>
  </si>
  <si>
    <t>the floor</t>
  </si>
  <si>
    <t>the ceiling</t>
  </si>
  <si>
    <t>the far wall</t>
  </si>
  <si>
    <t>the room</t>
  </si>
  <si>
    <t>altar</t>
  </si>
  <si>
    <t>broken doorway</t>
  </si>
  <si>
    <t>ornately carved archway</t>
  </si>
  <si>
    <t>ornate statue</t>
  </si>
  <si>
    <t>pool of blood</t>
  </si>
  <si>
    <t>series of cave paintings</t>
  </si>
  <si>
    <t>activated trap</t>
  </si>
  <si>
    <t>around it is:</t>
  </si>
  <si>
    <t>a series of cages, one of which is occupied.</t>
  </si>
  <si>
    <t>a pile of corpses.</t>
  </si>
  <si>
    <t>a rat warren.</t>
  </si>
  <si>
    <t>a pile of broken arrows.</t>
  </si>
  <si>
    <t>rotting timbers.</t>
  </si>
  <si>
    <t>toxic mushrooms.</t>
  </si>
  <si>
    <t>ancient runes of evil.</t>
  </si>
  <si>
    <t>hunched figures in the darkness.</t>
  </si>
  <si>
    <t>signs of a struggle.</t>
  </si>
  <si>
    <t>dust and bones.</t>
  </si>
  <si>
    <t>a strange pile of debris.</t>
  </si>
  <si>
    <t>boulders and other debris.</t>
  </si>
  <si>
    <t>giant stone coffin</t>
  </si>
  <si>
    <t>a strange, glowing liquid.</t>
  </si>
  <si>
    <t>the rotten remains of a feast.</t>
  </si>
  <si>
    <t>mechanical man</t>
  </si>
  <si>
    <t>unnatural bones.</t>
  </si>
  <si>
    <t>a rippling pool of water.</t>
  </si>
  <si>
    <t>signs of recent activity.</t>
  </si>
  <si>
    <t>statues bent in prayer/worship.</t>
  </si>
  <si>
    <t>signs of worship.</t>
  </si>
  <si>
    <t>As you look, you begin hearing:</t>
  </si>
  <si>
    <t>footsepts</t>
  </si>
  <si>
    <t xml:space="preserve"> sepulcher</t>
  </si>
  <si>
    <t>Random Non-Personnel Encounters:</t>
  </si>
  <si>
    <t>signs of a failed ritual.</t>
  </si>
  <si>
    <t>A plaque listing a family lineage</t>
  </si>
  <si>
    <t>A plaque noting birth and death dates</t>
  </si>
  <si>
    <t>A wall sconce holding several candles</t>
  </si>
  <si>
    <t>An empty wall sconce for holding a torch</t>
  </si>
  <si>
    <t>A mural depicting a mythological scene</t>
  </si>
  <si>
    <t>A small fountain or reflecting pool</t>
  </si>
  <si>
    <t>A huge book of sacred texts or prayers</t>
  </si>
  <si>
    <t>An ornate oil lamp</t>
  </si>
  <si>
    <t>A wide fresco or mural depicting a mythological or historical scene</t>
  </si>
  <si>
    <t>A gilded sarcophagus</t>
  </si>
  <si>
    <t>A simple stone sarcophagus</t>
  </si>
  <si>
    <t>A finely-crafted, heavy wooden coffin</t>
  </si>
  <si>
    <t>A simple, sturdy wooden coffin</t>
  </si>
  <si>
    <t>A stone coffin marked with dates</t>
  </si>
  <si>
    <t>An empty coffin</t>
  </si>
  <si>
    <t>a broken open room</t>
  </si>
  <si>
    <t>an ornate side room</t>
  </si>
  <si>
    <t>a previously hidden alcove</t>
  </si>
  <si>
    <t>a mount suspended from the ceiling</t>
  </si>
  <si>
    <t>Encounters:</t>
  </si>
  <si>
    <t>A mosaic</t>
  </si>
  <si>
    <t>A small altar</t>
  </si>
  <si>
    <t>A rotten, earthy stench coming from</t>
  </si>
  <si>
    <t>A musty, moldy odor coming from</t>
  </si>
  <si>
    <t>The scent of decaying flesh coming from</t>
  </si>
  <si>
    <t>SEWERS</t>
  </si>
  <si>
    <t>bubbling, murky water</t>
  </si>
  <si>
    <t>an empty glass bottle</t>
  </si>
  <si>
    <t>filthy rags in some mucky water</t>
  </si>
  <si>
    <t>jagged cracks in the tunnel wall</t>
  </si>
  <si>
    <t>a constant drip from the ceiling</t>
  </si>
  <si>
    <t>large room</t>
  </si>
  <si>
    <t>T intersection</t>
  </si>
  <si>
    <t>X intersection</t>
  </si>
  <si>
    <t>small room</t>
  </si>
  <si>
    <t>access corridor</t>
  </si>
  <si>
    <t>drain room</t>
  </si>
  <si>
    <t>Sewers</t>
  </si>
  <si>
    <t>access room</t>
  </si>
  <si>
    <t>large tunnel</t>
  </si>
  <si>
    <t>vaulted tunnel</t>
  </si>
  <si>
    <t>ladder or narrow stair going up</t>
  </si>
  <si>
    <t>giant grate or net</t>
  </si>
  <si>
    <t>handful of wooden crates</t>
  </si>
  <si>
    <t>large pipe or drain leading downard</t>
  </si>
  <si>
    <t>skeleton or decaying corpse</t>
  </si>
  <si>
    <t>filthy nest</t>
  </si>
  <si>
    <t>a pocket of warm, mucky water</t>
  </si>
  <si>
    <t>Ancient and built to list; the tunnels have been here for ages and will last for many years.</t>
  </si>
  <si>
    <t>Ancient and deteriorating; the tunnels are crumbling.</t>
  </si>
  <si>
    <t>Old and solid; the tunnels the material used to line the tunnels has only minor cracks.</t>
  </si>
  <si>
    <t>Old and decaying; the material used to line the tunnels has many wide cracks.</t>
  </si>
  <si>
    <t>Recent and solid; the tunnels were well-engineered and well-built.</t>
  </si>
  <si>
    <t>Recent and shoddy; the tunnels were hastily built and lined with cheap materials.</t>
  </si>
  <si>
    <t>Material: The tunnels are built of or lined with...</t>
  </si>
  <si>
    <t>Wooden planks sealed with pitch.</t>
  </si>
  <si>
    <t>Baked clay tiles.</t>
  </si>
  <si>
    <t>Sandstone blocks</t>
  </si>
  <si>
    <t>Rough concrete.</t>
  </si>
  <si>
    <t>Granite.</t>
  </si>
  <si>
    <t>Marble.</t>
  </si>
  <si>
    <t>Water level: The tunnels in this place...</t>
  </si>
  <si>
    <t>Are only filled with ankle-deep muck.</t>
  </si>
  <si>
    <t>Are always flooded up to the ceiling.</t>
  </si>
  <si>
    <t>Are always flooded in the lower levels.</t>
  </si>
  <si>
    <t>Are always flooded up to the waist.</t>
  </si>
  <si>
    <t>Flood at high tide.</t>
  </si>
  <si>
    <t>Flood when it rains heavily.</t>
  </si>
  <si>
    <t>Drain: These tunnels drain off into...</t>
  </si>
  <si>
    <t>The city harbor.</t>
  </si>
  <si>
    <t>An underground lake.</t>
  </si>
  <si>
    <t>A canal that leads to the sea.</t>
  </si>
  <si>
    <t>A nearby swamp.</t>
  </si>
  <si>
    <t>A wide river.</t>
  </si>
  <si>
    <t>An unknown deep place.</t>
  </si>
  <si>
    <t>Age and Condition:</t>
  </si>
  <si>
    <t>The tunnels were built/lined with:</t>
  </si>
  <si>
    <t>The tunnels in this place:</t>
  </si>
  <si>
    <t>The tunnels drain into:</t>
  </si>
  <si>
    <t>Sewer Density:</t>
  </si>
  <si>
    <t>ACCESSIBLE SEWER LAYOUT</t>
  </si>
  <si>
    <t>Ham</t>
  </si>
  <si>
    <t>City Density:</t>
  </si>
  <si>
    <t>Unfinished</t>
  </si>
  <si>
    <t>The creation of the world is ongoing, and may never cease. Some things we take for granted may not yet exist, the laws of reality seem illogical at times, and the half-formed landscape is in a constant state of flux.</t>
  </si>
  <si>
    <t>Alien Forged</t>
  </si>
  <si>
    <t>The world was created to serve as a permanent abode for a series of strange and alien entities, and it is likely they will one day return. The world is bizarre and confounds earthly logic.</t>
  </si>
  <si>
    <t>Dreamscape</t>
  </si>
  <si>
    <t>The world is nothing but the dream of a slumbering deity, and none can say when they’ll awaken. Though the world seems mundane enough at first glance, a deeper look reveals that not all is as it seems.</t>
  </si>
  <si>
    <t>Demiurge</t>
  </si>
  <si>
    <t>An imperfect being of immense power created the world, and thus, it is flawed. The world is fundamentally broken, and though the Demiurge is silent; shackled, slumbering, ashamed, or slain, in time, they may free themselves and undo their mistake.</t>
  </si>
  <si>
    <t>True Creator</t>
  </si>
  <si>
    <t>A perfect being of immense power created the world, and at first, it was likewise flawless, but its perfection did not last. Whether by the Creator’s intent, subsequent abandonment, or unforeseen tragedy, the world has become flawed, but it could be far worse.</t>
  </si>
  <si>
    <t>By Committee</t>
  </si>
  <si>
    <t>Numerous divine entities of varying power set out to create the world, and despite their ceaseless bickering, stubborn compromise was made, and in time, it came into being. The world is a diverse landscape, the work of many craftsmen.</t>
  </si>
  <si>
    <t>Mechanistic</t>
  </si>
  <si>
    <t>Impersonal forces of nature created the world, and for better or worse, no deity had a hand in its creation. The world is as could be expected, to the benefit or the detriment of its denizens.</t>
  </si>
  <si>
    <t>Disaster</t>
  </si>
  <si>
    <t>The world came about as the unintentional byproduct of an incomprehensibly vast struggle in the void before creation. The world, though much calmer to an extent, still bears the scars of its birth.</t>
  </si>
  <si>
    <t>Precursors</t>
  </si>
  <si>
    <t xml:space="preserve">An impossibly advanced post-scarcity civilization created the world with seemingly magical technology to serve their inscrutable needs. Though they are long gone, their legacy remains in the ancient ruins scattered across the world. </t>
  </si>
  <si>
    <t>Profane Assemblage</t>
  </si>
  <si>
    <t>A hubristic arch-demon of unparalleled power created the world in an attempt to make a work of art that would last the test of time. The world is hellish and cruel, but beautiful in its own way.</t>
  </si>
  <si>
    <t>Dimensional Conflux</t>
  </si>
  <si>
    <t>The world is situated in the center of a plane where extra-dimensional energies once clashed, bringing it forth at the centre of the maelstrom. Though the storm has passed and the world is stable, occasionally outsiders find their way in.</t>
  </si>
  <si>
    <t>The World is in its Cradle</t>
  </si>
  <si>
    <t>The creation of the world came to a close recently, if it ever did, and its denizens have only begun to master the rudiments of tool-crafting and fire-building.</t>
  </si>
  <si>
    <t>The World is in its Infancy</t>
  </si>
  <si>
    <t>The world is savage, primal, and dominated by wilderness, and armed with the knowledge of their ancestors, its denizens have begun to explore and exploit it.</t>
  </si>
  <si>
    <t>The World is Still Young</t>
  </si>
  <si>
    <t>By and large, nature reigns supreme, but in several regions its denizens have begun to till the earth, construct city-states, and establish sophisticated culture.</t>
  </si>
  <si>
    <t>The World is in its Adolescence</t>
  </si>
  <si>
    <t>Little by little, nature has begun to give way to civilization, and its denizens have begun to sail to distant lands, subjugating other peoples and being subjugated in turn.</t>
  </si>
  <si>
    <t>The World is No Longer Young</t>
  </si>
  <si>
    <t>The lion’s share of its denizens have settled and founded great nations by the sweat of their brow, though the wildest lands and those within them are yet untamed.</t>
  </si>
  <si>
    <t>The World is Mature</t>
  </si>
  <si>
    <t>The world has finally been explored and the wild settled, its denizens have a wealth of wondrous accomplishments, discoveries, and prosperity, and the surplus is such that some have come to question their deepest held notions and certainties.</t>
  </si>
  <si>
    <t>The World is at its Zenith</t>
  </si>
  <si>
    <t>The illustrious civilizations, technological wonders, and horrific wars of the world’s denizens are breathtaking, though in time, their burden on the land may prove too much to carry.</t>
  </si>
  <si>
    <t>The World has begun to Age</t>
  </si>
  <si>
    <t>The world’s denizens have succumbed to decadence, and grown complacent while the resources needed to sustain their comfort run thinner each generation.</t>
  </si>
  <si>
    <t>The World is No Longer Relevant</t>
  </si>
  <si>
    <t>The world’s denizens have managed to overcome their ennui, and in the dawn of a new age, have begun to expand beyond the world, exploring and settling new worlds and dimensions beyond their plane.</t>
  </si>
  <si>
    <t>The World has grown Old</t>
  </si>
  <si>
    <t>The world’s denizens were unable to overcome their ennui, and in time it consumed them. The zenith of the world is a distant memory, civilization has crumbled, and its surviving denizens struggle to scrape by on what little remains.</t>
  </si>
  <si>
    <t>The World is on the Verge of Death</t>
  </si>
  <si>
    <t>The end is nigh, the world has outlived its time, the stench of decay has begun to set in, and final death is inevitable, but it is slow to come, painful, and hard-fought by the few denizens that endure.</t>
  </si>
  <si>
    <t>Absent</t>
  </si>
  <si>
    <t>The deities of the world are dead, gone, or were never there to begin with. There is nothing to intervene or answer prayers.</t>
  </si>
  <si>
    <t>They Watch</t>
  </si>
  <si>
    <t>The deities of the world are distant observers, and it would take something truly extraordinary to get their attention.</t>
  </si>
  <si>
    <t>Ascended Mortals</t>
  </si>
  <si>
    <t>The deities of the world are not deities, but rather, former mortals that, through strength or through guile, transcended their mortality to become something more.</t>
  </si>
  <si>
    <t>Not Of This World</t>
  </si>
  <si>
    <t>The deities of the world are not of this world at all, but rather, came from another place or another time, perhaps fleeing ennui or seeking to settle.</t>
  </si>
  <si>
    <t>Strange Cosmos</t>
  </si>
  <si>
    <t>The deities of the world are non-anthropomorphic entities, and their logic is nigh-incomprehensible to those who serve them.</t>
  </si>
  <si>
    <t>Familiar Cosmos</t>
  </si>
  <si>
    <t>The deities of the world are a varied lot, resembling larger than life mortals more than anything, with all the good, the bad, and mostly true mythologies that entails.</t>
  </si>
  <si>
    <t>Heavenly Feud</t>
  </si>
  <si>
    <t>The deities of the world are petty, meddling, and powerful, but luckily, the threat of mutually assured deicide keeps them from open conflict, to an extent.</t>
  </si>
  <si>
    <t>Exalted Beasts</t>
  </si>
  <si>
    <t>The deities of the world are dreadful monsters, mindless beasts and natural disasters given godhood.</t>
  </si>
  <si>
    <t>True Divinities</t>
  </si>
  <si>
    <t xml:space="preserve">The deities of the world are truly supreme beings, present in all places at once, with nigh-limitless power to bring to bear, and a sense of restraint most in their position would lack. </t>
  </si>
  <si>
    <t>Profane Idols</t>
  </si>
  <si>
    <t>The deities of the world are in fact demons, and thus, are much calloused and crueler than one would expect.</t>
  </si>
  <si>
    <t>Double Digits</t>
  </si>
  <si>
    <t>The deities of the world are a varied lot. Reroll twice and combine the results, if another 11 is rolled, add the first result, and continue until it is not rolled.</t>
  </si>
  <si>
    <t>Magic is Mundane</t>
  </si>
  <si>
    <t>Mortals have no magic, it is solely the domain of the world’s deities and lesser supernatural entities.</t>
  </si>
  <si>
    <t>Magic is Rare</t>
  </si>
  <si>
    <t>The world’s magic is hard to find and harder to use. The vast majority is useless superstition, incredibly tedious to employ, or dangerous to the user, but what works tends to be stronger than the freely available magic of other worlds.</t>
  </si>
  <si>
    <t>Magic is Dark</t>
  </si>
  <si>
    <t>All but the weakest magic comes only through diabolical pacts and unspeakable deeds, and when it does, it is corrupting, chaotic, and catastrophic to the user and their victims alike.</t>
  </si>
  <si>
    <t>Magic takes Tools</t>
  </si>
  <si>
    <t>The mortal mind can’t grasp any but the weakest of magic, only through artifice, scroll-scribbling, alchemy, and enchantments can its energies be brought to bear.</t>
  </si>
  <si>
    <t>Magic is Demanding</t>
  </si>
  <si>
    <t>Magic is both powerful and attainable, but it requires decades of difficult study, ironclad self-control, and immense personal sacrifice from its users.</t>
  </si>
  <si>
    <t>Magic is Inherited</t>
  </si>
  <si>
    <t>Only mortals descended from or greatly favored by supernatural entities can channel magic, and while great within its scope, their power is narrow and limited.</t>
  </si>
  <si>
    <t>Magic is Common</t>
  </si>
  <si>
    <t>The study of magic is well-known and widespread, to the extent a town may have a wizard living between its carpenter and smith, but due to its ubiquity, it tends to be weaker than the less available magic of other worlds.</t>
  </si>
  <si>
    <t>Magic is Myriad</t>
  </si>
  <si>
    <t>Numerous methods of magic exist, everything from dark pacts, to artificial tools, to arduous study, and simple circumstance of birth, and its divergent practitioners may have an intense and oft-bloody rivalry with one another.</t>
  </si>
  <si>
    <t>Magic is Science</t>
  </si>
  <si>
    <t>In their curiosity, mortals have codified and tested magic to the extent it’s seen as merely another discipline of science, and broadly implemented in technology.</t>
  </si>
  <si>
    <t>Magic is Everywhere</t>
  </si>
  <si>
    <t>Powerful magic is freely accessible, at minimal to no cost and risk to its users, and magical entities that may be rare in worlds readily serve mortals in all aspects of life.</t>
  </si>
  <si>
    <t>Roll again, keeping the result, with the caveat that magic comes from, or through the deities of the world. If another 11 is rolled, discount it and reroll until another result is found.</t>
  </si>
  <si>
    <t>Only Humans exist in the world.</t>
  </si>
  <si>
    <t>Humans and one other species exist in the world.</t>
  </si>
  <si>
    <t>Brute</t>
  </si>
  <si>
    <t>This species is known for its prodigal strength, near-endless endurance, and dim wittedness.</t>
  </si>
  <si>
    <t>Vermin</t>
  </si>
  <si>
    <t>This species is known for its individual incompetence, short lifespan, and rapid rate of reproduction.</t>
  </si>
  <si>
    <t>Agile</t>
  </si>
  <si>
    <t>This species is known for its incredible dexterity, mind-boggling flexibility, and skill at moving unseen.</t>
  </si>
  <si>
    <t>Elder</t>
  </si>
  <si>
    <t>This species is known for its ancient history, long lifespan, deep wisdom, and keen intellect.</t>
  </si>
  <si>
    <t>Comfy</t>
  </si>
  <si>
    <t>This species is known for its tight-knit families, friendly demeanor, and talent at agriculture.</t>
  </si>
  <si>
    <t>Alien</t>
  </si>
  <si>
    <t>This species is known for the unsettling adaptations that allow it to thrive in areas other species couldn’t.</t>
  </si>
  <si>
    <t>Artisan</t>
  </si>
  <si>
    <t>This species is known for its industriousness, secretive demeanor, and talent at craftsmanship.</t>
  </si>
  <si>
    <t>Big/Tiny</t>
  </si>
  <si>
    <t>This species is known for its physical stature, which is much larger, or smaller than other species.</t>
  </si>
  <si>
    <t>This species is known for its high affinity for the supernatural, or its seemingly supernatural abilities.</t>
  </si>
  <si>
    <t>Collective</t>
  </si>
  <si>
    <t>This species is known for its intensely hierarchal society, and the huge variation between its castes.</t>
  </si>
  <si>
    <t>Mundane</t>
  </si>
  <si>
    <t>This species is known for its lack of distinguishing traits, versatile mediocrity, and widespread settlement.</t>
  </si>
  <si>
    <t>Master Race</t>
  </si>
  <si>
    <t>One species is widely considered to be superior paragons, to which others should defer.</t>
  </si>
  <si>
    <t>Enslaved</t>
  </si>
  <si>
    <t>One species is widely considered to be inferior, and is enslaved to an extent by the other species.</t>
  </si>
  <si>
    <t>Race War</t>
  </si>
  <si>
    <t>The species rarely meet, unless weapons are drawn. There is a long-held and irreconcilable animosity between the species.</t>
  </si>
  <si>
    <t>Deep Mistrust</t>
  </si>
  <si>
    <t>The species shun and avoid one another if possible, though outright violence is uncommon, race riots aren’t unheard of.</t>
  </si>
  <si>
    <t>That Part of Town</t>
  </si>
  <si>
    <t>Members of both species that live in the same region are discouraged from closer association. Any close relationships would mark those involved as pariahs.</t>
  </si>
  <si>
    <t>Separate But Equal</t>
  </si>
  <si>
    <t>The species have no hate for one another, and show their respect by staying out of each other’s way. Though there may be trade, the societies themselves are largely separate.</t>
  </si>
  <si>
    <t>Pragmatic</t>
  </si>
  <si>
    <t>Members of both species are businesslike in their dealings with one another, if it pays off to band together they’ll do so, but they won’t go out of their way to integrate.</t>
  </si>
  <si>
    <t>Melting Pot</t>
  </si>
  <si>
    <t>The species meet, trade, and form alliance fairly cordially, but primarily in trade hubs and major population centers. Sparks fly and cultures blend.</t>
  </si>
  <si>
    <t>Amicable</t>
  </si>
  <si>
    <t>Members of both species get along fairly well, all things considered. There are prejudices, but they are by no means universal.</t>
  </si>
  <si>
    <t>Friendly</t>
  </si>
  <si>
    <t>The species are quite close to one another, and interspecies marriages are not uncommon, though there are some few who’d prefer to remain separate.</t>
  </si>
  <si>
    <t>What Species?</t>
  </si>
  <si>
    <t>Members of both species are blind to their differences, and view themselves as one and the same in all matters, save mutually exclusive physical needs, of course.</t>
  </si>
  <si>
    <t>Frozen</t>
  </si>
  <si>
    <t xml:space="preserve">The world is icy cold, dominated by endless swathes of tundra, vast pine forests, and glacial clusters, here, warm weather is rare, and food is scarce. </t>
  </si>
  <si>
    <t>Far Up Above</t>
  </si>
  <si>
    <t>The world’s landmass is comprised of a series of floating islands, constantly orbiting and colliding with one another, far above a bottomless void.</t>
  </si>
  <si>
    <t>Archipelago</t>
  </si>
  <si>
    <t>The world is ocean as far as the eye can see, there are no landmasses save a series of scant island chains and coral reefs, the concept of continents is widely regarded as fiction.</t>
  </si>
  <si>
    <t>Almost Archipelago</t>
  </si>
  <si>
    <t>The world is almost entirely ocean, aside from a handful of middling continents, the entirety of the world’s landmass is made of scant island chains and coral reefs.</t>
  </si>
  <si>
    <t>Earth-Like</t>
  </si>
  <si>
    <t>The world boasts a balanced spread of continents and islands of various size, with a wide array of biomes and environs.</t>
  </si>
  <si>
    <t>Almost Pangean</t>
  </si>
  <si>
    <t>The majority of the world’s landmass is contained within a single large continent, though there are some lesser continents and scant island chains.</t>
  </si>
  <si>
    <t>Pangean</t>
  </si>
  <si>
    <t>The entirety of the world’s landmass is contained within a single, enormous continent, surrounded by seemingly endless oceans.</t>
  </si>
  <si>
    <t>Deep Underground</t>
  </si>
  <si>
    <t>The world is so deep the sky is considered a myth, consisting of a series of vast caverns, sprawling tunnel networks, and the rare waterflow from above.</t>
  </si>
  <si>
    <t>Scorching</t>
  </si>
  <si>
    <t>Scorching The world is scorching hot, dominated by endless swathes of rocky desert, parched badlands, and winding rivers, here, cold weather is rare, and water is scarce.</t>
  </si>
  <si>
    <t>Fantasy Setting Generator</t>
  </si>
  <si>
    <t>Origin</t>
  </si>
  <si>
    <t>Hit F9 to generate new world</t>
  </si>
  <si>
    <t>Age</t>
  </si>
  <si>
    <t>Deities</t>
  </si>
  <si>
    <t>Magic</t>
  </si>
  <si>
    <t>Physical Composition</t>
  </si>
  <si>
    <t>Intelligent Species</t>
  </si>
  <si>
    <t>Species Relationships</t>
  </si>
  <si>
    <t>Species 1 Archetypes</t>
  </si>
  <si>
    <t>Species 2 Archetypes</t>
  </si>
  <si>
    <t>Species 3 Archetypes</t>
  </si>
  <si>
    <t>Species 4 Archetypes</t>
  </si>
  <si>
    <t>Species 5 Archetypes</t>
  </si>
  <si>
    <t>Species 6 Archetypes</t>
  </si>
  <si>
    <t>Species 7 Archetypes</t>
  </si>
  <si>
    <t>Species 8 Archetypes</t>
  </si>
  <si>
    <t>Species 9 Archetypes</t>
  </si>
  <si>
    <t>Species 10 Archetypes</t>
  </si>
  <si>
    <t>Species 11 Archetypes</t>
  </si>
  <si>
    <t>Species 12 Archetypes</t>
  </si>
  <si>
    <t>Species 13 Archetypes</t>
  </si>
  <si>
    <r>
      <rPr>
        <b/>
        <sz val="14"/>
        <color theme="1"/>
        <rFont val="Calibri"/>
        <family val="2"/>
        <scheme val="minor"/>
      </rPr>
      <t>Tip</t>
    </r>
    <r>
      <rPr>
        <sz val="14"/>
        <color theme="1"/>
        <rFont val="Calibri"/>
        <family val="2"/>
        <scheme val="minor"/>
      </rPr>
      <t>: If a Race Relation is listed multiple times, and one contradicts the other, then it can be historical, or even on a separate part of the world. It doesn’t need to be universal. 
        If a race has no relationship, then it can be undiscovered, extinct, or extremely isolationist to the point that there is no previous contact.
        If no relationship exists between two races, then the races can have had no previous contact, be completely indifferent to the other, or follow the lead of a race they do have a relationship with.</t>
    </r>
  </si>
  <si>
    <t>bitter vetch</t>
  </si>
  <si>
    <t>cooked lupines</t>
  </si>
  <si>
    <t>hulled millet</t>
  </si>
  <si>
    <t>unhulled millet</t>
  </si>
  <si>
    <t>Spelt</t>
  </si>
  <si>
    <t>Oils/Seasonings</t>
  </si>
  <si>
    <t>cheap fish sauce</t>
  </si>
  <si>
    <t>honey</t>
  </si>
  <si>
    <t>cheap honey</t>
  </si>
  <si>
    <t>olive oil</t>
  </si>
  <si>
    <t>cheap olive oil</t>
  </si>
  <si>
    <t>Virgin olive oil</t>
  </si>
  <si>
    <t>Goldfinch (good condition)</t>
  </si>
  <si>
    <t>Goldfinch (wild)</t>
  </si>
  <si>
    <t>Goose (fattened)</t>
  </si>
  <si>
    <t>Goose (not fattened)</t>
  </si>
  <si>
    <t>Fattened hen pheasant</t>
  </si>
  <si>
    <t>Hen pheasant</t>
  </si>
  <si>
    <t>Fattened pheasant</t>
  </si>
  <si>
    <t>Pheasant</t>
  </si>
  <si>
    <t>bred Turtle dove</t>
  </si>
  <si>
    <t>good Ham (Menapian or Cerritane)</t>
  </si>
  <si>
    <t>good Liver of swine (fed on figs)</t>
  </si>
  <si>
    <t>smoked Lucanian beef sausage</t>
  </si>
  <si>
    <t>Smoked Lucanian pork sausage</t>
  </si>
  <si>
    <t>fresh pork fat</t>
  </si>
  <si>
    <t>best salted Pork</t>
  </si>
  <si>
    <t>Suet, beef/mutton</t>
  </si>
  <si>
    <t>good River fish</t>
  </si>
  <si>
    <t>poor River fish</t>
  </si>
  <si>
    <t>Sea fish (no bones)</t>
  </si>
  <si>
    <t>fresh sea urchins</t>
  </si>
  <si>
    <t>Fruits/Vegetables</t>
  </si>
  <si>
    <t>Apples (Matian/Salignian, fresh)</t>
  </si>
  <si>
    <t>Apples (Matian/Salignian, old)</t>
  </si>
  <si>
    <t>Small apples</t>
  </si>
  <si>
    <t>Large Artichokes</t>
  </si>
  <si>
    <t>Cultivated Asparagus</t>
  </si>
  <si>
    <t>Wild Asparagus</t>
  </si>
  <si>
    <t>Shelled Green Beans</t>
  </si>
  <si>
    <t>Large Beets</t>
  </si>
  <si>
    <t>Small Beets</t>
  </si>
  <si>
    <t>Fresh Cabbage</t>
  </si>
  <si>
    <t>Green Chickpeas</t>
  </si>
  <si>
    <t>Large Citron</t>
  </si>
  <si>
    <t>Small Citron</t>
  </si>
  <si>
    <t>Cucumbers (large)</t>
  </si>
  <si>
    <t>Cucumbers (small)</t>
  </si>
  <si>
    <t>Dried Damsons (Moneaean, fresh)</t>
  </si>
  <si>
    <t>Dried Damsons (Moneaean, old)</t>
  </si>
  <si>
    <t>Dates (Nicolaan, fresh)</t>
  </si>
  <si>
    <t>Dates (Nicolaan, old)</t>
  </si>
  <si>
    <t>Small Dates</t>
  </si>
  <si>
    <t>Endive (fresh)</t>
  </si>
  <si>
    <t>Figs (fresh)</t>
  </si>
  <si>
    <t>Figs (Carian)</t>
  </si>
  <si>
    <t>Figs (Carian, pressed)</t>
  </si>
  <si>
    <t>Figs (delacere)</t>
  </si>
  <si>
    <t>Gourds (large)</t>
  </si>
  <si>
    <t>Gourds (small)</t>
  </si>
  <si>
    <t>Kidney beans (green, shelled)</t>
  </si>
  <si>
    <t>Leeks (large)</t>
  </si>
  <si>
    <t>Leeks (small)</t>
  </si>
  <si>
    <t>Mallow (large)</t>
  </si>
  <si>
    <t>Mallow (small)</t>
  </si>
  <si>
    <t>Onions (African/Fabrian, large)</t>
  </si>
  <si>
    <t>Onions (African/Fabrian, small)</t>
  </si>
  <si>
    <t>Onions, dried</t>
  </si>
  <si>
    <t>Onions (green, large)</t>
  </si>
  <si>
    <t>Onions (green, small)</t>
  </si>
  <si>
    <t>Parsnips (large)</t>
  </si>
  <si>
    <t>Parsnips (small)</t>
  </si>
  <si>
    <t>Peaches (firm, large)</t>
  </si>
  <si>
    <t>Peaches (firm, small)</t>
  </si>
  <si>
    <t>Peaches (large)</t>
  </si>
  <si>
    <t>Peaches (small)</t>
  </si>
  <si>
    <t>Pears (large)</t>
  </si>
  <si>
    <t>Pears (small)</t>
  </si>
  <si>
    <t>Pine nuts (shelled)</t>
  </si>
  <si>
    <t>Plums (yellow, large)</t>
  </si>
  <si>
    <t>Plums (yellow, small)</t>
  </si>
  <si>
    <t>Pomegranates (large)</t>
  </si>
  <si>
    <t>Pomegranates (small)</t>
  </si>
  <si>
    <t>Quinces (small)</t>
  </si>
  <si>
    <t>Radishes (large)</t>
  </si>
  <si>
    <t>Radishes (small)</t>
  </si>
  <si>
    <t>Raisins (large)</t>
  </si>
  <si>
    <t>Raisins (smoked)</t>
  </si>
  <si>
    <t>Ripe (black olives)</t>
  </si>
  <si>
    <t>Snails (large)</t>
  </si>
  <si>
    <t>Snails (small)</t>
  </si>
  <si>
    <t>Sugar melons (large)</t>
  </si>
  <si>
    <t>Sugar melons (small)</t>
  </si>
  <si>
    <t>Table grapes (hard or long)</t>
  </si>
  <si>
    <t>Turnips (large)</t>
  </si>
  <si>
    <t>Turnips (small)</t>
  </si>
  <si>
    <t>Walnuts (dried)</t>
  </si>
  <si>
    <t>Walnuts (green)</t>
  </si>
  <si>
    <t>Denarius</t>
  </si>
  <si>
    <t>cup</t>
  </si>
  <si>
    <t>2 tablespoons</t>
  </si>
  <si>
    <t>per animal</t>
  </si>
  <si>
    <t>lb</t>
  </si>
  <si>
    <t>quart</t>
  </si>
  <si>
    <t>cups</t>
  </si>
  <si>
    <t>pieces</t>
  </si>
  <si>
    <t>bundle</t>
  </si>
  <si>
    <t>ounces</t>
  </si>
  <si>
    <t>Select social class location of Inn/Tavern</t>
  </si>
  <si>
    <t>Main Dish</t>
  </si>
  <si>
    <t>Prepared with:</t>
  </si>
  <si>
    <t>Side 1</t>
  </si>
  <si>
    <t>Side 2</t>
  </si>
  <si>
    <t>Side 3</t>
  </si>
  <si>
    <t>price</t>
  </si>
  <si>
    <t>Middle</t>
  </si>
  <si>
    <t>Royal</t>
  </si>
  <si>
    <t>Noble</t>
  </si>
  <si>
    <t>Upper</t>
  </si>
  <si>
    <t>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</si>
</sst>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51">
    <font>
      <sz val="11"/>
      <color theme="1"/>
      <name val="Calibri"/>
      <family val="2"/>
      <scheme val="minor"/>
    </font>
    <font>
      <sz val="11"/>
      <color theme="1"/>
      <name val="Calibri"/>
      <family val="2"/>
      <scheme val="minor"/>
    </font>
    <font>
      <b/>
      <sz val="11"/>
      <color theme="1"/>
      <name val="Calibri"/>
      <family val="2"/>
      <scheme val="minor"/>
    </font>
    <font>
      <i/>
      <sz val="11"/>
      <color rgb="FF000000"/>
      <name val="Calibri"/>
      <family val="2"/>
    </font>
    <font>
      <b/>
      <sz val="11"/>
      <color rgb="FF000000"/>
      <name val="Calibri"/>
      <family val="2"/>
    </font>
    <font>
      <sz val="11"/>
      <color rgb="FF000000"/>
      <name val="Calibri"/>
      <family val="2"/>
    </font>
    <font>
      <sz val="11"/>
      <color rgb="FF1C1C1C"/>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sz val="11"/>
      <color theme="0" tint="-0.14999847407452621"/>
      <name val="Calibri"/>
      <family val="2"/>
      <scheme val="minor"/>
    </font>
    <font>
      <sz val="11"/>
      <color rgb="FFFF0000"/>
      <name val="Calibri"/>
      <family val="2"/>
      <scheme val="minor"/>
    </font>
    <font>
      <sz val="12"/>
      <color rgb="FF000000"/>
      <name val="Calibri"/>
      <family val="2"/>
    </font>
    <font>
      <b/>
      <sz val="11"/>
      <color rgb="FF000000"/>
      <name val="Calibri"/>
      <family val="2"/>
    </font>
    <font>
      <b/>
      <i/>
      <sz val="11"/>
      <color rgb="FF000000"/>
      <name val="Calibri"/>
      <family val="2"/>
    </font>
    <font>
      <sz val="11"/>
      <color rgb="FF000000"/>
      <name val="Inconsolata"/>
    </font>
    <font>
      <b/>
      <sz val="14"/>
      <color rgb="FF000000"/>
      <name val="Calibri"/>
      <family val="2"/>
    </font>
    <font>
      <b/>
      <sz val="16"/>
      <color rgb="FF000000"/>
      <name val="Calibri"/>
      <family val="2"/>
    </font>
    <font>
      <b/>
      <sz val="18"/>
      <color theme="1"/>
      <name val="Calibri"/>
      <family val="2"/>
      <scheme val="minor"/>
    </font>
    <font>
      <sz val="11"/>
      <color rgb="FF1C1C1C"/>
      <name val="Arial"/>
      <family val="2"/>
    </font>
    <font>
      <sz val="14"/>
      <color theme="1"/>
      <name val="Calibri"/>
      <family val="2"/>
      <scheme val="minor"/>
    </font>
    <font>
      <b/>
      <sz val="22"/>
      <color theme="1"/>
      <name val="Calibri"/>
      <family val="2"/>
      <scheme val="minor"/>
    </font>
    <font>
      <sz val="11"/>
      <name val="Calibri"/>
      <family val="2"/>
    </font>
    <font>
      <b/>
      <sz val="11"/>
      <name val="Calibri"/>
      <family val="2"/>
      <scheme val="minor"/>
    </font>
    <font>
      <b/>
      <sz val="20"/>
      <color theme="1"/>
      <name val="Calibri"/>
      <family val="2"/>
      <scheme val="minor"/>
    </font>
    <font>
      <sz val="11"/>
      <color rgb="FF000000"/>
      <name val="Palatino Linotype"/>
      <family val="1"/>
    </font>
    <font>
      <b/>
      <sz val="18"/>
      <color rgb="FF000000"/>
      <name val="Calibri"/>
      <family val="2"/>
    </font>
    <font>
      <b/>
      <sz val="20"/>
      <color rgb="FF000000"/>
      <name val="Calibri"/>
      <family val="2"/>
    </font>
    <font>
      <sz val="11"/>
      <name val="Calibri"/>
      <family val="2"/>
      <scheme val="minor"/>
    </font>
    <font>
      <sz val="16"/>
      <color theme="1"/>
      <name val="Calibri"/>
      <family val="2"/>
      <scheme val="minor"/>
    </font>
    <font>
      <b/>
      <sz val="16"/>
      <name val="Calibri"/>
      <family val="2"/>
      <scheme val="minor"/>
    </font>
    <font>
      <b/>
      <sz val="12"/>
      <color rgb="FF000000"/>
      <name val="Calibri"/>
      <family val="2"/>
    </font>
    <font>
      <sz val="12"/>
      <color theme="0" tint="-0.249977111117893"/>
      <name val="Calibri"/>
      <family val="2"/>
      <scheme val="minor"/>
    </font>
    <font>
      <b/>
      <sz val="12"/>
      <color theme="0" tint="-0.249977111117893"/>
      <name val="Calibri"/>
      <family val="2"/>
      <scheme val="minor"/>
    </font>
    <font>
      <sz val="12"/>
      <color rgb="FF000000"/>
      <name val="Palatino Linotype"/>
      <family val="1"/>
    </font>
    <font>
      <sz val="12"/>
      <name val="Calibri"/>
      <family val="2"/>
      <scheme val="minor"/>
    </font>
    <font>
      <b/>
      <sz val="10"/>
      <name val="Arial"/>
      <family val="2"/>
    </font>
    <font>
      <b/>
      <sz val="11"/>
      <color rgb="FF000000"/>
      <name val="Inconsolata"/>
    </font>
    <font>
      <b/>
      <sz val="11"/>
      <name val="Arial"/>
      <family val="2"/>
    </font>
    <font>
      <sz val="10"/>
      <name val="Arial"/>
      <family val="2"/>
    </font>
    <font>
      <sz val="10"/>
      <color rgb="FF000000"/>
      <name val="Arial"/>
      <family val="2"/>
    </font>
    <font>
      <b/>
      <sz val="10"/>
      <color rgb="FF000000"/>
      <name val="Arial"/>
      <family val="2"/>
    </font>
    <font>
      <sz val="18"/>
      <color theme="1"/>
      <name val="Calibri"/>
      <family val="2"/>
      <scheme val="minor"/>
    </font>
    <font>
      <sz val="16"/>
      <color rgb="FF000000"/>
      <name val="Calibri"/>
      <family val="2"/>
    </font>
    <font>
      <sz val="10"/>
      <color rgb="FF000000"/>
      <name val="ScalySans"/>
    </font>
    <font>
      <b/>
      <sz val="11"/>
      <color rgb="FF1C1C1C"/>
      <name val="Inherit"/>
    </font>
    <font>
      <sz val="11"/>
      <color rgb="FF000000"/>
      <name val="Arial"/>
      <family val="2"/>
    </font>
    <font>
      <b/>
      <sz val="13.95"/>
      <color rgb="FF000000"/>
      <name val="Arial"/>
      <family val="2"/>
    </font>
    <font>
      <sz val="14"/>
      <color theme="0"/>
      <name val="Calibri"/>
      <family val="2"/>
      <scheme val="minor"/>
    </font>
    <font>
      <b/>
      <sz val="11"/>
      <color rgb="FF000000"/>
      <name val="Arial"/>
      <family val="2"/>
    </font>
  </fonts>
  <fills count="2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99999"/>
        <bgColor rgb="FF999999"/>
      </patternFill>
    </fill>
    <fill>
      <patternFill patternType="solid">
        <fgColor rgb="FFF3F3F3"/>
        <bgColor rgb="FFF3F3F3"/>
      </patternFill>
    </fill>
    <fill>
      <patternFill patternType="solid">
        <fgColor rgb="FFFFF2CC"/>
        <bgColor rgb="FFFFF2CC"/>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theme="3" tint="0.39997558519241921"/>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E0E5C1"/>
        <bgColor indexed="64"/>
      </patternFill>
    </fill>
    <fill>
      <patternFill patternType="solid">
        <fgColor theme="6" tint="0.79998168889431442"/>
        <bgColor indexed="64"/>
      </patternFill>
    </fill>
    <fill>
      <patternFill patternType="solid">
        <fgColor theme="0" tint="-4.9989318521683403E-2"/>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97">
    <xf numFmtId="0" fontId="0" fillId="0" borderId="0" xfId="0"/>
    <xf numFmtId="0" fontId="0" fillId="0" borderId="0" xfId="0" applyAlignment="1">
      <alignment horizontal="center"/>
    </xf>
    <xf numFmtId="0" fontId="3" fillId="0" borderId="0" xfId="0" applyFont="1" applyBorder="1" applyAlignment="1"/>
    <xf numFmtId="0" fontId="3" fillId="0" borderId="0" xfId="0" applyFont="1" applyBorder="1" applyAlignment="1">
      <alignment horizontal="center"/>
    </xf>
    <xf numFmtId="0" fontId="5" fillId="0" borderId="0" xfId="0" applyFont="1" applyBorder="1" applyAlignment="1"/>
    <xf numFmtId="0" fontId="4" fillId="0" borderId="0" xfId="0" applyFont="1" applyBorder="1" applyAlignment="1">
      <alignment horizontal="center"/>
    </xf>
    <xf numFmtId="0" fontId="0" fillId="0" borderId="0" xfId="0" applyFill="1" applyBorder="1"/>
    <xf numFmtId="0" fontId="0" fillId="0" borderId="0" xfId="0" applyFont="1"/>
    <xf numFmtId="0" fontId="0" fillId="0" borderId="0" xfId="0" applyFont="1" applyAlignment="1">
      <alignment horizontal="center"/>
    </xf>
    <xf numFmtId="0" fontId="2" fillId="0" borderId="0" xfId="0" applyFont="1"/>
    <xf numFmtId="0" fontId="2" fillId="0" borderId="0" xfId="0" applyFont="1" applyAlignment="1">
      <alignment horizontal="center"/>
    </xf>
    <xf numFmtId="0" fontId="0" fillId="2" borderId="0" xfId="0" applyFill="1" applyAlignment="1">
      <alignment horizontal="center"/>
    </xf>
    <xf numFmtId="0" fontId="0" fillId="2" borderId="0" xfId="0" applyFill="1"/>
    <xf numFmtId="0" fontId="0" fillId="0" borderId="0" xfId="0" applyAlignment="1">
      <alignment vertical="center"/>
    </xf>
    <xf numFmtId="0" fontId="2" fillId="0" borderId="0" xfId="1" applyNumberFormat="1" applyFont="1" applyAlignment="1">
      <alignment horizontal="center"/>
    </xf>
    <xf numFmtId="0" fontId="6" fillId="0" borderId="0" xfId="1" applyNumberFormat="1" applyFont="1" applyAlignment="1">
      <alignment horizontal="center" vertical="center"/>
    </xf>
    <xf numFmtId="0" fontId="0" fillId="0" borderId="0" xfId="1" applyNumberFormat="1" applyFont="1" applyAlignment="1">
      <alignment horizontal="center"/>
    </xf>
    <xf numFmtId="0" fontId="8" fillId="0" borderId="0" xfId="0" applyFont="1" applyAlignment="1">
      <alignment vertical="center"/>
    </xf>
    <xf numFmtId="0" fontId="0" fillId="0" borderId="0" xfId="0" applyFont="1" applyAlignment="1">
      <alignment vertical="center"/>
    </xf>
    <xf numFmtId="0" fontId="7" fillId="0" borderId="0" xfId="0" applyFont="1" applyAlignment="1">
      <alignment horizontal="center" vertical="center"/>
    </xf>
    <xf numFmtId="0" fontId="8" fillId="3" borderId="0" xfId="0" applyFont="1" applyFill="1"/>
    <xf numFmtId="0" fontId="0" fillId="0" borderId="0" xfId="0" applyFill="1" applyBorder="1"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Fill="1" applyBorder="1" applyAlignment="1">
      <alignment horizontal="center" vertical="center"/>
    </xf>
    <xf numFmtId="0" fontId="2" fillId="0" borderId="0" xfId="0" applyFont="1" applyAlignment="1"/>
    <xf numFmtId="0" fontId="7" fillId="0" borderId="0" xfId="0" applyFont="1" applyFill="1" applyBorder="1" applyAlignment="1">
      <alignment horizontal="center"/>
    </xf>
    <xf numFmtId="0" fontId="2" fillId="0" borderId="0" xfId="0" applyFont="1" applyFill="1" applyBorder="1" applyAlignment="1">
      <alignment horizontal="center" vertical="center"/>
    </xf>
    <xf numFmtId="0" fontId="8" fillId="0" borderId="0" xfId="0" applyFont="1" applyFill="1" applyBorder="1" applyAlignment="1">
      <alignment horizontal="center"/>
    </xf>
    <xf numFmtId="0" fontId="11" fillId="2" borderId="0" xfId="0" applyFont="1" applyFill="1" applyAlignment="1">
      <alignment vertical="center"/>
    </xf>
    <xf numFmtId="0" fontId="0" fillId="2" borderId="0" xfId="0" applyFill="1" applyAlignment="1">
      <alignment vertical="center"/>
    </xf>
    <xf numFmtId="0" fontId="0" fillId="0" borderId="0" xfId="0" applyFont="1" applyAlignment="1"/>
    <xf numFmtId="0" fontId="0" fillId="0" borderId="0" xfId="0" applyFont="1" applyAlignment="1">
      <alignment horizontal="left"/>
    </xf>
    <xf numFmtId="0" fontId="16" fillId="0" borderId="0" xfId="0" applyFont="1" applyFill="1"/>
    <xf numFmtId="0" fontId="0" fillId="0" borderId="0" xfId="0" applyFont="1" applyAlignment="1">
      <alignment vertical="center" wrapText="1"/>
    </xf>
    <xf numFmtId="0" fontId="0" fillId="3" borderId="0" xfId="0" applyFont="1" applyFill="1"/>
    <xf numFmtId="0" fontId="0" fillId="3" borderId="0" xfId="0" applyFont="1" applyFill="1" applyAlignment="1">
      <alignment horizontal="left"/>
    </xf>
    <xf numFmtId="0" fontId="14" fillId="3" borderId="0" xfId="0" applyFont="1" applyFill="1" applyAlignment="1">
      <alignment horizontal="center" wrapText="1"/>
    </xf>
    <xf numFmtId="0" fontId="0" fillId="3" borderId="0" xfId="0" applyFont="1" applyFill="1" applyAlignment="1">
      <alignment horizontal="center"/>
    </xf>
    <xf numFmtId="0" fontId="0" fillId="3" borderId="0" xfId="0" applyFont="1" applyFill="1" applyAlignment="1">
      <alignment vertical="center" wrapText="1"/>
    </xf>
    <xf numFmtId="0" fontId="12" fillId="2" borderId="0" xfId="0" applyFont="1" applyFill="1"/>
    <xf numFmtId="0" fontId="12" fillId="0" borderId="0" xfId="0" applyFont="1"/>
    <xf numFmtId="0" fontId="20" fillId="0" borderId="0" xfId="0" applyFont="1" applyAlignment="1">
      <alignment horizontal="left" vertical="center"/>
    </xf>
    <xf numFmtId="0" fontId="0" fillId="0" borderId="0" xfId="0" applyAlignment="1">
      <alignment horizontal="left"/>
    </xf>
    <xf numFmtId="0" fontId="0" fillId="0" borderId="0" xfId="0" applyFill="1" applyBorder="1" applyAlignment="1">
      <alignment horizontal="center" wrapText="1"/>
    </xf>
    <xf numFmtId="0" fontId="0" fillId="0" borderId="0" xfId="0" applyFill="1" applyBorder="1" applyAlignment="1">
      <alignment horizontal="left"/>
    </xf>
    <xf numFmtId="0" fontId="0" fillId="0" borderId="35" xfId="0" applyBorder="1" applyAlignment="1">
      <alignment vertical="center"/>
    </xf>
    <xf numFmtId="0" fontId="0" fillId="0" borderId="13" xfId="0" applyBorder="1" applyAlignment="1">
      <alignment vertical="center"/>
    </xf>
    <xf numFmtId="0" fontId="0" fillId="0" borderId="35" xfId="0" applyBorder="1"/>
    <xf numFmtId="0" fontId="0" fillId="0" borderId="13" xfId="0" applyBorder="1"/>
    <xf numFmtId="0" fontId="0" fillId="8" borderId="10" xfId="0" applyFill="1" applyBorder="1" applyAlignment="1">
      <alignment vertical="center"/>
    </xf>
    <xf numFmtId="0" fontId="2" fillId="8" borderId="12" xfId="0" applyFont="1" applyFill="1" applyBorder="1" applyAlignment="1">
      <alignment horizontal="center" vertical="center"/>
    </xf>
    <xf numFmtId="0" fontId="0" fillId="8" borderId="35" xfId="0" applyFill="1" applyBorder="1"/>
    <xf numFmtId="0" fontId="2" fillId="8" borderId="13" xfId="0" applyFont="1" applyFill="1" applyBorder="1" applyAlignment="1">
      <alignment horizontal="center"/>
    </xf>
    <xf numFmtId="0" fontId="15" fillId="0" borderId="0" xfId="0" applyFont="1" applyAlignment="1">
      <alignment horizontal="center" wrapText="1"/>
    </xf>
    <xf numFmtId="0" fontId="15" fillId="0" borderId="0" xfId="0" applyFont="1"/>
    <xf numFmtId="0" fontId="14" fillId="0" borderId="0" xfId="0" applyFont="1" applyAlignment="1">
      <alignment horizontal="center" wrapText="1"/>
    </xf>
    <xf numFmtId="0" fontId="4" fillId="0" borderId="0" xfId="0" applyFont="1" applyAlignment="1">
      <alignment horizontal="left"/>
    </xf>
    <xf numFmtId="0" fontId="4" fillId="0" borderId="0" xfId="0" applyFont="1"/>
    <xf numFmtId="0" fontId="4" fillId="0" borderId="0" xfId="0" applyFont="1" applyFill="1" applyAlignment="1"/>
    <xf numFmtId="0" fontId="10" fillId="3" borderId="0" xfId="0" applyFont="1" applyFill="1" applyBorder="1" applyAlignment="1"/>
    <xf numFmtId="0" fontId="0" fillId="3" borderId="0" xfId="0" applyFont="1" applyFill="1" applyAlignment="1"/>
    <xf numFmtId="0" fontId="0" fillId="3" borderId="0" xfId="0" applyFont="1" applyFill="1" applyBorder="1"/>
    <xf numFmtId="0" fontId="0" fillId="0" borderId="0" xfId="0" applyFont="1" applyBorder="1"/>
    <xf numFmtId="0" fontId="0" fillId="0" borderId="0" xfId="0" applyFont="1" applyBorder="1" applyAlignment="1"/>
    <xf numFmtId="0" fontId="0" fillId="3" borderId="0" xfId="0" applyFont="1" applyFill="1" applyBorder="1" applyAlignment="1">
      <alignment vertical="center" wrapText="1"/>
    </xf>
    <xf numFmtId="0" fontId="0" fillId="0" borderId="0" xfId="0" applyFont="1" applyBorder="1" applyAlignment="1">
      <alignment vertical="center" wrapText="1"/>
    </xf>
    <xf numFmtId="0" fontId="4" fillId="0" borderId="0" xfId="0" applyFont="1" applyFill="1" applyBorder="1" applyAlignment="1"/>
    <xf numFmtId="0" fontId="0" fillId="3" borderId="0" xfId="0" applyFont="1" applyFill="1" applyBorder="1" applyAlignment="1"/>
    <xf numFmtId="0" fontId="10" fillId="3" borderId="0" xfId="0" applyFont="1" applyFill="1" applyBorder="1" applyAlignment="1">
      <alignment vertical="center"/>
    </xf>
    <xf numFmtId="0" fontId="2" fillId="0" borderId="0" xfId="0" applyFont="1" applyAlignment="1">
      <alignment horizontal="left"/>
    </xf>
    <xf numFmtId="0" fontId="0" fillId="0" borderId="0" xfId="0" applyFill="1" applyBorder="1" applyAlignment="1">
      <alignment horizontal="left" vertical="center"/>
    </xf>
    <xf numFmtId="0" fontId="0" fillId="2" borderId="0" xfId="0" applyFill="1" applyAlignment="1">
      <alignment horizontal="left"/>
    </xf>
    <xf numFmtId="0" fontId="2" fillId="0" borderId="0" xfId="0" applyFont="1" applyFill="1" applyBorder="1" applyAlignment="1">
      <alignment horizontal="left"/>
    </xf>
    <xf numFmtId="0" fontId="8" fillId="2" borderId="0" xfId="0" applyFont="1" applyFill="1" applyBorder="1" applyAlignment="1">
      <alignment vertical="center" wrapText="1"/>
    </xf>
    <xf numFmtId="0" fontId="0" fillId="2" borderId="0" xfId="0" applyFill="1" applyBorder="1" applyAlignment="1">
      <alignment horizontal="center" vertical="center"/>
    </xf>
    <xf numFmtId="0" fontId="0" fillId="2" borderId="0" xfId="0" applyFill="1" applyBorder="1" applyAlignment="1">
      <alignment vertical="center"/>
    </xf>
    <xf numFmtId="0" fontId="0" fillId="2" borderId="0" xfId="0" applyFill="1" applyBorder="1"/>
    <xf numFmtId="0" fontId="0" fillId="2" borderId="0" xfId="0" applyFill="1" applyBorder="1" applyAlignment="1">
      <alignment horizontal="center" wrapText="1"/>
    </xf>
    <xf numFmtId="0" fontId="8" fillId="0" borderId="0" xfId="0" applyFont="1" applyFill="1" applyBorder="1" applyAlignment="1">
      <alignment horizontal="left"/>
    </xf>
    <xf numFmtId="0" fontId="0" fillId="0" borderId="0" xfId="0" applyFont="1" applyFill="1" applyBorder="1" applyAlignment="1">
      <alignment horizontal="left"/>
    </xf>
    <xf numFmtId="0" fontId="2" fillId="0" borderId="0" xfId="0" applyFont="1" applyBorder="1"/>
    <xf numFmtId="0" fontId="2" fillId="0" borderId="0" xfId="0" applyFont="1" applyBorder="1" applyAlignment="1"/>
    <xf numFmtId="0" fontId="2" fillId="0" borderId="0" xfId="0" applyFont="1" applyFill="1" applyBorder="1" applyAlignment="1"/>
    <xf numFmtId="0" fontId="14" fillId="3" borderId="0" xfId="0" applyFont="1" applyFill="1" applyAlignment="1">
      <alignment horizontal="left" wrapText="1"/>
    </xf>
    <xf numFmtId="0" fontId="13" fillId="3" borderId="0" xfId="0" applyFont="1" applyFill="1" applyBorder="1" applyAlignment="1">
      <alignment vertical="center" wrapText="1"/>
    </xf>
    <xf numFmtId="0" fontId="19" fillId="3" borderId="0" xfId="0" applyFont="1" applyFill="1" applyBorder="1" applyAlignment="1">
      <alignment vertical="center"/>
    </xf>
    <xf numFmtId="0" fontId="8" fillId="3" borderId="0" xfId="0" applyFont="1" applyFill="1" applyBorder="1" applyAlignment="1">
      <alignment vertical="center" wrapText="1"/>
    </xf>
    <xf numFmtId="0" fontId="0" fillId="2" borderId="0" xfId="0" applyFont="1" applyFill="1" applyAlignment="1"/>
    <xf numFmtId="0" fontId="0" fillId="2" borderId="0" xfId="0" applyFont="1" applyFill="1" applyAlignment="1">
      <alignment vertical="center" wrapText="1"/>
    </xf>
    <xf numFmtId="0" fontId="21" fillId="3" borderId="0" xfId="0" applyFont="1" applyFill="1" applyAlignment="1">
      <alignment horizontal="center"/>
    </xf>
    <xf numFmtId="0" fontId="21" fillId="0" borderId="0" xfId="0" applyFont="1" applyAlignment="1">
      <alignment horizontal="center"/>
    </xf>
    <xf numFmtId="0" fontId="9" fillId="4"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8" xfId="0" applyFont="1" applyFill="1" applyBorder="1" applyAlignment="1">
      <alignment horizontal="center" vertical="center"/>
    </xf>
    <xf numFmtId="0" fontId="7" fillId="3" borderId="0" xfId="0" applyFont="1" applyFill="1" applyBorder="1" applyAlignment="1">
      <alignment horizontal="center" vertical="center"/>
    </xf>
    <xf numFmtId="0" fontId="7" fillId="2" borderId="0" xfId="0" applyFont="1" applyFill="1" applyBorder="1" applyAlignment="1">
      <alignment horizontal="center" vertical="center"/>
    </xf>
    <xf numFmtId="44" fontId="8" fillId="3" borderId="0" xfId="1" applyFont="1" applyFill="1" applyBorder="1" applyAlignment="1">
      <alignment vertical="center"/>
    </xf>
    <xf numFmtId="0" fontId="0" fillId="3" borderId="0" xfId="0" applyFill="1"/>
    <xf numFmtId="0" fontId="8" fillId="2" borderId="0" xfId="0" applyFont="1" applyFill="1" applyBorder="1" applyAlignment="1">
      <alignment vertical="center"/>
    </xf>
    <xf numFmtId="0" fontId="0" fillId="2" borderId="0" xfId="0" applyFill="1" applyBorder="1" applyAlignment="1"/>
    <xf numFmtId="0" fontId="17" fillId="4" borderId="2" xfId="0" applyFont="1" applyFill="1" applyBorder="1" applyAlignment="1">
      <alignment vertical="center" wrapText="1"/>
    </xf>
    <xf numFmtId="0" fontId="17" fillId="4" borderId="5" xfId="0" applyFont="1" applyFill="1" applyBorder="1" applyAlignment="1">
      <alignment vertical="center" wrapText="1"/>
    </xf>
    <xf numFmtId="0" fontId="17" fillId="4" borderId="7" xfId="0" applyFont="1" applyFill="1" applyBorder="1" applyAlignment="1">
      <alignment vertical="center" wrapText="1"/>
    </xf>
    <xf numFmtId="0" fontId="17" fillId="5" borderId="2" xfId="0" applyFont="1" applyFill="1" applyBorder="1" applyAlignment="1">
      <alignment vertical="center" wrapText="1"/>
    </xf>
    <xf numFmtId="0" fontId="17" fillId="5" borderId="5" xfId="0" applyFont="1" applyFill="1" applyBorder="1" applyAlignment="1">
      <alignment vertical="center" wrapText="1"/>
    </xf>
    <xf numFmtId="0" fontId="17" fillId="5" borderId="7" xfId="0" applyFont="1" applyFill="1" applyBorder="1" applyAlignment="1">
      <alignment vertical="center" wrapText="1"/>
    </xf>
    <xf numFmtId="0" fontId="0" fillId="2" borderId="0" xfId="0" applyFont="1" applyFill="1" applyBorder="1" applyAlignment="1">
      <alignment vertical="center"/>
    </xf>
    <xf numFmtId="0" fontId="0" fillId="2" borderId="0" xfId="0" applyFont="1" applyFill="1" applyBorder="1" applyAlignment="1">
      <alignment vertical="center" wrapText="1"/>
    </xf>
    <xf numFmtId="0" fontId="4" fillId="0" borderId="0" xfId="0" applyFont="1" applyAlignment="1">
      <alignment horizontal="center" vertical="center"/>
    </xf>
    <xf numFmtId="0" fontId="4" fillId="0" borderId="0" xfId="0" applyFont="1" applyAlignment="1">
      <alignment horizontal="center"/>
    </xf>
    <xf numFmtId="0" fontId="4" fillId="0" borderId="13" xfId="0" applyFont="1" applyBorder="1" applyAlignment="1">
      <alignment horizontal="center"/>
    </xf>
    <xf numFmtId="0" fontId="0" fillId="0" borderId="35" xfId="0" applyFont="1" applyBorder="1" applyAlignment="1"/>
    <xf numFmtId="0" fontId="0" fillId="0" borderId="13" xfId="0" applyFont="1" applyBorder="1" applyAlignment="1"/>
    <xf numFmtId="0" fontId="0" fillId="0" borderId="15" xfId="0" applyFont="1" applyBorder="1" applyAlignment="1"/>
    <xf numFmtId="0" fontId="0" fillId="2" borderId="0" xfId="0" applyFont="1" applyFill="1"/>
    <xf numFmtId="0" fontId="0" fillId="2" borderId="0" xfId="0" applyFill="1" applyBorder="1" applyAlignment="1">
      <alignment horizontal="center"/>
    </xf>
    <xf numFmtId="0" fontId="13" fillId="2" borderId="0" xfId="0" applyFont="1" applyFill="1" applyBorder="1" applyAlignment="1">
      <alignment vertical="center"/>
    </xf>
    <xf numFmtId="0" fontId="10" fillId="2" borderId="0" xfId="0" applyFont="1" applyFill="1" applyBorder="1" applyAlignment="1"/>
    <xf numFmtId="0" fontId="0" fillId="2" borderId="0" xfId="0" applyFont="1" applyFill="1" applyBorder="1" applyAlignment="1"/>
    <xf numFmtId="0" fontId="19" fillId="2" borderId="0" xfId="0" applyFont="1" applyFill="1" applyBorder="1" applyAlignment="1">
      <alignment vertical="center"/>
    </xf>
    <xf numFmtId="0" fontId="0" fillId="2" borderId="0" xfId="0" applyFont="1" applyFill="1" applyBorder="1"/>
    <xf numFmtId="0" fontId="13" fillId="2" borderId="0" xfId="0" applyFont="1" applyFill="1" applyBorder="1" applyAlignment="1">
      <alignment vertical="center" wrapText="1"/>
    </xf>
    <xf numFmtId="0" fontId="0" fillId="2" borderId="0" xfId="0" applyFont="1" applyFill="1" applyAlignment="1">
      <alignment horizontal="left"/>
    </xf>
    <xf numFmtId="0" fontId="17" fillId="2" borderId="0" xfId="0" applyFont="1" applyFill="1" applyBorder="1" applyAlignment="1">
      <alignment horizontal="center" vertical="center" wrapText="1"/>
    </xf>
    <xf numFmtId="44" fontId="8" fillId="2" borderId="0" xfId="1" applyFont="1" applyFill="1" applyBorder="1" applyAlignment="1">
      <alignment vertical="center"/>
    </xf>
    <xf numFmtId="0" fontId="8" fillId="2" borderId="0" xfId="0" applyFont="1" applyFill="1" applyBorder="1"/>
    <xf numFmtId="0" fontId="15" fillId="2" borderId="0" xfId="0" applyFont="1" applyFill="1" applyBorder="1" applyAlignment="1">
      <alignment horizontal="center" wrapText="1"/>
    </xf>
    <xf numFmtId="0" fontId="15" fillId="2" borderId="0" xfId="0" applyFont="1" applyFill="1" applyBorder="1"/>
    <xf numFmtId="0" fontId="0" fillId="2" borderId="0" xfId="0" applyFont="1" applyFill="1" applyBorder="1" applyAlignment="1">
      <alignment horizontal="left"/>
    </xf>
    <xf numFmtId="0" fontId="14" fillId="2" borderId="0" xfId="0" applyFont="1" applyFill="1" applyAlignment="1">
      <alignment horizontal="center" wrapText="1"/>
    </xf>
    <xf numFmtId="0" fontId="0" fillId="2" borderId="0" xfId="0" applyFont="1" applyFill="1" applyAlignment="1">
      <alignment horizontal="center"/>
    </xf>
    <xf numFmtId="0" fontId="9" fillId="5" borderId="7" xfId="0" applyFont="1" applyFill="1" applyBorder="1" applyAlignment="1">
      <alignment vertical="center"/>
    </xf>
    <xf numFmtId="0" fontId="9" fillId="4" borderId="2" xfId="0" applyFont="1" applyFill="1" applyBorder="1" applyAlignment="1">
      <alignment vertical="center"/>
    </xf>
    <xf numFmtId="0" fontId="9" fillId="4" borderId="5" xfId="0" applyFont="1" applyFill="1" applyBorder="1" applyAlignment="1">
      <alignment vertical="center"/>
    </xf>
    <xf numFmtId="0" fontId="9" fillId="4" borderId="7" xfId="0" applyFont="1" applyFill="1" applyBorder="1" applyAlignment="1">
      <alignment vertical="center"/>
    </xf>
    <xf numFmtId="0" fontId="0" fillId="0" borderId="0" xfId="0" applyFont="1" applyBorder="1" applyAlignment="1">
      <alignment horizontal="center"/>
    </xf>
    <xf numFmtId="0" fontId="4" fillId="0" borderId="0" xfId="0" applyFont="1" applyBorder="1"/>
    <xf numFmtId="0" fontId="4" fillId="0" borderId="0" xfId="0" applyFont="1" applyBorder="1" applyAlignment="1">
      <alignment horizontal="left"/>
    </xf>
    <xf numFmtId="0" fontId="0" fillId="0" borderId="0" xfId="0" applyFont="1" applyBorder="1" applyAlignment="1">
      <alignment horizontal="left"/>
    </xf>
    <xf numFmtId="0" fontId="0" fillId="0" borderId="0" xfId="0" applyBorder="1"/>
    <xf numFmtId="0" fontId="16" fillId="0" borderId="0" xfId="0" applyFont="1" applyFill="1" applyBorder="1"/>
    <xf numFmtId="0" fontId="24" fillId="0" borderId="0" xfId="0" applyFont="1" applyFill="1" applyBorder="1" applyAlignment="1">
      <alignment horizontal="left"/>
    </xf>
    <xf numFmtId="0" fontId="24" fillId="0" borderId="0" xfId="0" applyFont="1" applyFill="1" applyAlignment="1">
      <alignment horizontal="left"/>
    </xf>
    <xf numFmtId="0" fontId="0" fillId="0" borderId="0" xfId="0" applyFill="1"/>
    <xf numFmtId="0" fontId="0" fillId="0" borderId="0" xfId="0" applyFill="1" applyAlignment="1">
      <alignment horizontal="left"/>
    </xf>
    <xf numFmtId="0" fontId="12" fillId="0" borderId="0" xfId="0" applyFont="1" applyFill="1"/>
    <xf numFmtId="0" fontId="2" fillId="2" borderId="0" xfId="0" applyFont="1" applyFill="1" applyBorder="1"/>
    <xf numFmtId="0" fontId="9" fillId="4" borderId="2" xfId="0" applyFont="1" applyFill="1" applyBorder="1" applyAlignment="1">
      <alignment vertical="center" wrapText="1"/>
    </xf>
    <xf numFmtId="0" fontId="9" fillId="4" borderId="5" xfId="0" applyFont="1" applyFill="1" applyBorder="1" applyAlignment="1">
      <alignment vertical="center" wrapText="1"/>
    </xf>
    <xf numFmtId="0" fontId="9" fillId="4" borderId="7" xfId="0" applyFont="1" applyFill="1" applyBorder="1" applyAlignment="1">
      <alignment vertical="center" wrapText="1"/>
    </xf>
    <xf numFmtId="0" fontId="19" fillId="12" borderId="35" xfId="0" applyFont="1" applyFill="1" applyBorder="1" applyAlignment="1">
      <alignment vertical="center"/>
    </xf>
    <xf numFmtId="0" fontId="9" fillId="12" borderId="0" xfId="0" applyFont="1" applyFill="1" applyBorder="1" applyAlignment="1">
      <alignment horizontal="center" vertical="center"/>
    </xf>
    <xf numFmtId="0" fontId="0" fillId="12" borderId="0" xfId="0" applyFont="1" applyFill="1" applyBorder="1" applyAlignment="1">
      <alignment vertical="center" wrapText="1"/>
    </xf>
    <xf numFmtId="0" fontId="0" fillId="12" borderId="13" xfId="0" applyFont="1" applyFill="1" applyBorder="1" applyAlignment="1">
      <alignment vertical="center" wrapText="1"/>
    </xf>
    <xf numFmtId="0" fontId="0" fillId="12" borderId="35" xfId="0" applyFill="1" applyBorder="1" applyAlignment="1">
      <alignment vertical="center"/>
    </xf>
    <xf numFmtId="0" fontId="0" fillId="12" borderId="0" xfId="0" applyFill="1" applyBorder="1" applyAlignment="1">
      <alignment vertical="center"/>
    </xf>
    <xf numFmtId="0" fontId="0" fillId="12" borderId="13" xfId="0" applyFill="1" applyBorder="1" applyAlignment="1">
      <alignment vertical="center"/>
    </xf>
    <xf numFmtId="0" fontId="13" fillId="12" borderId="35" xfId="0" applyFont="1" applyFill="1" applyBorder="1" applyAlignment="1">
      <alignment vertical="center" wrapText="1"/>
    </xf>
    <xf numFmtId="0" fontId="13" fillId="12" borderId="0" xfId="0" applyFont="1" applyFill="1" applyBorder="1" applyAlignment="1">
      <alignment vertical="center" wrapText="1"/>
    </xf>
    <xf numFmtId="0" fontId="13" fillId="12" borderId="13" xfId="0" applyFont="1" applyFill="1" applyBorder="1" applyAlignment="1">
      <alignment vertical="center" wrapText="1"/>
    </xf>
    <xf numFmtId="0" fontId="0" fillId="0" borderId="0" xfId="0" applyFont="1" applyFill="1" applyBorder="1"/>
    <xf numFmtId="0" fontId="0" fillId="0" borderId="9" xfId="0" applyFill="1" applyBorder="1" applyAlignment="1">
      <alignment horizontal="center" vertical="center" wrapText="1"/>
    </xf>
    <xf numFmtId="0" fontId="18" fillId="7" borderId="17" xfId="0" applyFont="1" applyFill="1" applyBorder="1" applyAlignment="1">
      <alignment vertical="center"/>
    </xf>
    <xf numFmtId="0" fontId="18" fillId="7" borderId="18" xfId="0" applyFont="1" applyFill="1" applyBorder="1" applyAlignment="1">
      <alignment vertical="center"/>
    </xf>
    <xf numFmtId="0" fontId="17" fillId="2" borderId="0" xfId="0" applyFont="1" applyFill="1" applyBorder="1" applyAlignment="1">
      <alignment vertical="center" wrapText="1"/>
    </xf>
    <xf numFmtId="0" fontId="25" fillId="7" borderId="50" xfId="0" applyFont="1" applyFill="1" applyBorder="1" applyAlignment="1">
      <alignment vertical="center"/>
    </xf>
    <xf numFmtId="0" fontId="26" fillId="0" borderId="0" xfId="0" applyFont="1"/>
    <xf numFmtId="0" fontId="0" fillId="0" borderId="0" xfId="0" quotePrefix="1" applyFont="1"/>
    <xf numFmtId="0" fontId="9" fillId="5" borderId="10" xfId="0" applyFont="1" applyFill="1" applyBorder="1" applyAlignment="1">
      <alignment horizontal="center" vertical="center"/>
    </xf>
    <xf numFmtId="0" fontId="9" fillId="0" borderId="0" xfId="0" applyFont="1" applyAlignment="1">
      <alignment horizontal="center"/>
    </xf>
    <xf numFmtId="0" fontId="8" fillId="0" borderId="6"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7" fillId="4" borderId="5" xfId="0" applyFont="1" applyFill="1" applyBorder="1" applyAlignment="1">
      <alignment horizontal="right" vertical="center" wrapText="1"/>
    </xf>
    <xf numFmtId="0" fontId="7" fillId="4" borderId="5" xfId="0" applyFont="1" applyFill="1" applyBorder="1" applyAlignment="1">
      <alignment horizontal="right" vertical="center"/>
    </xf>
    <xf numFmtId="0" fontId="7" fillId="4" borderId="7" xfId="0" applyFont="1" applyFill="1" applyBorder="1" applyAlignment="1">
      <alignment horizontal="right" vertical="center"/>
    </xf>
    <xf numFmtId="0" fontId="20" fillId="0" borderId="0" xfId="0" applyFont="1" applyAlignment="1">
      <alignment vertical="center"/>
    </xf>
    <xf numFmtId="0" fontId="2" fillId="3" borderId="0" xfId="0" applyFont="1" applyFill="1" applyAlignment="1">
      <alignment horizontal="center"/>
    </xf>
    <xf numFmtId="0" fontId="9" fillId="4" borderId="2" xfId="0" applyFont="1" applyFill="1" applyBorder="1" applyAlignment="1">
      <alignment horizontal="right" vertical="center"/>
    </xf>
    <xf numFmtId="0" fontId="9" fillId="4" borderId="5" xfId="0" applyFont="1" applyFill="1" applyBorder="1" applyAlignment="1">
      <alignment horizontal="right" vertical="center"/>
    </xf>
    <xf numFmtId="0" fontId="9" fillId="4" borderId="7" xfId="0" applyFont="1" applyFill="1" applyBorder="1" applyAlignment="1">
      <alignment horizontal="right" vertical="center"/>
    </xf>
    <xf numFmtId="0" fontId="33" fillId="3" borderId="0" xfId="0" applyFont="1" applyFill="1"/>
    <xf numFmtId="0" fontId="34" fillId="3" borderId="0" xfId="0" applyFont="1" applyFill="1" applyBorder="1" applyAlignment="1">
      <alignment vertical="center"/>
    </xf>
    <xf numFmtId="0" fontId="8" fillId="0" borderId="0" xfId="0" applyFont="1"/>
    <xf numFmtId="0" fontId="8" fillId="3" borderId="0" xfId="0" applyFont="1" applyFill="1" applyBorder="1" applyAlignment="1">
      <alignment vertical="center"/>
    </xf>
    <xf numFmtId="0" fontId="33" fillId="3" borderId="0" xfId="0" applyFont="1" applyFill="1" applyAlignment="1"/>
    <xf numFmtId="0" fontId="8" fillId="3" borderId="0" xfId="0" applyFont="1" applyFill="1" applyAlignment="1">
      <alignment vertical="center"/>
    </xf>
    <xf numFmtId="0" fontId="8" fillId="3" borderId="0" xfId="0" applyFont="1" applyFill="1" applyBorder="1"/>
    <xf numFmtId="0" fontId="8" fillId="3" borderId="35" xfId="0" applyFont="1" applyFill="1" applyBorder="1"/>
    <xf numFmtId="0" fontId="8" fillId="3" borderId="13" xfId="0" applyFont="1" applyFill="1" applyBorder="1"/>
    <xf numFmtId="0" fontId="8" fillId="0" borderId="0" xfId="0" applyFont="1" applyFill="1" applyBorder="1"/>
    <xf numFmtId="0" fontId="32" fillId="3" borderId="0" xfId="0" applyFont="1" applyFill="1" applyBorder="1" applyAlignment="1">
      <alignment vertical="center" wrapText="1"/>
    </xf>
    <xf numFmtId="0" fontId="8" fillId="0" borderId="0" xfId="0" applyFont="1" applyFill="1" applyBorder="1" applyAlignment="1">
      <alignment vertical="center" wrapText="1"/>
    </xf>
    <xf numFmtId="0" fontId="7" fillId="0" borderId="0" xfId="0" applyFont="1" applyFill="1" applyBorder="1" applyAlignment="1">
      <alignment vertical="center" wrapText="1"/>
    </xf>
    <xf numFmtId="0" fontId="7" fillId="0" borderId="0" xfId="0" applyFont="1" applyFill="1" applyBorder="1" applyAlignment="1">
      <alignment horizontal="center" vertical="center"/>
    </xf>
    <xf numFmtId="0" fontId="7" fillId="0" borderId="0" xfId="0" applyFont="1"/>
    <xf numFmtId="0" fontId="7" fillId="0" borderId="0" xfId="0" applyFont="1" applyAlignment="1">
      <alignment horizontal="left"/>
    </xf>
    <xf numFmtId="0" fontId="35" fillId="0" borderId="0" xfId="0" applyFont="1"/>
    <xf numFmtId="0" fontId="8" fillId="0" borderId="0" xfId="0" applyFont="1" applyAlignment="1">
      <alignment horizontal="left"/>
    </xf>
    <xf numFmtId="0" fontId="7" fillId="4"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8" xfId="0" applyFont="1" applyFill="1" applyBorder="1" applyAlignment="1">
      <alignment horizontal="center" vertical="center"/>
    </xf>
    <xf numFmtId="0" fontId="18" fillId="12" borderId="16" xfId="0" applyFont="1" applyFill="1" applyBorder="1" applyAlignment="1">
      <alignment vertical="center" wrapText="1"/>
    </xf>
    <xf numFmtId="0" fontId="18" fillId="12" borderId="17" xfId="0" applyFont="1" applyFill="1" applyBorder="1" applyAlignment="1">
      <alignment vertical="center" wrapText="1"/>
    </xf>
    <xf numFmtId="0" fontId="18" fillId="12" borderId="18" xfId="0" applyFont="1" applyFill="1" applyBorder="1" applyAlignment="1">
      <alignment vertical="center" wrapText="1"/>
    </xf>
    <xf numFmtId="0" fontId="29" fillId="3" borderId="0" xfId="0" applyFont="1" applyFill="1" applyBorder="1" applyAlignment="1">
      <alignment vertical="center" wrapText="1"/>
    </xf>
    <xf numFmtId="0" fontId="31" fillId="3" borderId="0" xfId="0" applyFont="1" applyFill="1" applyBorder="1" applyAlignment="1">
      <alignment vertical="center"/>
    </xf>
    <xf numFmtId="0" fontId="29" fillId="0" borderId="0" xfId="0" applyFont="1" applyFill="1"/>
    <xf numFmtId="0" fontId="29" fillId="3" borderId="0" xfId="0" applyFont="1" applyFill="1" applyBorder="1" applyAlignment="1"/>
    <xf numFmtId="0" fontId="0" fillId="12" borderId="35" xfId="0" applyFont="1" applyFill="1" applyBorder="1"/>
    <xf numFmtId="0" fontId="0" fillId="12" borderId="0" xfId="0" applyFont="1" applyFill="1" applyBorder="1"/>
    <xf numFmtId="0" fontId="0" fillId="12" borderId="13" xfId="0" applyFont="1" applyFill="1" applyBorder="1"/>
    <xf numFmtId="0" fontId="9" fillId="5" borderId="2" xfId="0" applyFont="1" applyFill="1" applyBorder="1" applyAlignment="1">
      <alignment vertical="center"/>
    </xf>
    <xf numFmtId="0" fontId="9" fillId="5" borderId="5" xfId="0" applyFont="1" applyFill="1" applyBorder="1" applyAlignment="1">
      <alignment vertical="center"/>
    </xf>
    <xf numFmtId="0" fontId="8" fillId="0" borderId="0" xfId="0" applyFont="1" applyFill="1" applyAlignment="1">
      <alignment vertical="center"/>
    </xf>
    <xf numFmtId="0" fontId="33" fillId="3" borderId="0" xfId="0" applyFont="1" applyFill="1" applyBorder="1" applyAlignment="1">
      <alignment vertical="center"/>
    </xf>
    <xf numFmtId="0" fontId="8" fillId="3" borderId="35" xfId="0" applyFont="1" applyFill="1" applyBorder="1" applyAlignment="1">
      <alignment vertical="center"/>
    </xf>
    <xf numFmtId="0" fontId="33" fillId="3" borderId="41" xfId="0" applyFont="1" applyFill="1" applyBorder="1" applyAlignment="1">
      <alignment vertical="center"/>
    </xf>
    <xf numFmtId="0" fontId="36" fillId="3" borderId="0" xfId="0" applyFont="1" applyFill="1" applyBorder="1" applyAlignment="1">
      <alignment vertical="center"/>
    </xf>
    <xf numFmtId="0" fontId="8" fillId="3" borderId="0" xfId="0" applyFont="1" applyFill="1" applyAlignment="1">
      <alignment wrapText="1"/>
    </xf>
    <xf numFmtId="0" fontId="33" fillId="3" borderId="0" xfId="0" applyFont="1" applyFill="1" applyAlignment="1">
      <alignment wrapText="1"/>
    </xf>
    <xf numFmtId="0" fontId="8" fillId="3" borderId="0" xfId="0" applyFont="1" applyFill="1" applyAlignment="1">
      <alignment vertical="center" wrapText="1"/>
    </xf>
    <xf numFmtId="0" fontId="33" fillId="3" borderId="0" xfId="0" applyFont="1" applyFill="1" applyAlignment="1">
      <alignment vertical="center" wrapText="1"/>
    </xf>
    <xf numFmtId="0" fontId="8" fillId="3" borderId="0" xfId="0" applyFont="1" applyFill="1" applyBorder="1" applyAlignment="1">
      <alignment wrapText="1"/>
    </xf>
    <xf numFmtId="0" fontId="8" fillId="0" borderId="0" xfId="0" applyFont="1" applyFill="1" applyBorder="1" applyAlignment="1">
      <alignment wrapText="1"/>
    </xf>
    <xf numFmtId="0" fontId="7" fillId="0" borderId="0" xfId="0" applyFont="1" applyAlignment="1">
      <alignment wrapText="1"/>
    </xf>
    <xf numFmtId="0" fontId="8" fillId="0" borderId="0" xfId="0" applyFont="1" applyAlignment="1">
      <alignment wrapText="1"/>
    </xf>
    <xf numFmtId="0" fontId="8" fillId="0" borderId="0" xfId="0" applyFont="1" applyBorder="1" applyAlignment="1">
      <alignment vertical="center"/>
    </xf>
    <xf numFmtId="0" fontId="33" fillId="3" borderId="11" xfId="0" applyFont="1" applyFill="1" applyBorder="1" applyAlignment="1">
      <alignment vertical="center"/>
    </xf>
    <xf numFmtId="0" fontId="33" fillId="3" borderId="0" xfId="0" applyFont="1" applyFill="1" applyBorder="1"/>
    <xf numFmtId="0" fontId="33" fillId="3" borderId="56" xfId="0" applyFont="1" applyFill="1" applyBorder="1" applyAlignment="1">
      <alignment vertical="center"/>
    </xf>
    <xf numFmtId="0" fontId="7" fillId="4" borderId="40" xfId="0" applyFont="1" applyFill="1" applyBorder="1" applyAlignment="1">
      <alignment horizontal="center" vertical="center"/>
    </xf>
    <xf numFmtId="0" fontId="32" fillId="3" borderId="0" xfId="0" applyFont="1" applyFill="1" applyBorder="1" applyAlignment="1">
      <alignment vertical="center"/>
    </xf>
    <xf numFmtId="0" fontId="37" fillId="0" borderId="57" xfId="0" applyFont="1" applyBorder="1" applyAlignment="1">
      <alignment horizontal="center" vertical="center" wrapText="1"/>
    </xf>
    <xf numFmtId="0" fontId="37" fillId="14" borderId="58" xfId="0" applyFont="1" applyFill="1" applyBorder="1" applyAlignment="1">
      <alignment horizontal="center" vertical="center" wrapText="1"/>
    </xf>
    <xf numFmtId="0" fontId="37" fillId="0" borderId="58" xfId="0" applyFont="1" applyBorder="1" applyAlignment="1">
      <alignment horizontal="center" vertical="center" wrapText="1"/>
    </xf>
    <xf numFmtId="0" fontId="37" fillId="0" borderId="59" xfId="0" applyFont="1" applyBorder="1" applyAlignment="1">
      <alignment horizontal="center" vertical="center" wrapText="1"/>
    </xf>
    <xf numFmtId="0" fontId="37" fillId="14" borderId="60" xfId="0" applyFont="1" applyFill="1" applyBorder="1" applyAlignment="1">
      <alignment horizontal="center" vertical="center" wrapText="1"/>
    </xf>
    <xf numFmtId="0" fontId="38" fillId="14" borderId="0" xfId="0" applyFont="1" applyFill="1" applyAlignment="1">
      <alignment horizontal="center" vertical="center" wrapText="1"/>
    </xf>
    <xf numFmtId="0" fontId="37" fillId="14" borderId="0" xfId="0" applyFont="1" applyFill="1" applyAlignment="1">
      <alignment horizontal="center" vertical="center" wrapText="1"/>
    </xf>
    <xf numFmtId="0" fontId="37" fillId="14" borderId="61" xfId="0" applyFont="1" applyFill="1" applyBorder="1" applyAlignment="1">
      <alignment horizontal="center" vertical="center" wrapText="1"/>
    </xf>
    <xf numFmtId="0" fontId="37" fillId="0" borderId="60" xfId="0" applyFont="1" applyBorder="1" applyAlignment="1">
      <alignment horizontal="center" vertical="center" wrapText="1"/>
    </xf>
    <xf numFmtId="0" fontId="37" fillId="0" borderId="0" xfId="0" applyFont="1" applyAlignment="1">
      <alignment horizontal="center" vertical="center" wrapText="1"/>
    </xf>
    <xf numFmtId="0" fontId="37" fillId="0" borderId="61" xfId="0" applyFont="1" applyBorder="1" applyAlignment="1">
      <alignment horizontal="center" vertical="center" wrapText="1"/>
    </xf>
    <xf numFmtId="0" fontId="39" fillId="14" borderId="0" xfId="0" applyFont="1" applyFill="1" applyAlignment="1">
      <alignment horizontal="center" vertical="center" wrapText="1"/>
    </xf>
    <xf numFmtId="0" fontId="37" fillId="0" borderId="62" xfId="0" applyFont="1" applyBorder="1" applyAlignment="1">
      <alignment horizontal="center" vertical="center" wrapText="1"/>
    </xf>
    <xf numFmtId="0" fontId="37" fillId="14" borderId="63" xfId="0" applyFont="1" applyFill="1" applyBorder="1" applyAlignment="1">
      <alignment horizontal="center" vertical="center" wrapText="1"/>
    </xf>
    <xf numFmtId="0" fontId="37" fillId="0" borderId="63" xfId="0" applyFont="1" applyBorder="1" applyAlignment="1">
      <alignment horizontal="center" vertical="center" wrapText="1"/>
    </xf>
    <xf numFmtId="0" fontId="37" fillId="0" borderId="64" xfId="0" applyFont="1" applyBorder="1" applyAlignment="1">
      <alignment horizontal="center" vertical="center" wrapText="1"/>
    </xf>
    <xf numFmtId="0" fontId="0" fillId="0" borderId="0" xfId="0" applyFont="1" applyAlignment="1">
      <alignment wrapText="1"/>
    </xf>
    <xf numFmtId="0" fontId="40" fillId="0" borderId="0" xfId="0" applyFont="1" applyAlignment="1">
      <alignment horizontal="center" vertical="center" wrapText="1"/>
    </xf>
    <xf numFmtId="0" fontId="40" fillId="15" borderId="0" xfId="0" applyFont="1" applyFill="1" applyAlignment="1">
      <alignment horizontal="center" vertical="center" wrapText="1"/>
    </xf>
    <xf numFmtId="0" fontId="40" fillId="15" borderId="65" xfId="0" applyFont="1" applyFill="1" applyBorder="1" applyAlignment="1">
      <alignment horizontal="center" vertical="center" wrapText="1"/>
    </xf>
    <xf numFmtId="0" fontId="37" fillId="16" borderId="57" xfId="0" applyFont="1" applyFill="1" applyBorder="1" applyAlignment="1">
      <alignment horizontal="center" vertical="center" wrapText="1"/>
    </xf>
    <xf numFmtId="0" fontId="37" fillId="16" borderId="58" xfId="0" applyFont="1" applyFill="1" applyBorder="1" applyAlignment="1">
      <alignment horizontal="center" vertical="center" wrapText="1"/>
    </xf>
    <xf numFmtId="0" fontId="37" fillId="16" borderId="59" xfId="0" applyFont="1" applyFill="1" applyBorder="1" applyAlignment="1">
      <alignment horizontal="center" vertical="center" wrapText="1"/>
    </xf>
    <xf numFmtId="0" fontId="37" fillId="16" borderId="62" xfId="0" applyFont="1" applyFill="1" applyBorder="1" applyAlignment="1">
      <alignment horizontal="center" vertical="center" wrapText="1"/>
    </xf>
    <xf numFmtId="0" fontId="37" fillId="16" borderId="63" xfId="0" applyFont="1" applyFill="1" applyBorder="1" applyAlignment="1">
      <alignment horizontal="center" vertical="center" wrapText="1"/>
    </xf>
    <xf numFmtId="0" fontId="37" fillId="16" borderId="64" xfId="0" applyFont="1" applyFill="1" applyBorder="1" applyAlignment="1">
      <alignment horizontal="center" vertical="center" wrapText="1"/>
    </xf>
    <xf numFmtId="0" fontId="40" fillId="0" borderId="60" xfId="0" applyFont="1" applyBorder="1" applyAlignment="1">
      <alignment horizontal="center" vertical="center" wrapText="1"/>
    </xf>
    <xf numFmtId="0" fontId="40" fillId="0" borderId="61" xfId="0" applyFont="1" applyBorder="1" applyAlignment="1">
      <alignment horizontal="center" vertical="center" wrapText="1"/>
    </xf>
    <xf numFmtId="0" fontId="40" fillId="0" borderId="57" xfId="0" applyFont="1" applyBorder="1" applyAlignment="1">
      <alignment horizontal="center" vertical="center" wrapText="1"/>
    </xf>
    <xf numFmtId="0" fontId="40" fillId="0" borderId="58" xfId="0" applyFont="1" applyBorder="1" applyAlignment="1">
      <alignment horizontal="center" vertical="center" wrapText="1"/>
    </xf>
    <xf numFmtId="0" fontId="41" fillId="17" borderId="0" xfId="0" applyFont="1" applyFill="1" applyAlignment="1">
      <alignment horizontal="center" wrapText="1"/>
    </xf>
    <xf numFmtId="0" fontId="40" fillId="0" borderId="62" xfId="0" applyFont="1" applyBorder="1" applyAlignment="1">
      <alignment horizontal="center" vertical="center" wrapText="1"/>
    </xf>
    <xf numFmtId="0" fontId="40" fillId="0" borderId="63" xfId="0" applyFont="1" applyBorder="1" applyAlignment="1">
      <alignment horizontal="center" vertical="center" wrapText="1"/>
    </xf>
    <xf numFmtId="0" fontId="40" fillId="0" borderId="64" xfId="0" applyFont="1" applyBorder="1" applyAlignment="1">
      <alignment horizontal="center" vertical="center" wrapText="1"/>
    </xf>
    <xf numFmtId="0" fontId="41" fillId="17" borderId="63" xfId="0" applyFont="1" applyFill="1" applyBorder="1" applyAlignment="1">
      <alignment horizontal="center" wrapText="1"/>
    </xf>
    <xf numFmtId="0" fontId="37" fillId="18" borderId="58" xfId="0" applyFont="1" applyFill="1" applyBorder="1" applyAlignment="1">
      <alignment horizontal="center" vertical="center" wrapText="1"/>
    </xf>
    <xf numFmtId="0" fontId="37" fillId="18" borderId="60" xfId="0" applyFont="1" applyFill="1" applyBorder="1" applyAlignment="1">
      <alignment horizontal="center" vertical="center" wrapText="1"/>
    </xf>
    <xf numFmtId="0" fontId="38" fillId="18" borderId="0" xfId="0" applyFont="1" applyFill="1" applyAlignment="1">
      <alignment horizontal="center" vertical="center" wrapText="1"/>
    </xf>
    <xf numFmtId="0" fontId="37" fillId="18" borderId="0" xfId="0" applyFont="1" applyFill="1" applyAlignment="1">
      <alignment horizontal="center" vertical="center" wrapText="1"/>
    </xf>
    <xf numFmtId="0" fontId="37" fillId="18" borderId="61" xfId="0" applyFont="1" applyFill="1" applyBorder="1" applyAlignment="1">
      <alignment horizontal="center" vertical="center" wrapText="1"/>
    </xf>
    <xf numFmtId="0" fontId="37" fillId="18" borderId="63" xfId="0" applyFont="1" applyFill="1" applyBorder="1" applyAlignment="1">
      <alignment horizontal="center" vertical="center" wrapText="1"/>
    </xf>
    <xf numFmtId="0" fontId="7" fillId="3" borderId="0" xfId="0" applyFont="1" applyFill="1" applyBorder="1" applyAlignment="1">
      <alignment horizontal="right" vertical="center"/>
    </xf>
    <xf numFmtId="0" fontId="7" fillId="3" borderId="0" xfId="0" applyFont="1" applyFill="1" applyBorder="1" applyAlignment="1">
      <alignment horizontal="right" vertical="center" wrapText="1"/>
    </xf>
    <xf numFmtId="0" fontId="29" fillId="0" borderId="0" xfId="0" applyFont="1"/>
    <xf numFmtId="0" fontId="11" fillId="2" borderId="0" xfId="0" applyFont="1" applyFill="1"/>
    <xf numFmtId="0" fontId="11" fillId="0" borderId="0" xfId="0" applyFont="1"/>
    <xf numFmtId="0" fontId="0" fillId="0" borderId="0" xfId="0" applyFont="1" applyBorder="1" applyAlignment="1">
      <alignment horizontal="center" wrapText="1"/>
    </xf>
    <xf numFmtId="0" fontId="0" fillId="3" borderId="0" xfId="0" applyFont="1" applyFill="1" applyAlignment="1">
      <alignment vertical="center"/>
    </xf>
    <xf numFmtId="0" fontId="2" fillId="3" borderId="0" xfId="1" applyNumberFormat="1" applyFont="1" applyFill="1" applyAlignment="1">
      <alignment horizontal="center"/>
    </xf>
    <xf numFmtId="0" fontId="6" fillId="3" borderId="0" xfId="1" applyNumberFormat="1" applyFont="1" applyFill="1" applyAlignment="1">
      <alignment horizontal="center" vertical="center"/>
    </xf>
    <xf numFmtId="0" fontId="0" fillId="3" borderId="0" xfId="1" applyNumberFormat="1" applyFont="1" applyFill="1" applyAlignment="1">
      <alignment horizontal="center"/>
    </xf>
    <xf numFmtId="0" fontId="0" fillId="0" borderId="0" xfId="0" applyFont="1" applyAlignment="1">
      <alignment horizontal="center" wrapText="1"/>
    </xf>
    <xf numFmtId="0" fontId="2" fillId="0" borderId="0" xfId="0" applyFont="1" applyAlignment="1">
      <alignment horizontal="center" wrapText="1"/>
    </xf>
    <xf numFmtId="0" fontId="37" fillId="0" borderId="10" xfId="0" applyFont="1" applyBorder="1" applyAlignment="1">
      <alignment horizontal="center" vertical="center" wrapText="1"/>
    </xf>
    <xf numFmtId="0" fontId="37" fillId="0" borderId="11"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35" xfId="0" applyFont="1" applyBorder="1" applyAlignment="1">
      <alignment horizontal="center" vertical="center" wrapText="1"/>
    </xf>
    <xf numFmtId="0" fontId="37" fillId="0" borderId="0" xfId="0" applyFont="1" applyBorder="1" applyAlignment="1">
      <alignment horizontal="center" vertical="center" wrapText="1"/>
    </xf>
    <xf numFmtId="0" fontId="37" fillId="0" borderId="13" xfId="0" applyFont="1" applyBorder="1" applyAlignment="1">
      <alignment horizontal="center" vertical="center" wrapText="1"/>
    </xf>
    <xf numFmtId="0" fontId="37" fillId="0" borderId="14" xfId="0" applyFont="1" applyBorder="1" applyAlignment="1">
      <alignment horizontal="center" vertical="center" wrapText="1"/>
    </xf>
    <xf numFmtId="0" fontId="37" fillId="0" borderId="41" xfId="0" applyFont="1" applyBorder="1" applyAlignment="1">
      <alignment horizontal="center" vertical="center" wrapText="1"/>
    </xf>
    <xf numFmtId="0" fontId="37" fillId="0" borderId="15" xfId="0" applyFont="1" applyBorder="1" applyAlignment="1">
      <alignment horizontal="center" vertical="center" wrapText="1"/>
    </xf>
    <xf numFmtId="0" fontId="0" fillId="0" borderId="0" xfId="0" applyBorder="1" applyAlignment="1">
      <alignment horizontal="center" wrapText="1"/>
    </xf>
    <xf numFmtId="0" fontId="7" fillId="3" borderId="0" xfId="0" applyFont="1" applyFill="1" applyBorder="1" applyAlignment="1">
      <alignment vertical="center"/>
    </xf>
    <xf numFmtId="0" fontId="37" fillId="19" borderId="11" xfId="0" applyFont="1" applyFill="1" applyBorder="1" applyAlignment="1">
      <alignment horizontal="center" vertical="center" wrapText="1"/>
    </xf>
    <xf numFmtId="0" fontId="37" fillId="19" borderId="35" xfId="0" applyFont="1" applyFill="1" applyBorder="1" applyAlignment="1">
      <alignment horizontal="center" vertical="center" wrapText="1"/>
    </xf>
    <xf numFmtId="0" fontId="38" fillId="19" borderId="0" xfId="0" applyFont="1" applyFill="1" applyBorder="1" applyAlignment="1">
      <alignment horizontal="center" vertical="center" wrapText="1"/>
    </xf>
    <xf numFmtId="0" fontId="37" fillId="19" borderId="0" xfId="0" applyFont="1" applyFill="1" applyBorder="1" applyAlignment="1">
      <alignment horizontal="center" vertical="center" wrapText="1"/>
    </xf>
    <xf numFmtId="0" fontId="37" fillId="19" borderId="13" xfId="0" applyFont="1" applyFill="1" applyBorder="1" applyAlignment="1">
      <alignment horizontal="center" vertical="center" wrapText="1"/>
    </xf>
    <xf numFmtId="0" fontId="39" fillId="19" borderId="0" xfId="0" applyFont="1" applyFill="1" applyBorder="1" applyAlignment="1">
      <alignment horizontal="center" vertical="center" wrapText="1"/>
    </xf>
    <xf numFmtId="0" fontId="37" fillId="19" borderId="41" xfId="0" applyFont="1" applyFill="1" applyBorder="1" applyAlignment="1">
      <alignment horizontal="center" vertical="center" wrapText="1"/>
    </xf>
    <xf numFmtId="0" fontId="7" fillId="4" borderId="2" xfId="0" applyFont="1" applyFill="1" applyBorder="1" applyAlignment="1">
      <alignment vertical="center" wrapText="1"/>
    </xf>
    <xf numFmtId="0" fontId="7" fillId="4" borderId="5" xfId="0" applyFont="1" applyFill="1" applyBorder="1" applyAlignment="1">
      <alignment vertical="center" wrapText="1"/>
    </xf>
    <xf numFmtId="0" fontId="7" fillId="4" borderId="7" xfId="0" applyFont="1" applyFill="1" applyBorder="1" applyAlignment="1">
      <alignment vertical="center" wrapText="1"/>
    </xf>
    <xf numFmtId="0" fontId="0" fillId="0" borderId="0" xfId="0" applyFont="1" applyAlignment="1">
      <alignment horizontal="center"/>
    </xf>
    <xf numFmtId="0" fontId="9" fillId="7" borderId="50" xfId="0" applyFont="1" applyFill="1" applyBorder="1" applyAlignment="1">
      <alignment vertical="center" wrapText="1"/>
    </xf>
    <xf numFmtId="0" fontId="30" fillId="2" borderId="53" xfId="0" applyFont="1" applyFill="1" applyBorder="1" applyAlignment="1">
      <alignment horizontal="center" vertical="center"/>
    </xf>
    <xf numFmtId="0" fontId="9" fillId="4" borderId="50" xfId="0" applyFont="1" applyFill="1" applyBorder="1" applyAlignment="1">
      <alignment horizontal="right" vertical="center" wrapText="1"/>
    </xf>
    <xf numFmtId="9" fontId="21" fillId="0" borderId="53" xfId="2" applyFont="1" applyBorder="1" applyAlignment="1">
      <alignment horizontal="center" vertical="center" wrapText="1"/>
    </xf>
    <xf numFmtId="0" fontId="29" fillId="2" borderId="0" xfId="0" applyFont="1" applyFill="1"/>
    <xf numFmtId="9" fontId="44" fillId="0" borderId="53" xfId="2" applyFont="1" applyFill="1" applyBorder="1" applyAlignment="1">
      <alignment horizontal="center" vertical="center" wrapText="1"/>
    </xf>
    <xf numFmtId="0" fontId="30" fillId="11" borderId="53" xfId="0" applyFont="1" applyFill="1" applyBorder="1" applyAlignment="1">
      <alignment horizontal="center" vertical="center" wrapText="1"/>
    </xf>
    <xf numFmtId="9" fontId="21" fillId="0" borderId="53" xfId="2" applyFont="1" applyFill="1" applyBorder="1" applyAlignment="1">
      <alignment horizontal="center" vertical="center" wrapText="1"/>
    </xf>
    <xf numFmtId="0" fontId="9" fillId="4" borderId="5" xfId="0" applyFont="1" applyFill="1" applyBorder="1" applyAlignment="1">
      <alignment horizontal="center" vertical="center"/>
    </xf>
    <xf numFmtId="0" fontId="9" fillId="4" borderId="7" xfId="0" applyFont="1" applyFill="1" applyBorder="1" applyAlignment="1">
      <alignment horizontal="center" vertical="center"/>
    </xf>
    <xf numFmtId="0" fontId="0" fillId="0" borderId="60" xfId="0" applyFont="1" applyBorder="1" applyAlignment="1">
      <alignment wrapText="1"/>
    </xf>
    <xf numFmtId="9" fontId="8" fillId="0" borderId="67" xfId="2" applyFont="1" applyFill="1" applyBorder="1" applyAlignment="1">
      <alignment horizontal="center" vertical="center" wrapText="1"/>
    </xf>
    <xf numFmtId="0" fontId="7" fillId="7" borderId="68" xfId="0" applyFont="1" applyFill="1" applyBorder="1" applyAlignment="1">
      <alignment horizontal="center" vertical="center" wrapText="1"/>
    </xf>
    <xf numFmtId="0" fontId="40" fillId="0" borderId="0" xfId="0" applyFont="1" applyBorder="1" applyAlignment="1">
      <alignment horizontal="center" vertical="center" wrapText="1"/>
    </xf>
    <xf numFmtId="0" fontId="41" fillId="17" borderId="0" xfId="0" applyFont="1" applyFill="1" applyBorder="1" applyAlignment="1">
      <alignment horizontal="center" wrapText="1"/>
    </xf>
    <xf numFmtId="0" fontId="40" fillId="0" borderId="10" xfId="0" applyFont="1" applyBorder="1" applyAlignment="1">
      <alignment horizontal="center" vertical="center" wrapText="1"/>
    </xf>
    <xf numFmtId="0" fontId="40" fillId="0" borderId="11" xfId="0" applyFont="1" applyBorder="1" applyAlignment="1">
      <alignment horizontal="center" wrapText="1"/>
    </xf>
    <xf numFmtId="0" fontId="40" fillId="0" borderId="12" xfId="0" applyFont="1" applyBorder="1" applyAlignment="1">
      <alignment horizontal="center" wrapText="1"/>
    </xf>
    <xf numFmtId="0" fontId="40" fillId="0" borderId="35" xfId="0" applyFont="1" applyBorder="1" applyAlignment="1">
      <alignment horizontal="center" vertical="center" wrapText="1"/>
    </xf>
    <xf numFmtId="0" fontId="40" fillId="0" borderId="0" xfId="0" applyFont="1" applyBorder="1" applyAlignment="1">
      <alignment horizontal="center" wrapText="1"/>
    </xf>
    <xf numFmtId="0" fontId="40" fillId="0" borderId="13" xfId="0" applyFont="1" applyBorder="1" applyAlignment="1">
      <alignment horizontal="center" wrapText="1"/>
    </xf>
    <xf numFmtId="0" fontId="40" fillId="0" borderId="13" xfId="0" applyFont="1" applyBorder="1" applyAlignment="1">
      <alignment horizontal="center" vertical="center" wrapText="1"/>
    </xf>
    <xf numFmtId="0" fontId="40" fillId="0" borderId="14" xfId="0" applyFont="1" applyBorder="1" applyAlignment="1">
      <alignment horizontal="center" vertical="center" wrapText="1"/>
    </xf>
    <xf numFmtId="0" fontId="40" fillId="0" borderId="41" xfId="0" applyFont="1" applyBorder="1" applyAlignment="1">
      <alignment horizontal="center" vertical="center" wrapText="1"/>
    </xf>
    <xf numFmtId="0" fontId="40" fillId="0" borderId="15" xfId="0" applyFont="1" applyBorder="1" applyAlignment="1">
      <alignment horizontal="center" vertical="center" wrapText="1"/>
    </xf>
    <xf numFmtId="0" fontId="8" fillId="3" borderId="0" xfId="0" applyFont="1" applyFill="1" applyBorder="1" applyAlignment="1">
      <alignment horizontal="left" vertical="center" wrapText="1"/>
    </xf>
    <xf numFmtId="9" fontId="8" fillId="3" borderId="0" xfId="2" applyFont="1" applyFill="1" applyBorder="1" applyAlignment="1">
      <alignment horizontal="center" vertical="center" wrapText="1"/>
    </xf>
    <xf numFmtId="0" fontId="7" fillId="3" borderId="0" xfId="0" applyFont="1" applyFill="1" applyBorder="1" applyAlignment="1">
      <alignment vertical="center" wrapText="1"/>
    </xf>
    <xf numFmtId="0" fontId="43" fillId="0" borderId="53" xfId="0" applyFont="1" applyBorder="1" applyAlignment="1">
      <alignment horizontal="center" vertical="center"/>
    </xf>
    <xf numFmtId="0" fontId="45" fillId="25" borderId="0" xfId="0" applyFont="1" applyFill="1" applyAlignment="1">
      <alignment horizontal="center" vertical="center" wrapText="1"/>
    </xf>
    <xf numFmtId="0" fontId="45" fillId="0" borderId="0" xfId="0" applyFont="1" applyAlignment="1">
      <alignment horizontal="center" vertical="center" wrapText="1"/>
    </xf>
    <xf numFmtId="0" fontId="45" fillId="25" borderId="0" xfId="0" applyFont="1" applyFill="1" applyAlignment="1">
      <alignment horizontal="left" vertical="center"/>
    </xf>
    <xf numFmtId="0" fontId="45" fillId="0" borderId="0" xfId="0" applyFont="1" applyAlignment="1">
      <alignment horizontal="left" vertical="center"/>
    </xf>
    <xf numFmtId="0" fontId="20" fillId="0" borderId="0" xfId="0" applyFont="1" applyAlignment="1">
      <alignment horizontal="left" vertical="center" wrapText="1" indent="1"/>
    </xf>
    <xf numFmtId="0" fontId="46" fillId="0" borderId="0" xfId="0" applyFont="1" applyAlignment="1">
      <alignment vertical="center"/>
    </xf>
    <xf numFmtId="9" fontId="7" fillId="0" borderId="53" xfId="2" applyFont="1" applyFill="1" applyBorder="1" applyAlignment="1">
      <alignment vertical="center" wrapText="1"/>
    </xf>
    <xf numFmtId="0" fontId="8" fillId="0" borderId="4"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48" xfId="0" applyFont="1" applyFill="1" applyBorder="1" applyAlignment="1">
      <alignment horizontal="center" vertical="center"/>
    </xf>
    <xf numFmtId="0" fontId="9" fillId="4" borderId="7" xfId="0" applyFont="1" applyFill="1" applyBorder="1" applyAlignment="1">
      <alignment horizontal="right" vertical="center"/>
    </xf>
    <xf numFmtId="0" fontId="9" fillId="4" borderId="2" xfId="0" applyFont="1" applyFill="1" applyBorder="1" applyAlignment="1">
      <alignment horizontal="right" vertical="center"/>
    </xf>
    <xf numFmtId="0" fontId="9" fillId="4" borderId="5" xfId="0" applyFont="1" applyFill="1" applyBorder="1" applyAlignment="1">
      <alignment horizontal="right" vertical="center"/>
    </xf>
    <xf numFmtId="0" fontId="37" fillId="0" borderId="13" xfId="0" applyFont="1" applyBorder="1" applyAlignment="1">
      <alignment horizontal="center" vertical="center" wrapText="1"/>
    </xf>
    <xf numFmtId="0" fontId="37" fillId="14" borderId="13" xfId="0" applyFont="1" applyFill="1" applyBorder="1" applyAlignment="1">
      <alignment horizontal="center" vertical="center" wrapText="1"/>
    </xf>
    <xf numFmtId="0" fontId="37" fillId="0" borderId="15" xfId="0" applyFont="1" applyBorder="1" applyAlignment="1">
      <alignment horizontal="center" vertical="center" wrapText="1"/>
    </xf>
    <xf numFmtId="0" fontId="37" fillId="0" borderId="12" xfId="0" applyFont="1" applyBorder="1" applyAlignment="1">
      <alignment horizontal="center" vertical="center" wrapText="1"/>
    </xf>
    <xf numFmtId="0" fontId="37" fillId="14" borderId="0" xfId="0" applyFont="1" applyFill="1" applyBorder="1" applyAlignment="1">
      <alignment horizontal="center" vertical="center" wrapText="1"/>
    </xf>
    <xf numFmtId="0" fontId="42" fillId="14" borderId="0" xfId="0" applyFont="1" applyFill="1" applyBorder="1" applyAlignment="1">
      <alignment horizontal="center" vertical="center" wrapText="1"/>
    </xf>
    <xf numFmtId="0" fontId="37" fillId="0" borderId="35" xfId="0" applyFont="1" applyBorder="1" applyAlignment="1">
      <alignment horizontal="center" vertical="center" wrapText="1"/>
    </xf>
    <xf numFmtId="0" fontId="37" fillId="0" borderId="14" xfId="0" applyFont="1" applyBorder="1" applyAlignment="1">
      <alignment horizontal="center" vertical="center" wrapText="1"/>
    </xf>
    <xf numFmtId="0" fontId="37" fillId="14" borderId="41" xfId="0" applyFont="1" applyFill="1" applyBorder="1" applyAlignment="1">
      <alignment horizontal="center" vertical="center" wrapText="1"/>
    </xf>
    <xf numFmtId="0" fontId="37" fillId="0" borderId="0" xfId="0" applyFont="1" applyBorder="1" applyAlignment="1">
      <alignment horizontal="center" vertical="center" wrapText="1"/>
    </xf>
    <xf numFmtId="0" fontId="37" fillId="0" borderId="41" xfId="0" applyFont="1" applyBorder="1" applyAlignment="1">
      <alignment horizontal="center" vertical="center" wrapText="1"/>
    </xf>
    <xf numFmtId="0" fontId="37" fillId="14" borderId="35" xfId="0" applyFont="1" applyFill="1" applyBorder="1" applyAlignment="1">
      <alignment horizontal="center" vertical="center" wrapText="1"/>
    </xf>
    <xf numFmtId="0" fontId="37" fillId="0" borderId="10" xfId="0" applyFont="1" applyBorder="1" applyAlignment="1">
      <alignment horizontal="center" vertical="center" wrapText="1"/>
    </xf>
    <xf numFmtId="0" fontId="37" fillId="14" borderId="11" xfId="0" applyFont="1" applyFill="1" applyBorder="1" applyAlignment="1">
      <alignment horizontal="center" vertical="center" wrapText="1"/>
    </xf>
    <xf numFmtId="0" fontId="37" fillId="0" borderId="11" xfId="0" applyFont="1" applyBorder="1" applyAlignment="1">
      <alignment horizontal="center" vertical="center" wrapText="1"/>
    </xf>
    <xf numFmtId="0" fontId="33" fillId="3" borderId="35" xfId="0" applyFont="1" applyFill="1" applyBorder="1" applyAlignment="1">
      <alignment vertical="center"/>
    </xf>
    <xf numFmtId="9" fontId="8" fillId="0" borderId="18" xfId="2" applyFont="1" applyFill="1" applyBorder="1" applyAlignment="1">
      <alignment horizontal="center" vertical="center"/>
    </xf>
    <xf numFmtId="0" fontId="7" fillId="4" borderId="50" xfId="0" applyFont="1" applyFill="1" applyBorder="1" applyAlignment="1">
      <alignment horizontal="right" vertical="center"/>
    </xf>
    <xf numFmtId="0" fontId="47" fillId="0" borderId="69" xfId="0" applyFont="1" applyBorder="1" applyAlignment="1">
      <alignment horizontal="center" vertical="center" wrapText="1"/>
    </xf>
    <xf numFmtId="0" fontId="47" fillId="0" borderId="69" xfId="0" applyFont="1" applyBorder="1" applyAlignment="1">
      <alignment vertical="center" wrapText="1"/>
    </xf>
    <xf numFmtId="0" fontId="48" fillId="0" borderId="0" xfId="0" applyFont="1" applyAlignment="1">
      <alignment horizontal="center" vertical="center"/>
    </xf>
    <xf numFmtId="0" fontId="47" fillId="0" borderId="69" xfId="0" applyNumberFormat="1" applyFont="1" applyBorder="1" applyAlignment="1">
      <alignment horizontal="center" vertical="center" wrapText="1"/>
    </xf>
    <xf numFmtId="0" fontId="21" fillId="0" borderId="0" xfId="0" applyFont="1" applyAlignment="1">
      <alignment horizontal="center" vertical="center"/>
    </xf>
    <xf numFmtId="0" fontId="9" fillId="12" borderId="70" xfId="0" applyFont="1" applyFill="1" applyBorder="1" applyAlignment="1">
      <alignment horizontal="center" vertical="center" wrapText="1"/>
    </xf>
    <xf numFmtId="0" fontId="8" fillId="8" borderId="50" xfId="0" applyFont="1" applyFill="1" applyBorder="1" applyAlignment="1">
      <alignment horizontal="center" vertical="center" wrapText="1"/>
    </xf>
    <xf numFmtId="0" fontId="0" fillId="0" borderId="53" xfId="0" applyFont="1" applyBorder="1" applyAlignment="1">
      <alignment horizontal="left" vertical="center" wrapText="1"/>
    </xf>
    <xf numFmtId="0" fontId="9" fillId="12" borderId="71" xfId="0" applyFont="1" applyFill="1" applyBorder="1" applyAlignment="1">
      <alignment horizontal="center" vertical="center" wrapText="1"/>
    </xf>
    <xf numFmtId="0" fontId="9" fillId="12" borderId="67"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21" fillId="0" borderId="0" xfId="0" applyFont="1" applyFill="1" applyBorder="1" applyAlignment="1">
      <alignment horizontal="center" vertical="center"/>
    </xf>
    <xf numFmtId="0" fontId="49" fillId="0" borderId="0" xfId="0" quotePrefix="1" applyFont="1" applyAlignment="1">
      <alignment horizontal="center" vertical="center"/>
    </xf>
    <xf numFmtId="0" fontId="9" fillId="0" borderId="10" xfId="0" applyFont="1" applyBorder="1" applyAlignment="1">
      <alignment horizontal="center" vertical="center"/>
    </xf>
    <xf numFmtId="0" fontId="9" fillId="12" borderId="11" xfId="0" applyFont="1" applyFill="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21" fillId="0" borderId="0" xfId="0" quotePrefix="1" applyFont="1" applyAlignment="1">
      <alignment horizontal="center" vertical="center"/>
    </xf>
    <xf numFmtId="0" fontId="9" fillId="12" borderId="35" xfId="0" applyFont="1" applyFill="1" applyBorder="1" applyAlignment="1">
      <alignment horizontal="center" vertical="center"/>
    </xf>
    <xf numFmtId="0" fontId="9" fillId="2" borderId="0" xfId="0" applyFont="1" applyFill="1" applyBorder="1" applyAlignment="1">
      <alignment horizontal="center" vertical="center"/>
    </xf>
    <xf numFmtId="0" fontId="9" fillId="12" borderId="13" xfId="0" applyFont="1" applyFill="1" applyBorder="1" applyAlignment="1">
      <alignment horizontal="center" vertical="center"/>
    </xf>
    <xf numFmtId="0" fontId="9" fillId="0" borderId="35" xfId="0" applyFont="1" applyBorder="1" applyAlignment="1">
      <alignment horizontal="center" vertical="center"/>
    </xf>
    <xf numFmtId="0" fontId="9" fillId="0" borderId="0"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12" borderId="41" xfId="0" applyFont="1" applyFill="1" applyBorder="1" applyAlignment="1">
      <alignment horizontal="center" vertical="center"/>
    </xf>
    <xf numFmtId="0" fontId="9" fillId="0" borderId="41" xfId="0" applyFont="1" applyBorder="1" applyAlignment="1">
      <alignment horizontal="center" vertical="center"/>
    </xf>
    <xf numFmtId="0" fontId="9" fillId="0" borderId="15" xfId="0" applyFont="1" applyBorder="1" applyAlignment="1">
      <alignment horizontal="center" vertical="center"/>
    </xf>
    <xf numFmtId="0" fontId="9" fillId="0" borderId="0" xfId="0" applyFont="1" applyAlignment="1">
      <alignment horizontal="center" vertical="center" wrapText="1"/>
    </xf>
    <xf numFmtId="0" fontId="8" fillId="0" borderId="0" xfId="0" applyFont="1" applyAlignment="1">
      <alignment horizontal="left" vertical="center" wrapText="1"/>
    </xf>
    <xf numFmtId="0" fontId="21" fillId="0" borderId="0" xfId="0" applyFont="1" applyAlignment="1">
      <alignment horizontal="center" vertical="center" wrapText="1"/>
    </xf>
    <xf numFmtId="0" fontId="50" fillId="12" borderId="72" xfId="0" applyFont="1" applyFill="1" applyBorder="1" applyAlignment="1">
      <alignment horizontal="center" vertical="center" wrapText="1"/>
    </xf>
    <xf numFmtId="0" fontId="50" fillId="12" borderId="74" xfId="0" applyFont="1" applyFill="1" applyBorder="1" applyAlignment="1">
      <alignment horizontal="center" vertical="center" wrapText="1"/>
    </xf>
    <xf numFmtId="0" fontId="18" fillId="21" borderId="50" xfId="0" applyFont="1" applyFill="1" applyBorder="1" applyAlignment="1">
      <alignment horizontal="center" vertical="center"/>
    </xf>
    <xf numFmtId="0" fontId="18" fillId="21" borderId="52" xfId="0" applyFont="1" applyFill="1" applyBorder="1" applyAlignment="1">
      <alignment horizontal="center" vertical="center"/>
    </xf>
    <xf numFmtId="0" fontId="18" fillId="21" borderId="53" xfId="0" applyFont="1" applyFill="1" applyBorder="1" applyAlignment="1">
      <alignment horizontal="center" vertical="center"/>
    </xf>
    <xf numFmtId="0" fontId="17" fillId="24" borderId="39" xfId="0" applyFont="1" applyFill="1" applyBorder="1" applyAlignment="1">
      <alignment horizontal="right" vertical="center" wrapText="1"/>
    </xf>
    <xf numFmtId="0" fontId="17" fillId="24" borderId="40" xfId="0" applyFont="1" applyFill="1" applyBorder="1" applyAlignment="1">
      <alignment horizontal="right" vertical="center" wrapText="1"/>
    </xf>
    <xf numFmtId="0" fontId="7" fillId="4" borderId="7" xfId="0" applyFont="1" applyFill="1" applyBorder="1" applyAlignment="1">
      <alignment horizontal="right" vertical="center" wrapText="1"/>
    </xf>
    <xf numFmtId="0" fontId="7" fillId="4" borderId="8" xfId="0" applyFont="1" applyFill="1" applyBorder="1" applyAlignment="1">
      <alignment horizontal="right" vertical="center" wrapText="1"/>
    </xf>
    <xf numFmtId="0" fontId="7" fillId="4" borderId="5" xfId="0" applyFont="1" applyFill="1" applyBorder="1" applyAlignment="1">
      <alignment horizontal="right" vertical="center" wrapText="1"/>
    </xf>
    <xf numFmtId="0" fontId="7" fillId="4" borderId="1" xfId="0" applyFont="1" applyFill="1" applyBorder="1" applyAlignment="1">
      <alignment horizontal="right" vertical="center" wrapText="1"/>
    </xf>
    <xf numFmtId="0" fontId="7" fillId="4" borderId="39" xfId="0" applyFont="1" applyFill="1" applyBorder="1" applyAlignment="1">
      <alignment horizontal="right" vertical="center" wrapText="1"/>
    </xf>
    <xf numFmtId="0" fontId="7" fillId="4" borderId="40" xfId="0" applyFont="1" applyFill="1" applyBorder="1" applyAlignment="1">
      <alignment horizontal="right" vertical="center" wrapText="1"/>
    </xf>
    <xf numFmtId="0" fontId="0" fillId="0" borderId="8" xfId="0" applyFont="1" applyBorder="1" applyAlignment="1">
      <alignment horizontal="left" vertical="center" wrapText="1"/>
    </xf>
    <xf numFmtId="0" fontId="0" fillId="0" borderId="9" xfId="0" applyFont="1" applyBorder="1" applyAlignment="1">
      <alignment horizontal="left" vertical="center" wrapText="1"/>
    </xf>
    <xf numFmtId="44" fontId="19" fillId="5" borderId="16" xfId="1" applyFont="1" applyFill="1" applyBorder="1" applyAlignment="1">
      <alignment horizontal="center" vertical="center"/>
    </xf>
    <xf numFmtId="44" fontId="19" fillId="5" borderId="17" xfId="1" applyFont="1" applyFill="1" applyBorder="1" applyAlignment="1">
      <alignment horizontal="center" vertical="center"/>
    </xf>
    <xf numFmtId="44" fontId="19" fillId="5" borderId="18" xfId="1" applyFont="1" applyFill="1" applyBorder="1" applyAlignment="1">
      <alignment horizontal="center" vertical="center"/>
    </xf>
    <xf numFmtId="0" fontId="0" fillId="0" borderId="40" xfId="0" applyFont="1" applyBorder="1" applyAlignment="1">
      <alignment horizontal="left" vertical="center" wrapText="1"/>
    </xf>
    <xf numFmtId="0" fontId="0" fillId="0" borderId="19" xfId="0" applyFont="1" applyBorder="1" applyAlignment="1">
      <alignment horizontal="left" vertical="center" wrapText="1"/>
    </xf>
    <xf numFmtId="0" fontId="0" fillId="0" borderId="1" xfId="0" applyFont="1" applyBorder="1" applyAlignment="1">
      <alignment horizontal="left" vertical="center" wrapText="1"/>
    </xf>
    <xf numFmtId="0" fontId="0" fillId="0" borderId="6" xfId="0" applyFont="1" applyBorder="1" applyAlignment="1">
      <alignment horizontal="left" vertical="center" wrapText="1"/>
    </xf>
    <xf numFmtId="0" fontId="17" fillId="12" borderId="7" xfId="0" applyFont="1" applyFill="1" applyBorder="1" applyAlignment="1">
      <alignment horizontal="right" vertical="center" wrapText="1"/>
    </xf>
    <xf numFmtId="0" fontId="17" fillId="12" borderId="8" xfId="0" applyFont="1" applyFill="1" applyBorder="1" applyAlignment="1">
      <alignment horizontal="righ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18" fillId="7" borderId="50" xfId="0" applyFont="1" applyFill="1" applyBorder="1" applyAlignment="1">
      <alignment horizontal="center" vertical="center"/>
    </xf>
    <xf numFmtId="0" fontId="18" fillId="7" borderId="52" xfId="0" applyFont="1" applyFill="1" applyBorder="1" applyAlignment="1">
      <alignment horizontal="center" vertical="center"/>
    </xf>
    <xf numFmtId="0" fontId="18" fillId="7" borderId="53" xfId="0" applyFont="1" applyFill="1" applyBorder="1" applyAlignment="1">
      <alignment horizontal="center" vertical="center"/>
    </xf>
    <xf numFmtId="0" fontId="17" fillId="12" borderId="5" xfId="0" applyFont="1" applyFill="1" applyBorder="1" applyAlignment="1">
      <alignment horizontal="right" vertical="center" wrapText="1"/>
    </xf>
    <xf numFmtId="0" fontId="17" fillId="12" borderId="1" xfId="0" applyFont="1" applyFill="1" applyBorder="1" applyAlignment="1">
      <alignment horizontal="right" vertical="center" wrapText="1"/>
    </xf>
    <xf numFmtId="0" fontId="8" fillId="0" borderId="40"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17" fillId="12" borderId="39" xfId="0" applyFont="1" applyFill="1" applyBorder="1" applyAlignment="1">
      <alignment horizontal="right" vertical="center" wrapText="1"/>
    </xf>
    <xf numFmtId="0" fontId="17" fillId="12" borderId="40" xfId="0" applyFont="1" applyFill="1" applyBorder="1" applyAlignment="1">
      <alignment horizontal="right" vertical="center" wrapText="1"/>
    </xf>
    <xf numFmtId="0" fontId="22" fillId="7" borderId="2"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2" xfId="0" applyFont="1" applyFill="1" applyBorder="1" applyAlignment="1">
      <alignment horizontal="center" vertical="center"/>
    </xf>
    <xf numFmtId="0" fontId="22" fillId="7" borderId="5" xfId="0" applyFont="1" applyFill="1" applyBorder="1" applyAlignment="1">
      <alignment horizontal="center" vertical="center"/>
    </xf>
    <xf numFmtId="0" fontId="22" fillId="7" borderId="7" xfId="0" applyFont="1" applyFill="1" applyBorder="1" applyAlignment="1">
      <alignment horizontal="center" vertical="center"/>
    </xf>
    <xf numFmtId="0" fontId="10" fillId="5" borderId="33" xfId="0" applyFont="1" applyFill="1" applyBorder="1" applyAlignment="1">
      <alignment horizontal="center" vertical="center"/>
    </xf>
    <xf numFmtId="0" fontId="10" fillId="5" borderId="26" xfId="0" applyFont="1" applyFill="1" applyBorder="1" applyAlignment="1">
      <alignment horizontal="center" vertical="center"/>
    </xf>
    <xf numFmtId="0" fontId="8" fillId="0" borderId="8"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6" xfId="0" applyFont="1" applyFill="1" applyBorder="1" applyAlignment="1">
      <alignment horizontal="left" vertical="center" wrapText="1"/>
    </xf>
    <xf numFmtId="0" fontId="9" fillId="7" borderId="16" xfId="0" applyFont="1" applyFill="1" applyBorder="1" applyAlignment="1">
      <alignment horizontal="left" vertical="center"/>
    </xf>
    <xf numFmtId="0" fontId="9" fillId="7" borderId="17" xfId="0" applyFont="1" applyFill="1" applyBorder="1" applyAlignment="1">
      <alignment horizontal="left" vertical="center"/>
    </xf>
    <xf numFmtId="0" fontId="9" fillId="7" borderId="18" xfId="0" applyFont="1" applyFill="1" applyBorder="1" applyAlignment="1">
      <alignment horizontal="left" vertical="center"/>
    </xf>
    <xf numFmtId="0" fontId="7" fillId="10" borderId="5" xfId="0" applyFont="1" applyFill="1" applyBorder="1" applyAlignment="1">
      <alignment horizontal="right" vertical="center" wrapText="1"/>
    </xf>
    <xf numFmtId="0" fontId="7" fillId="10" borderId="1" xfId="0" applyFont="1" applyFill="1" applyBorder="1" applyAlignment="1">
      <alignment horizontal="right" vertical="center" wrapText="1"/>
    </xf>
    <xf numFmtId="0" fontId="7" fillId="10" borderId="7" xfId="0" applyFont="1" applyFill="1" applyBorder="1" applyAlignment="1">
      <alignment horizontal="right" vertical="center" wrapText="1"/>
    </xf>
    <xf numFmtId="0" fontId="7" fillId="10" borderId="8" xfId="0" applyFont="1" applyFill="1" applyBorder="1" applyAlignment="1">
      <alignment horizontal="right" vertical="center" wrapText="1"/>
    </xf>
    <xf numFmtId="0" fontId="17" fillId="8" borderId="39" xfId="0" applyFont="1" applyFill="1" applyBorder="1" applyAlignment="1">
      <alignment horizontal="right" vertical="center" wrapText="1"/>
    </xf>
    <xf numFmtId="0" fontId="17" fillId="8" borderId="40" xfId="0" applyFont="1" applyFill="1" applyBorder="1" applyAlignment="1">
      <alignment horizontal="right" vertical="center" wrapText="1"/>
    </xf>
    <xf numFmtId="0" fontId="9" fillId="7" borderId="2"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4" xfId="0" applyFont="1" applyFill="1" applyBorder="1" applyAlignment="1">
      <alignment horizontal="center" vertical="center"/>
    </xf>
    <xf numFmtId="0" fontId="10" fillId="7" borderId="50" xfId="0" applyFont="1" applyFill="1" applyBorder="1" applyAlignment="1">
      <alignment horizontal="right" vertical="center" wrapText="1"/>
    </xf>
    <xf numFmtId="0" fontId="10" fillId="7" borderId="52" xfId="0" applyFont="1" applyFill="1" applyBorder="1" applyAlignment="1">
      <alignment horizontal="right" vertical="center" wrapText="1"/>
    </xf>
    <xf numFmtId="0" fontId="18" fillId="20" borderId="50" xfId="0" applyFont="1" applyFill="1" applyBorder="1" applyAlignment="1">
      <alignment horizontal="center" vertical="center"/>
    </xf>
    <xf numFmtId="0" fontId="18" fillId="20" borderId="52" xfId="0" applyFont="1" applyFill="1" applyBorder="1" applyAlignment="1">
      <alignment horizontal="center" vertical="center"/>
    </xf>
    <xf numFmtId="0" fontId="18" fillId="20" borderId="53" xfId="0" applyFont="1" applyFill="1" applyBorder="1" applyAlignment="1">
      <alignment horizontal="center" vertical="center"/>
    </xf>
    <xf numFmtId="0" fontId="18" fillId="9" borderId="50" xfId="0" applyFont="1" applyFill="1" applyBorder="1" applyAlignment="1">
      <alignment horizontal="center" vertical="center"/>
    </xf>
    <xf numFmtId="0" fontId="18" fillId="9" borderId="52" xfId="0" applyFont="1" applyFill="1" applyBorder="1" applyAlignment="1">
      <alignment horizontal="center" vertical="center"/>
    </xf>
    <xf numFmtId="0" fontId="18" fillId="9" borderId="53" xfId="0" applyFont="1" applyFill="1" applyBorder="1" applyAlignment="1">
      <alignment horizontal="center" vertical="center"/>
    </xf>
    <xf numFmtId="0" fontId="10" fillId="7" borderId="16" xfId="0" applyFont="1" applyFill="1" applyBorder="1" applyAlignment="1">
      <alignment horizontal="center" vertical="center" wrapText="1"/>
    </xf>
    <xf numFmtId="0" fontId="10" fillId="7" borderId="17" xfId="0" applyFont="1" applyFill="1" applyBorder="1" applyAlignment="1">
      <alignment horizontal="center" vertical="center" wrapText="1"/>
    </xf>
    <xf numFmtId="0" fontId="10" fillId="7" borderId="66" xfId="0" applyFont="1" applyFill="1" applyBorder="1" applyAlignment="1">
      <alignment horizontal="center" vertical="center" wrapText="1"/>
    </xf>
    <xf numFmtId="0" fontId="18" fillId="23" borderId="50" xfId="0" applyFont="1" applyFill="1" applyBorder="1" applyAlignment="1">
      <alignment horizontal="center" vertical="center"/>
    </xf>
    <xf numFmtId="0" fontId="18" fillId="23" borderId="52" xfId="0" applyFont="1" applyFill="1" applyBorder="1" applyAlignment="1">
      <alignment horizontal="center" vertical="center"/>
    </xf>
    <xf numFmtId="0" fontId="18" fillId="23" borderId="53" xfId="0" applyFont="1" applyFill="1" applyBorder="1" applyAlignment="1">
      <alignment horizontal="center" vertical="center"/>
    </xf>
    <xf numFmtId="0" fontId="17" fillId="22" borderId="39" xfId="0" applyFont="1" applyFill="1" applyBorder="1" applyAlignment="1">
      <alignment horizontal="right" vertical="center" wrapText="1"/>
    </xf>
    <xf numFmtId="0" fontId="17" fillId="22" borderId="40" xfId="0" applyFont="1" applyFill="1" applyBorder="1" applyAlignment="1">
      <alignment horizontal="right" vertical="center" wrapText="1"/>
    </xf>
    <xf numFmtId="0" fontId="17" fillId="11" borderId="39" xfId="0" applyFont="1" applyFill="1" applyBorder="1" applyAlignment="1">
      <alignment horizontal="right" vertical="center" wrapText="1"/>
    </xf>
    <xf numFmtId="0" fontId="17" fillId="11" borderId="40" xfId="0" applyFont="1" applyFill="1" applyBorder="1" applyAlignment="1">
      <alignment horizontal="right" vertical="center" wrapText="1"/>
    </xf>
    <xf numFmtId="0" fontId="10" fillId="5" borderId="16" xfId="0" applyFont="1" applyFill="1" applyBorder="1" applyAlignment="1">
      <alignment horizontal="left" vertical="center"/>
    </xf>
    <xf numFmtId="0" fontId="10" fillId="5" borderId="17" xfId="0" applyFont="1" applyFill="1" applyBorder="1" applyAlignment="1">
      <alignment horizontal="left" vertical="center"/>
    </xf>
    <xf numFmtId="0" fontId="10" fillId="5" borderId="18" xfId="0" applyFont="1" applyFill="1" applyBorder="1" applyAlignment="1">
      <alignment horizontal="left" vertical="center"/>
    </xf>
    <xf numFmtId="44" fontId="8" fillId="0" borderId="23" xfId="1" applyFont="1" applyBorder="1" applyAlignment="1">
      <alignment horizontal="left" vertical="center"/>
    </xf>
    <xf numFmtId="44" fontId="8" fillId="0" borderId="24" xfId="1" applyFont="1" applyBorder="1" applyAlignment="1">
      <alignment horizontal="left" vertical="center"/>
    </xf>
    <xf numFmtId="44" fontId="8" fillId="0" borderId="25" xfId="1" applyFont="1" applyBorder="1" applyAlignment="1">
      <alignment horizontal="left" vertical="center"/>
    </xf>
    <xf numFmtId="44" fontId="8" fillId="0" borderId="20" xfId="1" applyFont="1" applyBorder="1" applyAlignment="1">
      <alignment horizontal="left" vertical="center"/>
    </xf>
    <xf numFmtId="44" fontId="8" fillId="0" borderId="21" xfId="1" applyFont="1" applyBorder="1" applyAlignment="1">
      <alignment horizontal="left" vertical="center"/>
    </xf>
    <xf numFmtId="44" fontId="8" fillId="0" borderId="22" xfId="1" applyFont="1" applyBorder="1" applyAlignment="1">
      <alignment horizontal="left" vertical="center"/>
    </xf>
    <xf numFmtId="44" fontId="8" fillId="0" borderId="43" xfId="1" applyFont="1" applyBorder="1" applyAlignment="1">
      <alignment horizontal="left" vertical="center"/>
    </xf>
    <xf numFmtId="44" fontId="8" fillId="0" borderId="44" xfId="1" applyFont="1" applyBorder="1" applyAlignment="1">
      <alignment horizontal="left" vertical="center"/>
    </xf>
    <xf numFmtId="44" fontId="8" fillId="0" borderId="26" xfId="1" applyFont="1" applyBorder="1" applyAlignment="1">
      <alignment horizontal="left" vertical="center"/>
    </xf>
    <xf numFmtId="0" fontId="17" fillId="22" borderId="32" xfId="0" applyFont="1" applyFill="1" applyBorder="1" applyAlignment="1">
      <alignment horizontal="right" vertical="center" wrapText="1"/>
    </xf>
    <xf numFmtId="0" fontId="17" fillId="22" borderId="51" xfId="0" applyFont="1" applyFill="1" applyBorder="1" applyAlignment="1">
      <alignment horizontal="right" vertical="center" wrapText="1"/>
    </xf>
    <xf numFmtId="0" fontId="17" fillId="11" borderId="32" xfId="0" applyFont="1" applyFill="1" applyBorder="1" applyAlignment="1">
      <alignment horizontal="right" vertical="center" wrapText="1"/>
    </xf>
    <xf numFmtId="0" fontId="17" fillId="11" borderId="51" xfId="0" applyFont="1" applyFill="1" applyBorder="1" applyAlignment="1">
      <alignment horizontal="right" vertical="center" wrapText="1"/>
    </xf>
    <xf numFmtId="0" fontId="17" fillId="12" borderId="32" xfId="0" applyFont="1" applyFill="1" applyBorder="1" applyAlignment="1">
      <alignment horizontal="right" vertical="center" wrapText="1"/>
    </xf>
    <xf numFmtId="0" fontId="17" fillId="12" borderId="51" xfId="0" applyFont="1" applyFill="1" applyBorder="1" applyAlignment="1">
      <alignment horizontal="right" vertical="center" wrapText="1"/>
    </xf>
    <xf numFmtId="0" fontId="19" fillId="7" borderId="16" xfId="0" applyFont="1" applyFill="1" applyBorder="1" applyAlignment="1">
      <alignment horizontal="center" vertical="center" wrapText="1"/>
    </xf>
    <xf numFmtId="0" fontId="19" fillId="7" borderId="17" xfId="0" applyFont="1" applyFill="1" applyBorder="1" applyAlignment="1">
      <alignment horizontal="center" vertical="center" wrapText="1"/>
    </xf>
    <xf numFmtId="0" fontId="19" fillId="7" borderId="18" xfId="0" applyFont="1" applyFill="1" applyBorder="1" applyAlignment="1">
      <alignment horizontal="center" vertical="center" wrapText="1"/>
    </xf>
    <xf numFmtId="0" fontId="19" fillId="7" borderId="31" xfId="0" applyFont="1" applyFill="1" applyBorder="1" applyAlignment="1">
      <alignment horizontal="center" vertical="center" wrapText="1"/>
    </xf>
    <xf numFmtId="0" fontId="19" fillId="7" borderId="54" xfId="0" applyFont="1" applyFill="1" applyBorder="1" applyAlignment="1">
      <alignment horizontal="center" vertical="center" wrapText="1"/>
    </xf>
    <xf numFmtId="0" fontId="19" fillId="7" borderId="32" xfId="0" applyFont="1" applyFill="1" applyBorder="1" applyAlignment="1">
      <alignment horizontal="center" vertical="center" wrapText="1"/>
    </xf>
    <xf numFmtId="0" fontId="0" fillId="0" borderId="43" xfId="0" applyFont="1" applyBorder="1" applyAlignment="1">
      <alignment horizontal="left" vertical="center" wrapText="1"/>
    </xf>
    <xf numFmtId="0" fontId="0" fillId="0" borderId="44" xfId="0" applyFont="1" applyBorder="1" applyAlignment="1">
      <alignment horizontal="left" vertical="center" wrapText="1"/>
    </xf>
    <xf numFmtId="0" fontId="0" fillId="0" borderId="26" xfId="0" applyFont="1" applyBorder="1" applyAlignment="1">
      <alignment horizontal="left"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0" fontId="0" fillId="0" borderId="24" xfId="0" applyFont="1" applyBorder="1" applyAlignment="1">
      <alignment horizontal="left" vertical="center" wrapText="1"/>
    </xf>
    <xf numFmtId="0" fontId="0" fillId="0" borderId="25" xfId="0" applyFont="1" applyBorder="1" applyAlignment="1">
      <alignment horizontal="left" vertical="center" wrapText="1"/>
    </xf>
    <xf numFmtId="0" fontId="0" fillId="8" borderId="3" xfId="0" applyFont="1" applyFill="1" applyBorder="1" applyAlignment="1">
      <alignment horizontal="center" vertical="center" wrapText="1"/>
    </xf>
    <xf numFmtId="0" fontId="0" fillId="11" borderId="3" xfId="0" applyFont="1" applyFill="1" applyBorder="1" applyAlignment="1">
      <alignment horizontal="center" vertical="center" wrapText="1"/>
    </xf>
    <xf numFmtId="0" fontId="0" fillId="11" borderId="4" xfId="0" applyFont="1" applyFill="1" applyBorder="1" applyAlignment="1">
      <alignment horizontal="center" vertical="center" wrapText="1"/>
    </xf>
    <xf numFmtId="0" fontId="10" fillId="7" borderId="2" xfId="0" applyFont="1" applyFill="1" applyBorder="1" applyAlignment="1">
      <alignment horizontal="right" vertical="center" wrapText="1"/>
    </xf>
    <xf numFmtId="0" fontId="10" fillId="7" borderId="3" xfId="0" applyFont="1" applyFill="1" applyBorder="1" applyAlignment="1">
      <alignment horizontal="right" vertical="center" wrapText="1"/>
    </xf>
    <xf numFmtId="0" fontId="10" fillId="7" borderId="7" xfId="0" applyFont="1" applyFill="1" applyBorder="1" applyAlignment="1">
      <alignment horizontal="right" vertical="center" wrapText="1"/>
    </xf>
    <xf numFmtId="0" fontId="10" fillId="7" borderId="8" xfId="0" applyFont="1" applyFill="1" applyBorder="1" applyAlignment="1">
      <alignment horizontal="right" vertical="center" wrapText="1"/>
    </xf>
    <xf numFmtId="0" fontId="0" fillId="13" borderId="8" xfId="0" applyFont="1" applyFill="1" applyBorder="1" applyAlignment="1">
      <alignment horizontal="center" vertical="center" wrapText="1"/>
    </xf>
    <xf numFmtId="0" fontId="0" fillId="27" borderId="8" xfId="0" applyFont="1" applyFill="1" applyBorder="1" applyAlignment="1">
      <alignment horizontal="center" vertical="center" wrapText="1"/>
    </xf>
    <xf numFmtId="0" fontId="0" fillId="27" borderId="9" xfId="0" applyFont="1" applyFill="1" applyBorder="1" applyAlignment="1">
      <alignment horizontal="center" vertical="center" wrapText="1"/>
    </xf>
    <xf numFmtId="0" fontId="0" fillId="11" borderId="7" xfId="0" applyFont="1" applyFill="1" applyBorder="1" applyAlignment="1">
      <alignment horizontal="center" vertical="center" wrapText="1"/>
    </xf>
    <xf numFmtId="0" fontId="0" fillId="11" borderId="9"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24" borderId="2" xfId="0" applyFont="1" applyFill="1" applyBorder="1" applyAlignment="1">
      <alignment horizontal="center" vertical="center" wrapText="1"/>
    </xf>
    <xf numFmtId="0" fontId="0" fillId="24" borderId="4" xfId="0" applyFont="1" applyFill="1" applyBorder="1" applyAlignment="1">
      <alignment horizontal="center" vertical="center" wrapText="1"/>
    </xf>
    <xf numFmtId="0" fontId="0" fillId="24" borderId="7" xfId="0" applyFont="1" applyFill="1" applyBorder="1" applyAlignment="1">
      <alignment horizontal="center" vertical="center" wrapText="1"/>
    </xf>
    <xf numFmtId="0" fontId="0" fillId="24" borderId="9" xfId="0" applyFont="1" applyFill="1" applyBorder="1" applyAlignment="1">
      <alignment horizontal="center" vertical="center" wrapText="1"/>
    </xf>
    <xf numFmtId="0" fontId="0" fillId="8" borderId="2" xfId="0" applyFont="1" applyFill="1" applyBorder="1" applyAlignment="1">
      <alignment horizontal="center" vertical="center" wrapText="1"/>
    </xf>
    <xf numFmtId="0" fontId="0" fillId="8" borderId="4" xfId="0" applyFont="1" applyFill="1" applyBorder="1" applyAlignment="1">
      <alignment horizontal="center" vertical="center" wrapText="1"/>
    </xf>
    <xf numFmtId="0" fontId="0" fillId="8" borderId="7" xfId="0" applyFont="1" applyFill="1" applyBorder="1" applyAlignment="1">
      <alignment horizontal="center" vertical="center" wrapText="1"/>
    </xf>
    <xf numFmtId="0" fontId="0" fillId="8" borderId="9" xfId="0" applyFont="1" applyFill="1" applyBorder="1" applyAlignment="1">
      <alignment horizontal="center" vertical="center" wrapText="1"/>
    </xf>
    <xf numFmtId="0" fontId="10" fillId="4" borderId="14" xfId="0" applyFont="1" applyFill="1" applyBorder="1" applyAlignment="1">
      <alignment horizontal="right" vertical="center" wrapText="1"/>
    </xf>
    <xf numFmtId="0" fontId="10" fillId="4" borderId="41" xfId="0" applyFont="1" applyFill="1" applyBorder="1" applyAlignment="1">
      <alignment horizontal="right" vertical="center" wrapText="1"/>
    </xf>
    <xf numFmtId="0" fontId="10" fillId="4" borderId="33" xfId="0" applyFont="1" applyFill="1" applyBorder="1" applyAlignment="1">
      <alignment horizontal="right" vertical="center" wrapText="1"/>
    </xf>
    <xf numFmtId="0" fontId="10" fillId="4" borderId="26" xfId="0" applyFont="1" applyFill="1" applyBorder="1" applyAlignment="1">
      <alignment horizontal="right" vertical="center" wrapText="1"/>
    </xf>
    <xf numFmtId="0" fontId="13" fillId="0" borderId="1" xfId="0" applyNumberFormat="1" applyFont="1" applyFill="1" applyBorder="1" applyAlignment="1">
      <alignment horizontal="left" vertical="center" wrapText="1"/>
    </xf>
    <xf numFmtId="0" fontId="13" fillId="0" borderId="6" xfId="0" applyNumberFormat="1" applyFont="1" applyFill="1" applyBorder="1" applyAlignment="1">
      <alignment horizontal="left" vertical="center" wrapText="1"/>
    </xf>
    <xf numFmtId="0" fontId="37" fillId="0" borderId="13" xfId="0" applyFont="1" applyBorder="1" applyAlignment="1">
      <alignment horizontal="center" vertical="center" wrapText="1"/>
    </xf>
    <xf numFmtId="0" fontId="37" fillId="14" borderId="0" xfId="0" applyFont="1" applyFill="1" applyBorder="1" applyAlignment="1">
      <alignment horizontal="center" vertical="center" wrapText="1"/>
    </xf>
    <xf numFmtId="0" fontId="37" fillId="0" borderId="0" xfId="0" applyFont="1" applyBorder="1" applyAlignment="1">
      <alignment horizontal="center" vertical="center" wrapText="1"/>
    </xf>
    <xf numFmtId="0" fontId="17" fillId="4" borderId="29" xfId="0" applyFont="1" applyFill="1" applyBorder="1" applyAlignment="1">
      <alignment horizontal="right" vertical="center" wrapText="1"/>
    </xf>
    <xf numFmtId="0" fontId="17" fillId="4" borderId="21" xfId="0" applyFont="1" applyFill="1" applyBorder="1" applyAlignment="1">
      <alignment horizontal="right" vertical="center" wrapText="1"/>
    </xf>
    <xf numFmtId="0" fontId="17" fillId="4" borderId="42" xfId="0" applyFont="1" applyFill="1" applyBorder="1" applyAlignment="1">
      <alignment horizontal="right" vertical="center" wrapText="1"/>
    </xf>
    <xf numFmtId="0" fontId="8" fillId="0" borderId="20"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17" fillId="4" borderId="5" xfId="0" applyFont="1" applyFill="1" applyBorder="1" applyAlignment="1">
      <alignment horizontal="right" vertical="center" wrapText="1"/>
    </xf>
    <xf numFmtId="0" fontId="17" fillId="4" borderId="1" xfId="0" applyFont="1" applyFill="1" applyBorder="1" applyAlignment="1">
      <alignment horizontal="right" vertical="center" wrapText="1"/>
    </xf>
    <xf numFmtId="0" fontId="17" fillId="4" borderId="7"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9" fillId="7" borderId="2"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8" fillId="7" borderId="16"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8" xfId="0" applyFont="1" applyFill="1" applyBorder="1" applyAlignment="1">
      <alignment horizontal="center" vertical="center" wrapText="1"/>
    </xf>
    <xf numFmtId="0" fontId="0" fillId="0" borderId="46"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36" xfId="0" applyFont="1" applyFill="1" applyBorder="1" applyAlignment="1">
      <alignment horizontal="left" vertical="center" wrapText="1"/>
    </xf>
    <xf numFmtId="0" fontId="0" fillId="0" borderId="38" xfId="0" applyFont="1" applyFill="1" applyBorder="1" applyAlignment="1">
      <alignment horizontal="left" vertical="center" wrapText="1"/>
    </xf>
    <xf numFmtId="0" fontId="0" fillId="0" borderId="43" xfId="0" applyFont="1" applyFill="1" applyBorder="1" applyAlignment="1">
      <alignment horizontal="left" vertical="center" wrapText="1"/>
    </xf>
    <xf numFmtId="0" fontId="0" fillId="0" borderId="26" xfId="0" applyFont="1" applyFill="1" applyBorder="1" applyAlignment="1">
      <alignment horizontal="left" vertical="center" wrapText="1"/>
    </xf>
    <xf numFmtId="0" fontId="13" fillId="0" borderId="3" xfId="0" applyNumberFormat="1" applyFont="1" applyFill="1" applyBorder="1" applyAlignment="1">
      <alignment horizontal="left" vertical="center" wrapText="1"/>
    </xf>
    <xf numFmtId="0" fontId="13" fillId="0" borderId="4" xfId="0" applyNumberFormat="1" applyFont="1" applyFill="1" applyBorder="1" applyAlignment="1">
      <alignment horizontal="left" vertical="center" wrapText="1"/>
    </xf>
    <xf numFmtId="0" fontId="25" fillId="7" borderId="16" xfId="0" applyFont="1" applyFill="1" applyBorder="1" applyAlignment="1">
      <alignment horizontal="center" vertical="center"/>
    </xf>
    <xf numFmtId="0" fontId="25" fillId="7" borderId="17" xfId="0" applyFont="1" applyFill="1" applyBorder="1" applyAlignment="1">
      <alignment horizontal="center" vertical="center"/>
    </xf>
    <xf numFmtId="0" fontId="25" fillId="7" borderId="18" xfId="0" applyFont="1" applyFill="1" applyBorder="1" applyAlignment="1">
      <alignment horizontal="center" vertical="center"/>
    </xf>
    <xf numFmtId="0" fontId="7" fillId="4" borderId="2" xfId="0" applyFont="1" applyFill="1" applyBorder="1" applyAlignment="1">
      <alignment horizontal="right" vertical="center" wrapText="1"/>
    </xf>
    <xf numFmtId="0" fontId="7" fillId="4" borderId="3" xfId="0" applyFont="1" applyFill="1" applyBorder="1" applyAlignment="1">
      <alignment horizontal="right" vertical="center" wrapText="1"/>
    </xf>
    <xf numFmtId="0" fontId="13" fillId="0" borderId="8" xfId="0" applyNumberFormat="1" applyFont="1" applyFill="1" applyBorder="1" applyAlignment="1">
      <alignment horizontal="left" vertical="center" wrapText="1"/>
    </xf>
    <xf numFmtId="0" fontId="13" fillId="0" borderId="9" xfId="0" applyNumberFormat="1" applyFont="1" applyFill="1" applyBorder="1" applyAlignment="1">
      <alignment horizontal="left" vertical="center" wrapText="1"/>
    </xf>
    <xf numFmtId="0" fontId="27" fillId="7" borderId="31" xfId="0" applyFont="1" applyFill="1" applyBorder="1" applyAlignment="1">
      <alignment horizontal="center" vertical="center"/>
    </xf>
    <xf numFmtId="0" fontId="27" fillId="7" borderId="27" xfId="0" applyFont="1" applyFill="1" applyBorder="1" applyAlignment="1">
      <alignment horizontal="center" vertical="center"/>
    </xf>
    <xf numFmtId="0" fontId="27" fillId="7" borderId="28" xfId="0" applyFont="1" applyFill="1" applyBorder="1" applyAlignment="1">
      <alignment horizontal="center" vertical="center"/>
    </xf>
    <xf numFmtId="0" fontId="17" fillId="4" borderId="2" xfId="0" applyFont="1" applyFill="1" applyBorder="1" applyAlignment="1">
      <alignment horizontal="right" vertical="center" wrapText="1"/>
    </xf>
    <xf numFmtId="0" fontId="17" fillId="4" borderId="3" xfId="0" applyFont="1" applyFill="1" applyBorder="1" applyAlignment="1">
      <alignment horizontal="right" vertical="center" wrapText="1"/>
    </xf>
    <xf numFmtId="0" fontId="8" fillId="0" borderId="3" xfId="0" applyFont="1" applyFill="1" applyBorder="1" applyAlignment="1">
      <alignment horizontal="left" vertical="center" wrapText="1"/>
    </xf>
    <xf numFmtId="0" fontId="8" fillId="0" borderId="4" xfId="0" applyFont="1" applyFill="1" applyBorder="1" applyAlignment="1">
      <alignment horizontal="left" vertical="center" wrapText="1"/>
    </xf>
    <xf numFmtId="0" fontId="37" fillId="14" borderId="11" xfId="0" applyFont="1" applyFill="1" applyBorder="1" applyAlignment="1">
      <alignment horizontal="center" vertical="center" wrapText="1"/>
    </xf>
    <xf numFmtId="0" fontId="37" fillId="0" borderId="11" xfId="0" applyFont="1" applyBorder="1" applyAlignment="1">
      <alignment horizontal="center" vertical="center" wrapText="1"/>
    </xf>
    <xf numFmtId="0" fontId="37" fillId="0" borderId="10" xfId="0" applyFont="1" applyBorder="1" applyAlignment="1">
      <alignment horizontal="center" vertical="center" wrapText="1"/>
    </xf>
    <xf numFmtId="0" fontId="37" fillId="0" borderId="35" xfId="0" applyFont="1" applyBorder="1" applyAlignment="1">
      <alignment horizontal="center" vertical="center" wrapText="1"/>
    </xf>
    <xf numFmtId="0" fontId="37" fillId="14" borderId="13" xfId="0" applyFont="1" applyFill="1" applyBorder="1" applyAlignment="1">
      <alignment horizontal="center" vertical="center" wrapText="1"/>
    </xf>
    <xf numFmtId="0" fontId="42" fillId="14" borderId="0" xfId="0" applyFont="1" applyFill="1" applyBorder="1" applyAlignment="1">
      <alignment horizontal="center" vertical="center" wrapText="1"/>
    </xf>
    <xf numFmtId="0" fontId="37" fillId="0" borderId="12" xfId="0" applyFont="1" applyBorder="1" applyAlignment="1">
      <alignment horizontal="center" vertical="center" wrapText="1"/>
    </xf>
    <xf numFmtId="0" fontId="37" fillId="14" borderId="35" xfId="0" applyFont="1" applyFill="1" applyBorder="1" applyAlignment="1">
      <alignment horizontal="center" vertical="center" wrapText="1"/>
    </xf>
    <xf numFmtId="0" fontId="37" fillId="0" borderId="15" xfId="0" applyFont="1" applyBorder="1" applyAlignment="1">
      <alignment horizontal="center" vertical="center" wrapText="1"/>
    </xf>
    <xf numFmtId="0" fontId="37" fillId="14" borderId="41" xfId="0" applyFont="1" applyFill="1" applyBorder="1" applyAlignment="1">
      <alignment horizontal="center" vertical="center" wrapText="1"/>
    </xf>
    <xf numFmtId="0" fontId="37" fillId="0" borderId="41" xfId="0" applyFont="1" applyBorder="1" applyAlignment="1">
      <alignment horizontal="center" vertical="center" wrapText="1"/>
    </xf>
    <xf numFmtId="0" fontId="37" fillId="0" borderId="14" xfId="0" applyFont="1" applyBorder="1" applyAlignment="1">
      <alignment horizontal="center" vertical="center" wrapText="1"/>
    </xf>
    <xf numFmtId="0" fontId="9" fillId="7" borderId="50" xfId="0" applyFont="1" applyFill="1" applyBorder="1" applyAlignment="1">
      <alignment horizontal="center" vertical="center" wrapText="1"/>
    </xf>
    <xf numFmtId="0" fontId="9" fillId="7" borderId="52" xfId="0" applyFont="1" applyFill="1" applyBorder="1" applyAlignment="1">
      <alignment horizontal="center" vertical="center" wrapText="1"/>
    </xf>
    <xf numFmtId="0" fontId="25" fillId="7" borderId="10"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12" xfId="0" applyFont="1" applyFill="1" applyBorder="1" applyAlignment="1">
      <alignment horizontal="center" vertical="center"/>
    </xf>
    <xf numFmtId="0" fontId="19" fillId="6" borderId="2"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7" xfId="0" applyFont="1" applyFill="1" applyBorder="1" applyAlignment="1">
      <alignment horizontal="center" vertical="center" wrapText="1"/>
    </xf>
    <xf numFmtId="0" fontId="10" fillId="7" borderId="16" xfId="0" applyFont="1" applyFill="1" applyBorder="1" applyAlignment="1">
      <alignment horizontal="center" vertical="center"/>
    </xf>
    <xf numFmtId="0" fontId="10" fillId="7" borderId="17" xfId="0" applyFont="1" applyFill="1" applyBorder="1" applyAlignment="1">
      <alignment horizontal="center" vertical="center"/>
    </xf>
    <xf numFmtId="0" fontId="22" fillId="7" borderId="10"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12" xfId="0" applyFont="1" applyFill="1" applyBorder="1" applyAlignment="1">
      <alignment horizontal="center" vertical="center"/>
    </xf>
    <xf numFmtId="0" fontId="13" fillId="0" borderId="8"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0" fillId="26" borderId="8" xfId="0" applyFont="1" applyFill="1" applyBorder="1" applyAlignment="1">
      <alignment horizontal="center" vertical="center" wrapText="1"/>
    </xf>
    <xf numFmtId="0" fontId="0" fillId="26" borderId="9" xfId="0" applyFont="1" applyFill="1" applyBorder="1" applyAlignment="1">
      <alignment horizontal="center" vertical="center" wrapText="1"/>
    </xf>
    <xf numFmtId="0" fontId="0" fillId="8" borderId="8" xfId="0" applyFont="1" applyFill="1" applyBorder="1" applyAlignment="1">
      <alignment horizontal="center" vertical="center" wrapText="1"/>
    </xf>
    <xf numFmtId="0" fontId="0" fillId="13" borderId="3"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10" fillId="7" borderId="2" xfId="0" applyFont="1" applyFill="1" applyBorder="1" applyAlignment="1">
      <alignment horizontal="center" vertical="center"/>
    </xf>
    <xf numFmtId="0" fontId="10" fillId="7" borderId="7" xfId="0" applyFont="1" applyFill="1" applyBorder="1" applyAlignment="1">
      <alignment horizontal="center" vertical="center"/>
    </xf>
    <xf numFmtId="0" fontId="32" fillId="4" borderId="5" xfId="0" applyFont="1" applyFill="1" applyBorder="1" applyAlignment="1">
      <alignment horizontal="right" vertical="center" wrapText="1"/>
    </xf>
    <xf numFmtId="0" fontId="32" fillId="4"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0" fillId="0" borderId="6" xfId="0" applyFont="1" applyFill="1" applyBorder="1" applyAlignment="1">
      <alignment horizontal="left" vertical="center" wrapText="1"/>
    </xf>
    <xf numFmtId="0" fontId="28" fillId="5" borderId="31" xfId="0" applyFont="1" applyFill="1" applyBorder="1" applyAlignment="1">
      <alignment horizontal="center" vertical="center"/>
    </xf>
    <xf numFmtId="0" fontId="28" fillId="5" borderId="27" xfId="0" applyFont="1" applyFill="1" applyBorder="1" applyAlignment="1">
      <alignment horizontal="center" vertical="center"/>
    </xf>
    <xf numFmtId="0" fontId="28" fillId="5" borderId="28" xfId="0" applyFont="1" applyFill="1" applyBorder="1" applyAlignment="1">
      <alignment horizontal="center" vertical="center"/>
    </xf>
    <xf numFmtId="0" fontId="32" fillId="4" borderId="2" xfId="0" applyFont="1" applyFill="1" applyBorder="1" applyAlignment="1">
      <alignment horizontal="right" vertical="center" wrapText="1"/>
    </xf>
    <xf numFmtId="0" fontId="32" fillId="4" borderId="3" xfId="0" applyFont="1" applyFill="1" applyBorder="1" applyAlignment="1">
      <alignment horizontal="righ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19" fillId="7" borderId="10"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32" fillId="4" borderId="7" xfId="0" applyFont="1" applyFill="1" applyBorder="1" applyAlignment="1">
      <alignment horizontal="right" vertical="center" wrapText="1"/>
    </xf>
    <xf numFmtId="0" fontId="32" fillId="4" borderId="8" xfId="0" applyFont="1" applyFill="1" applyBorder="1" applyAlignment="1">
      <alignment horizontal="right" vertical="center" wrapText="1"/>
    </xf>
    <xf numFmtId="0" fontId="0" fillId="0" borderId="8" xfId="0" applyFont="1" applyFill="1" applyBorder="1" applyAlignment="1">
      <alignment horizontal="left" vertical="center" wrapText="1"/>
    </xf>
    <xf numFmtId="0" fontId="0" fillId="0" borderId="9" xfId="0" applyFont="1" applyFill="1" applyBorder="1" applyAlignment="1">
      <alignment horizontal="left" vertical="center" wrapText="1"/>
    </xf>
    <xf numFmtId="0" fontId="19" fillId="10" borderId="2" xfId="0" applyFont="1" applyFill="1" applyBorder="1" applyAlignment="1">
      <alignment horizontal="center" vertical="center"/>
    </xf>
    <xf numFmtId="0" fontId="19" fillId="10" borderId="5" xfId="0" applyFont="1" applyFill="1" applyBorder="1" applyAlignment="1">
      <alignment horizontal="center" vertical="center"/>
    </xf>
    <xf numFmtId="0" fontId="19" fillId="10" borderId="7" xfId="0" applyFont="1" applyFill="1" applyBorder="1" applyAlignment="1">
      <alignment horizontal="center" vertical="center"/>
    </xf>
    <xf numFmtId="0" fontId="9" fillId="5" borderId="30" xfId="0" applyFont="1" applyFill="1" applyBorder="1" applyAlignment="1">
      <alignment horizontal="left" vertical="center"/>
    </xf>
    <xf numFmtId="0" fontId="9" fillId="5" borderId="24" xfId="0" applyFont="1" applyFill="1" applyBorder="1" applyAlignment="1">
      <alignment horizontal="left" vertical="center"/>
    </xf>
    <xf numFmtId="0" fontId="9" fillId="5" borderId="47" xfId="0" applyFont="1" applyFill="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19" fillId="9" borderId="2" xfId="0" applyFont="1" applyFill="1" applyBorder="1" applyAlignment="1">
      <alignment horizontal="center" vertical="center"/>
    </xf>
    <xf numFmtId="0" fontId="19" fillId="9" borderId="5" xfId="0" applyFont="1" applyFill="1" applyBorder="1" applyAlignment="1">
      <alignment horizontal="center" vertical="center"/>
    </xf>
    <xf numFmtId="0" fontId="19" fillId="9" borderId="7" xfId="0" applyFont="1" applyFill="1" applyBorder="1" applyAlignment="1">
      <alignment horizontal="center" vertical="center"/>
    </xf>
    <xf numFmtId="0" fontId="9" fillId="5" borderId="2" xfId="0" applyFont="1" applyFill="1" applyBorder="1" applyAlignment="1">
      <alignment horizontal="left" vertical="center" wrapText="1"/>
    </xf>
    <xf numFmtId="0" fontId="9" fillId="5" borderId="7" xfId="0" applyFont="1" applyFill="1" applyBorder="1" applyAlignment="1">
      <alignment horizontal="left" vertical="center" wrapText="1"/>
    </xf>
    <xf numFmtId="0" fontId="0" fillId="0" borderId="4" xfId="0" applyFill="1" applyBorder="1" applyAlignment="1">
      <alignment horizontal="center" vertical="center" wrapText="1"/>
    </xf>
    <xf numFmtId="0" fontId="0" fillId="0" borderId="9" xfId="0" applyFill="1" applyBorder="1" applyAlignment="1">
      <alignment horizontal="center" vertical="center" wrapText="1"/>
    </xf>
    <xf numFmtId="0" fontId="9" fillId="5" borderId="5" xfId="0" applyFont="1" applyFill="1" applyBorder="1" applyAlignment="1">
      <alignment horizontal="left" vertical="center" wrapText="1"/>
    </xf>
    <xf numFmtId="0" fontId="0" fillId="0" borderId="6" xfId="0" applyFill="1" applyBorder="1" applyAlignment="1">
      <alignment horizontal="center" vertical="center" wrapText="1"/>
    </xf>
    <xf numFmtId="0" fontId="10" fillId="4" borderId="16" xfId="0" applyFont="1" applyFill="1" applyBorder="1" applyAlignment="1">
      <alignment horizontal="left" vertical="center" wrapText="1"/>
    </xf>
    <xf numFmtId="0" fontId="10" fillId="4" borderId="17" xfId="0" applyFont="1" applyFill="1" applyBorder="1" applyAlignment="1">
      <alignment horizontal="left" vertical="center" wrapText="1"/>
    </xf>
    <xf numFmtId="0" fontId="10" fillId="4" borderId="66" xfId="0" applyFont="1" applyFill="1"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55" xfId="0" applyBorder="1" applyAlignment="1">
      <alignment horizontal="left" vertical="center" wrapText="1"/>
    </xf>
    <xf numFmtId="0" fontId="9" fillId="5" borderId="29" xfId="0" applyFont="1" applyFill="1" applyBorder="1" applyAlignment="1">
      <alignment horizontal="left" vertical="center"/>
    </xf>
    <xf numFmtId="0" fontId="9" fillId="5" borderId="21" xfId="0" applyFont="1" applyFill="1" applyBorder="1" applyAlignment="1">
      <alignment horizontal="left" vertical="center"/>
    </xf>
    <xf numFmtId="0" fontId="9" fillId="5" borderId="42" xfId="0" applyFont="1" applyFill="1" applyBorder="1" applyAlignment="1">
      <alignment horizontal="left"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9" fillId="5" borderId="33" xfId="0" applyFont="1" applyFill="1" applyBorder="1" applyAlignment="1">
      <alignment horizontal="left" vertical="center"/>
    </xf>
    <xf numFmtId="0" fontId="9" fillId="5" borderId="44" xfId="0" applyFont="1" applyFill="1" applyBorder="1" applyAlignment="1">
      <alignment horizontal="left" vertical="center"/>
    </xf>
    <xf numFmtId="0" fontId="9" fillId="5" borderId="45" xfId="0" applyFont="1" applyFill="1" applyBorder="1" applyAlignment="1">
      <alignment horizontal="left" vertical="center"/>
    </xf>
    <xf numFmtId="0" fontId="0" fillId="0" borderId="43" xfId="0" applyBorder="1" applyAlignment="1">
      <alignment horizontal="left" vertical="center" wrapText="1"/>
    </xf>
    <xf numFmtId="0" fontId="0" fillId="0" borderId="44" xfId="0" applyBorder="1" applyAlignment="1">
      <alignment horizontal="left" vertical="center" wrapText="1"/>
    </xf>
    <xf numFmtId="0" fontId="0" fillId="0" borderId="26" xfId="0" applyBorder="1" applyAlignment="1">
      <alignment horizontal="left" vertical="center" wrapText="1"/>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0" fontId="23" fillId="0" borderId="3" xfId="0" applyFont="1" applyBorder="1" applyAlignment="1">
      <alignment wrapText="1"/>
    </xf>
    <xf numFmtId="0" fontId="23" fillId="0" borderId="4" xfId="0" applyFont="1" applyBorder="1" applyAlignment="1">
      <alignment wrapText="1"/>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0" fillId="0" borderId="8" xfId="0" applyFont="1" applyFill="1" applyBorder="1" applyAlignment="1">
      <alignment horizontal="left" vertical="center"/>
    </xf>
    <xf numFmtId="0" fontId="0" fillId="0" borderId="9" xfId="0" applyFont="1" applyFill="1" applyBorder="1" applyAlignment="1">
      <alignment horizontal="left" vertical="center"/>
    </xf>
    <xf numFmtId="0" fontId="0" fillId="0" borderId="1" xfId="0" applyFont="1" applyFill="1" applyBorder="1" applyAlignment="1">
      <alignment horizontal="left" vertical="center"/>
    </xf>
    <xf numFmtId="0" fontId="0" fillId="0" borderId="6" xfId="0" applyFont="1" applyFill="1" applyBorder="1" applyAlignment="1">
      <alignment horizontal="left" vertical="center"/>
    </xf>
    <xf numFmtId="0" fontId="17" fillId="4" borderId="34" xfId="0" applyFont="1" applyFill="1" applyBorder="1" applyAlignment="1">
      <alignment horizontal="right" vertical="center" wrapText="1"/>
    </xf>
    <xf numFmtId="0" fontId="17" fillId="4" borderId="37" xfId="0" applyFont="1" applyFill="1" applyBorder="1" applyAlignment="1">
      <alignment horizontal="right" vertical="center" wrapText="1"/>
    </xf>
    <xf numFmtId="0" fontId="17" fillId="4" borderId="49" xfId="0" applyFont="1" applyFill="1" applyBorder="1" applyAlignment="1">
      <alignment horizontal="right" vertical="center" wrapText="1"/>
    </xf>
    <xf numFmtId="0" fontId="0" fillId="0" borderId="37" xfId="0" applyFont="1" applyFill="1" applyBorder="1" applyAlignment="1">
      <alignment horizontal="left" vertical="center" wrapText="1"/>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10" fillId="7" borderId="10"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0" fillId="0" borderId="20" xfId="0" applyFont="1" applyFill="1" applyBorder="1" applyAlignment="1">
      <alignment horizontal="left" vertical="center" wrapText="1"/>
    </xf>
    <xf numFmtId="0" fontId="0" fillId="0" borderId="21" xfId="0" applyFont="1" applyFill="1" applyBorder="1" applyAlignment="1">
      <alignment horizontal="left" vertical="center" wrapText="1"/>
    </xf>
    <xf numFmtId="0" fontId="0" fillId="0" borderId="22" xfId="0" applyFont="1" applyFill="1" applyBorder="1" applyAlignment="1">
      <alignment horizontal="left" vertical="center" wrapText="1"/>
    </xf>
    <xf numFmtId="0" fontId="17" fillId="4" borderId="30" xfId="0" applyFont="1" applyFill="1" applyBorder="1" applyAlignment="1">
      <alignment horizontal="right" vertical="center" wrapText="1"/>
    </xf>
    <xf numFmtId="0" fontId="17" fillId="4" borderId="24" xfId="0" applyFont="1" applyFill="1" applyBorder="1" applyAlignment="1">
      <alignment horizontal="right" vertical="center" wrapText="1"/>
    </xf>
    <xf numFmtId="0" fontId="17" fillId="4" borderId="47" xfId="0" applyFont="1" applyFill="1" applyBorder="1" applyAlignment="1">
      <alignment horizontal="right" vertical="center" wrapText="1"/>
    </xf>
    <xf numFmtId="0" fontId="0" fillId="0" borderId="23" xfId="0" applyFont="1" applyFill="1" applyBorder="1" applyAlignment="1">
      <alignment horizontal="left" vertical="center" wrapText="1"/>
    </xf>
    <xf numFmtId="0" fontId="0" fillId="0" borderId="24" xfId="0" applyFont="1" applyFill="1" applyBorder="1" applyAlignment="1">
      <alignment horizontal="left" vertical="center" wrapText="1"/>
    </xf>
    <xf numFmtId="0" fontId="0" fillId="0" borderId="25" xfId="0" applyFont="1" applyFill="1" applyBorder="1" applyAlignment="1">
      <alignment horizontal="left" vertical="center" wrapText="1"/>
    </xf>
    <xf numFmtId="0" fontId="17" fillId="4" borderId="32" xfId="0" applyFont="1" applyFill="1" applyBorder="1" applyAlignment="1">
      <alignment horizontal="right" vertical="center" wrapText="1"/>
    </xf>
    <xf numFmtId="0" fontId="17" fillId="4" borderId="51" xfId="0" applyFont="1" applyFill="1" applyBorder="1" applyAlignment="1">
      <alignment horizontal="right" vertical="center" wrapText="1"/>
    </xf>
    <xf numFmtId="0" fontId="0" fillId="0" borderId="51" xfId="0" applyFont="1" applyFill="1" applyBorder="1" applyAlignment="1">
      <alignment horizontal="left" vertical="center" wrapText="1"/>
    </xf>
    <xf numFmtId="0" fontId="0" fillId="0" borderId="48" xfId="0" applyFont="1" applyFill="1" applyBorder="1" applyAlignment="1">
      <alignment horizontal="left" vertical="center" wrapText="1"/>
    </xf>
    <xf numFmtId="0" fontId="9" fillId="7" borderId="16" xfId="0" applyFont="1" applyFill="1" applyBorder="1" applyAlignment="1">
      <alignment horizontal="center" vertical="center"/>
    </xf>
    <xf numFmtId="0" fontId="9" fillId="7" borderId="17" xfId="0" applyFont="1" applyFill="1" applyBorder="1" applyAlignment="1">
      <alignment horizontal="center" vertical="center"/>
    </xf>
    <xf numFmtId="0" fontId="9" fillId="7" borderId="18" xfId="0" applyFont="1" applyFill="1" applyBorder="1" applyAlignment="1">
      <alignment horizontal="center" vertical="center"/>
    </xf>
    <xf numFmtId="0" fontId="18" fillId="13" borderId="16" xfId="0" applyFont="1" applyFill="1" applyBorder="1" applyAlignment="1">
      <alignment horizontal="center" vertical="center" wrapText="1"/>
    </xf>
    <xf numFmtId="0" fontId="18" fillId="13" borderId="17" xfId="0"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27" fillId="5" borderId="10" xfId="0" applyFont="1" applyFill="1" applyBorder="1" applyAlignment="1">
      <alignment horizontal="center" vertical="center" wrapText="1"/>
    </xf>
    <xf numFmtId="0" fontId="27" fillId="5" borderId="11" xfId="0" applyFont="1" applyFill="1" applyBorder="1" applyAlignment="1">
      <alignment horizontal="center" vertical="center" wrapText="1"/>
    </xf>
    <xf numFmtId="0" fontId="27" fillId="5" borderId="12" xfId="0" applyFont="1" applyFill="1" applyBorder="1" applyAlignment="1">
      <alignment horizontal="center" vertical="center" wrapText="1"/>
    </xf>
    <xf numFmtId="0" fontId="18" fillId="11" borderId="16" xfId="0" applyFont="1" applyFill="1" applyBorder="1" applyAlignment="1">
      <alignment horizontal="center" vertical="center" wrapText="1"/>
    </xf>
    <xf numFmtId="0" fontId="18" fillId="11" borderId="17" xfId="0" applyFont="1" applyFill="1" applyBorder="1" applyAlignment="1">
      <alignment horizontal="center" vertical="center" wrapText="1"/>
    </xf>
    <xf numFmtId="0" fontId="18" fillId="11" borderId="18" xfId="0" applyFont="1" applyFill="1" applyBorder="1" applyAlignment="1">
      <alignment horizontal="center" vertical="center" wrapText="1"/>
    </xf>
    <xf numFmtId="0" fontId="17" fillId="3" borderId="0" xfId="0" applyFont="1" applyFill="1" applyBorder="1" applyAlignment="1">
      <alignment horizontal="right" vertical="center" wrapText="1"/>
    </xf>
    <xf numFmtId="0" fontId="0" fillId="3" borderId="0"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6"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1" xfId="0" applyFont="1" applyBorder="1" applyAlignment="1">
      <alignment vertical="center" wrapText="1"/>
    </xf>
    <xf numFmtId="0" fontId="8" fillId="0" borderId="6" xfId="0" applyFont="1" applyBorder="1" applyAlignment="1">
      <alignment vertical="center" wrapText="1"/>
    </xf>
    <xf numFmtId="0" fontId="10" fillId="7" borderId="18" xfId="0" applyFont="1" applyFill="1" applyBorder="1" applyAlignment="1">
      <alignment horizontal="center" vertical="center"/>
    </xf>
    <xf numFmtId="0" fontId="32" fillId="4" borderId="30" xfId="0" applyFont="1" applyFill="1" applyBorder="1" applyAlignment="1">
      <alignment horizontal="right" vertical="center" wrapText="1"/>
    </xf>
    <xf numFmtId="0" fontId="32" fillId="4" borderId="24" xfId="0" applyFont="1" applyFill="1" applyBorder="1" applyAlignment="1">
      <alignment horizontal="right" vertical="center" wrapText="1"/>
    </xf>
    <xf numFmtId="0" fontId="32" fillId="4" borderId="47" xfId="0" applyFont="1" applyFill="1" applyBorder="1" applyAlignment="1">
      <alignment horizontal="right" vertical="center" wrapText="1"/>
    </xf>
    <xf numFmtId="0" fontId="8" fillId="0" borderId="8" xfId="0" applyFont="1" applyBorder="1" applyAlignment="1">
      <alignment vertical="center" wrapText="1"/>
    </xf>
    <xf numFmtId="0" fontId="8" fillId="0" borderId="9" xfId="0" applyFont="1" applyBorder="1" applyAlignment="1">
      <alignment vertical="center" wrapText="1"/>
    </xf>
    <xf numFmtId="0" fontId="7" fillId="4" borderId="7" xfId="0" applyFont="1" applyFill="1" applyBorder="1" applyAlignment="1">
      <alignment horizontal="right" vertical="center"/>
    </xf>
    <xf numFmtId="0" fontId="7" fillId="4" borderId="8" xfId="0" applyFont="1" applyFill="1" applyBorder="1" applyAlignment="1">
      <alignment horizontal="right" vertical="center"/>
    </xf>
    <xf numFmtId="0" fontId="7" fillId="4" borderId="5" xfId="0" applyFont="1" applyFill="1" applyBorder="1" applyAlignment="1">
      <alignment horizontal="right" vertical="center"/>
    </xf>
    <xf numFmtId="0" fontId="7" fillId="4" borderId="1" xfId="0" applyFont="1" applyFill="1" applyBorder="1" applyAlignment="1">
      <alignment horizontal="right" vertical="center"/>
    </xf>
    <xf numFmtId="0" fontId="32" fillId="4" borderId="29" xfId="0" applyFont="1" applyFill="1" applyBorder="1" applyAlignment="1">
      <alignment horizontal="right" vertical="center" wrapText="1"/>
    </xf>
    <xf numFmtId="0" fontId="32" fillId="4" borderId="21" xfId="0" applyFont="1" applyFill="1" applyBorder="1" applyAlignment="1">
      <alignment horizontal="right" vertical="center" wrapText="1"/>
    </xf>
    <xf numFmtId="0" fontId="32" fillId="4" borderId="42" xfId="0" applyFont="1" applyFill="1" applyBorder="1" applyAlignment="1">
      <alignment horizontal="right" vertical="center" wrapText="1"/>
    </xf>
    <xf numFmtId="0" fontId="7" fillId="4" borderId="2" xfId="0" applyFont="1" applyFill="1" applyBorder="1" applyAlignment="1">
      <alignment horizontal="right" vertical="center"/>
    </xf>
    <xf numFmtId="0" fontId="7" fillId="4" borderId="3" xfId="0" applyFont="1" applyFill="1" applyBorder="1" applyAlignment="1">
      <alignment horizontal="right" vertical="center"/>
    </xf>
    <xf numFmtId="0" fontId="7" fillId="11" borderId="3" xfId="0" applyFont="1" applyFill="1" applyBorder="1" applyAlignment="1">
      <alignment vertical="center" wrapText="1"/>
    </xf>
    <xf numFmtId="0" fontId="7" fillId="11" borderId="4" xfId="0" applyFont="1" applyFill="1" applyBorder="1" applyAlignment="1">
      <alignment vertical="center" wrapText="1"/>
    </xf>
    <xf numFmtId="0" fontId="32" fillId="4" borderId="34" xfId="0" applyFont="1" applyFill="1" applyBorder="1" applyAlignment="1">
      <alignment horizontal="right" vertical="center" wrapText="1"/>
    </xf>
    <xf numFmtId="0" fontId="32" fillId="4" borderId="37" xfId="0" applyFont="1" applyFill="1" applyBorder="1" applyAlignment="1">
      <alignment horizontal="right" vertical="center" wrapText="1"/>
    </xf>
    <xf numFmtId="0" fontId="32" fillId="4" borderId="49" xfId="0" applyFont="1" applyFill="1" applyBorder="1" applyAlignment="1">
      <alignment horizontal="right" vertical="center" wrapText="1"/>
    </xf>
    <xf numFmtId="0" fontId="7" fillId="11" borderId="1" xfId="0" applyFont="1" applyFill="1" applyBorder="1" applyAlignment="1">
      <alignment horizontal="left" vertical="center" wrapText="1"/>
    </xf>
    <xf numFmtId="0" fontId="7" fillId="11" borderId="6" xfId="0" applyFont="1" applyFill="1" applyBorder="1" applyAlignment="1">
      <alignment horizontal="left" vertical="center" wrapText="1"/>
    </xf>
    <xf numFmtId="0" fontId="8" fillId="0" borderId="40" xfId="0" applyFont="1" applyBorder="1" applyAlignment="1">
      <alignment horizontal="left" vertical="center" wrapText="1"/>
    </xf>
    <xf numFmtId="0" fontId="8" fillId="0" borderId="19" xfId="0" applyFont="1" applyBorder="1" applyAlignment="1">
      <alignment horizontal="left" vertical="center" wrapText="1"/>
    </xf>
    <xf numFmtId="0" fontId="7" fillId="10" borderId="2" xfId="0" applyFont="1" applyFill="1" applyBorder="1" applyAlignment="1">
      <alignment horizontal="right" vertical="center" wrapText="1"/>
    </xf>
    <xf numFmtId="0" fontId="7" fillId="10" borderId="3" xfId="0" applyFont="1" applyFill="1" applyBorder="1" applyAlignment="1">
      <alignment horizontal="right" vertical="center" wrapText="1"/>
    </xf>
    <xf numFmtId="0" fontId="7" fillId="4" borderId="39" xfId="0" applyFont="1" applyFill="1" applyBorder="1" applyAlignment="1">
      <alignment horizontal="right" vertical="center"/>
    </xf>
    <xf numFmtId="0" fontId="7" fillId="4" borderId="40" xfId="0" applyFont="1" applyFill="1" applyBorder="1" applyAlignment="1">
      <alignment horizontal="right" vertical="center"/>
    </xf>
    <xf numFmtId="0" fontId="10" fillId="7" borderId="41"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4" xfId="0" applyFont="1" applyFill="1" applyBorder="1" applyAlignment="1">
      <alignment horizontal="center" vertical="center"/>
    </xf>
    <xf numFmtId="0" fontId="9" fillId="7" borderId="33" xfId="0" applyFont="1" applyFill="1" applyBorder="1" applyAlignment="1">
      <alignment horizontal="center" vertical="center" wrapText="1"/>
    </xf>
    <xf numFmtId="0" fontId="9" fillId="7" borderId="44" xfId="0" applyFont="1" applyFill="1" applyBorder="1" applyAlignment="1">
      <alignment horizontal="center" vertical="center" wrapText="1"/>
    </xf>
    <xf numFmtId="0" fontId="9" fillId="7" borderId="26" xfId="0" applyFont="1" applyFill="1" applyBorder="1" applyAlignment="1">
      <alignment horizontal="center" vertical="center" wrapText="1"/>
    </xf>
    <xf numFmtId="0" fontId="8" fillId="0" borderId="30"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8" fillId="0" borderId="20" xfId="0" applyFont="1" applyBorder="1" applyAlignment="1">
      <alignment horizontal="left" vertical="center" wrapText="1"/>
    </xf>
    <xf numFmtId="0" fontId="8" fillId="0" borderId="22" xfId="0" applyFont="1" applyBorder="1" applyAlignment="1">
      <alignment horizontal="left" vertical="center" wrapText="1"/>
    </xf>
    <xf numFmtId="0" fontId="8" fillId="0" borderId="43" xfId="0" applyFont="1" applyFill="1" applyBorder="1" applyAlignment="1">
      <alignment horizontal="left" vertical="center"/>
    </xf>
    <xf numFmtId="0" fontId="8" fillId="0" borderId="26" xfId="0" applyFont="1" applyFill="1" applyBorder="1" applyAlignment="1">
      <alignment horizontal="left" vertical="center"/>
    </xf>
    <xf numFmtId="0" fontId="7" fillId="4" borderId="30" xfId="0" applyFont="1" applyFill="1" applyBorder="1" applyAlignment="1">
      <alignment horizontal="center" vertical="center" wrapText="1"/>
    </xf>
    <xf numFmtId="0" fontId="7" fillId="4" borderId="47" xfId="0" applyFont="1" applyFill="1" applyBorder="1" applyAlignment="1">
      <alignment horizontal="center" vertical="center" wrapText="1"/>
    </xf>
    <xf numFmtId="0" fontId="7" fillId="4" borderId="29" xfId="0" applyFont="1" applyFill="1" applyBorder="1" applyAlignment="1">
      <alignment horizontal="center" vertical="center" wrapText="1"/>
    </xf>
    <xf numFmtId="0" fontId="7" fillId="4" borderId="42" xfId="0" applyFont="1" applyFill="1" applyBorder="1" applyAlignment="1">
      <alignment horizontal="center" vertical="center" wrapText="1"/>
    </xf>
    <xf numFmtId="0" fontId="19" fillId="7" borderId="2" xfId="0" applyFont="1" applyFill="1" applyBorder="1" applyAlignment="1">
      <alignment horizontal="center" vertical="center"/>
    </xf>
    <xf numFmtId="0" fontId="43" fillId="7" borderId="3" xfId="0" applyFont="1" applyFill="1" applyBorder="1" applyAlignment="1">
      <alignment horizontal="center" vertical="center"/>
    </xf>
    <xf numFmtId="0" fontId="43" fillId="7" borderId="4" xfId="0" applyFont="1" applyFill="1" applyBorder="1" applyAlignment="1">
      <alignment horizontal="center" vertical="center"/>
    </xf>
    <xf numFmtId="0" fontId="8" fillId="0" borderId="23" xfId="0" applyFont="1" applyBorder="1" applyAlignment="1">
      <alignment horizontal="center" vertical="center" wrapText="1"/>
    </xf>
    <xf numFmtId="0" fontId="8" fillId="0" borderId="20" xfId="0" applyFont="1" applyBorder="1" applyAlignment="1">
      <alignment horizontal="center" vertical="center" wrapText="1"/>
    </xf>
    <xf numFmtId="0" fontId="9" fillId="4" borderId="7" xfId="0" applyFont="1" applyFill="1" applyBorder="1" applyAlignment="1">
      <alignment horizontal="right" vertical="center"/>
    </xf>
    <xf numFmtId="0" fontId="9" fillId="4" borderId="8" xfId="0" applyFont="1" applyFill="1" applyBorder="1" applyAlignment="1">
      <alignment horizontal="right" vertical="center"/>
    </xf>
    <xf numFmtId="0" fontId="28" fillId="7" borderId="2" xfId="0" applyFont="1" applyFill="1" applyBorder="1" applyAlignment="1">
      <alignment horizontal="center" vertical="center"/>
    </xf>
    <xf numFmtId="0" fontId="28" fillId="7" borderId="3" xfId="0" applyFont="1" applyFill="1" applyBorder="1" applyAlignment="1">
      <alignment horizontal="center" vertical="center"/>
    </xf>
    <xf numFmtId="0" fontId="28" fillId="7" borderId="4" xfId="0" applyFont="1" applyFill="1" applyBorder="1" applyAlignment="1">
      <alignment horizontal="center" vertical="center"/>
    </xf>
    <xf numFmtId="0" fontId="8" fillId="0" borderId="7"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9" fillId="4" borderId="39" xfId="0" applyFont="1" applyFill="1" applyBorder="1" applyAlignment="1">
      <alignment horizontal="right" vertical="center"/>
    </xf>
    <xf numFmtId="0" fontId="9" fillId="4" borderId="40" xfId="0" applyFont="1" applyFill="1" applyBorder="1" applyAlignment="1">
      <alignment horizontal="right" vertical="center"/>
    </xf>
    <xf numFmtId="0" fontId="8" fillId="0" borderId="8" xfId="0" applyFont="1" applyFill="1" applyBorder="1" applyAlignment="1">
      <alignment horizontal="left" vertical="center"/>
    </xf>
    <xf numFmtId="0" fontId="8" fillId="0" borderId="9" xfId="0" applyFont="1" applyFill="1" applyBorder="1" applyAlignment="1">
      <alignment horizontal="left" vertical="center"/>
    </xf>
    <xf numFmtId="0" fontId="8" fillId="0" borderId="40" xfId="0" applyFont="1" applyFill="1" applyBorder="1" applyAlignment="1">
      <alignment horizontal="left" vertical="center"/>
    </xf>
    <xf numFmtId="0" fontId="8" fillId="0" borderId="19" xfId="0" applyFont="1" applyFill="1" applyBorder="1" applyAlignment="1">
      <alignment horizontal="left" vertical="center"/>
    </xf>
    <xf numFmtId="0" fontId="19" fillId="7" borderId="39" xfId="0" applyFont="1" applyFill="1" applyBorder="1" applyAlignment="1">
      <alignment horizontal="center" vertical="center" wrapText="1"/>
    </xf>
    <xf numFmtId="0" fontId="0" fillId="0" borderId="36" xfId="0" applyFont="1" applyBorder="1" applyAlignment="1">
      <alignment horizontal="left" vertical="center" wrapText="1"/>
    </xf>
    <xf numFmtId="0" fontId="0" fillId="0" borderId="37" xfId="0" applyFont="1" applyBorder="1" applyAlignment="1">
      <alignment horizontal="left" vertical="center" wrapText="1"/>
    </xf>
    <xf numFmtId="0" fontId="0" fillId="0" borderId="38" xfId="0" applyFont="1" applyBorder="1" applyAlignment="1">
      <alignment horizontal="left" vertical="center" wrapText="1"/>
    </xf>
    <xf numFmtId="0" fontId="9" fillId="4" borderId="2" xfId="0" applyFont="1" applyFill="1" applyBorder="1" applyAlignment="1">
      <alignment horizontal="right" vertical="center"/>
    </xf>
    <xf numFmtId="0" fontId="9" fillId="4" borderId="3" xfId="0" applyFont="1" applyFill="1" applyBorder="1" applyAlignment="1">
      <alignment horizontal="right" vertical="center"/>
    </xf>
    <xf numFmtId="0" fontId="8" fillId="0" borderId="3" xfId="0" applyFont="1" applyFill="1" applyBorder="1" applyAlignment="1">
      <alignment horizontal="left" vertical="center"/>
    </xf>
    <xf numFmtId="0" fontId="8" fillId="0" borderId="4" xfId="0" applyFont="1" applyFill="1" applyBorder="1" applyAlignment="1">
      <alignment horizontal="left" vertical="center"/>
    </xf>
    <xf numFmtId="0" fontId="31" fillId="7" borderId="33" xfId="0" applyFont="1" applyFill="1" applyBorder="1" applyAlignment="1">
      <alignment horizontal="center" vertical="center"/>
    </xf>
    <xf numFmtId="0" fontId="31" fillId="7" borderId="44" xfId="0" applyFont="1" applyFill="1" applyBorder="1" applyAlignment="1">
      <alignment horizontal="center" vertical="center"/>
    </xf>
    <xf numFmtId="0" fontId="31" fillId="7" borderId="26" xfId="0" applyFont="1" applyFill="1" applyBorder="1" applyAlignment="1">
      <alignment horizontal="center" vertical="center"/>
    </xf>
    <xf numFmtId="0" fontId="10" fillId="7" borderId="16" xfId="0" applyFont="1" applyFill="1" applyBorder="1" applyAlignment="1">
      <alignment horizontal="right" vertical="center"/>
    </xf>
    <xf numFmtId="0" fontId="10" fillId="7" borderId="17" xfId="0" applyFont="1" applyFill="1" applyBorder="1" applyAlignment="1">
      <alignment horizontal="right" vertical="center"/>
    </xf>
    <xf numFmtId="0" fontId="8" fillId="0" borderId="16"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8" fillId="0" borderId="18" xfId="0" applyFont="1" applyFill="1" applyBorder="1" applyAlignment="1">
      <alignment horizontal="left" vertical="center" wrapText="1"/>
    </xf>
    <xf numFmtId="0" fontId="19" fillId="7" borderId="10" xfId="0" applyFont="1" applyFill="1" applyBorder="1" applyAlignment="1">
      <alignment horizontal="center" vertical="center" wrapText="1"/>
    </xf>
    <xf numFmtId="0" fontId="43" fillId="7" borderId="11" xfId="0" applyFont="1" applyFill="1" applyBorder="1" applyAlignment="1">
      <alignment horizontal="center" vertical="center" wrapText="1"/>
    </xf>
    <xf numFmtId="0" fontId="43" fillId="7" borderId="17" xfId="0" applyFont="1" applyFill="1" applyBorder="1" applyAlignment="1">
      <alignment horizontal="center" vertical="center" wrapText="1"/>
    </xf>
    <xf numFmtId="0" fontId="43" fillId="7" borderId="18" xfId="0" applyFont="1" applyFill="1" applyBorder="1" applyAlignment="1">
      <alignment horizontal="center" vertical="center" wrapText="1"/>
    </xf>
    <xf numFmtId="0" fontId="10" fillId="4" borderId="7" xfId="0" applyFont="1" applyFill="1" applyBorder="1" applyAlignment="1">
      <alignment horizontal="right" vertical="center"/>
    </xf>
    <xf numFmtId="0" fontId="10" fillId="4" borderId="8" xfId="0" applyFont="1" applyFill="1" applyBorder="1" applyAlignment="1">
      <alignment horizontal="right" vertical="center"/>
    </xf>
    <xf numFmtId="0" fontId="10" fillId="4" borderId="2" xfId="0" applyFont="1" applyFill="1" applyBorder="1" applyAlignment="1">
      <alignment horizontal="right" vertical="center"/>
    </xf>
    <xf numFmtId="0" fontId="10" fillId="4" borderId="3" xfId="0" applyFont="1" applyFill="1" applyBorder="1" applyAlignment="1">
      <alignment horizontal="right" vertical="center"/>
    </xf>
    <xf numFmtId="0" fontId="10" fillId="4" borderId="5" xfId="0" applyFont="1" applyFill="1" applyBorder="1" applyAlignment="1">
      <alignment horizontal="right" vertical="center"/>
    </xf>
    <xf numFmtId="0" fontId="10" fillId="4" borderId="1" xfId="0" applyFont="1" applyFill="1" applyBorder="1" applyAlignment="1">
      <alignment horizontal="right" vertical="center"/>
    </xf>
    <xf numFmtId="0" fontId="22" fillId="7" borderId="16" xfId="0" applyFont="1" applyFill="1" applyBorder="1" applyAlignment="1">
      <alignment horizontal="center" vertical="center"/>
    </xf>
    <xf numFmtId="0" fontId="22" fillId="7" borderId="17" xfId="0" applyFont="1" applyFill="1" applyBorder="1" applyAlignment="1">
      <alignment horizontal="center" vertical="center"/>
    </xf>
    <xf numFmtId="0" fontId="22" fillId="7" borderId="18" xfId="0" applyFont="1" applyFill="1" applyBorder="1" applyAlignment="1">
      <alignment horizontal="center" vertical="center"/>
    </xf>
    <xf numFmtId="0" fontId="10" fillId="4" borderId="39" xfId="0" applyFont="1" applyFill="1" applyBorder="1" applyAlignment="1">
      <alignment horizontal="right" vertical="center"/>
    </xf>
    <xf numFmtId="0" fontId="10" fillId="4" borderId="40" xfId="0" applyFont="1" applyFill="1" applyBorder="1" applyAlignment="1">
      <alignment horizontal="right" vertical="center"/>
    </xf>
    <xf numFmtId="0" fontId="8" fillId="0" borderId="24" xfId="0" applyFont="1" applyBorder="1" applyAlignment="1">
      <alignment horizontal="left" vertical="center" wrapText="1"/>
    </xf>
    <xf numFmtId="0" fontId="8" fillId="0" borderId="21" xfId="0" applyFont="1" applyBorder="1" applyAlignment="1">
      <alignment horizontal="left" vertical="center" wrapText="1"/>
    </xf>
    <xf numFmtId="0" fontId="8" fillId="0" borderId="44" xfId="0" applyFont="1" applyBorder="1" applyAlignment="1">
      <alignment horizontal="left" vertical="center" wrapText="1"/>
    </xf>
    <xf numFmtId="0" fontId="8" fillId="0" borderId="26" xfId="0" applyFont="1" applyBorder="1" applyAlignment="1">
      <alignment horizontal="left" vertical="center" wrapText="1"/>
    </xf>
    <xf numFmtId="0" fontId="9" fillId="4" borderId="5" xfId="0" applyFont="1" applyFill="1" applyBorder="1" applyAlignment="1">
      <alignment horizontal="right" vertical="center"/>
    </xf>
    <xf numFmtId="0" fontId="9" fillId="4" borderId="1" xfId="0" applyFont="1" applyFill="1" applyBorder="1" applyAlignment="1">
      <alignment horizontal="right" vertical="center"/>
    </xf>
    <xf numFmtId="0" fontId="25" fillId="7" borderId="16" xfId="0" applyFont="1" applyFill="1" applyBorder="1" applyAlignment="1">
      <alignment horizontal="center" vertical="center" wrapText="1"/>
    </xf>
    <xf numFmtId="0" fontId="25" fillId="7" borderId="17" xfId="0" applyFont="1" applyFill="1" applyBorder="1" applyAlignment="1">
      <alignment horizontal="center" vertical="center" wrapText="1"/>
    </xf>
    <xf numFmtId="0" fontId="25" fillId="7" borderId="18" xfId="0" applyFont="1" applyFill="1" applyBorder="1" applyAlignment="1">
      <alignment horizontal="center" vertical="center" wrapText="1"/>
    </xf>
    <xf numFmtId="0" fontId="19" fillId="4" borderId="10" xfId="0" applyFont="1" applyFill="1" applyBorder="1" applyAlignment="1">
      <alignment horizontal="center" vertical="center"/>
    </xf>
    <xf numFmtId="0" fontId="19" fillId="4" borderId="11" xfId="0" applyFont="1" applyFill="1" applyBorder="1" applyAlignment="1">
      <alignment horizontal="center" vertical="center"/>
    </xf>
    <xf numFmtId="0" fontId="19" fillId="4" borderId="12" xfId="0" applyFont="1" applyFill="1" applyBorder="1" applyAlignment="1">
      <alignment horizontal="center" vertical="center"/>
    </xf>
    <xf numFmtId="0" fontId="10" fillId="7" borderId="5" xfId="0" applyFont="1" applyFill="1" applyBorder="1" applyAlignment="1">
      <alignment horizontal="right" vertical="center" wrapText="1"/>
    </xf>
    <xf numFmtId="0" fontId="10" fillId="7" borderId="1" xfId="0" applyFont="1" applyFill="1" applyBorder="1" applyAlignment="1">
      <alignment horizontal="right" vertical="center" wrapText="1"/>
    </xf>
    <xf numFmtId="0" fontId="32" fillId="4" borderId="33" xfId="0" applyFont="1" applyFill="1" applyBorder="1" applyAlignment="1">
      <alignment horizontal="right" vertical="center" wrapText="1"/>
    </xf>
    <xf numFmtId="0" fontId="32" fillId="4" borderId="44" xfId="0" applyFont="1" applyFill="1" applyBorder="1" applyAlignment="1">
      <alignment horizontal="right" vertical="center" wrapText="1"/>
    </xf>
    <xf numFmtId="0" fontId="32" fillId="4" borderId="45" xfId="0" applyFont="1" applyFill="1" applyBorder="1" applyAlignment="1">
      <alignment horizontal="right" vertical="center" wrapText="1"/>
    </xf>
    <xf numFmtId="0" fontId="47" fillId="0" borderId="75" xfId="0" applyFont="1" applyBorder="1" applyAlignment="1">
      <alignment horizontal="center" vertical="center" wrapText="1"/>
    </xf>
    <xf numFmtId="0" fontId="47" fillId="0" borderId="17" xfId="0" applyFont="1" applyBorder="1" applyAlignment="1">
      <alignment horizontal="center" vertical="center" wrapText="1"/>
    </xf>
    <xf numFmtId="0" fontId="47" fillId="0" borderId="18" xfId="0" applyFont="1" applyBorder="1" applyAlignment="1">
      <alignment horizontal="center" vertical="center" wrapText="1"/>
    </xf>
    <xf numFmtId="0" fontId="19" fillId="7" borderId="17" xfId="0" applyFont="1" applyFill="1" applyBorder="1" applyAlignment="1">
      <alignment horizontal="center" vertical="center"/>
    </xf>
    <xf numFmtId="0" fontId="19" fillId="7" borderId="18" xfId="0" applyFont="1" applyFill="1" applyBorder="1" applyAlignment="1">
      <alignment horizontal="center" vertical="center"/>
    </xf>
    <xf numFmtId="0" fontId="7" fillId="8" borderId="16" xfId="0" applyFont="1" applyFill="1" applyBorder="1" applyAlignment="1">
      <alignment horizontal="center" vertical="center" wrapText="1"/>
    </xf>
    <xf numFmtId="0" fontId="7" fillId="8" borderId="18" xfId="0" applyFont="1" applyFill="1" applyBorder="1" applyAlignment="1">
      <alignment horizontal="center" vertical="center" wrapText="1"/>
    </xf>
    <xf numFmtId="0" fontId="25" fillId="12" borderId="10" xfId="0" applyFont="1" applyFill="1" applyBorder="1" applyAlignment="1">
      <alignment horizontal="center" vertical="center"/>
    </xf>
    <xf numFmtId="0" fontId="25" fillId="12" borderId="11" xfId="0" applyFont="1" applyFill="1" applyBorder="1" applyAlignment="1">
      <alignment horizontal="center" vertical="center"/>
    </xf>
    <xf numFmtId="0" fontId="25" fillId="12" borderId="12"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41" xfId="0" applyFont="1" applyFill="1" applyBorder="1" applyAlignment="1">
      <alignment horizontal="center" vertical="center"/>
    </xf>
    <xf numFmtId="0" fontId="25" fillId="12" borderId="15" xfId="0" applyFont="1" applyFill="1" applyBorder="1" applyAlignment="1">
      <alignment horizontal="center" vertical="center"/>
    </xf>
    <xf numFmtId="0" fontId="21" fillId="8" borderId="16" xfId="0" applyFont="1" applyFill="1" applyBorder="1" applyAlignment="1">
      <alignment horizontal="left" vertical="center" wrapText="1"/>
    </xf>
    <xf numFmtId="0" fontId="21" fillId="8" borderId="17" xfId="0" applyFont="1" applyFill="1" applyBorder="1" applyAlignment="1">
      <alignment horizontal="left" vertical="center" wrapText="1"/>
    </xf>
    <xf numFmtId="0" fontId="21" fillId="8" borderId="18" xfId="0" applyFont="1" applyFill="1" applyBorder="1" applyAlignment="1">
      <alignment horizontal="left" vertical="center" wrapText="1"/>
    </xf>
    <xf numFmtId="0" fontId="47" fillId="0" borderId="73" xfId="0" applyFont="1" applyBorder="1" applyAlignment="1">
      <alignment horizontal="center" vertical="center" wrapText="1"/>
    </xf>
    <xf numFmtId="0" fontId="47" fillId="0" borderId="41" xfId="0" applyFont="1" applyBorder="1" applyAlignment="1">
      <alignment horizontal="center" vertical="center" wrapText="1"/>
    </xf>
    <xf numFmtId="0" fontId="47" fillId="0" borderId="15" xfId="0" applyFont="1" applyBorder="1" applyAlignment="1">
      <alignment horizontal="center" vertical="center" wrapText="1"/>
    </xf>
    <xf numFmtId="0" fontId="28" fillId="7" borderId="31" xfId="0" applyFont="1" applyFill="1" applyBorder="1" applyAlignment="1">
      <alignment horizontal="center" vertical="center"/>
    </xf>
    <xf numFmtId="0" fontId="28" fillId="7" borderId="27" xfId="0" applyFont="1" applyFill="1" applyBorder="1" applyAlignment="1">
      <alignment horizontal="center" vertical="center"/>
    </xf>
    <xf numFmtId="0" fontId="28" fillId="7" borderId="28" xfId="0" applyFont="1" applyFill="1" applyBorder="1" applyAlignment="1">
      <alignment horizontal="center" vertical="center"/>
    </xf>
    <xf numFmtId="0" fontId="0" fillId="0" borderId="0" xfId="0" applyFont="1" applyAlignment="1">
      <alignment horizontal="center"/>
    </xf>
    <xf numFmtId="0" fontId="10" fillId="5" borderId="70" xfId="0" applyFont="1" applyFill="1" applyBorder="1" applyAlignment="1">
      <alignment horizontal="center" vertical="center"/>
    </xf>
    <xf numFmtId="0" fontId="9" fillId="5" borderId="70" xfId="0" applyFont="1" applyFill="1" applyBorder="1" applyAlignment="1">
      <alignment horizontal="center" vertical="center"/>
    </xf>
    <xf numFmtId="0" fontId="29" fillId="2" borderId="0" xfId="0" applyFont="1" applyFill="1" applyAlignment="1">
      <alignment horizontal="center"/>
    </xf>
    <xf numFmtId="0" fontId="13" fillId="0" borderId="2" xfId="0" applyFont="1" applyBorder="1" applyAlignment="1">
      <alignment horizontal="left" vertical="center" wrapText="1"/>
    </xf>
    <xf numFmtId="0" fontId="8" fillId="0" borderId="68" xfId="0" applyFont="1" applyBorder="1" applyAlignment="1">
      <alignment horizontal="center" vertical="center" wrapText="1"/>
    </xf>
    <xf numFmtId="0" fontId="8" fillId="0" borderId="2" xfId="0" applyFont="1" applyFill="1" applyBorder="1" applyAlignment="1">
      <alignment horizontal="center" vertical="center"/>
    </xf>
    <xf numFmtId="0" fontId="21" fillId="0" borderId="67" xfId="0" applyFont="1" applyFill="1" applyBorder="1" applyAlignment="1">
      <alignment horizontal="center" vertical="center"/>
    </xf>
    <xf numFmtId="0" fontId="29" fillId="2" borderId="0" xfId="0" applyFont="1" applyFill="1" applyAlignment="1">
      <alignment horizontal="center" vertical="center"/>
    </xf>
    <xf numFmtId="0" fontId="29" fillId="2" borderId="0" xfId="0" applyFont="1" applyFill="1" applyAlignment="1">
      <alignment vertical="center"/>
    </xf>
    <xf numFmtId="0" fontId="13" fillId="0" borderId="39" xfId="0" applyFont="1" applyBorder="1" applyAlignment="1">
      <alignment horizontal="left" vertical="center" wrapText="1"/>
    </xf>
    <xf numFmtId="0" fontId="23" fillId="0" borderId="40" xfId="0" applyFont="1" applyBorder="1" applyAlignment="1">
      <alignment wrapText="1"/>
    </xf>
    <xf numFmtId="0" fontId="23" fillId="0" borderId="19" xfId="0" applyFont="1" applyBorder="1" applyAlignment="1">
      <alignment wrapText="1"/>
    </xf>
    <xf numFmtId="0" fontId="8" fillId="0" borderId="77" xfId="0" applyFont="1" applyBorder="1" applyAlignment="1">
      <alignment horizontal="center" vertical="center" wrapText="1"/>
    </xf>
    <xf numFmtId="0" fontId="8" fillId="0" borderId="34" xfId="0" applyFont="1" applyFill="1" applyBorder="1" applyAlignment="1">
      <alignment horizontal="center" vertical="center"/>
    </xf>
    <xf numFmtId="0" fontId="13" fillId="0" borderId="5" xfId="0" applyFont="1" applyBorder="1" applyAlignment="1">
      <alignment horizontal="left" vertical="center" wrapText="1"/>
    </xf>
    <xf numFmtId="0" fontId="13" fillId="0" borderId="1" xfId="0" applyFont="1" applyBorder="1" applyAlignment="1">
      <alignment horizontal="left" vertical="center" wrapText="1"/>
    </xf>
    <xf numFmtId="0" fontId="13" fillId="0" borderId="6" xfId="0" applyFont="1" applyBorder="1" applyAlignment="1">
      <alignment horizontal="left"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13" fillId="0" borderId="9" xfId="0" applyFont="1" applyBorder="1" applyAlignment="1">
      <alignment horizontal="left" vertical="center" wrapText="1"/>
    </xf>
    <xf numFmtId="0" fontId="8" fillId="0" borderId="67" xfId="0" applyFont="1" applyBorder="1" applyAlignment="1">
      <alignment horizontal="center" vertical="center" wrapText="1"/>
    </xf>
    <xf numFmtId="0" fontId="8" fillId="0" borderId="14" xfId="0" applyFont="1" applyFill="1" applyBorder="1" applyAlignment="1">
      <alignment horizontal="center" vertical="center"/>
    </xf>
    <xf numFmtId="0" fontId="0" fillId="0" borderId="44" xfId="0" applyFont="1" applyFill="1" applyBorder="1" applyAlignment="1">
      <alignment horizontal="left" vertical="center" wrapText="1"/>
    </xf>
    <xf numFmtId="2" fontId="0" fillId="0" borderId="0" xfId="0" applyNumberFormat="1" applyAlignment="1">
      <alignment vertical="center"/>
    </xf>
    <xf numFmtId="0" fontId="7" fillId="5" borderId="76" xfId="0" applyFont="1" applyFill="1" applyBorder="1" applyAlignment="1">
      <alignment horizontal="center" vertical="center" wrapText="1"/>
    </xf>
  </cellXfs>
  <cellStyles count="3">
    <cellStyle name="Currency" xfId="1" builtinId="4"/>
    <cellStyle name="Normal" xfId="0" builtinId="0"/>
    <cellStyle name="Percent" xfId="2" builtinId="5"/>
  </cellStyles>
  <dxfs count="88">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999999"/>
          <bgColor rgb="FF999999"/>
        </patternFill>
      </fill>
    </dxf>
    <dxf>
      <fill>
        <patternFill patternType="solid">
          <fgColor rgb="FFCCCCCC"/>
          <bgColor rgb="FFCCCCCC"/>
        </patternFill>
      </fill>
    </dxf>
    <dxf>
      <fill>
        <patternFill>
          <bgColor theme="0" tint="-0.24994659260841701"/>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theme="7" tint="0.79998168889431442"/>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mcinnis/Downloads/Random%20Flowchart%20Ma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ngeon Flowchart"/>
      <sheetName val="Ruined Castle"/>
      <sheetName val="City Flowchart"/>
      <sheetName val="Wilderness Flowchart"/>
      <sheetName val="Small Wilderness Flowchart"/>
      <sheetName val="Ruined City Flowchart"/>
      <sheetName val="Source Data"/>
    </sheetNames>
    <sheetDataSet>
      <sheetData sheetId="0"/>
      <sheetData sheetId="1"/>
      <sheetData sheetId="2"/>
      <sheetData sheetId="3"/>
      <sheetData sheetId="4"/>
      <sheetData sheetId="5"/>
      <sheetData sheetId="6">
        <row r="1">
          <cell r="C1">
            <v>0.7</v>
          </cell>
        </row>
        <row r="4">
          <cell r="A4" t="str">
            <v>d20</v>
          </cell>
          <cell r="B4" t="str">
            <v>Description</v>
          </cell>
          <cell r="C4" t="str">
            <v>Chamber</v>
          </cell>
          <cell r="D4" t="str">
            <v>Contents</v>
          </cell>
          <cell r="E4" t="str">
            <v>Castle Room</v>
          </cell>
          <cell r="F4" t="str">
            <v>Adjective</v>
          </cell>
          <cell r="G4" t="str">
            <v>District</v>
          </cell>
          <cell r="H4" t="str">
            <v>Feature</v>
          </cell>
          <cell r="I4" t="str">
            <v>Description</v>
          </cell>
          <cell r="J4" t="str">
            <v>Encounter Type</v>
          </cell>
          <cell r="K4" t="str">
            <v>Encounter Verb</v>
          </cell>
          <cell r="L4" t="str">
            <v>Adjective</v>
          </cell>
          <cell r="M4" t="str">
            <v>Feature</v>
          </cell>
          <cell r="N4" t="str">
            <v>Clause</v>
          </cell>
          <cell r="O4" t="str">
            <v>Encounter</v>
          </cell>
        </row>
        <row r="5">
          <cell r="A5">
            <v>1</v>
          </cell>
          <cell r="B5" t="str">
            <v>arid</v>
          </cell>
          <cell r="C5" t="str">
            <v xml:space="preserve"> burrow</v>
          </cell>
          <cell r="D5" t="str">
            <v xml:space="preserve"> adorned with crude paintings</v>
          </cell>
          <cell r="E5" t="str">
            <v xml:space="preserve"> apartment</v>
          </cell>
          <cell r="F5" t="str">
            <v>Humble</v>
          </cell>
          <cell r="G5" t="str">
            <v>Garrison</v>
          </cell>
          <cell r="H5" t="str">
            <v>Battlefield</v>
          </cell>
          <cell r="I5" t="str">
            <v>of Blood</v>
          </cell>
          <cell r="J5" t="str">
            <v>Lock</v>
          </cell>
          <cell r="K5" t="str">
            <v>Find</v>
          </cell>
          <cell r="L5" t="str">
            <v>cracked</v>
          </cell>
          <cell r="M5" t="str">
            <v>street</v>
          </cell>
          <cell r="N5" t="str">
            <v>buried in rubble</v>
          </cell>
          <cell r="O5" t="str">
            <v>white apes swing down from above</v>
          </cell>
        </row>
        <row r="6">
          <cell r="A6">
            <v>2</v>
          </cell>
          <cell r="B6" t="str">
            <v>candle-lit</v>
          </cell>
          <cell r="C6" t="str">
            <v xml:space="preserve"> catacomb</v>
          </cell>
          <cell r="D6" t="str">
            <v xml:space="preserve"> bearing animal tracks</v>
          </cell>
          <cell r="E6" t="str">
            <v xml:space="preserve"> bed chamber</v>
          </cell>
          <cell r="F6" t="str">
            <v>Busy</v>
          </cell>
          <cell r="G6" t="str">
            <v>Market</v>
          </cell>
          <cell r="H6" t="str">
            <v>Caves</v>
          </cell>
          <cell r="I6" t="str">
            <v>of Bones</v>
          </cell>
          <cell r="J6" t="str">
            <v>Key</v>
          </cell>
          <cell r="K6" t="str">
            <v>Investigate</v>
          </cell>
          <cell r="L6" t="str">
            <v>crumbling</v>
          </cell>
          <cell r="M6" t="str">
            <v>alley</v>
          </cell>
          <cell r="N6" t="str">
            <v>covered in silt</v>
          </cell>
          <cell r="O6" t="str">
            <v>shadows reach out from darkness</v>
          </cell>
        </row>
        <row r="7">
          <cell r="A7">
            <v>3</v>
          </cell>
          <cell r="B7" t="str">
            <v>cool</v>
          </cell>
          <cell r="C7" t="str">
            <v xml:space="preserve"> cell</v>
          </cell>
          <cell r="D7" t="str">
            <v xml:space="preserve"> caked with mud</v>
          </cell>
          <cell r="E7" t="str">
            <v xml:space="preserve"> buttery</v>
          </cell>
          <cell r="F7" t="str">
            <v>Crowded</v>
          </cell>
          <cell r="G7" t="str">
            <v>Temple</v>
          </cell>
          <cell r="H7" t="str">
            <v>City</v>
          </cell>
          <cell r="I7" t="str">
            <v>of Death</v>
          </cell>
          <cell r="J7" t="str">
            <v>Puzzle</v>
          </cell>
          <cell r="K7" t="str">
            <v>Convince</v>
          </cell>
          <cell r="L7" t="str">
            <v>broken</v>
          </cell>
          <cell r="M7" t="str">
            <v>boulevard</v>
          </cell>
          <cell r="N7" t="str">
            <v>broken in pieces</v>
          </cell>
          <cell r="O7" t="str">
            <v>gloom spiders scuttle from their lairs</v>
          </cell>
        </row>
        <row r="8">
          <cell r="A8">
            <v>4</v>
          </cell>
          <cell r="B8" t="str">
            <v>cramped</v>
          </cell>
          <cell r="C8" t="str">
            <v xml:space="preserve"> chamber</v>
          </cell>
          <cell r="D8" t="str">
            <v xml:space="preserve"> choked with debris</v>
          </cell>
          <cell r="E8" t="str">
            <v xml:space="preserve"> cabinet</v>
          </cell>
          <cell r="F8" t="str">
            <v>Crumbling</v>
          </cell>
          <cell r="G8" t="str">
            <v>Guildhall</v>
          </cell>
          <cell r="H8" t="str">
            <v>Cliffs</v>
          </cell>
          <cell r="I8" t="str">
            <v>of Demons</v>
          </cell>
          <cell r="J8" t="str">
            <v>Combat</v>
          </cell>
          <cell r="K8" t="str">
            <v>Defeat</v>
          </cell>
          <cell r="L8" t="str">
            <v>collapsed</v>
          </cell>
          <cell r="M8" t="str">
            <v>avenue</v>
          </cell>
          <cell r="N8" t="str">
            <v>wreathed in cobwebs</v>
          </cell>
          <cell r="O8" t="str">
            <v>howling beastmen lurch from ruins</v>
          </cell>
        </row>
        <row r="9">
          <cell r="A9">
            <v>5</v>
          </cell>
          <cell r="B9" t="str">
            <v>dripping</v>
          </cell>
          <cell r="C9" t="str">
            <v xml:space="preserve"> chamber</v>
          </cell>
          <cell r="D9" t="str">
            <v xml:space="preserve"> covered in cobwebs</v>
          </cell>
          <cell r="E9" t="str">
            <v xml:space="preserve"> cellar</v>
          </cell>
          <cell r="F9" t="str">
            <v>Deserted</v>
          </cell>
          <cell r="G9" t="str">
            <v>Mansions</v>
          </cell>
          <cell r="H9" t="str">
            <v>Desert</v>
          </cell>
          <cell r="I9" t="str">
            <v>of Despair</v>
          </cell>
          <cell r="J9" t="str">
            <v>Hazard</v>
          </cell>
          <cell r="K9"/>
          <cell r="L9" t="str">
            <v>eroded</v>
          </cell>
          <cell r="M9" t="str">
            <v>bridge</v>
          </cell>
          <cell r="N9" t="str">
            <v>entwined in thorny weeds</v>
          </cell>
          <cell r="O9" t="str">
            <v>the spectral knight approaches</v>
          </cell>
        </row>
        <row r="10">
          <cell r="A10">
            <v>6</v>
          </cell>
          <cell r="B10" t="str">
            <v>dusty</v>
          </cell>
          <cell r="C10" t="str">
            <v xml:space="preserve"> compartment</v>
          </cell>
          <cell r="D10" t="str">
            <v xml:space="preserve"> crawling with insects</v>
          </cell>
          <cell r="E10" t="str">
            <v xml:space="preserve"> chapel</v>
          </cell>
          <cell r="F10" t="str">
            <v>Exotic</v>
          </cell>
          <cell r="G10" t="str">
            <v>Slums</v>
          </cell>
          <cell r="H10" t="str">
            <v>Foothills</v>
          </cell>
          <cell r="I10" t="str">
            <v>of Doom</v>
          </cell>
          <cell r="J10" t="str">
            <v>Encounter</v>
          </cell>
          <cell r="K10"/>
          <cell r="L10" t="str">
            <v>scarred</v>
          </cell>
          <cell r="M10" t="str">
            <v>amphitheater</v>
          </cell>
          <cell r="N10" t="str">
            <v>inscribed with faintly glowing runes</v>
          </cell>
          <cell r="O10" t="str">
            <v>ghostly masked revelers pass</v>
          </cell>
        </row>
        <row r="11">
          <cell r="A11">
            <v>7</v>
          </cell>
          <cell r="B11" t="str">
            <v>frigid</v>
          </cell>
          <cell r="C11" t="str">
            <v xml:space="preserve"> crypt</v>
          </cell>
          <cell r="D11" t="str">
            <v xml:space="preserve"> filled with flapping bats</v>
          </cell>
          <cell r="E11" t="str">
            <v xml:space="preserve"> dovecote</v>
          </cell>
          <cell r="F11" t="str">
            <v>Grand</v>
          </cell>
          <cell r="G11" t="str">
            <v>Workshops</v>
          </cell>
          <cell r="H11" t="str">
            <v>Forest</v>
          </cell>
          <cell r="I11" t="str">
            <v>of the Dragon</v>
          </cell>
          <cell r="J11" t="str">
            <v>Interaction</v>
          </cell>
          <cell r="K11"/>
          <cell r="L11" t="str">
            <v>weathered</v>
          </cell>
          <cell r="M11" t="str">
            <v>mansion</v>
          </cell>
          <cell r="N11" t="str">
            <v>blackened with soot</v>
          </cell>
          <cell r="O11" t="str">
            <v>fine snow begins to fall</v>
          </cell>
        </row>
        <row r="12">
          <cell r="A12">
            <v>8</v>
          </cell>
          <cell r="B12" t="str">
            <v>high</v>
          </cell>
          <cell r="C12" t="str">
            <v xml:space="preserve"> grave</v>
          </cell>
          <cell r="D12" t="str">
            <v xml:space="preserve"> in which a creature sleeps</v>
          </cell>
          <cell r="E12" t="str">
            <v xml:space="preserve"> gatehouse</v>
          </cell>
          <cell r="F12" t="str">
            <v>Hidden</v>
          </cell>
          <cell r="G12" t="str">
            <v>Taverns</v>
          </cell>
          <cell r="H12" t="str">
            <v>Graveyard</v>
          </cell>
          <cell r="I12" t="str">
            <v>of Fear</v>
          </cell>
          <cell r="J12" t="str">
            <v>Exploration</v>
          </cell>
          <cell r="K12"/>
          <cell r="L12" t="str">
            <v>ruined</v>
          </cell>
          <cell r="M12" t="str">
            <v>tower</v>
          </cell>
          <cell r="N12" t="str">
            <v>hidden in shadows</v>
          </cell>
          <cell r="O12" t="str">
            <v>wind whips through street</v>
          </cell>
        </row>
        <row r="13">
          <cell r="A13">
            <v>9</v>
          </cell>
          <cell r="B13" t="str">
            <v>humid</v>
          </cell>
          <cell r="C13" t="str">
            <v xml:space="preserve"> grotto</v>
          </cell>
          <cell r="D13" t="str">
            <v xml:space="preserve"> in which echoes sound</v>
          </cell>
          <cell r="E13" t="str">
            <v xml:space="preserve"> great hall</v>
          </cell>
          <cell r="F13" t="str">
            <v>Illegal</v>
          </cell>
          <cell r="G13" t="str">
            <v>Warehouses</v>
          </cell>
          <cell r="H13" t="str">
            <v>Shores</v>
          </cell>
          <cell r="I13" t="str">
            <v>of Fire</v>
          </cell>
          <cell r="J13" t="str">
            <v>Entrance</v>
          </cell>
          <cell r="K13"/>
          <cell r="L13" t="str">
            <v>overgrown</v>
          </cell>
          <cell r="M13" t="str">
            <v>smithy</v>
          </cell>
          <cell r="N13" t="str">
            <v>lit by ghostly lamplight</v>
          </cell>
          <cell r="O13" t="str">
            <v>sound of distant harp</v>
          </cell>
        </row>
        <row r="14">
          <cell r="A14">
            <v>10</v>
          </cell>
          <cell r="B14" t="str">
            <v>long</v>
          </cell>
          <cell r="C14" t="str">
            <v xml:space="preserve"> hall</v>
          </cell>
          <cell r="D14" t="str">
            <v xml:space="preserve"> in which you hear breathing</v>
          </cell>
          <cell r="E14" t="str">
            <v xml:space="preserve"> guardroom</v>
          </cell>
          <cell r="F14" t="str">
            <v>Imposing</v>
          </cell>
          <cell r="G14" t="str">
            <v>Gardens</v>
          </cell>
          <cell r="H14" t="str">
            <v>Island</v>
          </cell>
          <cell r="I14" t="str">
            <v>of Ghosts</v>
          </cell>
          <cell r="J14" t="str">
            <v>Exit</v>
          </cell>
          <cell r="K14"/>
          <cell r="L14" t="str">
            <v>eerie</v>
          </cell>
          <cell r="M14" t="str">
            <v>workshop</v>
          </cell>
          <cell r="N14" t="str">
            <v>gleaming in the moonlight</v>
          </cell>
          <cell r="O14" t="str">
            <v>echo of distant voices</v>
          </cell>
        </row>
        <row r="15">
          <cell r="A15">
            <v>11</v>
          </cell>
          <cell r="B15" t="str">
            <v>low</v>
          </cell>
          <cell r="C15" t="str">
            <v xml:space="preserve"> hole</v>
          </cell>
          <cell r="D15" t="str">
            <v xml:space="preserve"> inscribed with runes</v>
          </cell>
          <cell r="E15" t="str">
            <v xml:space="preserve"> icehouse</v>
          </cell>
          <cell r="F15" t="str">
            <v>Noisy</v>
          </cell>
          <cell r="G15" t="str">
            <v>Public Square</v>
          </cell>
          <cell r="H15" t="str">
            <v>Lake</v>
          </cell>
          <cell r="I15" t="str">
            <v>of Glass</v>
          </cell>
          <cell r="J15" t="str">
            <v>Lock</v>
          </cell>
          <cell r="K15"/>
          <cell r="L15" t="str">
            <v>luminescent</v>
          </cell>
          <cell r="M15" t="str">
            <v>statue</v>
          </cell>
          <cell r="N15" t="str">
            <v>blanketed in snow</v>
          </cell>
          <cell r="O15" t="str">
            <v>hooves on cobblestones</v>
          </cell>
        </row>
        <row r="16">
          <cell r="A16">
            <v>12</v>
          </cell>
          <cell r="B16" t="str">
            <v>narrow</v>
          </cell>
          <cell r="C16" t="str">
            <v xml:space="preserve"> mausoleum</v>
          </cell>
          <cell r="D16" t="str">
            <v xml:space="preserve"> littered with bones</v>
          </cell>
          <cell r="E16" t="str">
            <v xml:space="preserve"> kitchen</v>
          </cell>
          <cell r="F16" t="str">
            <v>Opulent</v>
          </cell>
          <cell r="G16" t="str">
            <v>Courthouse</v>
          </cell>
          <cell r="H16" t="str">
            <v>Mountain</v>
          </cell>
          <cell r="I16" t="str">
            <v>of Gold</v>
          </cell>
          <cell r="J16" t="str">
            <v>Key</v>
          </cell>
          <cell r="K16"/>
          <cell r="L16" t="str">
            <v>pillar-lined</v>
          </cell>
          <cell r="M16" t="str">
            <v>archway</v>
          </cell>
          <cell r="N16" t="str">
            <v>rimed with hoarfrost</v>
          </cell>
          <cell r="O16" t="str">
            <v>distant singing</v>
          </cell>
        </row>
        <row r="17">
          <cell r="A17">
            <v>13</v>
          </cell>
          <cell r="B17" t="str">
            <v>phosphorescent</v>
          </cell>
          <cell r="C17" t="str">
            <v xml:space="preserve"> mine</v>
          </cell>
          <cell r="D17" t="str">
            <v xml:space="preserve"> overgrown with fungus</v>
          </cell>
          <cell r="E17" t="str">
            <v xml:space="preserve"> larder</v>
          </cell>
          <cell r="F17" t="str">
            <v>Peaceful</v>
          </cell>
          <cell r="G17" t="str">
            <v>Docks</v>
          </cell>
          <cell r="H17" t="str">
            <v>Plains</v>
          </cell>
          <cell r="I17" t="str">
            <v>of Ice</v>
          </cell>
          <cell r="J17" t="str">
            <v>Puzzle</v>
          </cell>
          <cell r="K17"/>
          <cell r="L17" t="str">
            <v>marble</v>
          </cell>
          <cell r="M17" t="str">
            <v>obelisk</v>
          </cell>
          <cell r="N17" t="str">
            <v>glazed with ice</v>
          </cell>
          <cell r="O17" t="str">
            <v>distant laughter</v>
          </cell>
        </row>
        <row r="18">
          <cell r="A18">
            <v>14</v>
          </cell>
          <cell r="B18" t="str">
            <v>pitch-black</v>
          </cell>
          <cell r="C18" t="str">
            <v xml:space="preserve"> room</v>
          </cell>
          <cell r="D18" t="str">
            <v xml:space="preserve"> pulsing with arcane energy</v>
          </cell>
          <cell r="E18" t="str">
            <v xml:space="preserve"> lavatory</v>
          </cell>
          <cell r="F18" t="str">
            <v>Quiet</v>
          </cell>
          <cell r="G18" t="str">
            <v>Livestock Pens</v>
          </cell>
          <cell r="H18" t="str">
            <v>River</v>
          </cell>
          <cell r="I18" t="str">
            <v>of Iron</v>
          </cell>
          <cell r="J18" t="str">
            <v>Combat</v>
          </cell>
          <cell r="K18"/>
          <cell r="L18" t="str">
            <v>alabaster</v>
          </cell>
          <cell r="M18" t="str">
            <v>observatory</v>
          </cell>
          <cell r="N18" t="str">
            <v>beside a frozen river</v>
          </cell>
          <cell r="O18" t="str">
            <v>crunching of footsteps in snow</v>
          </cell>
        </row>
        <row r="19">
          <cell r="A19">
            <v>15</v>
          </cell>
          <cell r="B19" t="str">
            <v>shadowy</v>
          </cell>
          <cell r="C19" t="str">
            <v xml:space="preserve"> sepulcher</v>
          </cell>
          <cell r="D19" t="str">
            <v xml:space="preserve"> smelling of dung</v>
          </cell>
          <cell r="E19" t="str">
            <v xml:space="preserve"> library</v>
          </cell>
          <cell r="F19" t="str">
            <v>Rat-Infested</v>
          </cell>
          <cell r="G19" t="str">
            <v>Commons</v>
          </cell>
          <cell r="H19" t="str">
            <v>Road</v>
          </cell>
          <cell r="I19" t="str">
            <v>of Mystery</v>
          </cell>
          <cell r="J19" t="str">
            <v>Hazard</v>
          </cell>
          <cell r="K19"/>
          <cell r="L19" t="str">
            <v>elegant</v>
          </cell>
          <cell r="M19" t="str">
            <v>plaza</v>
          </cell>
          <cell r="N19" t="str">
            <v>blocks the way</v>
          </cell>
          <cell r="O19" t="str">
            <v>wolf howls</v>
          </cell>
        </row>
        <row r="20">
          <cell r="A20">
            <v>16</v>
          </cell>
          <cell r="B20" t="str">
            <v>sunlit</v>
          </cell>
          <cell r="C20" t="str">
            <v xml:space="preserve"> storeroom</v>
          </cell>
          <cell r="D20" t="str">
            <v xml:space="preserve"> smelling of incense</v>
          </cell>
          <cell r="E20" t="str">
            <v xml:space="preserve"> pantry</v>
          </cell>
          <cell r="F20" t="str">
            <v>Relaxed</v>
          </cell>
          <cell r="G20" t="str">
            <v>Library</v>
          </cell>
          <cell r="H20" t="str">
            <v>Ruins</v>
          </cell>
          <cell r="I20" t="str">
            <v>of Serpents</v>
          </cell>
          <cell r="J20" t="str">
            <v>Encounter</v>
          </cell>
          <cell r="K20"/>
          <cell r="L20" t="str">
            <v>ornate</v>
          </cell>
          <cell r="M20" t="str">
            <v>library</v>
          </cell>
          <cell r="N20"/>
          <cell r="O20" t="str">
            <v>clouds cover moon</v>
          </cell>
        </row>
        <row r="21">
          <cell r="A21">
            <v>17</v>
          </cell>
          <cell r="B21" t="str">
            <v>sweltering</v>
          </cell>
          <cell r="C21" t="str">
            <v xml:space="preserve"> tomb</v>
          </cell>
          <cell r="D21" t="str">
            <v xml:space="preserve"> smelling of perfume</v>
          </cell>
          <cell r="E21" t="str">
            <v xml:space="preserve"> solar</v>
          </cell>
          <cell r="F21" t="str">
            <v>Shabby</v>
          </cell>
          <cell r="G21" t="str">
            <v>Arena</v>
          </cell>
          <cell r="H21" t="str">
            <v>Swamp</v>
          </cell>
          <cell r="I21" t="str">
            <v>of Shadows</v>
          </cell>
          <cell r="J21" t="str">
            <v>Interaction</v>
          </cell>
          <cell r="K21"/>
          <cell r="L21" t="str">
            <v>grand</v>
          </cell>
          <cell r="M21" t="str">
            <v>bath house</v>
          </cell>
          <cell r="N21"/>
          <cell r="O21" t="str">
            <v>moon shines through clouds</v>
          </cell>
        </row>
        <row r="22">
          <cell r="A22">
            <v>18</v>
          </cell>
          <cell r="B22" t="str">
            <v>warm</v>
          </cell>
          <cell r="C22" t="str">
            <v xml:space="preserve"> tunnel</v>
          </cell>
          <cell r="D22" t="str">
            <v xml:space="preserve"> swarming with serpents</v>
          </cell>
          <cell r="E22" t="str">
            <v xml:space="preserve"> storeroom</v>
          </cell>
          <cell r="F22" t="str">
            <v>Stately</v>
          </cell>
          <cell r="G22" t="str">
            <v>Bath House</v>
          </cell>
          <cell r="H22" t="str">
            <v>Temple</v>
          </cell>
          <cell r="I22" t="str">
            <v>of the Damned</v>
          </cell>
          <cell r="J22" t="str">
            <v>Exploration</v>
          </cell>
          <cell r="K22"/>
          <cell r="L22"/>
          <cell r="M22" t="str">
            <v>garden</v>
          </cell>
          <cell r="N22"/>
          <cell r="O22" t="str">
            <v>bell rings out</v>
          </cell>
        </row>
        <row r="23">
          <cell r="A23">
            <v>19</v>
          </cell>
          <cell r="B23" t="str">
            <v>water-filled</v>
          </cell>
          <cell r="C23" t="str">
            <v xml:space="preserve"> vault</v>
          </cell>
          <cell r="D23" t="str">
            <v xml:space="preserve"> that has been ransacked</v>
          </cell>
          <cell r="E23" t="str">
            <v xml:space="preserve"> study</v>
          </cell>
          <cell r="F23" t="str">
            <v>Stinking</v>
          </cell>
          <cell r="G23" t="str">
            <v>Brothels</v>
          </cell>
          <cell r="H23" t="str">
            <v>Valley</v>
          </cell>
          <cell r="I23" t="str">
            <v>of the Dead</v>
          </cell>
          <cell r="J23" t="str">
            <v>Entrance</v>
          </cell>
          <cell r="K23"/>
          <cell r="L23"/>
          <cell r="M23" t="str">
            <v>fountain</v>
          </cell>
          <cell r="N23"/>
          <cell r="O23" t="str">
            <v>distant flute playing</v>
          </cell>
        </row>
        <row r="24">
          <cell r="A24">
            <v>20</v>
          </cell>
          <cell r="B24" t="str">
            <v>vast</v>
          </cell>
          <cell r="C24" t="str">
            <v xml:space="preserve"> warren</v>
          </cell>
          <cell r="D24" t="str">
            <v xml:space="preserve"> that was used for a ritual</v>
          </cell>
          <cell r="E24" t="str">
            <v xml:space="preserve"> undercroft</v>
          </cell>
          <cell r="F24" t="str">
            <v>Waterfront</v>
          </cell>
          <cell r="G24" t="str">
            <v>Ruins</v>
          </cell>
          <cell r="H24" t="str">
            <v>Village</v>
          </cell>
          <cell r="I24" t="str">
            <v>of the Lost</v>
          </cell>
          <cell r="J24" t="str">
            <v>Exit</v>
          </cell>
          <cell r="K24"/>
          <cell r="L24"/>
          <cell r="M24" t="str">
            <v>quayside</v>
          </cell>
          <cell r="N24"/>
          <cell r="O24" t="str">
            <v>candlelight moves past distant window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024"/>
  <sheetViews>
    <sheetView zoomScale="90" zoomScaleNormal="90" workbookViewId="0">
      <selection activeCell="G8" sqref="G8:H8"/>
    </sheetView>
  </sheetViews>
  <sheetFormatPr defaultColWidth="15.7109375" defaultRowHeight="35.1" customHeight="1"/>
  <cols>
    <col min="1" max="1" width="33.7109375" style="33" customWidth="1"/>
    <col min="2" max="2" width="22.42578125" style="32" customWidth="1"/>
    <col min="3" max="3" width="7.5703125" style="32" customWidth="1"/>
    <col min="4" max="6" width="15.7109375" style="32"/>
    <col min="7" max="7" width="21" style="32" customWidth="1"/>
    <col min="8" max="8" width="13.140625" style="32" customWidth="1"/>
    <col min="9" max="9" width="15.7109375" style="32"/>
    <col min="10" max="10" width="15.7109375" style="92"/>
    <col min="11" max="16384" width="15.7109375" style="32"/>
  </cols>
  <sheetData>
    <row r="1" spans="1:19" ht="35.1" customHeight="1" thickBot="1">
      <c r="A1" s="461" t="s">
        <v>7126</v>
      </c>
      <c r="B1" s="462"/>
      <c r="C1" s="462"/>
      <c r="D1" s="337">
        <v>8</v>
      </c>
      <c r="E1" s="469" t="s">
        <v>6944</v>
      </c>
      <c r="F1" s="470"/>
      <c r="G1" s="470"/>
      <c r="H1" s="470"/>
      <c r="I1" s="471"/>
      <c r="J1" s="315">
        <f ca="1">ROUND(D1/(RANDBETWEEN(1,5)),0)</f>
        <v>4</v>
      </c>
      <c r="K1" s="63"/>
      <c r="L1" s="63"/>
      <c r="M1" s="63"/>
      <c r="N1" s="63"/>
      <c r="O1" s="63"/>
      <c r="P1" s="63"/>
      <c r="Q1" s="63"/>
      <c r="R1" s="63"/>
      <c r="S1" s="36"/>
    </row>
    <row r="2" spans="1:19" s="35" customFormat="1" ht="11.25" customHeight="1" thickBot="1">
      <c r="A2" s="86"/>
      <c r="B2" s="86"/>
      <c r="C2" s="86"/>
      <c r="D2" s="86"/>
      <c r="E2" s="86"/>
      <c r="F2" s="86"/>
      <c r="G2" s="86"/>
      <c r="H2" s="86"/>
      <c r="I2" s="86"/>
      <c r="J2" s="86"/>
      <c r="K2" s="86"/>
      <c r="L2" s="86"/>
      <c r="M2" s="86"/>
      <c r="N2" s="86"/>
      <c r="O2" s="86"/>
      <c r="P2" s="86"/>
      <c r="Q2" s="86"/>
      <c r="R2" s="86"/>
      <c r="S2" s="40"/>
    </row>
    <row r="3" spans="1:19" s="35" customFormat="1" ht="35.1" customHeight="1" thickBot="1">
      <c r="A3" s="428" t="s">
        <v>2414</v>
      </c>
      <c r="B3" s="429"/>
      <c r="C3" s="429"/>
      <c r="D3" s="429"/>
      <c r="E3" s="429"/>
      <c r="F3" s="430"/>
      <c r="G3" s="404" t="s">
        <v>2414</v>
      </c>
      <c r="H3" s="405"/>
      <c r="I3" s="405"/>
      <c r="J3" s="405"/>
      <c r="K3" s="405"/>
      <c r="L3" s="406"/>
      <c r="M3" s="472" t="s">
        <v>2414</v>
      </c>
      <c r="N3" s="473"/>
      <c r="O3" s="473"/>
      <c r="P3" s="473"/>
      <c r="Q3" s="473"/>
      <c r="R3" s="474"/>
      <c r="S3" s="40"/>
    </row>
    <row r="4" spans="1:19" s="35" customFormat="1" ht="35.1" customHeight="1">
      <c r="A4" s="435" t="str">
        <f>B51</f>
        <v>You come upon:</v>
      </c>
      <c r="B4" s="436"/>
      <c r="C4" s="433" t="str">
        <f ca="1">IF($J$1&gt;0,INDEX($B$52:$B$91,RANDBETWEEN(1,40)),"")</f>
        <v>ANCIENT RUINS.</v>
      </c>
      <c r="D4" s="433"/>
      <c r="E4" s="433"/>
      <c r="F4" s="434"/>
      <c r="G4" s="407" t="str">
        <f>A4</f>
        <v>You come upon:</v>
      </c>
      <c r="H4" s="408"/>
      <c r="I4" s="433" t="str">
        <f ca="1">IF($J$1&gt;1,INDEX($B$52:$B$91,RANDBETWEEN(1,40)),"")</f>
        <v>A FAIRY RING.</v>
      </c>
      <c r="J4" s="433"/>
      <c r="K4" s="433"/>
      <c r="L4" s="434"/>
      <c r="M4" s="456" t="str">
        <f>G4</f>
        <v>You come upon:</v>
      </c>
      <c r="N4" s="457"/>
      <c r="O4" s="433" t="str">
        <f ca="1">IF($J$1&gt;2,INDEX($B$52:$B$91,RANDBETWEEN(1,40)),"")</f>
        <v>AN ABANDONED BOAT IN A STREAM.</v>
      </c>
      <c r="P4" s="433"/>
      <c r="Q4" s="433"/>
      <c r="R4" s="434"/>
      <c r="S4" s="40"/>
    </row>
    <row r="5" spans="1:19" s="35" customFormat="1" ht="35.1" customHeight="1">
      <c r="A5" s="431" t="str">
        <f>C51</f>
        <v>Close by is:</v>
      </c>
      <c r="B5" s="432"/>
      <c r="C5" s="447" t="str">
        <f ca="1">IF($J$1&gt;0,INDEX($C$52:$C$91,RANDBETWEEN(1,36)),"")</f>
        <v>A SWIFTLY FLOWING CREEK/RIVER.</v>
      </c>
      <c r="D5" s="447"/>
      <c r="E5" s="447"/>
      <c r="F5" s="448"/>
      <c r="G5" s="407" t="str">
        <f t="shared" ref="G5:G9" si="0">A5</f>
        <v>Close by is:</v>
      </c>
      <c r="H5" s="408"/>
      <c r="I5" s="447" t="str">
        <f ca="1">IF($J$1&gt;1,INDEX($C$52:$C$91,RANDBETWEEN(1,36)),"")</f>
        <v>AN OLD, GNARLED TREE.</v>
      </c>
      <c r="J5" s="447"/>
      <c r="K5" s="447"/>
      <c r="L5" s="448"/>
      <c r="M5" s="456" t="str">
        <f t="shared" ref="M5:M9" si="1">G5</f>
        <v>Close by is:</v>
      </c>
      <c r="N5" s="457"/>
      <c r="O5" s="447" t="str">
        <f ca="1">IF($J$1&gt;2,INDEX($C$52:$C$91,RANDBETWEEN(1,36)),"")</f>
        <v>A FRUIT TREE.</v>
      </c>
      <c r="P5" s="447"/>
      <c r="Q5" s="447"/>
      <c r="R5" s="448"/>
      <c r="S5" s="40"/>
    </row>
    <row r="6" spans="1:19" s="35" customFormat="1" ht="35.1" customHeight="1">
      <c r="A6" s="431" t="s">
        <v>6406</v>
      </c>
      <c r="B6" s="432"/>
      <c r="C6" s="447" t="str">
        <f ca="1">IF($J$1&gt;0,CONCATENATE(INDEX($D$52:$D$91,RANDBETWEEN(1,31))," and is ",INDEX($G$52:$G$63,RANDBETWEEN(1,12))),"")</f>
        <v>SMELLS LIKE FEET FROM A SOLDIER and is FOGGY</v>
      </c>
      <c r="D6" s="447"/>
      <c r="E6" s="447"/>
      <c r="F6" s="448"/>
      <c r="G6" s="407" t="str">
        <f t="shared" si="0"/>
        <v xml:space="preserve">The air: </v>
      </c>
      <c r="H6" s="408"/>
      <c r="I6" s="447" t="str">
        <f ca="1">IF($J$1&gt;1,CONCATENATE(INDEX($D$52:$D$91,RANDBETWEEN(1,31))," and is ",INDEX($G$52:$G$63,RANDBETWEEN(1,12))),"")</f>
        <v>SMELLS CLEAN and is CLEAR.</v>
      </c>
      <c r="J6" s="447"/>
      <c r="K6" s="447"/>
      <c r="L6" s="448"/>
      <c r="M6" s="456" t="str">
        <f t="shared" si="1"/>
        <v xml:space="preserve">The air: </v>
      </c>
      <c r="N6" s="457"/>
      <c r="O6" s="447" t="str">
        <f ca="1">IF($J$1&gt;2,CONCATENATE(INDEX($D$52:$D$91,RANDBETWEEN(1,31))," and is ",INDEX($G$52:$G$63,RANDBETWEEN(1,12))),"")</f>
        <v>SMELLS METALLIC. YOU CAN ALMOST TASTE IT and is FOGGY</v>
      </c>
      <c r="P6" s="447"/>
      <c r="Q6" s="447"/>
      <c r="R6" s="448"/>
      <c r="S6" s="40"/>
    </row>
    <row r="7" spans="1:19" s="35" customFormat="1" ht="35.1" customHeight="1">
      <c r="A7" s="431" t="str">
        <f>E51</f>
        <v>As you approach, you notice:</v>
      </c>
      <c r="B7" s="432"/>
      <c r="C7" s="447" t="str">
        <f ca="1">IF($J$1&gt;0,INDEX($E$52:$E$91,RANDBETWEEN(1,37)),"")</f>
        <v>LEAVES RUSTLING.</v>
      </c>
      <c r="D7" s="447"/>
      <c r="E7" s="447"/>
      <c r="F7" s="448"/>
      <c r="G7" s="407" t="str">
        <f t="shared" si="0"/>
        <v>As you approach, you notice:</v>
      </c>
      <c r="H7" s="408"/>
      <c r="I7" s="447" t="str">
        <f ca="1">IF($J$1&gt;1,INDEX($E$52:$E$91,RANDBETWEEN(1,37)),"")</f>
        <v>THE BREEZE STOPS.</v>
      </c>
      <c r="J7" s="447"/>
      <c r="K7" s="447"/>
      <c r="L7" s="448"/>
      <c r="M7" s="456" t="str">
        <f t="shared" si="1"/>
        <v>As you approach, you notice:</v>
      </c>
      <c r="N7" s="457"/>
      <c r="O7" s="447" t="str">
        <f ca="1">IF($J$1&gt;2,INDEX($E$52:$E$91,RANDBETWEEN(1,37)),"")</f>
        <v>DISTANT MUSIC PLAYING.</v>
      </c>
      <c r="P7" s="447"/>
      <c r="Q7" s="447"/>
      <c r="R7" s="448"/>
      <c r="S7" s="40"/>
    </row>
    <row r="8" spans="1:19" ht="35.1" customHeight="1">
      <c r="A8" s="431" t="str">
        <f>F51</f>
        <v>The land around it is dominated by:</v>
      </c>
      <c r="B8" s="432"/>
      <c r="C8" s="447" t="str">
        <f ca="1">IF($J$1&gt;0,INDEX($F$52:$F$91,RANDBETWEEN(1,24)),"")</f>
        <v>OAK TREES.</v>
      </c>
      <c r="D8" s="447"/>
      <c r="E8" s="447"/>
      <c r="F8" s="448"/>
      <c r="G8" s="407" t="str">
        <f t="shared" si="0"/>
        <v>The land around it is dominated by:</v>
      </c>
      <c r="H8" s="408"/>
      <c r="I8" s="447" t="str">
        <f ca="1">IF($J$1&gt;1,INDEX($F$52:$F$91,RANDBETWEEN(1,24)),"")</f>
        <v>FIR TREES.</v>
      </c>
      <c r="J8" s="447"/>
      <c r="K8" s="447"/>
      <c r="L8" s="448"/>
      <c r="M8" s="456" t="str">
        <f t="shared" si="1"/>
        <v>The land around it is dominated by:</v>
      </c>
      <c r="N8" s="457"/>
      <c r="O8" s="447" t="str">
        <f ca="1">IF($J$1&gt;2,INDEX($F$52:$F$91,RANDBETWEEN(1,24)),"")</f>
        <v>PINE TREES.</v>
      </c>
      <c r="P8" s="447"/>
      <c r="Q8" s="447"/>
      <c r="R8" s="448"/>
      <c r="S8" s="36"/>
    </row>
    <row r="9" spans="1:19" ht="45.75" customHeight="1" thickBot="1">
      <c r="A9" s="424" t="str">
        <f>H51</f>
        <v>Inside is:</v>
      </c>
      <c r="B9" s="425"/>
      <c r="C9" s="445" t="str">
        <f ca="1">IF($J$1&gt;0,INDEX($H$52:$H$129,RANDBETWEEN(1,78)),"")</f>
        <v>A STUBBORN MINER. They are currently On a pilgrimage</v>
      </c>
      <c r="D9" s="445"/>
      <c r="E9" s="445"/>
      <c r="F9" s="446"/>
      <c r="G9" s="407" t="str">
        <f t="shared" si="0"/>
        <v>Inside is:</v>
      </c>
      <c r="H9" s="408"/>
      <c r="I9" s="445" t="str">
        <f ca="1">IF($J$1&gt;1,INDEX($H$52:$H$129,RANDBETWEEN(1,78)),"")</f>
        <v>A MYSTIC. They are currently Stripping a dead body of valuables</v>
      </c>
      <c r="J9" s="445"/>
      <c r="K9" s="445"/>
      <c r="L9" s="446"/>
      <c r="M9" s="456" t="str">
        <f t="shared" si="1"/>
        <v>Inside is:</v>
      </c>
      <c r="N9" s="457"/>
      <c r="O9" s="445" t="str">
        <f ca="1">IF($J$1&gt;2,INDEX($H$52:$H$129,RANDBETWEEN(1,78)),"")</f>
        <v>7 OUTLAWS. They are currently Waiting for a dramatic event in the sky</v>
      </c>
      <c r="P9" s="445"/>
      <c r="Q9" s="445"/>
      <c r="R9" s="446"/>
      <c r="S9" s="36"/>
    </row>
    <row r="10" spans="1:19" ht="35.1" customHeight="1" thickBot="1">
      <c r="A10" s="463" t="s">
        <v>2414</v>
      </c>
      <c r="B10" s="464"/>
      <c r="C10" s="464"/>
      <c r="D10" s="464"/>
      <c r="E10" s="464"/>
      <c r="F10" s="465"/>
      <c r="G10" s="466" t="s">
        <v>2414</v>
      </c>
      <c r="H10" s="467"/>
      <c r="I10" s="467"/>
      <c r="J10" s="467"/>
      <c r="K10" s="467"/>
      <c r="L10" s="468"/>
      <c r="M10" s="428" t="s">
        <v>2414</v>
      </c>
      <c r="N10" s="429"/>
      <c r="O10" s="429"/>
      <c r="P10" s="429"/>
      <c r="Q10" s="429"/>
      <c r="R10" s="430"/>
      <c r="S10" s="36"/>
    </row>
    <row r="11" spans="1:19" ht="35.1" customHeight="1">
      <c r="A11" s="475" t="str">
        <f>A4</f>
        <v>You come upon:</v>
      </c>
      <c r="B11" s="476"/>
      <c r="C11" s="433" t="str">
        <f ca="1">IF($J$1&gt;3,INDEX($B$52:$B$91,RANDBETWEEN(1,40)),"")</f>
        <v>AN OLD MINING PIT.</v>
      </c>
      <c r="D11" s="433"/>
      <c r="E11" s="433"/>
      <c r="F11" s="434"/>
      <c r="G11" s="477" t="str">
        <f>A11</f>
        <v>You come upon:</v>
      </c>
      <c r="H11" s="478"/>
      <c r="I11" s="433" t="str">
        <f ca="1">IF($J$1&gt;4,INDEX($B$52:$B$91,RANDBETWEEN(1,40)),"")</f>
        <v/>
      </c>
      <c r="J11" s="433"/>
      <c r="K11" s="433"/>
      <c r="L11" s="434"/>
      <c r="M11" s="435" t="str">
        <f>G11</f>
        <v>You come upon:</v>
      </c>
      <c r="N11" s="436"/>
      <c r="O11" s="433" t="str">
        <f ca="1">IF($J$1&gt;5,INDEX($B$52:$B$91,RANDBETWEEN(1,40)),"")</f>
        <v/>
      </c>
      <c r="P11" s="433"/>
      <c r="Q11" s="433"/>
      <c r="R11" s="434"/>
      <c r="S11" s="36"/>
    </row>
    <row r="12" spans="1:19" ht="35.1" customHeight="1">
      <c r="A12" s="475" t="str">
        <f t="shared" ref="A12:A16" si="2">A5</f>
        <v>Close by is:</v>
      </c>
      <c r="B12" s="476"/>
      <c r="C12" s="447" t="str">
        <f ca="1">IF($J$1&gt;3,INDEX($C$52:$C$91,RANDBETWEEN(1,36)),"")</f>
        <v>A SWIFTLY FLOWING CREEK/RIVER.</v>
      </c>
      <c r="D12" s="447"/>
      <c r="E12" s="447"/>
      <c r="F12" s="448"/>
      <c r="G12" s="477" t="str">
        <f t="shared" ref="G12:G16" si="3">A12</f>
        <v>Close by is:</v>
      </c>
      <c r="H12" s="478"/>
      <c r="I12" s="447" t="str">
        <f ca="1">IF($J$1&gt;4,INDEX($C$52:$C$91,RANDBETWEEN(1,36)),"")</f>
        <v/>
      </c>
      <c r="J12" s="447"/>
      <c r="K12" s="447"/>
      <c r="L12" s="448"/>
      <c r="M12" s="435" t="str">
        <f t="shared" ref="M12:M16" si="4">G12</f>
        <v>Close by is:</v>
      </c>
      <c r="N12" s="436"/>
      <c r="O12" s="447" t="str">
        <f ca="1">IF($J$1&gt;5,INDEX($C$52:$C$91,RANDBETWEEN(1,36)),"")</f>
        <v/>
      </c>
      <c r="P12" s="447"/>
      <c r="Q12" s="447"/>
      <c r="R12" s="448"/>
      <c r="S12" s="36"/>
    </row>
    <row r="13" spans="1:19" ht="35.1" customHeight="1">
      <c r="A13" s="475" t="str">
        <f t="shared" si="2"/>
        <v xml:space="preserve">The air: </v>
      </c>
      <c r="B13" s="476"/>
      <c r="C13" s="447" t="str">
        <f ca="1">IF($J$1&gt;3,CONCATENATE(INDEX($D$52:$D$91,RANDBETWEEN(1,31))," and is ",INDEX($G$52:$G$63,RANDBETWEEN(1,12))),"")</f>
        <v>SMELLS LIKE SULFUR and is CLEAR.</v>
      </c>
      <c r="D13" s="447"/>
      <c r="E13" s="447"/>
      <c r="F13" s="448"/>
      <c r="G13" s="477" t="str">
        <f t="shared" si="3"/>
        <v xml:space="preserve">The air: </v>
      </c>
      <c r="H13" s="478"/>
      <c r="I13" s="447" t="str">
        <f ca="1">IF($J$1&gt;4,CONCATENATE(INDEX($D$52:$D$91,RANDBETWEEN(1,31))," and is ",INDEX($G$52:$G$63,RANDBETWEEN(1,12))),"")</f>
        <v/>
      </c>
      <c r="J13" s="447"/>
      <c r="K13" s="447"/>
      <c r="L13" s="448"/>
      <c r="M13" s="435" t="str">
        <f t="shared" si="4"/>
        <v xml:space="preserve">The air: </v>
      </c>
      <c r="N13" s="436"/>
      <c r="O13" s="447" t="str">
        <f ca="1">IF($J$1&gt;5,CONCATENATE(INDEX($D$52:$D$91,RANDBETWEEN(1,31))," and is ",INDEX($G$52:$G$63,RANDBETWEEN(1,12))),"")</f>
        <v/>
      </c>
      <c r="P13" s="447"/>
      <c r="Q13" s="447"/>
      <c r="R13" s="448"/>
      <c r="S13" s="36"/>
    </row>
    <row r="14" spans="1:19" ht="35.1" customHeight="1">
      <c r="A14" s="475" t="str">
        <f t="shared" si="2"/>
        <v>As you approach, you notice:</v>
      </c>
      <c r="B14" s="476"/>
      <c r="C14" s="447" t="str">
        <f ca="1">IF($J$1&gt;3,INDEX($E$52:$E$91,RANDBETWEEN(1,37)),"")</f>
        <v>AN EERIE SILENCE.</v>
      </c>
      <c r="D14" s="447"/>
      <c r="E14" s="447"/>
      <c r="F14" s="448"/>
      <c r="G14" s="477" t="str">
        <f t="shared" si="3"/>
        <v>As you approach, you notice:</v>
      </c>
      <c r="H14" s="478"/>
      <c r="I14" s="447" t="str">
        <f ca="1">IF($J$1&gt;4,INDEX($E$52:$E$91,RANDBETWEEN(1,37)),"")</f>
        <v/>
      </c>
      <c r="J14" s="447"/>
      <c r="K14" s="447"/>
      <c r="L14" s="448"/>
      <c r="M14" s="435" t="str">
        <f t="shared" si="4"/>
        <v>As you approach, you notice:</v>
      </c>
      <c r="N14" s="436"/>
      <c r="O14" s="447" t="str">
        <f ca="1">IF($J$1&gt;5,INDEX($E$52:$E$91,RANDBETWEEN(1,37)),"")</f>
        <v/>
      </c>
      <c r="P14" s="447"/>
      <c r="Q14" s="447"/>
      <c r="R14" s="448"/>
      <c r="S14" s="36"/>
    </row>
    <row r="15" spans="1:19" ht="38.25" customHeight="1">
      <c r="A15" s="475" t="str">
        <f t="shared" si="2"/>
        <v>The land around it is dominated by:</v>
      </c>
      <c r="B15" s="476"/>
      <c r="C15" s="447" t="str">
        <f ca="1">IF($J$1&gt;3,INDEX($F$52:$F$91,RANDBETWEEN(1,24)),"")</f>
        <v>ASH TREES.</v>
      </c>
      <c r="D15" s="447"/>
      <c r="E15" s="447"/>
      <c r="F15" s="448"/>
      <c r="G15" s="477" t="str">
        <f t="shared" si="3"/>
        <v>The land around it is dominated by:</v>
      </c>
      <c r="H15" s="478"/>
      <c r="I15" s="447" t="str">
        <f ca="1">IF($J$1&gt;4,INDEX($F$52:$F$91,RANDBETWEEN(1,24)),"")</f>
        <v/>
      </c>
      <c r="J15" s="447"/>
      <c r="K15" s="447"/>
      <c r="L15" s="448"/>
      <c r="M15" s="435" t="str">
        <f t="shared" si="4"/>
        <v>The land around it is dominated by:</v>
      </c>
      <c r="N15" s="436"/>
      <c r="O15" s="447" t="str">
        <f ca="1">IF($J$1&gt;5,INDEX($F$52:$F$91,RANDBETWEEN(1,24)),"")</f>
        <v/>
      </c>
      <c r="P15" s="447"/>
      <c r="Q15" s="447"/>
      <c r="R15" s="448"/>
      <c r="S15" s="36"/>
    </row>
    <row r="16" spans="1:19" ht="35.1" customHeight="1" thickBot="1">
      <c r="A16" s="491" t="str">
        <f t="shared" si="2"/>
        <v>Inside is:</v>
      </c>
      <c r="B16" s="492"/>
      <c r="C16" s="445" t="str">
        <f ca="1">IF($J$1&gt;3,INDEX($H$52:$H$129,RANDBETWEEN(1,78)),"")</f>
        <v>TWISTED HUMANOID BONES.</v>
      </c>
      <c r="D16" s="445"/>
      <c r="E16" s="445"/>
      <c r="F16" s="446"/>
      <c r="G16" s="493" t="str">
        <f t="shared" si="3"/>
        <v>Inside is:</v>
      </c>
      <c r="H16" s="494"/>
      <c r="I16" s="445" t="str">
        <f ca="1">IF($J$1&gt;4,INDEX($H$52:$H$129,RANDBETWEEN(1,78)),"")</f>
        <v/>
      </c>
      <c r="J16" s="445"/>
      <c r="K16" s="445"/>
      <c r="L16" s="446"/>
      <c r="M16" s="495" t="str">
        <f t="shared" si="4"/>
        <v>Inside is:</v>
      </c>
      <c r="N16" s="496"/>
      <c r="O16" s="445" t="str">
        <f ca="1">IF($J$1&gt;5,INDEX($H$52:$H$129,RANDBETWEEN(1,78)),"")</f>
        <v/>
      </c>
      <c r="P16" s="445"/>
      <c r="Q16" s="445"/>
      <c r="R16" s="446"/>
      <c r="S16" s="36"/>
    </row>
    <row r="17" spans="1:24" ht="10.5" customHeight="1" thickBot="1">
      <c r="A17" s="37"/>
      <c r="B17" s="62"/>
      <c r="C17" s="62"/>
      <c r="D17" s="62"/>
      <c r="E17" s="62"/>
      <c r="F17" s="62"/>
      <c r="G17" s="62"/>
      <c r="H17" s="62"/>
      <c r="I17" s="62"/>
      <c r="J17" s="91"/>
      <c r="K17" s="62"/>
      <c r="L17" s="62"/>
      <c r="M17" s="62"/>
      <c r="N17" s="62"/>
      <c r="O17" s="62"/>
      <c r="P17" s="62"/>
      <c r="Q17" s="62"/>
      <c r="R17" s="62"/>
      <c r="S17" s="36"/>
      <c r="T17" s="7"/>
      <c r="U17" s="7"/>
      <c r="V17" s="7"/>
      <c r="W17" s="7"/>
      <c r="X17" s="7"/>
    </row>
    <row r="18" spans="1:24" ht="35.1" customHeight="1" thickBot="1">
      <c r="A18" s="479" t="s">
        <v>6927</v>
      </c>
      <c r="B18" s="480"/>
      <c r="C18" s="480"/>
      <c r="D18" s="481"/>
      <c r="E18" s="61"/>
      <c r="F18" s="458" t="s">
        <v>3951</v>
      </c>
      <c r="G18" s="459"/>
      <c r="H18" s="459"/>
      <c r="I18" s="459"/>
      <c r="J18" s="459"/>
      <c r="K18" s="459"/>
      <c r="L18" s="459"/>
      <c r="M18" s="460"/>
      <c r="N18" s="62"/>
      <c r="O18" s="62"/>
      <c r="P18" s="62"/>
      <c r="Q18" s="62"/>
      <c r="R18" s="62"/>
      <c r="S18" s="36"/>
      <c r="T18" s="7"/>
      <c r="U18" s="7"/>
      <c r="V18" s="7"/>
      <c r="W18" s="7"/>
      <c r="X18" s="7"/>
    </row>
    <row r="19" spans="1:24" ht="39.950000000000003" customHeight="1">
      <c r="A19" s="317">
        <v>1</v>
      </c>
      <c r="B19" s="488" t="str">
        <f ca="1">INDEX('Random Shop-Career'!$B$2:$B$101,RANDBETWEEN(1,100))</f>
        <v>Spice trader</v>
      </c>
      <c r="C19" s="489"/>
      <c r="D19" s="490"/>
      <c r="E19" s="98"/>
      <c r="F19" s="411" t="str">
        <f>$Y$51</f>
        <v>You have heard of this Priest/Cleric before because:</v>
      </c>
      <c r="G19" s="412"/>
      <c r="H19" s="412"/>
      <c r="I19" s="422" t="str">
        <f ca="1">INDEX($Z$52:$Z$71,RANDBETWEEN(1,20))</f>
        <v xml:space="preserve"> Anyone who enters his tower never comes out</v>
      </c>
      <c r="J19" s="422"/>
      <c r="K19" s="422"/>
      <c r="L19" s="422"/>
      <c r="M19" s="423"/>
      <c r="N19" s="62"/>
      <c r="O19" s="62"/>
      <c r="P19" s="62"/>
      <c r="Q19" s="62"/>
      <c r="R19" s="62"/>
      <c r="S19" s="62"/>
      <c r="U19" s="7"/>
      <c r="V19" s="7"/>
      <c r="W19" s="7"/>
      <c r="X19" s="7"/>
    </row>
    <row r="20" spans="1:24" ht="39.950000000000003" customHeight="1">
      <c r="A20" s="317">
        <v>2</v>
      </c>
      <c r="B20" s="485" t="str">
        <f ca="1">INDEX('Random Shop-Career'!$B$2:$B$101,RANDBETWEEN(1,100))</f>
        <v>Exotic weapons</v>
      </c>
      <c r="C20" s="486"/>
      <c r="D20" s="487"/>
      <c r="E20" s="98"/>
      <c r="F20" s="411" t="str">
        <f>$Z$51</f>
        <v>You have heard of this sorcerer before because:</v>
      </c>
      <c r="G20" s="412"/>
      <c r="H20" s="412"/>
      <c r="I20" s="422" t="str">
        <f ca="1">INDEX($Z$52:$Z$81,RANDBETWEEN(1,20))</f>
        <v xml:space="preserve"> He's an expert in divination spells, and will cast them for anyone for a small fee.</v>
      </c>
      <c r="J20" s="422"/>
      <c r="K20" s="422"/>
      <c r="L20" s="422"/>
      <c r="M20" s="423"/>
      <c r="N20" s="62"/>
      <c r="O20" s="62"/>
      <c r="P20" s="62"/>
      <c r="Q20" s="62"/>
      <c r="R20" s="62"/>
      <c r="S20" s="62"/>
      <c r="U20" s="7"/>
      <c r="V20" s="7"/>
      <c r="W20" s="7"/>
      <c r="X20" s="7"/>
    </row>
    <row r="21" spans="1:24" ht="39.950000000000003" customHeight="1" thickBot="1">
      <c r="A21" s="318">
        <v>3</v>
      </c>
      <c r="B21" s="482" t="str">
        <f ca="1">INDEX('Random Shop-Career'!$B$2:$B$101,RANDBETWEEN(1,100))</f>
        <v>Concealable weapons</v>
      </c>
      <c r="C21" s="483"/>
      <c r="D21" s="484"/>
      <c r="E21" s="98"/>
      <c r="F21" s="411" t="str">
        <f>$AA$51</f>
        <v>You have heard of this thief/spy/assassin before because they are:</v>
      </c>
      <c r="G21" s="412"/>
      <c r="H21" s="412"/>
      <c r="I21" s="422" t="str">
        <f ca="1">INDEX($AA$52:$AA$81,RANDBETWEEN(1,20))</f>
        <v xml:space="preserve"> Works for the army as a scout.</v>
      </c>
      <c r="J21" s="422"/>
      <c r="K21" s="422"/>
      <c r="L21" s="422"/>
      <c r="M21" s="423"/>
      <c r="N21" s="62"/>
      <c r="O21" s="62"/>
      <c r="P21" s="62"/>
      <c r="Q21" s="62"/>
      <c r="R21" s="62"/>
      <c r="S21" s="62"/>
      <c r="U21" s="7"/>
      <c r="V21" s="7"/>
      <c r="W21" s="7"/>
      <c r="X21" s="7"/>
    </row>
    <row r="22" spans="1:24" ht="39.950000000000003" customHeight="1" thickBot="1">
      <c r="A22" s="96"/>
      <c r="B22" s="98"/>
      <c r="C22" s="98"/>
      <c r="D22" s="98"/>
      <c r="E22" s="98"/>
      <c r="F22" s="411" t="str">
        <f>$AB$51</f>
        <v xml:space="preserve"> You have heard of this Merchant/Smuggler/Caravaner before because</v>
      </c>
      <c r="G22" s="412"/>
      <c r="H22" s="412"/>
      <c r="I22" s="422" t="str">
        <f ca="1">INDEX($AB$52:$AB$81,RANDBETWEEN(1,20))</f>
        <v xml:space="preserve"> rumor says that it's entirely made up of doppelgangers.</v>
      </c>
      <c r="J22" s="422"/>
      <c r="K22" s="422"/>
      <c r="L22" s="422"/>
      <c r="M22" s="423"/>
      <c r="N22" s="62"/>
      <c r="O22" s="62"/>
      <c r="P22" s="62"/>
      <c r="Q22" s="62"/>
      <c r="R22" s="62"/>
      <c r="S22" s="62"/>
      <c r="U22" s="7"/>
      <c r="V22" s="7"/>
      <c r="W22" s="7"/>
      <c r="X22" s="7"/>
    </row>
    <row r="23" spans="1:24" ht="39.950000000000003" customHeight="1" thickBot="1">
      <c r="A23" s="417" t="s">
        <v>3787</v>
      </c>
      <c r="B23" s="418"/>
      <c r="C23" s="418"/>
      <c r="D23" s="419"/>
      <c r="E23" s="62"/>
      <c r="F23" s="411" t="str">
        <f>$AC$51</f>
        <v xml:space="preserve"> You have heard of this Explorer/Mapmaker/Naturalist before because:</v>
      </c>
      <c r="G23" s="412"/>
      <c r="H23" s="412"/>
      <c r="I23" s="422" t="str">
        <f ca="1">INDEX($AC$52:$AC$81,RANDBETWEEN(1,10))</f>
        <v>Is seeking to launch one last expedition to clean his name from the disgrace of his failed ventures.</v>
      </c>
      <c r="J23" s="422"/>
      <c r="K23" s="422"/>
      <c r="L23" s="422"/>
      <c r="M23" s="423"/>
      <c r="N23" s="62"/>
      <c r="O23" s="62"/>
      <c r="P23" s="62"/>
      <c r="Q23" s="62"/>
      <c r="R23" s="62"/>
      <c r="S23" s="62"/>
      <c r="U23" s="7"/>
      <c r="V23" s="7"/>
      <c r="W23" s="7"/>
      <c r="X23" s="7"/>
    </row>
    <row r="24" spans="1:24" ht="39.950000000000003" customHeight="1" thickBot="1">
      <c r="A24" s="413" t="str">
        <f>$M$93</f>
        <v>The Robbers typically strike with:</v>
      </c>
      <c r="B24" s="414"/>
      <c r="C24" s="420" t="str">
        <f ca="1">INDEX($M$94:$M$105,RANDBETWEEN(1,6))</f>
        <v>Hit-and-run tactics.</v>
      </c>
      <c r="D24" s="421"/>
      <c r="E24" s="62"/>
      <c r="F24" s="409" t="str">
        <f>$AD$51</f>
        <v>You have heard of this Mercenary Band because they are:</v>
      </c>
      <c r="G24" s="410"/>
      <c r="H24" s="410"/>
      <c r="I24" s="415" t="str">
        <f ca="1">INDEX($AD$52:$AD$81,RANDBETWEEN(1,30))</f>
        <v>Stalwart, they are known for having stood their ground during a dangerous battle</v>
      </c>
      <c r="J24" s="415"/>
      <c r="K24" s="415"/>
      <c r="L24" s="415"/>
      <c r="M24" s="416"/>
      <c r="N24" s="62"/>
      <c r="O24" s="62"/>
      <c r="P24" s="62"/>
      <c r="Q24" s="62"/>
      <c r="R24" s="62"/>
      <c r="S24" s="62"/>
      <c r="U24" s="7"/>
      <c r="V24" s="7"/>
      <c r="W24" s="7"/>
      <c r="X24" s="7"/>
    </row>
    <row r="25" spans="1:24" ht="39.950000000000003" customHeight="1" thickBot="1">
      <c r="A25" s="409" t="str">
        <f>$N$93</f>
        <v>They are notorious for:</v>
      </c>
      <c r="B25" s="410"/>
      <c r="C25" s="415" t="str">
        <f ca="1">INDEX($N$94:$N$104,RANDBETWEEN(1,8))</f>
        <v>Singing bawdy songs.</v>
      </c>
      <c r="D25" s="416"/>
      <c r="E25" s="62"/>
      <c r="F25" s="452" t="str">
        <f>$Y$51</f>
        <v>You have heard of this Priest/Cleric before because:</v>
      </c>
      <c r="G25" s="453"/>
      <c r="H25" s="453"/>
      <c r="I25" s="422" t="str">
        <f ca="1">INDEX($Z$52:$Z$71,RANDBETWEEN(1,20))</f>
        <v>A dragon came to visit him last autumn.</v>
      </c>
      <c r="J25" s="422"/>
      <c r="K25" s="422"/>
      <c r="L25" s="422"/>
      <c r="M25" s="423"/>
      <c r="N25" s="62"/>
      <c r="O25" s="62"/>
      <c r="P25" s="62"/>
      <c r="Q25" s="62"/>
      <c r="R25" s="62"/>
      <c r="S25" s="62"/>
      <c r="U25" s="7"/>
      <c r="V25" s="7"/>
      <c r="W25" s="7"/>
      <c r="X25" s="7"/>
    </row>
    <row r="26" spans="1:24" ht="39.950000000000003" customHeight="1" thickBot="1">
      <c r="A26" s="37"/>
      <c r="B26" s="62"/>
      <c r="C26" s="62"/>
      <c r="D26" s="62"/>
      <c r="E26" s="62"/>
      <c r="F26" s="452" t="str">
        <f>$Z$51</f>
        <v>You have heard of this sorcerer before because:</v>
      </c>
      <c r="G26" s="453"/>
      <c r="H26" s="453"/>
      <c r="I26" s="422" t="str">
        <f ca="1">INDEX($Z$52:$Z$81,RANDBETWEEN(1,20))</f>
        <v xml:space="preserve"> It's rumored that he curses people without them realizing it.</v>
      </c>
      <c r="J26" s="422"/>
      <c r="K26" s="422"/>
      <c r="L26" s="422"/>
      <c r="M26" s="423"/>
      <c r="N26" s="62"/>
      <c r="O26" s="62"/>
      <c r="P26" s="62"/>
      <c r="Q26" s="62"/>
      <c r="R26" s="62"/>
      <c r="S26" s="62"/>
      <c r="U26" s="7"/>
      <c r="V26" s="7"/>
      <c r="W26" s="7"/>
      <c r="X26" s="7"/>
    </row>
    <row r="27" spans="1:24" ht="39.950000000000003" customHeight="1" thickBot="1">
      <c r="A27" s="417" t="s">
        <v>3804</v>
      </c>
      <c r="B27" s="418"/>
      <c r="C27" s="418"/>
      <c r="D27" s="419"/>
      <c r="E27" s="62"/>
      <c r="F27" s="452" t="str">
        <f>$AA$51</f>
        <v>You have heard of this thief/spy/assassin before because they are:</v>
      </c>
      <c r="G27" s="453"/>
      <c r="H27" s="453"/>
      <c r="I27" s="422" t="str">
        <f ca="1">INDEX($AA$52:$AA$81,RANDBETWEEN(1,20))</f>
        <v xml:space="preserve"> Buried a great treasure then killed himself for reasons unknown.</v>
      </c>
      <c r="J27" s="422"/>
      <c r="K27" s="422"/>
      <c r="L27" s="422"/>
      <c r="M27" s="423"/>
      <c r="N27" s="62"/>
      <c r="O27" s="62"/>
      <c r="P27" s="62"/>
      <c r="Q27" s="62"/>
      <c r="R27" s="62"/>
      <c r="S27" s="62"/>
      <c r="U27" s="7"/>
      <c r="V27" s="7"/>
      <c r="W27" s="7"/>
      <c r="X27" s="7"/>
    </row>
    <row r="28" spans="1:24" ht="39.950000000000003" customHeight="1">
      <c r="A28" s="413" t="str">
        <f>$M$104</f>
        <v>The Smugglers primary transport methods are:</v>
      </c>
      <c r="B28" s="414"/>
      <c r="C28" s="420" t="str">
        <f ca="1">INDEX($M$105:$M$116,RANDBETWEEN(1,6))</f>
        <v>Secret compartments.</v>
      </c>
      <c r="D28" s="421"/>
      <c r="E28" s="62"/>
      <c r="F28" s="452" t="str">
        <f>$AB$51</f>
        <v xml:space="preserve"> You have heard of this Merchant/Smuggler/Caravaner before because</v>
      </c>
      <c r="G28" s="453"/>
      <c r="H28" s="453"/>
      <c r="I28" s="422" t="str">
        <f ca="1">INDEX($AB$52:$AB$81,RANDBETWEEN(1,20))</f>
        <v>they gouge outrageous prices if their customers have no alternatives.</v>
      </c>
      <c r="J28" s="422"/>
      <c r="K28" s="422"/>
      <c r="L28" s="422"/>
      <c r="M28" s="423"/>
      <c r="N28" s="62"/>
      <c r="O28" s="62"/>
      <c r="P28" s="62"/>
      <c r="Q28" s="62"/>
      <c r="R28" s="62"/>
      <c r="S28" s="62"/>
      <c r="U28" s="7"/>
      <c r="V28" s="7"/>
      <c r="W28" s="7"/>
      <c r="X28" s="7"/>
    </row>
    <row r="29" spans="1:24" ht="39.950000000000003" customHeight="1" thickBot="1">
      <c r="A29" s="409" t="str">
        <f>$N$104</f>
        <v>The ring is supported by:</v>
      </c>
      <c r="B29" s="410"/>
      <c r="C29" s="415" t="str">
        <f ca="1">INDEX($N$105:$N$115,RANDBETWEEN(1,8))</f>
        <v>The captain of the guard or a local sheriff.</v>
      </c>
      <c r="D29" s="416"/>
      <c r="E29" s="62"/>
      <c r="F29" s="452" t="str">
        <f>$AC$51</f>
        <v xml:space="preserve"> You have heard of this Explorer/Mapmaker/Naturalist before because:</v>
      </c>
      <c r="G29" s="453"/>
      <c r="H29" s="453"/>
      <c r="I29" s="422" t="str">
        <f ca="1">INDEX($AC$52:$AC$81,RANDBETWEEN(1,10))</f>
        <v>He and several other adventurers participated in a race to be the first to get to one of the most inhospitable places on the continent. He was the only one to come back alive.</v>
      </c>
      <c r="J29" s="422"/>
      <c r="K29" s="422"/>
      <c r="L29" s="422"/>
      <c r="M29" s="423"/>
      <c r="N29" s="62"/>
      <c r="O29" s="62"/>
      <c r="P29" s="62"/>
      <c r="Q29" s="62"/>
      <c r="R29" s="62"/>
      <c r="S29" s="62"/>
      <c r="U29" s="7"/>
      <c r="V29" s="7"/>
      <c r="W29" s="7"/>
      <c r="X29" s="7"/>
    </row>
    <row r="30" spans="1:24" ht="39.950000000000003" customHeight="1" thickBot="1">
      <c r="A30" s="37"/>
      <c r="B30" s="62"/>
      <c r="C30" s="62"/>
      <c r="D30" s="62"/>
      <c r="E30" s="62"/>
      <c r="F30" s="454" t="str">
        <f>$AD$51</f>
        <v>You have heard of this Mercenary Band because they are:</v>
      </c>
      <c r="G30" s="455"/>
      <c r="H30" s="455"/>
      <c r="I30" s="415" t="str">
        <f ca="1">INDEX($AD$52:$AD$81,RANDBETWEEN(1,30))</f>
        <v xml:space="preserve"> Enigmatic, they are known as a professional but the exact nature of their missions is unknown</v>
      </c>
      <c r="J30" s="415"/>
      <c r="K30" s="415"/>
      <c r="L30" s="415"/>
      <c r="M30" s="416"/>
      <c r="N30" s="62"/>
      <c r="O30" s="62"/>
      <c r="P30" s="62"/>
      <c r="Q30" s="62"/>
      <c r="R30" s="62"/>
      <c r="S30" s="62"/>
      <c r="U30" s="7"/>
      <c r="V30" s="7"/>
      <c r="W30" s="7"/>
      <c r="X30" s="7"/>
    </row>
    <row r="31" spans="1:24" ht="12" customHeight="1" thickBot="1">
      <c r="A31" s="37"/>
      <c r="B31" s="62"/>
      <c r="C31" s="98"/>
      <c r="D31" s="62"/>
      <c r="E31" s="62"/>
      <c r="F31" s="62"/>
      <c r="G31" s="62"/>
      <c r="H31" s="20"/>
      <c r="I31" s="62"/>
      <c r="J31" s="91"/>
      <c r="K31" s="62"/>
      <c r="L31" s="62"/>
      <c r="M31" s="62"/>
      <c r="N31" s="62"/>
      <c r="O31" s="62"/>
      <c r="P31" s="62"/>
      <c r="Q31" s="62"/>
      <c r="R31" s="62"/>
      <c r="S31" s="36"/>
      <c r="T31" s="7"/>
      <c r="U31" s="7"/>
      <c r="V31" s="7"/>
      <c r="W31" s="7"/>
      <c r="X31" s="7"/>
    </row>
    <row r="32" spans="1:24" ht="39.950000000000003" customHeight="1" thickBot="1">
      <c r="A32" s="443" t="s">
        <v>3677</v>
      </c>
      <c r="B32" s="444"/>
      <c r="C32" s="98"/>
      <c r="D32" s="417" t="s">
        <v>3772</v>
      </c>
      <c r="E32" s="418"/>
      <c r="F32" s="418"/>
      <c r="G32" s="419"/>
      <c r="H32" s="20"/>
      <c r="I32" s="449" t="s">
        <v>2437</v>
      </c>
      <c r="J32" s="450"/>
      <c r="K32" s="450"/>
      <c r="L32" s="450"/>
      <c r="M32" s="450"/>
      <c r="N32" s="450"/>
      <c r="O32" s="450"/>
      <c r="P32" s="450"/>
      <c r="Q32" s="451"/>
      <c r="R32" s="88"/>
      <c r="S32" s="36"/>
      <c r="T32" s="7"/>
      <c r="U32" s="7"/>
      <c r="V32" s="7"/>
      <c r="W32" s="7"/>
      <c r="X32" s="7"/>
    </row>
    <row r="33" spans="1:24" ht="35.1" customHeight="1">
      <c r="A33" s="174" t="str">
        <f>M51</f>
        <v>The Mercenary Colors are:</v>
      </c>
      <c r="B33" s="172" t="str">
        <f ca="1">INDEX($M$52:$M$71,RANDBETWEEN(1,12))</f>
        <v>Forest green.</v>
      </c>
      <c r="C33" s="98"/>
      <c r="D33" s="413" t="str">
        <f>$M$73</f>
        <v>The bands primary business is:</v>
      </c>
      <c r="E33" s="414"/>
      <c r="F33" s="420" t="str">
        <f ca="1">INDEX($M$74:$M$85,RANDBETWEEN(1,10))</f>
        <v>Serving as muscle for shady merchants and/or brothel-keepers.</v>
      </c>
      <c r="G33" s="421"/>
      <c r="H33" s="20"/>
      <c r="I33" s="437">
        <v>1</v>
      </c>
      <c r="J33" s="93" t="s">
        <v>2416</v>
      </c>
      <c r="K33" s="426" t="str">
        <f ca="1">CONCATENATE(INDEX('NPC''s'!$I$106:$I$115,RANDBETWEEN(1,10))," in stature, with a ",INDEX('NPC''s'!$J$106:$J$125,RANDBETWEEN(1,20))," body, and ",INDEX('NPC''s'!$K$106:$K$111,RANDBETWEEN(1,6)))</f>
        <v>UNUSUALLY SHORT in stature, with a WELL-MUSCLED body, and A LIGHT TOUCH.</v>
      </c>
      <c r="L33" s="426"/>
      <c r="M33" s="426"/>
      <c r="N33" s="426"/>
      <c r="O33" s="426"/>
      <c r="P33" s="426"/>
      <c r="Q33" s="427"/>
      <c r="R33" s="88"/>
      <c r="S33" s="36"/>
      <c r="T33" s="7"/>
      <c r="U33" s="7"/>
      <c r="V33" s="7"/>
      <c r="W33" s="7"/>
      <c r="X33" s="7"/>
    </row>
    <row r="34" spans="1:24" ht="35.1" customHeight="1">
      <c r="A34" s="174" t="str">
        <f>N51</f>
        <v>Their banner features:</v>
      </c>
      <c r="B34" s="172" t="str">
        <f ca="1">INDEX($N$52:$N$71,RANDBETWEEN(1,20))</f>
        <v>A vulture.</v>
      </c>
      <c r="C34" s="98"/>
      <c r="D34" s="411" t="str">
        <f>$N$73</f>
        <v>Their colors are:</v>
      </c>
      <c r="E34" s="412"/>
      <c r="F34" s="422" t="str">
        <f ca="1">INDEX($N$74:$N$85,RANDBETWEEN(1,10))</f>
        <v xml:space="preserve"> Olive green.</v>
      </c>
      <c r="G34" s="423"/>
      <c r="H34" s="20"/>
      <c r="I34" s="438"/>
      <c r="J34" s="94" t="s">
        <v>2415</v>
      </c>
      <c r="K34" s="422" t="str">
        <f ca="1">CONCATENATE(INDEX('NPC''s'!$B$106:$B$125,RANDBETWEEN(1,20)),", ",INDEX('NPC''s'!$C$106:$C$117,RANDBETWEEN(1,12)),", and ",INDEX('NPC''s'!$D$106:$D$115,RANDBETWEEN(1,10)),". They have ",INDEX('NPC''s'!$H$106:$H$113,RANDBETWEEN(1,8)),", ",INDEX('NPC''s'!$E$106:$E$117,RANDBETWEEN(1,12)),", ",INDEX('NPC''s'!$F$106:$F$113,RANDBETWEEN(1,8)),", and ",INDEX('NPC''s'!$G$106:$G$125,RANDBETWEEN(1,20)))</f>
        <v>CLOSE-SET EYES, CAULIFLOWER EARS, and ONE+ FALSE TEETH. They have FRECKLES, A LONG NOSE, AN UNDERBITE, and OILY HAIR</v>
      </c>
      <c r="L34" s="422"/>
      <c r="M34" s="422"/>
      <c r="N34" s="422"/>
      <c r="O34" s="422"/>
      <c r="P34" s="422"/>
      <c r="Q34" s="423"/>
      <c r="R34" s="36"/>
      <c r="S34" s="36"/>
      <c r="T34" s="7"/>
      <c r="U34" s="7"/>
      <c r="V34" s="7"/>
      <c r="W34" s="7"/>
      <c r="X34" s="7"/>
    </row>
    <row r="35" spans="1:24" ht="35.1" customHeight="1">
      <c r="A35" s="174" t="str">
        <f>O51</f>
        <v>Their commander is:</v>
      </c>
      <c r="B35" s="172" t="str">
        <f ca="1">INDEX($O$52:$O$71,RANDBETWEEN(1,10))</f>
        <v>An outcast from a prominent family.</v>
      </c>
      <c r="C35" s="98"/>
      <c r="D35" s="411" t="str">
        <f>$O$73</f>
        <v>Their symbol is:</v>
      </c>
      <c r="E35" s="412"/>
      <c r="F35" s="422" t="str">
        <f ca="1">INDEX($O$74:$O$85,RANDBETWEEN(1,12))</f>
        <v>A goblet.</v>
      </c>
      <c r="G35" s="423"/>
      <c r="H35" s="36"/>
      <c r="I35" s="438"/>
      <c r="J35" s="94" t="s">
        <v>2417</v>
      </c>
      <c r="K35" s="422" t="str">
        <f ca="1">CONCATENATE(INDEX('NPC''s'!$M$106:$M$117,RANDBETWEEN(1,12)),", made of ",INDEX('NPC''s'!$N$106:$N$115,RANDBETWEEN(1,10)))</f>
        <v>A BRACELET, made of COPPER</v>
      </c>
      <c r="L35" s="422"/>
      <c r="M35" s="422"/>
      <c r="N35" s="422"/>
      <c r="O35" s="422"/>
      <c r="P35" s="422"/>
      <c r="Q35" s="423"/>
      <c r="R35" s="36"/>
      <c r="S35" s="36"/>
      <c r="T35" s="7"/>
      <c r="U35" s="7"/>
      <c r="V35" s="7"/>
      <c r="W35" s="7"/>
      <c r="X35" s="7"/>
    </row>
    <row r="36" spans="1:24" ht="35.1" customHeight="1">
      <c r="A36" s="174" t="str">
        <f>P51</f>
        <v>The troops attitude towards their commander is:</v>
      </c>
      <c r="B36" s="172" t="str">
        <f ca="1">INDEX($P$52:$P$71,RANDBETWEEN(1,6))</f>
        <v xml:space="preserve"> Cautious and uncertain.</v>
      </c>
      <c r="C36" s="98"/>
      <c r="D36" s="411" t="str">
        <f>$P$73</f>
        <v>The band's leader is:</v>
      </c>
      <c r="E36" s="412"/>
      <c r="F36" s="422" t="str">
        <f ca="1">INDEX($P$74:$P$85,RANDBETWEEN(1,12))</f>
        <v xml:space="preserve"> A brutish thug.</v>
      </c>
      <c r="G36" s="423"/>
      <c r="H36" s="62"/>
      <c r="I36" s="438"/>
      <c r="J36" s="94" t="s">
        <v>2418</v>
      </c>
      <c r="K36" s="422" t="str">
        <f ca="1">CONCATENATE(INDEX('NPC''s'!$O$106:$O$113,RANDBETWEEN(1,8)))</f>
        <v>FADED AND PATCHED</v>
      </c>
      <c r="L36" s="422"/>
      <c r="M36" s="422"/>
      <c r="N36" s="422"/>
      <c r="O36" s="422"/>
      <c r="P36" s="422"/>
      <c r="Q36" s="423"/>
      <c r="R36" s="36"/>
      <c r="S36" s="36"/>
      <c r="T36" s="7"/>
      <c r="U36" s="7"/>
      <c r="V36" s="7"/>
      <c r="W36" s="7"/>
      <c r="X36" s="7"/>
    </row>
    <row r="37" spans="1:24" ht="35.1" customHeight="1">
      <c r="A37" s="175" t="str">
        <f>Q51</f>
        <v>They are currently:</v>
      </c>
      <c r="B37" s="172" t="str">
        <f ca="1">INDEX($Q$52:$Q$71,RANDBETWEEN(1,6))</f>
        <v xml:space="preserve"> Looking for work.</v>
      </c>
      <c r="C37" s="98"/>
      <c r="D37" s="411" t="str">
        <f>$Q$73</f>
        <v>The band's members are primarily:</v>
      </c>
      <c r="E37" s="412"/>
      <c r="F37" s="422" t="str">
        <f ca="1">INDEX($Q$74:$Q$85,RANDBETWEEN(1,6))</f>
        <v>Foreign refugees.</v>
      </c>
      <c r="G37" s="423"/>
      <c r="H37" s="62"/>
      <c r="I37" s="438"/>
      <c r="J37" s="94" t="s">
        <v>2435</v>
      </c>
      <c r="K37" s="422" t="str">
        <f ca="1">CONCATENATE(INDEX('NPC''s'!$S$106:$S$113,RANDBETWEEN(1,8)))</f>
        <v>FANATICAL TRUE BELIEVER</v>
      </c>
      <c r="L37" s="422"/>
      <c r="M37" s="422"/>
      <c r="N37" s="422"/>
      <c r="O37" s="422"/>
      <c r="P37" s="422"/>
      <c r="Q37" s="423"/>
      <c r="R37" s="36"/>
      <c r="S37" s="36"/>
      <c r="T37" s="7"/>
      <c r="U37" s="7"/>
      <c r="V37" s="7"/>
      <c r="W37" s="7"/>
      <c r="X37" s="7"/>
    </row>
    <row r="38" spans="1:24" ht="35.1" customHeight="1">
      <c r="A38" s="175" t="str">
        <f>R51</f>
        <v>They specialize in:</v>
      </c>
      <c r="B38" s="172" t="str">
        <f ca="1">INDEX($R$52:$R$71,RANDBETWEEN(1,10))</f>
        <v>Guerilla tactics.</v>
      </c>
      <c r="C38" s="98"/>
      <c r="D38" s="411" t="str">
        <f>$R$73</f>
        <v xml:space="preserve">Their goals include: </v>
      </c>
      <c r="E38" s="412"/>
      <c r="F38" s="422" t="str">
        <f ca="1">INDEX($R$74:$R$85,RANDBETWEEN(1,8))</f>
        <v>Domination of the region’s trade.</v>
      </c>
      <c r="G38" s="423"/>
      <c r="H38" s="62"/>
      <c r="I38" s="438"/>
      <c r="J38" s="94" t="s">
        <v>2420</v>
      </c>
      <c r="K38" s="422" t="str">
        <f ca="1">CONCATENATE(INDEX('NPC''s'!$T$106:$T$111,RANDBETWEEN(1,6)))</f>
        <v>BEGGARS</v>
      </c>
      <c r="L38" s="422"/>
      <c r="M38" s="422"/>
      <c r="N38" s="422"/>
      <c r="O38" s="422"/>
      <c r="P38" s="422"/>
      <c r="Q38" s="423"/>
      <c r="R38" s="36"/>
      <c r="S38" s="36"/>
      <c r="T38" s="7"/>
      <c r="U38" s="7"/>
      <c r="V38" s="7"/>
      <c r="W38" s="7"/>
      <c r="X38" s="7"/>
    </row>
    <row r="39" spans="1:24" ht="35.1" customHeight="1" thickBot="1">
      <c r="A39" s="175" t="str">
        <f>S51</f>
        <v>They are notorious for:</v>
      </c>
      <c r="B39" s="172" t="str">
        <f ca="1">INDEX($S$52:$S$71,RANDBETWEEN(1,8))</f>
        <v xml:space="preserve"> Leaving the dead to be eaten by beasts.</v>
      </c>
      <c r="C39" s="98"/>
      <c r="D39" s="411" t="str">
        <f>$S$73</f>
        <v>They weild:</v>
      </c>
      <c r="E39" s="412"/>
      <c r="F39" s="422" t="str">
        <f ca="1">INDEX($S$74:$S$85,RANDBETWEEN(1,10))</f>
        <v>Sticks and stones.</v>
      </c>
      <c r="G39" s="423"/>
      <c r="H39" s="62"/>
      <c r="I39" s="439"/>
      <c r="J39" s="95" t="s">
        <v>2419</v>
      </c>
      <c r="K39" s="415" t="str">
        <f ca="1">CONCATENATE("Their current mood is ",INDEX('NPC''s'!$R$106:$R$125,RANDBETWEEN(1,20)),". When calm, they are ",INDEX('NPC''s'!$P$106:$P$137,RANDBETWEEN(1,32)),", and when stressed they are ",INDEX('NPC''s'!$Q$106:$Q$137,RANDBETWEEN(1,32)))</f>
        <v>Their current mood is CURIOUS. When calm, they are FOOLISH, and when stressed they are COURAGEOUS</v>
      </c>
      <c r="L39" s="415"/>
      <c r="M39" s="415"/>
      <c r="N39" s="415"/>
      <c r="O39" s="415"/>
      <c r="P39" s="415"/>
      <c r="Q39" s="416"/>
      <c r="R39" s="36"/>
      <c r="S39" s="36"/>
      <c r="T39" s="7"/>
      <c r="U39" s="7"/>
      <c r="V39" s="7"/>
      <c r="W39" s="7"/>
      <c r="X39" s="7"/>
    </row>
    <row r="40" spans="1:24" ht="35.1" customHeight="1" thickBot="1">
      <c r="A40" s="175" t="str">
        <f>T51</f>
        <v>They fight with:</v>
      </c>
      <c r="B40" s="172" t="str">
        <f ca="1">INDEX($T$52:$T$71,RANDBETWEEN(1,8))</f>
        <v>Dirty tactics.</v>
      </c>
      <c r="C40" s="98"/>
      <c r="D40" s="411" t="str">
        <f>$T$73</f>
        <v>They are based out of:</v>
      </c>
      <c r="E40" s="412"/>
      <c r="F40" s="422" t="str">
        <f ca="1">INDEX($T$74:$T$85,RANDBETWEEN(1,10))</f>
        <v>A tavern.</v>
      </c>
      <c r="G40" s="423"/>
      <c r="H40" s="62"/>
      <c r="I40" s="62"/>
      <c r="J40" s="91"/>
      <c r="K40" s="62"/>
      <c r="L40" s="62"/>
      <c r="M40" s="62"/>
      <c r="N40" s="62"/>
      <c r="O40" s="62"/>
      <c r="P40" s="62"/>
      <c r="Q40" s="62"/>
      <c r="R40" s="36"/>
      <c r="S40" s="36"/>
      <c r="T40" s="7"/>
      <c r="U40" s="7"/>
      <c r="V40" s="7"/>
      <c r="W40" s="7"/>
      <c r="X40" s="7"/>
    </row>
    <row r="41" spans="1:24" ht="35.1" customHeight="1">
      <c r="A41" s="175" t="str">
        <f>U51</f>
        <v>They wear:</v>
      </c>
      <c r="B41" s="172" t="str">
        <f ca="1">INDEX($U$52:$U$71,RANDBETWEEN(1,8))</f>
        <v>Scale armor.</v>
      </c>
      <c r="C41" s="98"/>
      <c r="D41" s="411" t="str">
        <f>$U$73</f>
        <v>They are feared/respected by:</v>
      </c>
      <c r="E41" s="412"/>
      <c r="F41" s="422" t="str">
        <f ca="1">INDEX($U$74:$U$85,RANDBETWEEN(1,10))</f>
        <v>Soldiers and warriors.</v>
      </c>
      <c r="G41" s="423"/>
      <c r="H41" s="62"/>
      <c r="I41" s="440">
        <v>2</v>
      </c>
      <c r="J41" s="93" t="s">
        <v>2416</v>
      </c>
      <c r="K41" s="426" t="str">
        <f ca="1">CONCATENATE(INDEX('NPC''s'!$I$106:$I$115,RANDBETWEEN(1,10))," in stature, with a ",INDEX('NPC''s'!$J$106:$J$125,RANDBETWEEN(1,20))," body, and ",INDEX('NPC''s'!$K$106:$K$111,RANDBETWEEN(1,6)))</f>
        <v>SHORT in stature, with a THIN AND PETITE body, and A HEAVY TOUCH.</v>
      </c>
      <c r="L41" s="426"/>
      <c r="M41" s="426"/>
      <c r="N41" s="426"/>
      <c r="O41" s="426"/>
      <c r="P41" s="426"/>
      <c r="Q41" s="427"/>
      <c r="R41" s="36"/>
      <c r="S41" s="36"/>
      <c r="T41" s="7"/>
      <c r="U41" s="7"/>
      <c r="V41" s="7"/>
      <c r="W41" s="7"/>
      <c r="X41" s="7"/>
    </row>
    <row r="42" spans="1:24" ht="35.1" customHeight="1" thickBot="1">
      <c r="A42" s="176" t="str">
        <f>V51</f>
        <v>They weild:</v>
      </c>
      <c r="B42" s="173" t="str">
        <f ca="1">INDEX($V$52:$V$71,RANDBETWEEN(1,10))</f>
        <v>Battleaxes.</v>
      </c>
      <c r="C42" s="62"/>
      <c r="D42" s="409" t="str">
        <f>$V$73</f>
        <v>All members have:</v>
      </c>
      <c r="E42" s="410"/>
      <c r="F42" s="415" t="str">
        <f ca="1">INDEX($V$74:$V$85,RANDBETWEEN(1,12))</f>
        <v>Shiny leather boots.</v>
      </c>
      <c r="G42" s="416"/>
      <c r="H42" s="36"/>
      <c r="I42" s="441"/>
      <c r="J42" s="94" t="s">
        <v>2415</v>
      </c>
      <c r="K42" s="422" t="str">
        <f ca="1">CONCATENATE(INDEX('NPC''s'!$B$106:$B$125,RANDBETWEEN(1,20)),", ",INDEX('NPC''s'!$C$106:$C$117,RANDBETWEEN(1,12)),", and ",INDEX('NPC''s'!$D$106:$D$115,RANDBETWEEN(1,10)),". They have ",INDEX('NPC''s'!$H$106:$H$113,RANDBETWEEN(1,8)),", ",INDEX('NPC''s'!$E$106:$E$117,RANDBETWEEN(1,12)),", ",INDEX('NPC''s'!$F$106:$F$113,RANDBETWEEN(1,8)),", and ",INDEX('NPC''s'!$G$106:$G$125,RANDBETWEEN(1,20)))</f>
        <v>WATCHFUL EYES, JUG-HANDLE EARS, and THIN LIPS. They have TIGHT, DRAWN CHEEKS, A NARROW NOSE, A DIMPLE ON THE CHIN, and POOFY HAIR</v>
      </c>
      <c r="L42" s="422"/>
      <c r="M42" s="422"/>
      <c r="N42" s="422"/>
      <c r="O42" s="422"/>
      <c r="P42" s="422"/>
      <c r="Q42" s="423"/>
      <c r="R42" s="36"/>
      <c r="S42" s="36"/>
      <c r="T42" s="7"/>
      <c r="U42" s="7"/>
      <c r="V42" s="7"/>
      <c r="W42" s="7"/>
      <c r="X42" s="7"/>
    </row>
    <row r="43" spans="1:24" ht="35.1" customHeight="1">
      <c r="A43" s="37"/>
      <c r="B43" s="62"/>
      <c r="C43" s="62"/>
      <c r="D43" s="62"/>
      <c r="E43" s="62"/>
      <c r="F43" s="62"/>
      <c r="G43" s="62"/>
      <c r="H43" s="36"/>
      <c r="I43" s="441"/>
      <c r="J43" s="94" t="s">
        <v>2417</v>
      </c>
      <c r="K43" s="422" t="str">
        <f ca="1">CONCATENATE(INDEX('NPC''s'!$M$106:$M$117,RANDBETWEEN(1,12)),", made of ",INDEX('NPC''s'!$N$106:$N$115,RANDBETWEEN(1,10)))</f>
        <v>AN ORNATE BELT, made of WOOD</v>
      </c>
      <c r="L43" s="422"/>
      <c r="M43" s="422"/>
      <c r="N43" s="422"/>
      <c r="O43" s="422"/>
      <c r="P43" s="422"/>
      <c r="Q43" s="423"/>
      <c r="R43" s="36"/>
      <c r="S43" s="36"/>
      <c r="T43" s="7"/>
      <c r="U43" s="7"/>
      <c r="V43" s="7"/>
      <c r="W43" s="7"/>
      <c r="X43" s="7"/>
    </row>
    <row r="44" spans="1:24" ht="35.1" customHeight="1">
      <c r="A44" s="37"/>
      <c r="B44" s="62"/>
      <c r="C44" s="62"/>
      <c r="D44" s="62"/>
      <c r="E44" s="62"/>
      <c r="F44" s="62"/>
      <c r="G44" s="62"/>
      <c r="H44" s="36"/>
      <c r="I44" s="441"/>
      <c r="J44" s="94" t="s">
        <v>2418</v>
      </c>
      <c r="K44" s="422" t="str">
        <f ca="1">CONCATENATE(INDEX('NPC''s'!$O$106:$O$113,RANDBETWEEN(1,8)))</f>
        <v>FADED AND PATCHED</v>
      </c>
      <c r="L44" s="422"/>
      <c r="M44" s="422"/>
      <c r="N44" s="422"/>
      <c r="O44" s="422"/>
      <c r="P44" s="422"/>
      <c r="Q44" s="423"/>
      <c r="R44" s="36"/>
      <c r="S44" s="36"/>
      <c r="T44" s="7"/>
      <c r="U44" s="7"/>
      <c r="V44" s="7"/>
      <c r="W44" s="7"/>
      <c r="X44" s="7"/>
    </row>
    <row r="45" spans="1:24" ht="35.1" customHeight="1">
      <c r="A45" s="37"/>
      <c r="B45" s="62"/>
      <c r="C45" s="62"/>
      <c r="D45" s="62"/>
      <c r="E45" s="62"/>
      <c r="F45" s="62"/>
      <c r="G45" s="62"/>
      <c r="H45" s="36"/>
      <c r="I45" s="441"/>
      <c r="J45" s="94" t="s">
        <v>2435</v>
      </c>
      <c r="K45" s="422" t="str">
        <f ca="1">CONCATENATE(INDEX('NPC''s'!$S$106:$S$113,RANDBETWEEN(1,8)))</f>
        <v>FANATICAL TRUE BELIEVER</v>
      </c>
      <c r="L45" s="422"/>
      <c r="M45" s="422"/>
      <c r="N45" s="422"/>
      <c r="O45" s="422"/>
      <c r="P45" s="422"/>
      <c r="Q45" s="423"/>
      <c r="R45" s="36"/>
      <c r="S45" s="36"/>
      <c r="T45" s="7"/>
      <c r="U45" s="7"/>
      <c r="V45" s="7"/>
      <c r="W45" s="7"/>
      <c r="X45" s="7"/>
    </row>
    <row r="46" spans="1:24" ht="35.1" customHeight="1">
      <c r="A46" s="85"/>
      <c r="B46" s="98"/>
      <c r="C46" s="98"/>
      <c r="D46" s="98"/>
      <c r="E46" s="98"/>
      <c r="F46" s="98"/>
      <c r="G46" s="98"/>
      <c r="H46" s="36"/>
      <c r="I46" s="441"/>
      <c r="J46" s="94" t="s">
        <v>2420</v>
      </c>
      <c r="K46" s="422" t="str">
        <f ca="1">CONCATENATE(INDEX('NPC''s'!$T$106:$T111,RANDBETWEEN(1,6)))</f>
        <v>HALFLINGS</v>
      </c>
      <c r="L46" s="422"/>
      <c r="M46" s="422"/>
      <c r="N46" s="422"/>
      <c r="O46" s="422"/>
      <c r="P46" s="422"/>
      <c r="Q46" s="423"/>
      <c r="R46" s="36"/>
      <c r="S46" s="36"/>
      <c r="T46" s="7"/>
      <c r="U46" s="7"/>
      <c r="V46" s="7"/>
      <c r="W46" s="7"/>
      <c r="X46" s="7"/>
    </row>
    <row r="47" spans="1:24" ht="35.1" customHeight="1" thickBot="1">
      <c r="A47" s="85"/>
      <c r="B47" s="98"/>
      <c r="C47" s="98"/>
      <c r="D47" s="98"/>
      <c r="E47" s="98"/>
      <c r="F47" s="98"/>
      <c r="G47" s="98"/>
      <c r="H47" s="36"/>
      <c r="I47" s="442"/>
      <c r="J47" s="95" t="s">
        <v>2419</v>
      </c>
      <c r="K47" s="415" t="str">
        <f ca="1">CONCATENATE("Their current mood is ",INDEX('NPC''s'!$R$106:$R$125,RANDBETWEEN(1,20)),". When calm, they are ",INDEX('NPC''s'!$P$106:$P$137,RANDBETWEEN(1,32)),", and when stressed they are ",INDEX('NPC''s'!$Q$106:$Q$137,RANDBETWEEN(1,32)))</f>
        <v>Their current mood is FRIENDLY. When calm, they are RESERVED, and when stressed they are SECRETIVE</v>
      </c>
      <c r="L47" s="415"/>
      <c r="M47" s="415"/>
      <c r="N47" s="415"/>
      <c r="O47" s="415"/>
      <c r="P47" s="415"/>
      <c r="Q47" s="416"/>
      <c r="R47" s="36"/>
      <c r="S47" s="36"/>
      <c r="T47" s="7"/>
      <c r="U47" s="7"/>
      <c r="V47" s="7"/>
      <c r="W47" s="7"/>
      <c r="X47" s="7"/>
    </row>
    <row r="48" spans="1:24" ht="35.1" customHeight="1">
      <c r="A48" s="85"/>
      <c r="B48" s="36"/>
      <c r="C48" s="37"/>
      <c r="D48" s="36"/>
      <c r="E48" s="36"/>
      <c r="F48" s="36"/>
      <c r="G48" s="36"/>
      <c r="H48" s="36"/>
      <c r="I48" s="36"/>
      <c r="J48" s="91"/>
      <c r="K48" s="36"/>
      <c r="L48" s="36"/>
      <c r="M48" s="36"/>
      <c r="N48" s="36"/>
      <c r="O48" s="36"/>
      <c r="P48" s="36"/>
      <c r="Q48" s="36"/>
      <c r="R48" s="36"/>
      <c r="S48" s="36"/>
      <c r="T48" s="7"/>
      <c r="U48" s="7"/>
      <c r="V48" s="7"/>
      <c r="W48" s="7"/>
      <c r="X48" s="7"/>
    </row>
    <row r="49" spans="1:30" ht="35.1" customHeight="1">
      <c r="A49" s="85"/>
      <c r="B49" s="36"/>
      <c r="C49" s="37"/>
      <c r="D49" s="36"/>
      <c r="E49" s="36"/>
      <c r="F49" s="36"/>
      <c r="G49" s="36"/>
      <c r="H49" s="36"/>
      <c r="I49" s="36"/>
      <c r="J49" s="91"/>
      <c r="K49" s="36"/>
      <c r="L49" s="36"/>
      <c r="M49" s="36"/>
      <c r="N49" s="36"/>
      <c r="O49" s="36"/>
      <c r="P49" s="36"/>
      <c r="Q49" s="36"/>
      <c r="R49" s="36"/>
      <c r="S49" s="36"/>
      <c r="T49" s="7"/>
      <c r="U49" s="7"/>
      <c r="V49" s="7"/>
      <c r="W49" s="7"/>
      <c r="X49" s="7"/>
    </row>
    <row r="50" spans="1:30" ht="35.1" customHeight="1">
      <c r="A50" s="85"/>
      <c r="B50" s="36"/>
      <c r="C50" s="37"/>
      <c r="D50" s="36"/>
      <c r="E50" s="36"/>
      <c r="F50" s="36"/>
      <c r="G50" s="36"/>
      <c r="H50" s="36"/>
      <c r="I50" s="36"/>
      <c r="J50" s="91"/>
      <c r="K50" s="36"/>
      <c r="L50" s="36"/>
      <c r="M50" s="36"/>
      <c r="N50" s="36"/>
      <c r="O50" s="36"/>
      <c r="P50" s="36"/>
      <c r="Q50" s="36"/>
      <c r="R50" s="36"/>
      <c r="S50" s="36"/>
      <c r="T50" s="7"/>
      <c r="U50" s="7"/>
      <c r="V50" s="7"/>
      <c r="W50" s="7"/>
      <c r="X50" s="7"/>
    </row>
    <row r="51" spans="1:30" s="26" customFormat="1" ht="15.75" customHeight="1">
      <c r="A51" s="71"/>
      <c r="B51" s="59" t="s">
        <v>2408</v>
      </c>
      <c r="C51" s="58" t="s">
        <v>2409</v>
      </c>
      <c r="D51" s="58" t="s">
        <v>2410</v>
      </c>
      <c r="E51" s="59" t="s">
        <v>2411</v>
      </c>
      <c r="F51" s="59" t="s">
        <v>2412</v>
      </c>
      <c r="G51" s="59" t="s">
        <v>6392</v>
      </c>
      <c r="H51" s="59" t="s">
        <v>2413</v>
      </c>
      <c r="I51" s="60" t="s">
        <v>1039</v>
      </c>
      <c r="J51" s="171"/>
      <c r="K51" s="9"/>
      <c r="L51" s="9"/>
      <c r="M51" s="9" t="s">
        <v>3660</v>
      </c>
      <c r="N51" s="9" t="s">
        <v>3661</v>
      </c>
      <c r="O51" s="9" t="s">
        <v>3662</v>
      </c>
      <c r="P51" s="9" t="s">
        <v>3663</v>
      </c>
      <c r="Q51" s="9" t="s">
        <v>3664</v>
      </c>
      <c r="R51" s="9" t="s">
        <v>3665</v>
      </c>
      <c r="S51" s="9" t="s">
        <v>3666</v>
      </c>
      <c r="T51" s="9" t="s">
        <v>3667</v>
      </c>
      <c r="U51" s="9" t="s">
        <v>2590</v>
      </c>
      <c r="V51" s="9" t="s">
        <v>3668</v>
      </c>
      <c r="W51" s="9"/>
      <c r="X51" s="9"/>
      <c r="Y51" s="9" t="s">
        <v>3917</v>
      </c>
      <c r="Z51" s="9" t="s">
        <v>3916</v>
      </c>
      <c r="AA51" s="9" t="s">
        <v>3950</v>
      </c>
      <c r="AB51" s="26" t="s">
        <v>3915</v>
      </c>
      <c r="AC51" s="26" t="s">
        <v>3918</v>
      </c>
      <c r="AD51" s="26" t="s">
        <v>3919</v>
      </c>
    </row>
    <row r="52" spans="1:30" ht="15.75" customHeight="1">
      <c r="A52" s="33">
        <v>1</v>
      </c>
      <c r="B52" s="7" t="s">
        <v>1040</v>
      </c>
      <c r="C52" s="33" t="s">
        <v>529</v>
      </c>
      <c r="D52" s="33" t="s">
        <v>6796</v>
      </c>
      <c r="E52" s="7" t="s">
        <v>196</v>
      </c>
      <c r="F52" s="7" t="s">
        <v>214</v>
      </c>
      <c r="G52" s="7" t="s">
        <v>6390</v>
      </c>
      <c r="H52" s="32" t="str">
        <f ca="1">CONCATENATE("A DESERTER(S). Their equipment is in ",CHOOSE(RANDBETWEEN(1,12),"POOR","MEAGER","EXCELLENT","EXCEPTIONAL","ROBUST","OLD","GOOD","SHODDY","AVERAGE","ABOVE AVERAGE","BELOW AVERAGE","PRISTINE")," condition. They are currently, ",INDEX('Random Motivations'!$B$2:$B$101,RANDBETWEEN(1,100)))</f>
        <v>A DESERTER(S). Their equipment is in EXCELLENT condition. They are currently, Training</v>
      </c>
      <c r="I52" s="34" t="str">
        <f ca="1">INDEX('Random Motivations'!$B$2:$B$101,RANDBETWEEN(1,100))</f>
        <v>Praying</v>
      </c>
      <c r="K52" s="7"/>
      <c r="L52" s="7"/>
      <c r="M52" s="7" t="s">
        <v>3575</v>
      </c>
      <c r="N52" s="7" t="s">
        <v>3670</v>
      </c>
      <c r="O52" s="7" t="s">
        <v>3596</v>
      </c>
      <c r="P52" s="7" t="s">
        <v>3602</v>
      </c>
      <c r="Q52" s="7" t="s">
        <v>3608</v>
      </c>
      <c r="R52" s="7" t="s">
        <v>3614</v>
      </c>
      <c r="S52" s="7" t="s">
        <v>3624</v>
      </c>
      <c r="T52" s="7" t="s">
        <v>3632</v>
      </c>
      <c r="U52" s="7" t="s">
        <v>3640</v>
      </c>
      <c r="V52" s="7" t="s">
        <v>3648</v>
      </c>
      <c r="W52" s="7"/>
      <c r="X52" s="7"/>
      <c r="Y52" s="7" t="s">
        <v>3815</v>
      </c>
      <c r="Z52" s="7" t="s">
        <v>3845</v>
      </c>
      <c r="AA52" s="7" t="s">
        <v>3865</v>
      </c>
      <c r="AB52" s="32" t="s">
        <v>3885</v>
      </c>
      <c r="AC52" s="32" t="s">
        <v>3905</v>
      </c>
      <c r="AD52" s="32" t="s">
        <v>3920</v>
      </c>
    </row>
    <row r="53" spans="1:30" ht="15.75" customHeight="1">
      <c r="A53" s="33">
        <v>2</v>
      </c>
      <c r="B53" s="7" t="s">
        <v>171</v>
      </c>
      <c r="C53" s="33" t="s">
        <v>179</v>
      </c>
      <c r="D53" s="33" t="s">
        <v>6405</v>
      </c>
      <c r="E53" s="7" t="s">
        <v>197</v>
      </c>
      <c r="F53" s="7" t="s">
        <v>215</v>
      </c>
      <c r="G53" s="7" t="s">
        <v>6390</v>
      </c>
      <c r="H53" s="32" t="str">
        <f ca="1">CONCATENATE("A LONELY OLD WOMAN. She is currently, ",INDEX('Random Motivations'!$B$2:$B$101,RANDBETWEEN(1,100)))</f>
        <v>A LONELY OLD WOMAN. She is currently, Travelling to a widely reported event</v>
      </c>
      <c r="I53" s="34" t="str">
        <f ca="1">INDEX('Random Motivations'!$B$2:$B$101,RANDBETWEEN(1,100))</f>
        <v>Logging</v>
      </c>
      <c r="K53" s="7"/>
      <c r="L53" s="7"/>
      <c r="M53" s="7" t="s">
        <v>3576</v>
      </c>
      <c r="N53" s="7" t="s">
        <v>3671</v>
      </c>
      <c r="O53" s="7" t="s">
        <v>3597</v>
      </c>
      <c r="P53" s="7" t="s">
        <v>3603</v>
      </c>
      <c r="Q53" s="7" t="s">
        <v>3609</v>
      </c>
      <c r="R53" s="7" t="s">
        <v>3615</v>
      </c>
      <c r="S53" s="7" t="s">
        <v>3625</v>
      </c>
      <c r="T53" s="7" t="s">
        <v>3633</v>
      </c>
      <c r="U53" s="7" t="s">
        <v>3641</v>
      </c>
      <c r="V53" s="7" t="s">
        <v>3649</v>
      </c>
      <c r="W53" s="7"/>
      <c r="X53" s="7"/>
      <c r="Y53" s="7" t="s">
        <v>3816</v>
      </c>
      <c r="Z53" s="7" t="s">
        <v>3846</v>
      </c>
      <c r="AA53" s="32" t="s">
        <v>3866</v>
      </c>
      <c r="AB53" s="32" t="s">
        <v>3886</v>
      </c>
      <c r="AC53" s="32" t="s">
        <v>3906</v>
      </c>
      <c r="AD53" s="32" t="s">
        <v>3921</v>
      </c>
    </row>
    <row r="54" spans="1:30" ht="15.75" customHeight="1">
      <c r="A54" s="33">
        <v>3</v>
      </c>
      <c r="B54" s="7" t="s">
        <v>170</v>
      </c>
      <c r="C54" s="33" t="s">
        <v>180</v>
      </c>
      <c r="D54" s="33" t="s">
        <v>6393</v>
      </c>
      <c r="E54" s="7" t="s">
        <v>198</v>
      </c>
      <c r="F54" s="7" t="s">
        <v>216</v>
      </c>
      <c r="G54" s="7" t="s">
        <v>6390</v>
      </c>
      <c r="H54" s="32" t="str">
        <f ca="1">CONCATENATE("A TRADER, with ",RANDBETWEEN(1,5)," GUARDS. Their equipment is in ",CHOOSE(RANDBETWEEN(1,12),"POOR","MEAGER","EXCELLENT","EXCEPTIONAL","ROBUST","OLD","GOOD","SHODDY","AVERAGE","ABOVE AVERAGE","BELOW AVERAGE","PRISTINE")," condition. They are currently ",INDEX('Random Motivations'!$B$2:$B$101,RANDBETWEEN(1,100)))</f>
        <v>A TRADER, with 2 GUARDS. Their equipment is in MEAGER condition. They are currently Marauding &amp; pillaging</v>
      </c>
      <c r="I54" s="34" t="str">
        <f ca="1">INDEX('Random Motivations'!$B$2:$B$101,RANDBETWEEN(1,100))</f>
        <v>Singing &amp; dancing</v>
      </c>
      <c r="K54" s="7"/>
      <c r="L54" s="7"/>
      <c r="M54" s="7" t="s">
        <v>1359</v>
      </c>
      <c r="N54" s="7" t="s">
        <v>3672</v>
      </c>
      <c r="O54" s="7" t="s">
        <v>2152</v>
      </c>
      <c r="P54" s="7" t="s">
        <v>3604</v>
      </c>
      <c r="Q54" s="7" t="s">
        <v>3610</v>
      </c>
      <c r="R54" s="7" t="s">
        <v>3616</v>
      </c>
      <c r="S54" s="7" t="s">
        <v>3626</v>
      </c>
      <c r="T54" s="7" t="s">
        <v>3634</v>
      </c>
      <c r="U54" s="7" t="s">
        <v>3642</v>
      </c>
      <c r="V54" s="7" t="s">
        <v>3650</v>
      </c>
      <c r="W54" s="7"/>
      <c r="X54" s="7"/>
      <c r="Y54" s="7" t="s">
        <v>3817</v>
      </c>
      <c r="Z54" s="7" t="s">
        <v>3847</v>
      </c>
      <c r="AA54" s="32" t="s">
        <v>3867</v>
      </c>
      <c r="AB54" s="32" t="s">
        <v>3887</v>
      </c>
      <c r="AC54" s="32" t="s">
        <v>3907</v>
      </c>
      <c r="AD54" s="32" t="s">
        <v>3922</v>
      </c>
    </row>
    <row r="55" spans="1:30" ht="15.75" customHeight="1">
      <c r="A55" s="33">
        <v>4</v>
      </c>
      <c r="B55" s="7" t="s">
        <v>242</v>
      </c>
      <c r="C55" s="33" t="s">
        <v>181</v>
      </c>
      <c r="D55" s="33" t="s">
        <v>6394</v>
      </c>
      <c r="E55" s="7" t="s">
        <v>199</v>
      </c>
      <c r="F55" s="7" t="s">
        <v>217</v>
      </c>
      <c r="G55" s="7" t="s">
        <v>6390</v>
      </c>
      <c r="H55" s="7" t="s">
        <v>234</v>
      </c>
      <c r="I55" s="34" t="str">
        <f ca="1">INDEX('Random Motivations'!$B$2:$B$101,RANDBETWEEN(1,100))</f>
        <v>Runaway slaves (unarmed &amp; un-armored)</v>
      </c>
      <c r="K55" s="7"/>
      <c r="L55" s="7"/>
      <c r="M55" s="7" t="s">
        <v>3577</v>
      </c>
      <c r="N55" s="7" t="s">
        <v>3673</v>
      </c>
      <c r="O55" s="7" t="s">
        <v>3598</v>
      </c>
      <c r="P55" s="7" t="s">
        <v>3605</v>
      </c>
      <c r="Q55" s="7" t="s">
        <v>3611</v>
      </c>
      <c r="R55" s="7" t="s">
        <v>3617</v>
      </c>
      <c r="S55" s="7" t="s">
        <v>3627</v>
      </c>
      <c r="T55" s="7" t="s">
        <v>3635</v>
      </c>
      <c r="U55" s="7" t="s">
        <v>3643</v>
      </c>
      <c r="V55" s="7" t="s">
        <v>3651</v>
      </c>
      <c r="W55" s="7"/>
      <c r="X55" s="7"/>
      <c r="Y55" s="7" t="s">
        <v>3818</v>
      </c>
      <c r="Z55" s="7" t="s">
        <v>3848</v>
      </c>
      <c r="AA55" s="32" t="s">
        <v>3868</v>
      </c>
      <c r="AB55" s="32" t="s">
        <v>3888</v>
      </c>
      <c r="AC55" s="32" t="s">
        <v>3908</v>
      </c>
      <c r="AD55" s="32" t="s">
        <v>3923</v>
      </c>
    </row>
    <row r="56" spans="1:30" ht="15.75" customHeight="1">
      <c r="A56" s="33">
        <v>5</v>
      </c>
      <c r="B56" s="7" t="s">
        <v>537</v>
      </c>
      <c r="C56" s="33" t="s">
        <v>182</v>
      </c>
      <c r="D56" s="33" t="s">
        <v>6395</v>
      </c>
      <c r="E56" s="7" t="s">
        <v>200</v>
      </c>
      <c r="F56" s="7" t="s">
        <v>218</v>
      </c>
      <c r="G56" s="7" t="s">
        <v>6390</v>
      </c>
      <c r="H56" s="32" t="str">
        <f ca="1">CONCATENATE("AN ECCENTRIC HEALER. They are currently ",INDEX('Random Motivations'!$B$2:$B$101,RANDBETWEEN(1,100)))</f>
        <v>AN ECCENTRIC HEALER. They are currently Road building</v>
      </c>
      <c r="I56" s="34" t="str">
        <f ca="1">INDEX('Random Motivations'!$B$2:$B$101,RANDBETWEEN(1,100))</f>
        <v>Fortifying or digging in</v>
      </c>
      <c r="K56" s="7"/>
      <c r="L56" s="7"/>
      <c r="M56" s="7" t="s">
        <v>3578</v>
      </c>
      <c r="N56" s="7" t="s">
        <v>3674</v>
      </c>
      <c r="O56" s="7" t="s">
        <v>3599</v>
      </c>
      <c r="P56" s="7" t="s">
        <v>3606</v>
      </c>
      <c r="Q56" s="7" t="s">
        <v>3612</v>
      </c>
      <c r="R56" s="7" t="s">
        <v>3618</v>
      </c>
      <c r="S56" s="7" t="s">
        <v>3628</v>
      </c>
      <c r="T56" s="7" t="s">
        <v>3636</v>
      </c>
      <c r="U56" s="7" t="s">
        <v>3644</v>
      </c>
      <c r="V56" s="7" t="s">
        <v>3652</v>
      </c>
      <c r="W56" s="7"/>
      <c r="X56" s="7"/>
      <c r="Y56" s="7" t="s">
        <v>3819</v>
      </c>
      <c r="Z56" s="7" t="s">
        <v>3849</v>
      </c>
      <c r="AA56" s="32" t="s">
        <v>3869</v>
      </c>
      <c r="AB56" s="32" t="s">
        <v>3889</v>
      </c>
      <c r="AC56" s="32" t="s">
        <v>3909</v>
      </c>
      <c r="AD56" s="32" t="s">
        <v>3924</v>
      </c>
    </row>
    <row r="57" spans="1:30" ht="15.75" customHeight="1">
      <c r="A57" s="33">
        <v>6</v>
      </c>
      <c r="B57" s="7" t="s">
        <v>173</v>
      </c>
      <c r="C57" s="33" t="s">
        <v>183</v>
      </c>
      <c r="D57" s="33" t="s">
        <v>6394</v>
      </c>
      <c r="E57" s="7" t="s">
        <v>201</v>
      </c>
      <c r="F57" s="7" t="s">
        <v>219</v>
      </c>
      <c r="G57" s="7" t="s">
        <v>6390</v>
      </c>
      <c r="H57" s="32" t="s">
        <v>235</v>
      </c>
      <c r="I57" s="34" t="str">
        <f ca="1">INDEX('Random Motivations'!$B$2:$B$101,RANDBETWEEN(1,100))</f>
        <v>Appears to be arguing with a random object</v>
      </c>
      <c r="K57" s="7"/>
      <c r="L57" s="7"/>
      <c r="M57" s="7" t="s">
        <v>3579</v>
      </c>
      <c r="N57" s="7" t="s">
        <v>3675</v>
      </c>
      <c r="O57" s="7" t="s">
        <v>2273</v>
      </c>
      <c r="P57" s="7" t="s">
        <v>3607</v>
      </c>
      <c r="Q57" s="7" t="s">
        <v>3613</v>
      </c>
      <c r="R57" s="7" t="s">
        <v>3619</v>
      </c>
      <c r="S57" s="7" t="s">
        <v>3629</v>
      </c>
      <c r="T57" s="7" t="s">
        <v>3637</v>
      </c>
      <c r="U57" s="7" t="s">
        <v>3645</v>
      </c>
      <c r="V57" s="7" t="s">
        <v>3653</v>
      </c>
      <c r="W57" s="7"/>
      <c r="X57" s="7"/>
      <c r="Y57" s="7" t="s">
        <v>3820</v>
      </c>
      <c r="Z57" s="7" t="s">
        <v>3850</v>
      </c>
      <c r="AA57" s="32" t="s">
        <v>3870</v>
      </c>
      <c r="AB57" s="32" t="s">
        <v>3890</v>
      </c>
      <c r="AC57" s="32" t="s">
        <v>3910</v>
      </c>
      <c r="AD57" s="32" t="s">
        <v>3925</v>
      </c>
    </row>
    <row r="58" spans="1:30" ht="15.75" customHeight="1">
      <c r="A58" s="33">
        <v>7</v>
      </c>
      <c r="B58" s="7" t="s">
        <v>172</v>
      </c>
      <c r="C58" s="33" t="s">
        <v>184</v>
      </c>
      <c r="D58" s="33" t="s">
        <v>6396</v>
      </c>
      <c r="E58" s="7" t="s">
        <v>539</v>
      </c>
      <c r="F58" s="7" t="s">
        <v>220</v>
      </c>
      <c r="G58" s="7" t="s">
        <v>6390</v>
      </c>
      <c r="H58" s="32" t="s">
        <v>236</v>
      </c>
      <c r="I58" s="34" t="str">
        <f ca="1">INDEX('Random Motivations'!$B$2:$B$101,RANDBETWEEN(1,100))</f>
        <v>On a quest</v>
      </c>
      <c r="K58" s="7"/>
      <c r="L58" s="7"/>
      <c r="M58" s="7" t="s">
        <v>3580</v>
      </c>
      <c r="N58" s="7" t="s">
        <v>3676</v>
      </c>
      <c r="O58" s="7" t="s">
        <v>2131</v>
      </c>
      <c r="P58" s="7"/>
      <c r="Q58" s="7"/>
      <c r="R58" s="7" t="s">
        <v>3620</v>
      </c>
      <c r="S58" s="7" t="s">
        <v>3630</v>
      </c>
      <c r="T58" s="7" t="s">
        <v>3638</v>
      </c>
      <c r="U58" s="7" t="s">
        <v>3646</v>
      </c>
      <c r="V58" s="7" t="s">
        <v>3654</v>
      </c>
      <c r="W58" s="7"/>
      <c r="X58" s="7"/>
      <c r="Y58" s="7" t="s">
        <v>3821</v>
      </c>
      <c r="Z58" s="7" t="s">
        <v>3851</v>
      </c>
      <c r="AA58" s="32" t="s">
        <v>3871</v>
      </c>
      <c r="AB58" s="32" t="s">
        <v>3891</v>
      </c>
      <c r="AC58" s="32" t="s">
        <v>3911</v>
      </c>
      <c r="AD58" s="32" t="s">
        <v>3926</v>
      </c>
    </row>
    <row r="59" spans="1:30" ht="15.75" customHeight="1">
      <c r="A59" s="33">
        <v>8</v>
      </c>
      <c r="B59" s="7" t="s">
        <v>174</v>
      </c>
      <c r="C59" s="33" t="s">
        <v>185</v>
      </c>
      <c r="D59" s="33" t="s">
        <v>6801</v>
      </c>
      <c r="E59" s="7" t="s">
        <v>202</v>
      </c>
      <c r="F59" s="7" t="s">
        <v>221</v>
      </c>
      <c r="G59" s="7" t="s">
        <v>6387</v>
      </c>
      <c r="H59" s="7" t="s">
        <v>237</v>
      </c>
      <c r="I59" s="34" t="str">
        <f ca="1">INDEX('Random Motivations'!$B$2:$B$101,RANDBETWEEN(1,100))</f>
        <v>Fortifying or digging in</v>
      </c>
      <c r="K59" s="7"/>
      <c r="L59" s="7"/>
      <c r="M59" s="7" t="s">
        <v>3581</v>
      </c>
      <c r="N59" s="7" t="s">
        <v>2184</v>
      </c>
      <c r="O59" s="7" t="s">
        <v>1544</v>
      </c>
      <c r="P59" s="7"/>
      <c r="Q59" s="7"/>
      <c r="R59" s="7" t="s">
        <v>3621</v>
      </c>
      <c r="S59" s="7" t="s">
        <v>3631</v>
      </c>
      <c r="T59" s="7" t="s">
        <v>3639</v>
      </c>
      <c r="U59" s="7" t="s">
        <v>3647</v>
      </c>
      <c r="V59" s="7" t="s">
        <v>3655</v>
      </c>
      <c r="W59" s="7"/>
      <c r="X59" s="7"/>
      <c r="Y59" s="7" t="s">
        <v>3822</v>
      </c>
      <c r="Z59" s="7" t="s">
        <v>3852</v>
      </c>
      <c r="AA59" s="32" t="s">
        <v>3872</v>
      </c>
      <c r="AB59" s="32" t="s">
        <v>3892</v>
      </c>
      <c r="AC59" s="32" t="s">
        <v>3912</v>
      </c>
      <c r="AD59" s="32" t="s">
        <v>3927</v>
      </c>
    </row>
    <row r="60" spans="1:30" ht="15.75" customHeight="1">
      <c r="A60" s="33">
        <v>9</v>
      </c>
      <c r="B60" s="7" t="s">
        <v>535</v>
      </c>
      <c r="C60" s="33" t="s">
        <v>186</v>
      </c>
      <c r="D60" s="33" t="s">
        <v>6802</v>
      </c>
      <c r="E60" s="7" t="s">
        <v>203</v>
      </c>
      <c r="F60" s="7" t="s">
        <v>222</v>
      </c>
      <c r="G60" s="7" t="s">
        <v>6387</v>
      </c>
      <c r="H60" s="32" t="s">
        <v>243</v>
      </c>
      <c r="I60" s="34" t="str">
        <f ca="1">INDEX('Random Motivations'!$B$2:$B$101,RANDBETWEEN(1,100))</f>
        <v>Singing &amp; dancing</v>
      </c>
      <c r="K60" s="7"/>
      <c r="L60" s="7"/>
      <c r="M60" s="7" t="s">
        <v>3773</v>
      </c>
      <c r="N60" s="7" t="s">
        <v>3669</v>
      </c>
      <c r="O60" s="7" t="s">
        <v>3600</v>
      </c>
      <c r="P60" s="7"/>
      <c r="Q60" s="7"/>
      <c r="R60" s="7" t="s">
        <v>3622</v>
      </c>
      <c r="S60" s="7"/>
      <c r="T60" s="7"/>
      <c r="U60" s="7"/>
      <c r="V60" s="7" t="s">
        <v>3656</v>
      </c>
      <c r="W60" s="7"/>
      <c r="X60" s="7"/>
      <c r="Y60" s="7" t="s">
        <v>3823</v>
      </c>
      <c r="Z60" s="7" t="s">
        <v>3853</v>
      </c>
      <c r="AA60" s="32" t="s">
        <v>3873</v>
      </c>
      <c r="AB60" s="32" t="s">
        <v>3893</v>
      </c>
      <c r="AC60" s="32" t="s">
        <v>3913</v>
      </c>
      <c r="AD60" s="32" t="s">
        <v>3928</v>
      </c>
    </row>
    <row r="61" spans="1:30" ht="15.75" customHeight="1">
      <c r="A61" s="33">
        <v>10</v>
      </c>
      <c r="B61" s="7" t="s">
        <v>175</v>
      </c>
      <c r="C61" s="33" t="s">
        <v>536</v>
      </c>
      <c r="D61" s="33" t="s">
        <v>6803</v>
      </c>
      <c r="E61" s="7" t="s">
        <v>204</v>
      </c>
      <c r="F61" s="7" t="s">
        <v>223</v>
      </c>
      <c r="G61" s="7" t="s">
        <v>6391</v>
      </c>
      <c r="H61" s="32" t="str">
        <f ca="1">CONCATENATE("BANDITS. They are currently ",INDEX('Random Motivations'!$B$2:$B$101,RANDBETWEEN(1,100)))</f>
        <v>BANDITS. They are currently Hauling their booty back home</v>
      </c>
      <c r="I61" s="34" t="str">
        <f ca="1">INDEX('Random Motivations'!$B$2:$B$101,RANDBETWEEN(1,100))</f>
        <v>Stealing livestock</v>
      </c>
      <c r="K61" s="7"/>
      <c r="L61" s="7"/>
      <c r="M61" s="7" t="s">
        <v>3582</v>
      </c>
      <c r="N61" s="7" t="s">
        <v>3585</v>
      </c>
      <c r="O61" s="7" t="s">
        <v>3601</v>
      </c>
      <c r="P61" s="7"/>
      <c r="Q61" s="7"/>
      <c r="R61" s="7" t="s">
        <v>3623</v>
      </c>
      <c r="S61" s="7"/>
      <c r="U61" s="7"/>
      <c r="V61" s="7" t="s">
        <v>3657</v>
      </c>
      <c r="W61" s="7"/>
      <c r="X61" s="7"/>
      <c r="Y61" s="7" t="s">
        <v>3824</v>
      </c>
      <c r="Z61" s="7" t="s">
        <v>3854</v>
      </c>
      <c r="AA61" s="32" t="s">
        <v>3874</v>
      </c>
      <c r="AB61" s="32" t="s">
        <v>3894</v>
      </c>
      <c r="AC61" s="32" t="s">
        <v>3914</v>
      </c>
      <c r="AD61" s="32" t="s">
        <v>3929</v>
      </c>
    </row>
    <row r="62" spans="1:30" ht="15.75" customHeight="1">
      <c r="A62" s="33">
        <v>11</v>
      </c>
      <c r="B62" s="7" t="s">
        <v>241</v>
      </c>
      <c r="C62" s="33" t="s">
        <v>187</v>
      </c>
      <c r="D62" s="33" t="s">
        <v>6804</v>
      </c>
      <c r="E62" s="7" t="s">
        <v>205</v>
      </c>
      <c r="F62" s="7" t="s">
        <v>224</v>
      </c>
      <c r="G62" s="7" t="s">
        <v>6388</v>
      </c>
      <c r="H62" s="32" t="str">
        <f ca="1">CONCATENATE("A SMUGGLER, with ",RANDBETWEEN(1,5)," GUARDS. Their equipment is in ",CHOOSE(RANDBETWEEN(1,12),"POOR","MEAGER","EXCELLENT","EXCEPTIONAL","ROBUST","OLD","GOOD","SHODDY","AVERAGE","ABOVE AVERAGE","BELOW AVERAGE","PRISTINE")," condition. They are currently ",INDEX('Random Motivations'!$B$2:$B$101,RANDBETWEEN(1,100)))</f>
        <v>A SMUGGLER, with 3 GUARDS. Their equipment is in OLD condition. They are currently Cooking &amp; eating</v>
      </c>
      <c r="I62" s="34" t="str">
        <f ca="1">INDEX('Random Motivations'!$B$2:$B$101,RANDBETWEEN(1,100))</f>
        <v>Surveying the land for a powerful lord</v>
      </c>
      <c r="K62" s="7"/>
      <c r="L62" s="7"/>
      <c r="M62" s="7" t="s">
        <v>3583</v>
      </c>
      <c r="N62" s="7" t="s">
        <v>3586</v>
      </c>
      <c r="O62" s="7"/>
      <c r="P62" s="7"/>
      <c r="Q62" s="7"/>
      <c r="R62" s="7"/>
      <c r="S62" s="7"/>
      <c r="U62" s="7"/>
      <c r="V62" s="7" t="s">
        <v>3658</v>
      </c>
      <c r="W62" s="7"/>
      <c r="X62" s="7"/>
      <c r="Y62" s="7" t="s">
        <v>3825</v>
      </c>
      <c r="Z62" s="7" t="s">
        <v>3855</v>
      </c>
      <c r="AA62" s="32" t="s">
        <v>3875</v>
      </c>
      <c r="AB62" s="32" t="s">
        <v>3895</v>
      </c>
      <c r="AD62" s="32" t="s">
        <v>3930</v>
      </c>
    </row>
    <row r="63" spans="1:30" ht="15.75" customHeight="1">
      <c r="A63" s="33">
        <v>12</v>
      </c>
      <c r="B63" s="7" t="s">
        <v>176</v>
      </c>
      <c r="C63" s="33" t="s">
        <v>188</v>
      </c>
      <c r="D63" s="33" t="s">
        <v>6397</v>
      </c>
      <c r="E63" s="7" t="s">
        <v>206</v>
      </c>
      <c r="F63" s="7" t="s">
        <v>225</v>
      </c>
      <c r="G63" s="7" t="s">
        <v>6389</v>
      </c>
      <c r="H63" s="7" t="s">
        <v>528</v>
      </c>
      <c r="I63" s="34" t="str">
        <f ca="1">INDEX('Random Motivations'!$B$2:$B$101,RANDBETWEEN(1,100))</f>
        <v>Fishing (hunting if no body of water is nearby)</v>
      </c>
      <c r="K63" s="7"/>
      <c r="L63" s="7"/>
      <c r="M63" s="7" t="s">
        <v>3584</v>
      </c>
      <c r="N63" s="7" t="s">
        <v>3587</v>
      </c>
      <c r="O63" s="7"/>
      <c r="P63" s="7"/>
      <c r="Q63" s="7"/>
      <c r="R63" s="7"/>
      <c r="S63" s="7"/>
      <c r="U63" s="7"/>
      <c r="V63" s="7" t="s">
        <v>3659</v>
      </c>
      <c r="W63" s="7"/>
      <c r="X63" s="7"/>
      <c r="Y63" s="7" t="s">
        <v>3826</v>
      </c>
      <c r="Z63" s="7" t="s">
        <v>3856</v>
      </c>
      <c r="AA63" s="32" t="s">
        <v>3876</v>
      </c>
      <c r="AB63" s="32" t="s">
        <v>3896</v>
      </c>
      <c r="AD63" s="32" t="s">
        <v>3931</v>
      </c>
    </row>
    <row r="64" spans="1:30" ht="15.75" customHeight="1">
      <c r="A64" s="33">
        <v>13</v>
      </c>
      <c r="B64" s="7" t="s">
        <v>177</v>
      </c>
      <c r="C64" s="33" t="s">
        <v>1035</v>
      </c>
      <c r="D64" s="33" t="s">
        <v>6801</v>
      </c>
      <c r="E64" s="7" t="s">
        <v>525</v>
      </c>
      <c r="F64" s="7" t="s">
        <v>226</v>
      </c>
      <c r="G64" s="7"/>
      <c r="H64" s="32" t="str">
        <f ca="1">CONCATENATE("A MERCENARY GROUP. Their equipment is in ",CHOOSE(RANDBETWEEN(1,12),"POOR","MEAGER","EXCELLENT","EXCEPTIONAL","ROBUST","OLD","GOOD","SHODDY","AVERAGE","ABOVE AVERAGE","BELOW AVERAGE","PRISTINE")," condition. They are currently  ",INDEX('Random Motivations'!$B$2:$B$101,RANDBETWEEN(1,100)))</f>
        <v>A MERCENARY GROUP. Their equipment is in EXCEPTIONAL condition. They are currently  Repairing a vehicle loaded with goods</v>
      </c>
      <c r="I64" s="34" t="str">
        <f ca="1">INDEX('Random Motivations'!$B$2:$B$101,RANDBETWEEN(1,100))</f>
        <v>Part of a larger trade caravan</v>
      </c>
      <c r="K64" s="7"/>
      <c r="L64" s="7"/>
      <c r="N64" s="7" t="s">
        <v>3588</v>
      </c>
      <c r="O64" s="7"/>
      <c r="P64" s="7"/>
      <c r="Q64" s="7"/>
      <c r="R64" s="7"/>
      <c r="S64" s="7"/>
      <c r="U64" s="7"/>
      <c r="V64" s="7"/>
      <c r="W64" s="7"/>
      <c r="X64" s="7"/>
      <c r="Y64" s="7" t="s">
        <v>3827</v>
      </c>
      <c r="Z64" s="7" t="s">
        <v>3857</v>
      </c>
      <c r="AA64" s="32" t="s">
        <v>3877</v>
      </c>
      <c r="AB64" s="32" t="s">
        <v>3897</v>
      </c>
      <c r="AD64" s="32" t="s">
        <v>3932</v>
      </c>
    </row>
    <row r="65" spans="1:30" ht="15.75" customHeight="1">
      <c r="A65" s="33">
        <v>14</v>
      </c>
      <c r="B65" s="7" t="s">
        <v>178</v>
      </c>
      <c r="C65" s="33" t="s">
        <v>189</v>
      </c>
      <c r="D65" s="33" t="s">
        <v>6398</v>
      </c>
      <c r="E65" s="7" t="s">
        <v>207</v>
      </c>
      <c r="F65" s="7" t="s">
        <v>227</v>
      </c>
      <c r="G65" s="7"/>
      <c r="H65" s="7" t="s">
        <v>238</v>
      </c>
      <c r="I65" s="34" t="str">
        <f ca="1">INDEX('Random Motivations'!$B$2:$B$101,RANDBETWEEN(1,100))</f>
        <v>Poaching</v>
      </c>
      <c r="K65" s="7"/>
      <c r="L65" s="7"/>
      <c r="M65" s="7"/>
      <c r="N65" s="7" t="s">
        <v>3589</v>
      </c>
      <c r="O65" s="7"/>
      <c r="P65" s="7"/>
      <c r="Q65" s="7"/>
      <c r="R65" s="7"/>
      <c r="S65" s="7"/>
      <c r="U65" s="7"/>
      <c r="V65" s="7"/>
      <c r="W65" s="7"/>
      <c r="X65" s="7"/>
      <c r="Y65" s="7" t="s">
        <v>3828</v>
      </c>
      <c r="Z65" s="7" t="s">
        <v>3858</v>
      </c>
      <c r="AA65" s="32" t="s">
        <v>3878</v>
      </c>
      <c r="AB65" s="32" t="s">
        <v>3898</v>
      </c>
      <c r="AD65" s="32" t="s">
        <v>3933</v>
      </c>
    </row>
    <row r="66" spans="1:30" ht="15.75" customHeight="1">
      <c r="A66" s="33">
        <v>15</v>
      </c>
      <c r="B66" s="7" t="s">
        <v>1201</v>
      </c>
      <c r="C66" s="33" t="s">
        <v>190</v>
      </c>
      <c r="D66" s="33" t="s">
        <v>6398</v>
      </c>
      <c r="E66" s="7" t="s">
        <v>208</v>
      </c>
      <c r="F66" s="7" t="s">
        <v>228</v>
      </c>
      <c r="G66" s="7"/>
      <c r="H66" s="32" t="str">
        <f ca="1">CONCATENATE("AN OUTCAST. They are currently ",INDEX('Random Motivations'!$B$2:$B$101,RANDBETWEEN(1,100)))</f>
        <v>AN OUTCAST. They are currently DM's Choice</v>
      </c>
      <c r="I66" s="34" t="str">
        <f ca="1">INDEX('Random Motivations'!$B$2:$B$101,RANDBETWEEN(1,100))</f>
        <v>Rotting/Rotten corpses</v>
      </c>
      <c r="K66" s="7"/>
      <c r="L66" s="7"/>
      <c r="N66" s="7" t="s">
        <v>3590</v>
      </c>
      <c r="O66" s="7"/>
      <c r="P66" s="7"/>
      <c r="Q66" s="7"/>
      <c r="R66" s="7"/>
      <c r="S66" s="7"/>
      <c r="U66" s="7"/>
      <c r="V66" s="7"/>
      <c r="W66" s="7"/>
      <c r="X66" s="7"/>
      <c r="Y66" s="7" t="s">
        <v>3829</v>
      </c>
      <c r="Z66" s="7" t="s">
        <v>3859</v>
      </c>
      <c r="AA66" s="32" t="s">
        <v>3879</v>
      </c>
      <c r="AB66" s="32" t="s">
        <v>3899</v>
      </c>
      <c r="AD66" s="32" t="s">
        <v>3934</v>
      </c>
    </row>
    <row r="67" spans="1:30" ht="15.75" customHeight="1">
      <c r="A67" s="33">
        <v>16</v>
      </c>
      <c r="B67" s="7" t="s">
        <v>530</v>
      </c>
      <c r="C67" s="33" t="s">
        <v>191</v>
      </c>
      <c r="D67" s="33" t="s">
        <v>6399</v>
      </c>
      <c r="E67" s="7" t="s">
        <v>209</v>
      </c>
      <c r="F67" s="7" t="s">
        <v>229</v>
      </c>
      <c r="G67" s="7"/>
      <c r="H67" s="7" t="s">
        <v>239</v>
      </c>
      <c r="I67" s="34" t="str">
        <f ca="1">INDEX('Random Motivations'!$B$2:$B$101,RANDBETWEEN(1,100))</f>
        <v>Building a small homestead/lair</v>
      </c>
      <c r="K67" s="7"/>
      <c r="L67" s="7"/>
      <c r="N67" s="7" t="s">
        <v>3591</v>
      </c>
      <c r="O67" s="7"/>
      <c r="P67" s="7"/>
      <c r="Q67" s="7"/>
      <c r="R67" s="7"/>
      <c r="S67" s="7"/>
      <c r="U67" s="7"/>
      <c r="V67" s="7"/>
      <c r="W67" s="7"/>
      <c r="X67" s="7"/>
      <c r="Y67" s="7" t="s">
        <v>3830</v>
      </c>
      <c r="Z67" s="7" t="s">
        <v>3860</v>
      </c>
      <c r="AA67" s="32" t="s">
        <v>3880</v>
      </c>
      <c r="AB67" s="32" t="s">
        <v>3900</v>
      </c>
      <c r="AD67" s="32" t="s">
        <v>3935</v>
      </c>
    </row>
    <row r="68" spans="1:30" ht="15.75" customHeight="1">
      <c r="A68" s="33">
        <v>17</v>
      </c>
      <c r="B68" s="7" t="s">
        <v>531</v>
      </c>
      <c r="C68" s="33" t="s">
        <v>192</v>
      </c>
      <c r="D68" s="33" t="s">
        <v>6399</v>
      </c>
      <c r="E68" s="7" t="s">
        <v>210</v>
      </c>
      <c r="F68" s="7" t="s">
        <v>230</v>
      </c>
      <c r="G68" s="7"/>
      <c r="H68" s="32" t="str">
        <f ca="1">CONCATENATE("A TRADER, with ",RANDBETWEEN(1,5)," GUARDS. Their equipment is in ",CHOOSE(RANDBETWEEN(1,12),"POOR","MEAGER","EXCELLENT","EXCEPTIONAL","ROBUST","OLD","GOOD","SHODDY","AVERAGE","ABOVE AVERAGE","BELOW AVERAGE","PRISTINE")," condition. They are currently ",INDEX('Random Motivations'!$B$2:$B$101,RANDBETWEEN(1,100)))</f>
        <v>A TRADER, with 5 GUARDS. Their equipment is in MEAGER condition. They are currently Escorting prisoners (D.M. Should determine appropriate types &amp; numbers)</v>
      </c>
      <c r="I68" s="34" t="str">
        <f ca="1">INDEX('Random Motivations'!$B$2:$B$101,RANDBETWEEN(1,100))</f>
        <v>Appears to be arguing with a random object</v>
      </c>
      <c r="K68" s="7"/>
      <c r="L68" s="7"/>
      <c r="N68" s="7" t="s">
        <v>3592</v>
      </c>
      <c r="O68" s="7"/>
      <c r="P68" s="7"/>
      <c r="Q68" s="7"/>
      <c r="R68" s="7"/>
      <c r="S68" s="7"/>
      <c r="U68" s="7"/>
      <c r="V68" s="7"/>
      <c r="W68" s="7"/>
      <c r="X68" s="7"/>
      <c r="Y68" s="7" t="s">
        <v>3831</v>
      </c>
      <c r="Z68" s="7" t="s">
        <v>3861</v>
      </c>
      <c r="AA68" s="32" t="s">
        <v>3881</v>
      </c>
      <c r="AB68" s="32" t="s">
        <v>3901</v>
      </c>
      <c r="AD68" s="32" t="s">
        <v>3936</v>
      </c>
    </row>
    <row r="69" spans="1:30" ht="15.75" customHeight="1">
      <c r="A69" s="33">
        <v>18</v>
      </c>
      <c r="B69" s="7" t="s">
        <v>532</v>
      </c>
      <c r="C69" s="33" t="s">
        <v>193</v>
      </c>
      <c r="D69" s="33" t="s">
        <v>6805</v>
      </c>
      <c r="E69" s="7" t="s">
        <v>211</v>
      </c>
      <c r="F69" s="7" t="s">
        <v>231</v>
      </c>
      <c r="G69" s="7"/>
      <c r="H69" s="32" t="str">
        <f ca="1">CONCATENATE("A PROSPECTOR. They are currently ",INDEX('Random Motivations'!$B$2:$B$101,RANDBETWEEN(1,100)))</f>
        <v>A PROSPECTOR. They are currently Appears to be arguing with a random object</v>
      </c>
      <c r="I69" s="34" t="str">
        <f ca="1">INDEX('Random Motivations'!$B$2:$B$101,RANDBETWEEN(1,100))</f>
        <v>On a pilgrimage</v>
      </c>
      <c r="K69" s="7"/>
      <c r="L69" s="7"/>
      <c r="N69" s="7" t="s">
        <v>3593</v>
      </c>
      <c r="O69" s="7"/>
      <c r="P69" s="7"/>
      <c r="Q69" s="7"/>
      <c r="R69" s="7"/>
      <c r="S69" s="7"/>
      <c r="T69" s="7"/>
      <c r="U69" s="7"/>
      <c r="V69" s="7"/>
      <c r="W69" s="7"/>
      <c r="X69" s="7"/>
      <c r="Y69" s="7" t="s">
        <v>3832</v>
      </c>
      <c r="Z69" s="7" t="s">
        <v>3862</v>
      </c>
      <c r="AA69" s="32" t="s">
        <v>3882</v>
      </c>
      <c r="AB69" s="32" t="s">
        <v>3902</v>
      </c>
      <c r="AD69" s="32" t="s">
        <v>3937</v>
      </c>
    </row>
    <row r="70" spans="1:30" ht="15.75" customHeight="1">
      <c r="A70" s="33">
        <v>19</v>
      </c>
      <c r="B70" s="7" t="s">
        <v>533</v>
      </c>
      <c r="C70" s="33" t="s">
        <v>194</v>
      </c>
      <c r="D70" s="33" t="s">
        <v>6400</v>
      </c>
      <c r="E70" s="7" t="s">
        <v>212</v>
      </c>
      <c r="F70" s="7" t="s">
        <v>232</v>
      </c>
      <c r="G70" s="7"/>
      <c r="H70" s="7" t="s">
        <v>240</v>
      </c>
      <c r="I70" s="34" t="str">
        <f ca="1">INDEX('Random Motivations'!$B$2:$B$101,RANDBETWEEN(1,100))</f>
        <v>Cooking &amp; eating</v>
      </c>
      <c r="K70" s="7"/>
      <c r="L70" s="7"/>
      <c r="N70" s="7" t="s">
        <v>3594</v>
      </c>
      <c r="O70" s="7"/>
      <c r="P70" s="7"/>
      <c r="Q70" s="7"/>
      <c r="R70" s="7"/>
      <c r="S70" s="7"/>
      <c r="U70" s="7"/>
      <c r="V70" s="7"/>
      <c r="W70" s="7"/>
      <c r="X70" s="7"/>
      <c r="Y70" s="7" t="s">
        <v>3833</v>
      </c>
      <c r="Z70" s="7" t="s">
        <v>3863</v>
      </c>
      <c r="AA70" s="32" t="s">
        <v>3883</v>
      </c>
      <c r="AB70" s="32" t="s">
        <v>3903</v>
      </c>
      <c r="AD70" s="32" t="s">
        <v>3938</v>
      </c>
    </row>
    <row r="71" spans="1:30" ht="15.75" customHeight="1">
      <c r="A71" s="33">
        <v>20</v>
      </c>
      <c r="B71" s="7" t="s">
        <v>534</v>
      </c>
      <c r="C71" s="33" t="s">
        <v>195</v>
      </c>
      <c r="D71" s="33" t="s">
        <v>6394</v>
      </c>
      <c r="E71" s="7" t="s">
        <v>213</v>
      </c>
      <c r="F71" s="7" t="s">
        <v>233</v>
      </c>
      <c r="G71" s="7"/>
      <c r="H71" s="32" t="str">
        <f ca="1">CONCATENATE("A STRANGE HERMIT. They are currently ",INDEX('Random Motivations'!$B$2:$B$101,RANDBETWEEN(1,100)))</f>
        <v>A STRANGE HERMIT. They are currently Drunk &amp; disorderly</v>
      </c>
      <c r="I71" s="34" t="str">
        <f ca="1">INDEX('Random Motivations'!$B$2:$B$101,RANDBETWEEN(1,100))</f>
        <v>Poaching</v>
      </c>
      <c r="K71" s="7"/>
      <c r="L71" s="7"/>
      <c r="N71" s="7" t="s">
        <v>3595</v>
      </c>
      <c r="O71" s="7"/>
      <c r="P71" s="7"/>
      <c r="Q71" s="7"/>
      <c r="R71" s="7"/>
      <c r="S71" s="7"/>
      <c r="U71" s="7"/>
      <c r="V71" s="7"/>
      <c r="W71" s="7"/>
      <c r="X71" s="7"/>
      <c r="Y71" s="7" t="s">
        <v>3834</v>
      </c>
      <c r="Z71" s="7" t="s">
        <v>3864</v>
      </c>
      <c r="AA71" s="32" t="s">
        <v>3884</v>
      </c>
      <c r="AB71" s="32" t="s">
        <v>3904</v>
      </c>
      <c r="AD71" s="32" t="s">
        <v>3939</v>
      </c>
    </row>
    <row r="72" spans="1:30" ht="15.75" customHeight="1">
      <c r="A72" s="33">
        <v>21</v>
      </c>
      <c r="B72" s="7" t="s">
        <v>1153</v>
      </c>
      <c r="C72" s="33" t="s">
        <v>1156</v>
      </c>
      <c r="D72" s="33" t="s">
        <v>6400</v>
      </c>
      <c r="E72" s="7" t="s">
        <v>1160</v>
      </c>
      <c r="F72" s="7" t="s">
        <v>1196</v>
      </c>
      <c r="G72" s="7"/>
      <c r="H72" s="7" t="s">
        <v>522</v>
      </c>
      <c r="I72" s="34"/>
      <c r="K72" s="7"/>
      <c r="L72" s="7"/>
      <c r="N72" s="7"/>
      <c r="O72" s="7"/>
      <c r="P72" s="7"/>
      <c r="Q72" s="7"/>
      <c r="R72" s="7"/>
      <c r="S72" s="7"/>
      <c r="U72" s="7"/>
      <c r="V72" s="7"/>
      <c r="W72" s="7"/>
      <c r="X72" s="7"/>
      <c r="Y72" s="7" t="s">
        <v>3835</v>
      </c>
      <c r="AD72" s="32" t="s">
        <v>3949</v>
      </c>
    </row>
    <row r="73" spans="1:30" ht="15.75" customHeight="1">
      <c r="A73" s="33">
        <v>22</v>
      </c>
      <c r="B73" s="7" t="s">
        <v>1154</v>
      </c>
      <c r="C73" s="33" t="s">
        <v>1157</v>
      </c>
      <c r="D73" s="33" t="s">
        <v>6401</v>
      </c>
      <c r="E73" s="7" t="s">
        <v>1161</v>
      </c>
      <c r="F73" s="7" t="s">
        <v>1197</v>
      </c>
      <c r="G73" s="7"/>
      <c r="H73" s="32" t="str">
        <f ca="1">CONCATENATE("A NERVOUS INDIVIDUAL/COUPLE. They are currently ",INDEX('Random Motivations'!$B$2:$B$101,RANDBETWEEN(1,100)))</f>
        <v>A NERVOUS INDIVIDUAL/COUPLE. They are currently Singing &amp; dancing</v>
      </c>
      <c r="I73" s="34"/>
      <c r="K73" s="7"/>
      <c r="L73" s="7"/>
      <c r="M73" s="26" t="s">
        <v>3761</v>
      </c>
      <c r="N73" s="9" t="s">
        <v>3764</v>
      </c>
      <c r="O73" s="26" t="s">
        <v>3766</v>
      </c>
      <c r="P73" s="9" t="s">
        <v>3765</v>
      </c>
      <c r="Q73" s="9" t="s">
        <v>3767</v>
      </c>
      <c r="R73" s="9" t="s">
        <v>3768</v>
      </c>
      <c r="S73" s="9" t="s">
        <v>3668</v>
      </c>
      <c r="T73" s="26" t="s">
        <v>3769</v>
      </c>
      <c r="U73" s="9" t="s">
        <v>3770</v>
      </c>
      <c r="V73" s="9" t="s">
        <v>3771</v>
      </c>
      <c r="W73" s="9"/>
      <c r="X73" s="7"/>
      <c r="Y73" s="7" t="s">
        <v>3836</v>
      </c>
      <c r="AD73" s="32" t="s">
        <v>3940</v>
      </c>
    </row>
    <row r="74" spans="1:30" ht="15.75" customHeight="1">
      <c r="A74" s="33">
        <v>23</v>
      </c>
      <c r="B74" s="7" t="s">
        <v>1155</v>
      </c>
      <c r="C74" s="33" t="s">
        <v>1158</v>
      </c>
      <c r="D74" s="33" t="s">
        <v>6402</v>
      </c>
      <c r="E74" s="7" t="s">
        <v>1162</v>
      </c>
      <c r="F74" s="7" t="s">
        <v>1198</v>
      </c>
      <c r="G74" s="7"/>
      <c r="H74" s="32" t="str">
        <f ca="1">CONCATENATE("A SMUGGLER, with ",RANDBETWEEN(1,5)," GUARDS. Their equipment is in ",CHOOSE(RANDBETWEEN(1,12),"POOR","MEAGER","EXCELLENT","EXCEPTIONAL","ROBUST","OLD","GOOD","SHODDY","AVERAGE","ABOVE AVERAGE","BELOW AVERAGE","PRISTINE")," condition. They are currently ",INDEX('Random Motivations'!$B$2:$B$101,RANDBETWEEN(1,100)))</f>
        <v>A SMUGGLER, with 1 GUARDS. Their equipment is in MEAGER condition. They are currently Scouting the countryside</v>
      </c>
      <c r="I74" s="34"/>
      <c r="K74" s="7"/>
      <c r="L74" s="7" t="s">
        <v>3678</v>
      </c>
      <c r="M74" s="32" t="s">
        <v>3679</v>
      </c>
      <c r="N74" s="7" t="s">
        <v>3575</v>
      </c>
      <c r="O74" s="7" t="s">
        <v>3670</v>
      </c>
      <c r="P74" s="32" t="s">
        <v>3697</v>
      </c>
      <c r="Q74" s="32" t="s">
        <v>3705</v>
      </c>
      <c r="R74" s="32" t="s">
        <v>3711</v>
      </c>
      <c r="S74" s="32" t="s">
        <v>3719</v>
      </c>
      <c r="T74" s="32" t="s">
        <v>3729</v>
      </c>
      <c r="U74" s="32" t="s">
        <v>3739</v>
      </c>
      <c r="V74" s="32" t="s">
        <v>3749</v>
      </c>
      <c r="W74" s="7"/>
      <c r="X74" s="7"/>
      <c r="Y74" s="7" t="s">
        <v>3837</v>
      </c>
      <c r="AD74" s="32" t="s">
        <v>3941</v>
      </c>
    </row>
    <row r="75" spans="1:30" ht="15.75" customHeight="1">
      <c r="A75" s="33">
        <v>24</v>
      </c>
      <c r="B75" s="7" t="s">
        <v>1165</v>
      </c>
      <c r="C75" s="33" t="s">
        <v>1159</v>
      </c>
      <c r="D75" s="33" t="s">
        <v>6403</v>
      </c>
      <c r="E75" s="7" t="s">
        <v>1163</v>
      </c>
      <c r="F75" s="7" t="s">
        <v>1199</v>
      </c>
      <c r="G75" s="7"/>
      <c r="H75" s="7" t="s">
        <v>523</v>
      </c>
      <c r="I75" s="34"/>
      <c r="K75" s="7"/>
      <c r="L75" s="7"/>
      <c r="M75" s="32" t="s">
        <v>3680</v>
      </c>
      <c r="N75" s="32" t="s">
        <v>1359</v>
      </c>
      <c r="O75" s="32" t="s">
        <v>3674</v>
      </c>
      <c r="P75" s="7" t="s">
        <v>3597</v>
      </c>
      <c r="Q75" s="32" t="s">
        <v>3706</v>
      </c>
      <c r="R75" s="7" t="s">
        <v>3712</v>
      </c>
      <c r="S75" s="32" t="s">
        <v>3720</v>
      </c>
      <c r="T75" s="32" t="s">
        <v>3730</v>
      </c>
      <c r="U75" s="32" t="s">
        <v>3740</v>
      </c>
      <c r="V75" s="32" t="s">
        <v>3750</v>
      </c>
      <c r="W75" s="7"/>
      <c r="X75" s="7"/>
      <c r="Y75" s="7" t="s">
        <v>3838</v>
      </c>
      <c r="AD75" s="32" t="s">
        <v>3942</v>
      </c>
    </row>
    <row r="76" spans="1:30" ht="15.75" customHeight="1">
      <c r="A76" s="33">
        <v>25</v>
      </c>
      <c r="B76" s="7" t="s">
        <v>1166</v>
      </c>
      <c r="C76" s="33" t="s">
        <v>1171</v>
      </c>
      <c r="D76" s="33" t="s">
        <v>6396</v>
      </c>
      <c r="E76" s="7" t="s">
        <v>1164</v>
      </c>
      <c r="F76" s="7"/>
      <c r="G76" s="7"/>
      <c r="H76" s="32" t="s">
        <v>1036</v>
      </c>
      <c r="I76" s="34"/>
      <c r="K76" s="7"/>
      <c r="L76" s="7"/>
      <c r="M76" s="32" t="s">
        <v>3681</v>
      </c>
      <c r="N76" s="32" t="s">
        <v>3577</v>
      </c>
      <c r="O76" s="32" t="s">
        <v>3675</v>
      </c>
      <c r="P76" s="32" t="s">
        <v>2152</v>
      </c>
      <c r="Q76" s="32" t="s">
        <v>3707</v>
      </c>
      <c r="R76" s="32" t="s">
        <v>3713</v>
      </c>
      <c r="S76" s="32" t="s">
        <v>3721</v>
      </c>
      <c r="T76" s="32" t="s">
        <v>3731</v>
      </c>
      <c r="U76" s="32" t="s">
        <v>3741</v>
      </c>
      <c r="V76" s="32" t="s">
        <v>3751</v>
      </c>
      <c r="W76" s="7"/>
      <c r="X76" s="7"/>
      <c r="Y76" s="7" t="s">
        <v>3839</v>
      </c>
      <c r="AD76" s="32" t="s">
        <v>3943</v>
      </c>
    </row>
    <row r="77" spans="1:30" ht="15.75" customHeight="1">
      <c r="A77" s="33">
        <v>26</v>
      </c>
      <c r="B77" s="7" t="s">
        <v>1167</v>
      </c>
      <c r="C77" s="33" t="s">
        <v>1172</v>
      </c>
      <c r="D77" s="33" t="s">
        <v>6404</v>
      </c>
      <c r="E77" s="7" t="s">
        <v>1175</v>
      </c>
      <c r="F77" s="7"/>
      <c r="G77" s="7"/>
      <c r="H77" s="32" t="str">
        <f ca="1">CONCATENATE("A MILITARY PATROL. They are currently ",INDEX('Random Motivations'!$B$2:$B$101,RANDBETWEEN(1,100)))</f>
        <v>A MILITARY PATROL. They are currently Surveying the land for a powerful lord</v>
      </c>
      <c r="I77" s="34"/>
      <c r="K77" s="7"/>
      <c r="L77" s="7"/>
      <c r="M77" s="32" t="s">
        <v>3682</v>
      </c>
      <c r="N77" s="32" t="s">
        <v>3687</v>
      </c>
      <c r="O77" s="32" t="s">
        <v>3690</v>
      </c>
      <c r="P77" s="32" t="s">
        <v>3698</v>
      </c>
      <c r="Q77" s="32" t="s">
        <v>3708</v>
      </c>
      <c r="R77" s="32" t="s">
        <v>3714</v>
      </c>
      <c r="S77" s="32" t="s">
        <v>3722</v>
      </c>
      <c r="T77" s="32" t="s">
        <v>3732</v>
      </c>
      <c r="U77" s="32" t="s">
        <v>3742</v>
      </c>
      <c r="V77" s="32" t="s">
        <v>3752</v>
      </c>
      <c r="W77" s="7"/>
      <c r="X77" s="7"/>
      <c r="Y77" s="7" t="s">
        <v>3840</v>
      </c>
      <c r="AD77" s="32" t="s">
        <v>3944</v>
      </c>
    </row>
    <row r="78" spans="1:30" ht="15.75" customHeight="1">
      <c r="A78" s="33">
        <v>27</v>
      </c>
      <c r="B78" s="7" t="s">
        <v>1168</v>
      </c>
      <c r="C78" s="33" t="s">
        <v>1173</v>
      </c>
      <c r="D78" s="33" t="s">
        <v>6400</v>
      </c>
      <c r="E78" s="7" t="s">
        <v>1181</v>
      </c>
      <c r="F78" s="7"/>
      <c r="G78" s="7"/>
      <c r="H78" s="32" t="str">
        <f ca="1">CONCATENATE("A BEGGARLY BANDIT. They are currently ",INDEX('Random Motivations'!$B$2:$B$101,RANDBETWEEN(1,100)))</f>
        <v>A BEGGARLY BANDIT. They are currently Cooking &amp; eating</v>
      </c>
      <c r="I78" s="34"/>
      <c r="K78" s="7"/>
      <c r="L78" s="7" t="s">
        <v>3678</v>
      </c>
      <c r="M78" s="32" t="s">
        <v>3683</v>
      </c>
      <c r="N78" s="32" t="s">
        <v>3688</v>
      </c>
      <c r="O78" s="32" t="s">
        <v>3585</v>
      </c>
      <c r="P78" s="32" t="s">
        <v>3699</v>
      </c>
      <c r="Q78" s="32" t="s">
        <v>3709</v>
      </c>
      <c r="R78" s="32" t="s">
        <v>3715</v>
      </c>
      <c r="S78" s="32" t="s">
        <v>3723</v>
      </c>
      <c r="T78" s="32" t="s">
        <v>3733</v>
      </c>
      <c r="U78" s="32" t="s">
        <v>3743</v>
      </c>
      <c r="V78" s="32" t="s">
        <v>3753</v>
      </c>
      <c r="W78" s="7"/>
      <c r="X78" s="7"/>
      <c r="Y78" s="7" t="s">
        <v>3841</v>
      </c>
      <c r="AD78" s="32" t="s">
        <v>3945</v>
      </c>
    </row>
    <row r="79" spans="1:30" ht="15.75" customHeight="1">
      <c r="A79" s="33">
        <v>28</v>
      </c>
      <c r="B79" s="7" t="s">
        <v>1169</v>
      </c>
      <c r="C79" s="33" t="s">
        <v>1174</v>
      </c>
      <c r="D79" s="33" t="s">
        <v>6400</v>
      </c>
      <c r="E79" s="7" t="s">
        <v>1182</v>
      </c>
      <c r="F79" s="7"/>
      <c r="G79" s="7"/>
      <c r="H79" s="32" t="str">
        <f ca="1">CONCATENATE("AN OLD WITCH. They are currently ",INDEX('Random Motivations'!$B$2:$B$101,RANDBETWEEN(1,100)))</f>
        <v>AN OLD WITCH. They are currently Fishing (hunting if no body of water is nearby)</v>
      </c>
      <c r="I79" s="34"/>
      <c r="K79" s="7"/>
      <c r="L79" s="7"/>
      <c r="M79" s="32" t="s">
        <v>3762</v>
      </c>
      <c r="N79" s="32" t="s">
        <v>3579</v>
      </c>
      <c r="O79" s="32" t="s">
        <v>3691</v>
      </c>
      <c r="P79" s="32" t="s">
        <v>3599</v>
      </c>
      <c r="Q79" s="32" t="s">
        <v>3710</v>
      </c>
      <c r="R79" s="32" t="s">
        <v>3716</v>
      </c>
      <c r="S79" s="32" t="s">
        <v>3724</v>
      </c>
      <c r="T79" s="32" t="s">
        <v>3734</v>
      </c>
      <c r="U79" s="32" t="s">
        <v>3744</v>
      </c>
      <c r="V79" s="32" t="s">
        <v>3754</v>
      </c>
      <c r="W79" s="7"/>
      <c r="X79" s="7"/>
      <c r="Y79" s="7" t="s">
        <v>3842</v>
      </c>
      <c r="AD79" s="32" t="s">
        <v>3946</v>
      </c>
    </row>
    <row r="80" spans="1:30" ht="15.75" customHeight="1">
      <c r="A80" s="33">
        <v>29</v>
      </c>
      <c r="B80" s="7" t="s">
        <v>1170</v>
      </c>
      <c r="C80" s="33" t="s">
        <v>1177</v>
      </c>
      <c r="D80" s="33" t="s">
        <v>6400</v>
      </c>
      <c r="E80" s="7" t="s">
        <v>1183</v>
      </c>
      <c r="F80" s="7"/>
      <c r="G80" s="7"/>
      <c r="H80" s="32" t="str">
        <f ca="1">CONCATENATE("A CURIOUS HERBALIST. They are currently ",INDEX('Random Motivations'!$B$2:$B$101,RANDBETWEEN(1,100)))</f>
        <v>A CURIOUS HERBALIST. They are currently On patrol</v>
      </c>
      <c r="I80" s="34"/>
      <c r="K80" s="7"/>
      <c r="L80" s="7"/>
      <c r="M80" s="32" t="s">
        <v>3684</v>
      </c>
      <c r="N80" s="32" t="s">
        <v>3580</v>
      </c>
      <c r="O80" s="32" t="s">
        <v>3593</v>
      </c>
      <c r="P80" s="32" t="s">
        <v>3700</v>
      </c>
      <c r="Q80" s="7"/>
      <c r="R80" s="32" t="s">
        <v>3717</v>
      </c>
      <c r="S80" s="32" t="s">
        <v>3725</v>
      </c>
      <c r="T80" s="32" t="s">
        <v>3735</v>
      </c>
      <c r="U80" s="32" t="s">
        <v>3745</v>
      </c>
      <c r="V80" s="32" t="s">
        <v>3755</v>
      </c>
      <c r="W80" s="7"/>
      <c r="X80" s="7"/>
      <c r="Y80" s="7" t="s">
        <v>3843</v>
      </c>
      <c r="AD80" s="32" t="s">
        <v>3947</v>
      </c>
    </row>
    <row r="81" spans="1:30" ht="15.75" customHeight="1">
      <c r="A81" s="33">
        <v>30</v>
      </c>
      <c r="B81" s="7" t="s">
        <v>1176</v>
      </c>
      <c r="C81" s="33" t="s">
        <v>1178</v>
      </c>
      <c r="D81" s="33" t="s">
        <v>6400</v>
      </c>
      <c r="E81" s="7" t="s">
        <v>1184</v>
      </c>
      <c r="F81" s="7"/>
      <c r="G81" s="7"/>
      <c r="H81" s="32" t="s">
        <v>1037</v>
      </c>
      <c r="I81" s="34"/>
      <c r="K81" s="7"/>
      <c r="L81" s="7"/>
      <c r="M81" s="32" t="s">
        <v>3685</v>
      </c>
      <c r="N81" s="32" t="s">
        <v>3581</v>
      </c>
      <c r="O81" s="7" t="s">
        <v>3692</v>
      </c>
      <c r="P81" s="32" t="s">
        <v>3701</v>
      </c>
      <c r="Q81" s="7"/>
      <c r="R81" s="32" t="s">
        <v>3718</v>
      </c>
      <c r="S81" s="32" t="s">
        <v>3726</v>
      </c>
      <c r="T81" s="32" t="s">
        <v>3736</v>
      </c>
      <c r="U81" s="32" t="s">
        <v>3746</v>
      </c>
      <c r="V81" s="32" t="s">
        <v>3756</v>
      </c>
      <c r="W81" s="7"/>
      <c r="X81" s="7"/>
      <c r="Y81" s="7" t="s">
        <v>3844</v>
      </c>
      <c r="AD81" s="32" t="s">
        <v>3948</v>
      </c>
    </row>
    <row r="82" spans="1:30" ht="15.75" customHeight="1">
      <c r="A82" s="33">
        <v>31</v>
      </c>
      <c r="B82" s="7" t="s">
        <v>1187</v>
      </c>
      <c r="C82" s="33" t="s">
        <v>1200</v>
      </c>
      <c r="D82" s="33" t="s">
        <v>6400</v>
      </c>
      <c r="E82" s="7" t="s">
        <v>1188</v>
      </c>
      <c r="F82" s="7"/>
      <c r="G82" s="7"/>
      <c r="H82" s="32" t="s">
        <v>1038</v>
      </c>
      <c r="I82" s="34"/>
      <c r="K82" s="7"/>
      <c r="L82" s="7"/>
      <c r="M82" s="32" t="s">
        <v>3763</v>
      </c>
      <c r="N82" s="32" t="s">
        <v>3582</v>
      </c>
      <c r="O82" s="32" t="s">
        <v>3693</v>
      </c>
      <c r="P82" s="32" t="s">
        <v>2273</v>
      </c>
      <c r="Q82" s="7"/>
      <c r="R82" s="7"/>
      <c r="S82" s="32" t="s">
        <v>3727</v>
      </c>
      <c r="T82" s="32" t="s">
        <v>3737</v>
      </c>
      <c r="U82" s="32" t="s">
        <v>3747</v>
      </c>
      <c r="V82" s="32" t="s">
        <v>3757</v>
      </c>
      <c r="W82" s="7"/>
      <c r="X82" s="7"/>
    </row>
    <row r="83" spans="1:30" ht="15.75" customHeight="1">
      <c r="A83" s="33">
        <v>32</v>
      </c>
      <c r="B83" s="7" t="s">
        <v>1202</v>
      </c>
      <c r="C83" s="33" t="s">
        <v>1179</v>
      </c>
      <c r="D83" s="33"/>
      <c r="E83" s="7" t="s">
        <v>1192</v>
      </c>
      <c r="F83" s="7"/>
      <c r="G83" s="7"/>
      <c r="H83" s="32" t="str">
        <f ca="1">CONCATENATE("AN INTREPID HUNTER. They are currently ",INDEX('Random Motivations'!$B$2:$B$101,RANDBETWEEN(1,100)))</f>
        <v>AN INTREPID HUNTER. They are currently Searching for an escaped captive</v>
      </c>
      <c r="I83" s="34"/>
      <c r="K83" s="7"/>
      <c r="L83" s="7"/>
      <c r="M83" s="32" t="s">
        <v>3686</v>
      </c>
      <c r="N83" s="32" t="s">
        <v>3689</v>
      </c>
      <c r="O83" s="32" t="s">
        <v>3694</v>
      </c>
      <c r="P83" s="32" t="s">
        <v>3702</v>
      </c>
      <c r="Q83" s="7"/>
      <c r="R83" s="7"/>
      <c r="S83" s="32" t="s">
        <v>3728</v>
      </c>
      <c r="T83" s="32" t="s">
        <v>3738</v>
      </c>
      <c r="U83" s="32" t="s">
        <v>3748</v>
      </c>
      <c r="V83" s="32" t="s">
        <v>3758</v>
      </c>
      <c r="W83" s="7"/>
      <c r="X83" s="7"/>
    </row>
    <row r="84" spans="1:30" ht="15.75" customHeight="1">
      <c r="A84" s="33">
        <v>33</v>
      </c>
      <c r="B84" s="7" t="s">
        <v>1203</v>
      </c>
      <c r="C84" s="33" t="s">
        <v>1180</v>
      </c>
      <c r="D84" s="33"/>
      <c r="E84" s="7" t="s">
        <v>1193</v>
      </c>
      <c r="F84" s="7"/>
      <c r="G84" s="7"/>
      <c r="H84" s="32" t="str">
        <f ca="1">CONCATENATE("A BEAUTIFUL WITCH. They are currently ",INDEX('Random Motivations'!$B$2:$B$101,RANDBETWEEN(1,100)))</f>
        <v>A BEAUTIFUL WITCH. They are currently Cooking &amp; eating</v>
      </c>
      <c r="I84" s="34"/>
      <c r="K84" s="7"/>
      <c r="L84" s="7"/>
      <c r="N84" s="7"/>
      <c r="O84" s="32" t="s">
        <v>3695</v>
      </c>
      <c r="P84" s="32" t="s">
        <v>3703</v>
      </c>
      <c r="Q84" s="7"/>
      <c r="R84" s="7"/>
      <c r="S84" s="7"/>
      <c r="T84" s="7"/>
      <c r="V84" s="32" t="s">
        <v>3759</v>
      </c>
      <c r="W84" s="7"/>
      <c r="X84" s="7"/>
    </row>
    <row r="85" spans="1:30" ht="15.75" customHeight="1">
      <c r="A85" s="33">
        <v>34</v>
      </c>
      <c r="B85" s="7" t="s">
        <v>1204</v>
      </c>
      <c r="C85" s="33" t="s">
        <v>1191</v>
      </c>
      <c r="D85" s="33"/>
      <c r="E85" s="7" t="s">
        <v>1194</v>
      </c>
      <c r="F85" s="7"/>
      <c r="G85" s="7"/>
      <c r="H85" s="32" t="str">
        <f ca="1">CONCATENATE("A HORRIBLE WITCH. They are currently ",INDEX('Random Motivations'!$B$2:$B$101,RANDBETWEEN(1,100)))</f>
        <v>A HORRIBLE WITCH. They are currently Mining or excavating</v>
      </c>
      <c r="I85" s="34"/>
      <c r="K85" s="7"/>
      <c r="L85" s="7"/>
      <c r="N85" s="7"/>
      <c r="O85" s="32" t="s">
        <v>3696</v>
      </c>
      <c r="P85" s="32" t="s">
        <v>3704</v>
      </c>
      <c r="Q85" s="7"/>
      <c r="R85" s="7"/>
      <c r="S85" s="7"/>
      <c r="T85" s="7"/>
      <c r="V85" s="32" t="s">
        <v>3760</v>
      </c>
      <c r="W85" s="7"/>
      <c r="X85" s="7"/>
    </row>
    <row r="86" spans="1:30" ht="15.75" customHeight="1">
      <c r="A86" s="33">
        <v>35</v>
      </c>
      <c r="B86" s="7" t="s">
        <v>1205</v>
      </c>
      <c r="C86" s="33" t="s">
        <v>1210</v>
      </c>
      <c r="D86" s="33"/>
      <c r="E86" s="7" t="s">
        <v>1212</v>
      </c>
      <c r="F86" s="7"/>
      <c r="G86" s="7"/>
      <c r="H86" s="32" t="str">
        <f ca="1">CONCATENATE("AN IRRITABLE INDIVIDUAL. They are currently ",INDEX('Random Motivations'!$B$2:$B$101,RANDBETWEEN(1,100)))</f>
        <v>AN IRRITABLE INDIVIDUAL. They are currently Praying</v>
      </c>
      <c r="I86" s="34"/>
      <c r="K86" s="7"/>
      <c r="L86" s="7"/>
      <c r="N86" s="7"/>
      <c r="O86" s="7"/>
      <c r="P86" s="7"/>
      <c r="Q86" s="7"/>
      <c r="R86" s="7"/>
      <c r="S86" s="7"/>
      <c r="T86" s="7"/>
      <c r="V86" s="7"/>
      <c r="W86" s="7"/>
      <c r="X86" s="7"/>
    </row>
    <row r="87" spans="1:30" ht="15.75" customHeight="1">
      <c r="A87" s="33">
        <v>36</v>
      </c>
      <c r="B87" s="7" t="s">
        <v>1206</v>
      </c>
      <c r="C87" s="33" t="s">
        <v>1211</v>
      </c>
      <c r="D87" s="33"/>
      <c r="E87" s="7" t="s">
        <v>1213</v>
      </c>
      <c r="F87" s="7"/>
      <c r="G87" s="7"/>
      <c r="H87" s="32" t="str">
        <f ca="1">CONCATENATE("A MERCENARY GROUP. Their equipment is in ",CHOOSE(RANDBETWEEN(1,12),"POOR","MEAGER","EXCELLENT","EXCEPTIONAL","ROBUST","OLD","GOOD","SHODDY","AVERAGE","ABOVE AVERAGE","BELOW AVERAGE","PRISTINE")," condition. They are currently  ",INDEX('Random Motivations'!$B$2:$B$101,RANDBETWEEN(1,100)))</f>
        <v>A MERCENARY GROUP. Their equipment is in EXCEPTIONAL condition. They are currently  Logging</v>
      </c>
      <c r="I87" s="34"/>
      <c r="K87" s="7"/>
      <c r="L87" s="7"/>
      <c r="N87" s="7"/>
      <c r="O87" s="7"/>
      <c r="P87" s="7"/>
      <c r="Q87" s="7"/>
      <c r="R87" s="7"/>
      <c r="S87" s="7"/>
      <c r="T87" s="7"/>
      <c r="V87" s="7"/>
      <c r="W87" s="7"/>
      <c r="X87" s="7"/>
    </row>
    <row r="88" spans="1:30" ht="15.75" customHeight="1">
      <c r="A88" s="33">
        <v>37</v>
      </c>
      <c r="B88" s="7" t="s">
        <v>1207</v>
      </c>
      <c r="C88" s="33"/>
      <c r="D88" s="33"/>
      <c r="E88" s="7" t="s">
        <v>1214</v>
      </c>
      <c r="F88" s="7"/>
      <c r="G88" s="7"/>
      <c r="H88" s="7" t="s">
        <v>1152</v>
      </c>
      <c r="I88" s="34"/>
      <c r="K88" s="7"/>
      <c r="L88" s="7"/>
      <c r="N88" s="7"/>
      <c r="O88" s="7"/>
      <c r="P88" s="7"/>
      <c r="Q88" s="7"/>
      <c r="R88" s="7"/>
      <c r="S88" s="7"/>
      <c r="T88" s="7"/>
      <c r="V88" s="7"/>
      <c r="W88" s="7"/>
      <c r="X88" s="7"/>
    </row>
    <row r="89" spans="1:30" ht="15.75" customHeight="1">
      <c r="A89" s="33">
        <v>38</v>
      </c>
      <c r="B89" s="7" t="s">
        <v>1208</v>
      </c>
      <c r="C89" s="33"/>
      <c r="D89" s="33"/>
      <c r="E89" s="7"/>
      <c r="F89" s="7"/>
      <c r="G89" s="7"/>
      <c r="H89" s="7" t="s">
        <v>1151</v>
      </c>
      <c r="I89" s="34"/>
      <c r="K89" s="7"/>
      <c r="L89" s="7"/>
      <c r="N89" s="7"/>
      <c r="O89" s="7"/>
      <c r="P89" s="7"/>
      <c r="Q89" s="7"/>
      <c r="R89" s="7"/>
      <c r="S89" s="7"/>
      <c r="T89" s="7"/>
      <c r="V89" s="7"/>
      <c r="W89" s="7"/>
      <c r="X89" s="7"/>
    </row>
    <row r="90" spans="1:30" ht="15.75" customHeight="1">
      <c r="A90" s="33">
        <v>39</v>
      </c>
      <c r="B90" s="7" t="s">
        <v>1209</v>
      </c>
      <c r="C90" s="33"/>
      <c r="D90" s="33"/>
      <c r="E90" s="7"/>
      <c r="F90" s="7"/>
      <c r="G90" s="7"/>
      <c r="H90" s="7" t="str">
        <f ca="1">CONCATENATE("A ",RANDBETWEEN(2,10)," PERSON WARBAND. They are currently ",INDEX('Random Motivations'!$B$2:$B$101,RANDBETWEEN(1,100)))</f>
        <v>A 6 PERSON WARBAND. They are currently Following a treasure map</v>
      </c>
      <c r="I90" s="34"/>
      <c r="K90" s="7"/>
      <c r="L90" s="7"/>
      <c r="N90" s="7"/>
      <c r="O90" s="7"/>
      <c r="P90" s="7"/>
      <c r="Q90" s="7"/>
      <c r="R90" s="7"/>
      <c r="S90" s="7"/>
      <c r="T90" s="7"/>
      <c r="V90" s="7"/>
      <c r="W90" s="7"/>
      <c r="X90" s="7"/>
    </row>
    <row r="91" spans="1:30" ht="15.75" customHeight="1">
      <c r="A91" s="33">
        <v>40</v>
      </c>
      <c r="B91" s="7" t="s">
        <v>1215</v>
      </c>
      <c r="C91" s="33"/>
      <c r="D91" s="33"/>
      <c r="E91" s="7"/>
      <c r="F91" s="7"/>
      <c r="G91" s="7"/>
      <c r="H91" s="7" t="str">
        <f ca="1">CONCATENATE("A GROUP OF ",RANDBETWEEN(2,30)," REFUGEES. They are currently ",INDEX('Random Motivations'!$B$2:$B$101,RANDBETWEEN(1,100)))</f>
        <v>A GROUP OF 12 REFUGEES. They are currently Appears to be arguing with a random object</v>
      </c>
      <c r="I91" s="34"/>
      <c r="K91" s="7"/>
      <c r="L91" s="7"/>
      <c r="N91" s="7"/>
      <c r="O91" s="7"/>
      <c r="P91" s="7"/>
      <c r="Q91" s="7"/>
      <c r="R91" s="7"/>
      <c r="S91" s="7"/>
      <c r="T91" s="7"/>
      <c r="V91" s="7"/>
      <c r="W91" s="7"/>
      <c r="X91" s="7"/>
    </row>
    <row r="92" spans="1:30" ht="15.75" customHeight="1">
      <c r="A92" s="33">
        <v>41</v>
      </c>
      <c r="B92" s="7"/>
      <c r="C92" s="33"/>
      <c r="D92" s="33"/>
      <c r="E92" s="7"/>
      <c r="F92" s="7"/>
      <c r="G92" s="7"/>
      <c r="H92" s="7" t="str">
        <f ca="1">CONCATENATE("A WANDERING CLAN OF ",RANDBETWEEN(4,20), " INDIVIDUALS. They are currently ",INDEX('Random Motivations'!$B$2:$B$101,RANDBETWEEN(1,100)))</f>
        <v>A WANDERING CLAN OF 8 INDIVIDUALS. They are currently Fortifying or digging in</v>
      </c>
      <c r="I92" s="34"/>
      <c r="K92" s="7"/>
      <c r="L92" s="7"/>
      <c r="P92" s="7"/>
      <c r="Q92" s="7"/>
      <c r="R92" s="7"/>
      <c r="S92" s="7"/>
      <c r="T92" s="7"/>
      <c r="V92" s="7"/>
      <c r="W92" s="7"/>
      <c r="X92" s="7"/>
    </row>
    <row r="93" spans="1:30" ht="15.75" customHeight="1">
      <c r="A93" s="33">
        <v>42</v>
      </c>
      <c r="B93" s="7"/>
      <c r="C93" s="33"/>
      <c r="D93" s="33"/>
      <c r="E93" s="7"/>
      <c r="F93" s="7"/>
      <c r="G93" s="7"/>
      <c r="H93" s="7" t="str">
        <f ca="1">CONCATENATE("A FUGITIVE. They are currently ",INDEX('Random Motivations'!$B$2:$B$101,RANDBETWEEN(1,100)))</f>
        <v>A FUGITIVE. They are currently Praying</v>
      </c>
      <c r="I93" s="34"/>
      <c r="K93" s="7"/>
      <c r="L93" s="7"/>
      <c r="M93" s="26" t="s">
        <v>3786</v>
      </c>
      <c r="N93" s="26" t="s">
        <v>3666</v>
      </c>
      <c r="P93" s="7"/>
      <c r="Q93" s="7"/>
      <c r="R93" s="7"/>
      <c r="S93" s="7"/>
      <c r="T93" s="7"/>
      <c r="V93" s="7"/>
      <c r="W93" s="7"/>
      <c r="X93" s="7"/>
    </row>
    <row r="94" spans="1:30" ht="15.75" customHeight="1">
      <c r="A94" s="33">
        <v>43</v>
      </c>
      <c r="B94" s="7"/>
      <c r="C94" s="33"/>
      <c r="D94" s="33"/>
      <c r="E94" s="7"/>
      <c r="F94" s="7"/>
      <c r="G94" s="7"/>
      <c r="H94" s="7" t="str">
        <f ca="1">CONCATENATE("A STUBBORN MINER. They are currently ",INDEX('Random Motivations'!$B$2:$B$101,RANDBETWEEN(1,100)))</f>
        <v>A STUBBORN MINER. They are currently On a pilgrimage</v>
      </c>
      <c r="I94" s="34"/>
      <c r="K94" s="7"/>
      <c r="L94" s="7"/>
      <c r="M94" s="32" t="s">
        <v>3774</v>
      </c>
      <c r="N94" s="32" t="s">
        <v>3779</v>
      </c>
      <c r="P94" s="7"/>
      <c r="Q94" s="7"/>
      <c r="R94" s="7"/>
      <c r="S94" s="7"/>
      <c r="T94" s="7"/>
      <c r="V94" s="7"/>
      <c r="W94" s="7"/>
      <c r="X94" s="7"/>
    </row>
    <row r="95" spans="1:30" ht="15.75" customHeight="1">
      <c r="A95" s="33">
        <v>44</v>
      </c>
      <c r="B95" s="7"/>
      <c r="C95" s="33"/>
      <c r="D95" s="33"/>
      <c r="E95" s="7"/>
      <c r="F95" s="7"/>
      <c r="G95" s="7"/>
      <c r="H95" s="7" t="str">
        <f ca="1">CONCATENATE("A MYSTIC. They are currently ",INDEX('Random Motivations'!$B$2:$B$101,RANDBETWEEN(1,100)))</f>
        <v>A MYSTIC. They are currently Stripping a dead body of valuables</v>
      </c>
      <c r="I95" s="34"/>
      <c r="K95" s="7"/>
      <c r="L95" s="7"/>
      <c r="M95" s="32" t="s">
        <v>3632</v>
      </c>
      <c r="N95" s="32" t="s">
        <v>3780</v>
      </c>
      <c r="P95" s="7"/>
      <c r="Q95" s="7"/>
      <c r="R95" s="7"/>
      <c r="S95" s="7"/>
      <c r="T95" s="7"/>
      <c r="V95" s="7"/>
      <c r="W95" s="7"/>
      <c r="X95" s="7"/>
    </row>
    <row r="96" spans="1:30" ht="15.75" customHeight="1">
      <c r="A96" s="33">
        <v>45</v>
      </c>
      <c r="B96" s="7"/>
      <c r="C96" s="33"/>
      <c r="D96" s="33"/>
      <c r="E96" s="7"/>
      <c r="F96" s="7"/>
      <c r="G96" s="7"/>
      <c r="H96" s="7" t="str">
        <f ca="1">CONCATENATE(RANDBETWEEN(1,5)," SCOUTS FOR A ",CHOOSE(RANDBETWEEN(1,3),"ALLIED","ENEMY","UNALIGNED"), " ARMY. They are currently ",INDEX('Random Motivations'!$B$2:$B$101,RANDBETWEEN(1,100)))</f>
        <v>2 SCOUTS FOR A UNALIGNED ARMY. They are currently Migrating to a new home</v>
      </c>
      <c r="I96" s="34"/>
      <c r="K96" s="7"/>
      <c r="L96" s="7"/>
      <c r="M96" s="32" t="s">
        <v>3775</v>
      </c>
      <c r="N96" s="32" t="s">
        <v>3781</v>
      </c>
      <c r="P96" s="7"/>
      <c r="Q96" s="7"/>
      <c r="R96" s="7"/>
      <c r="S96" s="7"/>
      <c r="T96" s="7"/>
      <c r="V96" s="7"/>
      <c r="W96" s="7"/>
      <c r="X96" s="7"/>
    </row>
    <row r="97" spans="1:24" ht="15.75" customHeight="1">
      <c r="A97" s="33">
        <v>46</v>
      </c>
      <c r="B97" s="7"/>
      <c r="C97" s="33"/>
      <c r="D97" s="33"/>
      <c r="E97" s="7"/>
      <c r="F97" s="7"/>
      <c r="G97" s="7"/>
      <c r="H97" s="7" t="str">
        <f ca="1">CONCATENATE(RANDBETWEEN(3,9)," OUTLAWS. They are currently ",INDEX('Random Motivations'!$B$2:$B$101,RANDBETWEEN(1,100)))</f>
        <v>7 OUTLAWS. They are currently Waiting for a dramatic event in the sky</v>
      </c>
      <c r="I97" s="34"/>
      <c r="K97" s="7"/>
      <c r="L97" s="7"/>
      <c r="M97" s="32" t="s">
        <v>3776</v>
      </c>
      <c r="N97" s="32" t="s">
        <v>3782</v>
      </c>
      <c r="P97" s="7"/>
      <c r="Q97" s="7"/>
      <c r="R97" s="7"/>
      <c r="S97" s="7"/>
      <c r="T97" s="7"/>
      <c r="V97" s="7"/>
      <c r="W97" s="7"/>
      <c r="X97" s="7"/>
    </row>
    <row r="98" spans="1:24" ht="15.75" customHeight="1">
      <c r="A98" s="33">
        <v>47</v>
      </c>
      <c r="B98" s="7"/>
      <c r="C98" s="33"/>
      <c r="D98" s="33"/>
      <c r="E98" s="7"/>
      <c r="F98" s="7"/>
      <c r="G98" s="7"/>
      <c r="H98" s="7" t="str">
        <f ca="1">CONCATENATE(RANDBETWEEN(1,3)," WANDERING PRIESTS. They are currently ",INDEX('Random Motivations'!$B$2:$B$101,RANDBETWEEN(1,100)))</f>
        <v>3 WANDERING PRIESTS. They are currently Stripping a dead body of valuables</v>
      </c>
      <c r="I98" s="34"/>
      <c r="K98" s="7"/>
      <c r="L98" s="7"/>
      <c r="M98" s="32" t="s">
        <v>3777</v>
      </c>
      <c r="N98" s="32" t="s">
        <v>3783</v>
      </c>
      <c r="P98" s="7"/>
      <c r="Q98" s="7"/>
      <c r="R98" s="7"/>
      <c r="S98" s="7"/>
      <c r="T98" s="7"/>
      <c r="V98" s="7"/>
      <c r="W98" s="7"/>
      <c r="X98" s="7"/>
    </row>
    <row r="99" spans="1:24" ht="15.75" customHeight="1">
      <c r="A99" s="33">
        <v>48</v>
      </c>
      <c r="B99" s="7"/>
      <c r="C99" s="33"/>
      <c r="D99" s="33"/>
      <c r="E99" s="7"/>
      <c r="F99" s="7"/>
      <c r="G99" s="7"/>
      <c r="H99" s="7" t="str">
        <f ca="1">CONCATENATE(RANDBETWEEN(1,4)," ROBBERS, They are currently ",INDEX('Random Motivations'!$B$2:$B$101,RANDBETWEEN(1,100)))</f>
        <v>1 ROBBERS, They are currently Celebrating a religious festival</v>
      </c>
      <c r="I99" s="7"/>
      <c r="K99" s="7"/>
      <c r="L99" s="7"/>
      <c r="M99" s="32" t="s">
        <v>3778</v>
      </c>
      <c r="N99" s="32" t="s">
        <v>3784</v>
      </c>
      <c r="P99" s="7"/>
      <c r="Q99" s="7"/>
      <c r="R99" s="7"/>
      <c r="S99" s="7"/>
      <c r="T99" s="7"/>
      <c r="V99" s="7"/>
      <c r="W99" s="7"/>
      <c r="X99" s="7"/>
    </row>
    <row r="100" spans="1:24" ht="15.75" customHeight="1">
      <c r="A100" s="33">
        <v>49</v>
      </c>
      <c r="B100" s="7"/>
      <c r="C100" s="33"/>
      <c r="D100" s="33"/>
      <c r="E100" s="7"/>
      <c r="F100" s="7"/>
      <c r="G100" s="7"/>
      <c r="H100" s="7" t="s">
        <v>1185</v>
      </c>
      <c r="I100" s="7"/>
      <c r="K100" s="7"/>
      <c r="L100" s="7"/>
      <c r="N100" s="32" t="s">
        <v>3630</v>
      </c>
      <c r="P100" s="7"/>
      <c r="Q100" s="7"/>
      <c r="R100" s="7"/>
      <c r="S100" s="7"/>
      <c r="T100" s="7"/>
      <c r="V100" s="7"/>
      <c r="W100" s="7"/>
      <c r="X100" s="7"/>
    </row>
    <row r="101" spans="1:24" ht="15.75" customHeight="1">
      <c r="A101" s="33">
        <v>50</v>
      </c>
      <c r="B101" s="7"/>
      <c r="C101" s="33"/>
      <c r="D101" s="33"/>
      <c r="E101" s="7"/>
      <c r="F101" s="7"/>
      <c r="G101" s="7"/>
      <c r="H101" s="7" t="s">
        <v>1186</v>
      </c>
      <c r="I101" s="7"/>
      <c r="K101" s="7"/>
      <c r="L101" s="7"/>
      <c r="N101" s="32" t="s">
        <v>3785</v>
      </c>
      <c r="P101" s="7"/>
      <c r="Q101" s="7"/>
      <c r="R101" s="7"/>
      <c r="S101" s="7"/>
      <c r="T101" s="7"/>
      <c r="V101" s="7"/>
      <c r="W101" s="7"/>
      <c r="X101" s="7"/>
    </row>
    <row r="102" spans="1:24" ht="15.75" customHeight="1">
      <c r="A102" s="33">
        <v>51</v>
      </c>
      <c r="B102" s="7"/>
      <c r="C102" s="33"/>
      <c r="D102" s="33"/>
      <c r="E102" s="7"/>
      <c r="F102" s="7"/>
      <c r="G102" s="7"/>
      <c r="H102" s="7" t="str">
        <f ca="1">CONCATENATE("A ",CHOOSE(RANDBETWEEN(1,4),"EMPTY","OCCUPIED","RECENTLY OCCUPIED","FRESHLY OCCUPIED")," COFFIN")</f>
        <v>A RECENTLY OCCUPIED COFFIN</v>
      </c>
      <c r="I102" s="7"/>
      <c r="K102" s="7"/>
      <c r="L102" s="7"/>
      <c r="N102" s="7"/>
      <c r="O102" s="7"/>
      <c r="P102" s="7"/>
      <c r="Q102" s="7"/>
      <c r="R102" s="7"/>
      <c r="S102" s="7"/>
      <c r="T102" s="7"/>
      <c r="V102" s="7"/>
      <c r="W102" s="7"/>
      <c r="X102" s="7"/>
    </row>
    <row r="103" spans="1:24" ht="15.75" customHeight="1">
      <c r="A103" s="33">
        <v>52</v>
      </c>
      <c r="B103" s="7"/>
      <c r="C103" s="33"/>
      <c r="D103" s="33"/>
      <c r="E103" s="7"/>
      <c r="F103" s="7"/>
      <c r="G103" s="7"/>
      <c r="H103" s="7" t="s">
        <v>1189</v>
      </c>
      <c r="I103" s="7"/>
      <c r="K103" s="7"/>
      <c r="L103" s="7"/>
      <c r="N103" s="7"/>
      <c r="O103" s="7"/>
      <c r="P103" s="7"/>
      <c r="Q103" s="7"/>
      <c r="R103" s="7"/>
      <c r="S103" s="7"/>
      <c r="T103" s="7"/>
      <c r="V103" s="7"/>
      <c r="W103" s="7"/>
      <c r="X103" s="7"/>
    </row>
    <row r="104" spans="1:24" ht="15.75" customHeight="1">
      <c r="A104" s="33">
        <v>53</v>
      </c>
      <c r="B104" s="7"/>
      <c r="C104" s="33"/>
      <c r="D104" s="33"/>
      <c r="E104" s="7"/>
      <c r="F104" s="7"/>
      <c r="G104" s="7"/>
      <c r="H104" s="7" t="s">
        <v>1190</v>
      </c>
      <c r="I104" s="7"/>
      <c r="K104" s="7"/>
      <c r="L104" s="7"/>
      <c r="M104" s="32" t="s">
        <v>3802</v>
      </c>
      <c r="N104" s="7" t="s">
        <v>3803</v>
      </c>
      <c r="O104" s="7"/>
      <c r="P104" s="7"/>
      <c r="Q104" s="7"/>
      <c r="R104" s="7"/>
      <c r="S104" s="7"/>
      <c r="T104" s="7"/>
      <c r="V104" s="7"/>
      <c r="W104" s="7"/>
      <c r="X104" s="7"/>
    </row>
    <row r="105" spans="1:24" ht="15.75" customHeight="1">
      <c r="A105" s="33">
        <v>54</v>
      </c>
      <c r="B105" s="7"/>
      <c r="C105" s="33"/>
      <c r="D105" s="33"/>
      <c r="E105" s="7"/>
      <c r="F105" s="7"/>
      <c r="G105" s="7"/>
      <c r="H105" s="7" t="s">
        <v>1195</v>
      </c>
      <c r="I105" s="7"/>
      <c r="K105" s="7"/>
      <c r="L105" s="7"/>
      <c r="M105" s="32" t="s">
        <v>3788</v>
      </c>
      <c r="N105" s="32" t="s">
        <v>3794</v>
      </c>
      <c r="O105" s="7"/>
      <c r="P105" s="7"/>
      <c r="Q105" s="7"/>
      <c r="R105" s="7"/>
      <c r="S105" s="7"/>
      <c r="T105" s="7"/>
      <c r="V105" s="7"/>
      <c r="W105" s="7"/>
      <c r="X105" s="7"/>
    </row>
    <row r="106" spans="1:24" ht="15.75" customHeight="1">
      <c r="A106" s="33">
        <v>55</v>
      </c>
      <c r="B106" s="7"/>
      <c r="C106" s="33"/>
      <c r="D106" s="7"/>
      <c r="E106" s="7"/>
      <c r="F106" s="7"/>
      <c r="G106" s="7"/>
      <c r="H106" s="7" t="str">
        <f ca="1">CONCATENATE("A MINING COMPANY OF ",RANDBETWEEN(5,20),". They are currently ",INDEX('Random Motivations'!$B$2:$B$101,RANDBETWEEN(1,100)))</f>
        <v>A MINING COMPANY OF 17. They are currently Arguing amongst themselves</v>
      </c>
      <c r="I106" s="7"/>
      <c r="K106" s="7"/>
      <c r="L106" s="7"/>
      <c r="M106" s="32" t="s">
        <v>3789</v>
      </c>
      <c r="N106" s="32" t="s">
        <v>3795</v>
      </c>
      <c r="O106" s="7"/>
      <c r="P106" s="7"/>
      <c r="Q106" s="7"/>
      <c r="R106" s="7"/>
      <c r="S106" s="7"/>
      <c r="T106" s="7"/>
      <c r="V106" s="7"/>
      <c r="W106" s="7"/>
      <c r="X106" s="7"/>
    </row>
    <row r="107" spans="1:24" ht="15.75" customHeight="1">
      <c r="A107" s="33">
        <v>56</v>
      </c>
      <c r="B107" s="7"/>
      <c r="C107" s="33"/>
      <c r="D107" s="7"/>
      <c r="E107" s="7"/>
      <c r="F107" s="7"/>
      <c r="G107" s="7"/>
      <c r="H107" s="7" t="str">
        <f ca="1">CONCATENATE("A TREASURE HUNTER. They are currently ",INDEX('Random Motivations'!$B$2:$B$101,RANDBETWEEN(1,100)))</f>
        <v>A TREASURE HUNTER. They are currently Waiting for a dramatic event in the sky</v>
      </c>
      <c r="I107" s="7"/>
      <c r="K107" s="7"/>
      <c r="L107" s="7"/>
      <c r="M107" s="32" t="s">
        <v>3790</v>
      </c>
      <c r="N107" s="32" t="s">
        <v>3796</v>
      </c>
      <c r="O107" s="7"/>
      <c r="P107" s="7"/>
      <c r="Q107" s="7"/>
      <c r="R107" s="7"/>
      <c r="S107" s="7"/>
      <c r="T107" s="7"/>
      <c r="U107" s="7"/>
      <c r="V107" s="7"/>
      <c r="W107" s="7"/>
      <c r="X107" s="7"/>
    </row>
    <row r="108" spans="1:24" ht="15.75" customHeight="1">
      <c r="A108" s="33">
        <v>57</v>
      </c>
      <c r="B108" s="7"/>
      <c r="C108" s="33"/>
      <c r="D108" s="7"/>
      <c r="E108" s="7"/>
      <c r="F108" s="7"/>
      <c r="G108" s="7"/>
      <c r="H108" s="7" t="str">
        <f ca="1">CONCATENATE(RANDBETWEEN(3,8)," ROBBERS, They are currently ",INDEX('Random Motivations'!$B$2:$B$101,RANDBETWEEN(1,100)))</f>
        <v>8 ROBBERS, They are currently Sick or diseased</v>
      </c>
      <c r="I108" s="7"/>
      <c r="K108" s="7"/>
      <c r="L108" s="7"/>
      <c r="M108" s="32" t="s">
        <v>3791</v>
      </c>
      <c r="N108" s="32" t="s">
        <v>3797</v>
      </c>
      <c r="O108" s="7"/>
      <c r="P108" s="7"/>
      <c r="Q108" s="7"/>
      <c r="R108" s="7"/>
      <c r="S108" s="7"/>
      <c r="T108" s="7"/>
      <c r="U108" s="7"/>
      <c r="V108" s="7"/>
      <c r="W108" s="7"/>
      <c r="X108" s="7"/>
    </row>
    <row r="109" spans="1:24" ht="15.75" customHeight="1">
      <c r="A109" s="33">
        <v>58</v>
      </c>
      <c r="B109" s="7"/>
      <c r="C109" s="33"/>
      <c r="D109" s="7"/>
      <c r="E109" s="7"/>
      <c r="F109" s="7"/>
      <c r="G109" s="7"/>
      <c r="H109" s="7" t="str">
        <f ca="1">CONCATENATE(RANDBETWEEN(6,16)," OUTLAWS. They are currently ",INDEX('Random Motivations'!$B$2:$B$101,RANDBETWEEN(1,100)))</f>
        <v>14 OUTLAWS. They are currently Fishing (hunting if no body of water is nearby)</v>
      </c>
      <c r="I109" s="7"/>
      <c r="K109" s="7"/>
      <c r="L109" s="7"/>
      <c r="M109" s="32" t="s">
        <v>3792</v>
      </c>
      <c r="N109" s="32" t="s">
        <v>3798</v>
      </c>
      <c r="O109" s="7"/>
      <c r="P109" s="7"/>
      <c r="Q109" s="7"/>
      <c r="R109" s="7"/>
      <c r="S109" s="7"/>
      <c r="T109" s="7"/>
      <c r="U109" s="7"/>
      <c r="V109" s="7"/>
      <c r="W109" s="7"/>
      <c r="X109" s="7"/>
    </row>
    <row r="110" spans="1:24" ht="15.75" customHeight="1">
      <c r="A110" s="33">
        <v>59</v>
      </c>
      <c r="B110" s="7"/>
      <c r="C110" s="33"/>
      <c r="D110" s="7"/>
      <c r="E110" s="7"/>
      <c r="F110" s="7"/>
      <c r="G110" s="7"/>
      <c r="H110" s="7" t="s">
        <v>6929</v>
      </c>
      <c r="I110" s="7"/>
      <c r="K110" s="7"/>
      <c r="L110" s="7"/>
      <c r="M110" s="32" t="s">
        <v>3793</v>
      </c>
      <c r="N110" s="32" t="s">
        <v>3799</v>
      </c>
      <c r="O110" s="7"/>
      <c r="P110" s="7"/>
      <c r="Q110" s="7"/>
      <c r="R110" s="7"/>
      <c r="S110" s="7"/>
      <c r="T110" s="7"/>
      <c r="U110" s="7"/>
      <c r="V110" s="7"/>
      <c r="W110" s="7"/>
      <c r="X110" s="7"/>
    </row>
    <row r="111" spans="1:24" ht="15.75" customHeight="1">
      <c r="A111" s="33">
        <v>60</v>
      </c>
      <c r="B111" s="7"/>
      <c r="C111" s="33"/>
      <c r="D111" s="7"/>
      <c r="E111" s="7"/>
      <c r="F111" s="7"/>
      <c r="G111" s="7"/>
      <c r="H111" s="7" t="str">
        <f ca="1">RANDBETWEEN(1,4)&amp;" "&amp;"TOWNFOLK"&amp;" They are currently "&amp;INDEX('Random Motivations'!$B$2:$B$101,RANDBETWEEN(1,100))</f>
        <v>1 TOWNFOLK They are currently Singing &amp; dancing</v>
      </c>
      <c r="I111" s="7"/>
      <c r="K111" s="7"/>
      <c r="L111" s="7"/>
      <c r="N111" s="32" t="s">
        <v>3800</v>
      </c>
      <c r="O111" s="7"/>
      <c r="P111" s="7"/>
      <c r="Q111" s="7"/>
      <c r="R111" s="7"/>
      <c r="S111" s="7"/>
      <c r="T111" s="7"/>
      <c r="U111" s="7"/>
      <c r="V111" s="7"/>
      <c r="W111" s="7"/>
      <c r="X111" s="7"/>
    </row>
    <row r="112" spans="1:24" ht="15.75" customHeight="1">
      <c r="A112" s="33">
        <v>61</v>
      </c>
      <c r="B112" s="7"/>
      <c r="C112" s="33"/>
      <c r="D112" s="7"/>
      <c r="E112" s="7"/>
      <c r="F112" s="7"/>
      <c r="G112" s="7"/>
      <c r="H112" s="7" t="str">
        <f ca="1">RANDBETWEEN(1,10)&amp;" "&amp;"CULTISTS"&amp;" They are currently "&amp;INDEX('Random Motivations'!$B$2:$B$101,RANDBETWEEN(1,100))</f>
        <v>3 CULTISTS They are currently Migrating to a new home</v>
      </c>
      <c r="I112" s="7"/>
      <c r="K112" s="7"/>
      <c r="L112" s="7"/>
      <c r="N112" s="32" t="s">
        <v>3801</v>
      </c>
      <c r="O112" s="7"/>
      <c r="P112" s="7"/>
      <c r="Q112" s="7"/>
      <c r="R112" s="7"/>
      <c r="S112" s="7"/>
      <c r="T112" s="7"/>
      <c r="U112" s="7"/>
      <c r="V112" s="7"/>
      <c r="W112" s="7"/>
      <c r="X112" s="7"/>
    </row>
    <row r="113" spans="1:24" ht="15.75" customHeight="1">
      <c r="A113" s="33">
        <v>62</v>
      </c>
      <c r="B113" s="7"/>
      <c r="C113" s="33"/>
      <c r="D113" s="7"/>
      <c r="E113" s="7"/>
      <c r="F113" s="7"/>
      <c r="G113" s="7"/>
      <c r="H113" s="7" t="s">
        <v>6930</v>
      </c>
      <c r="I113" s="7"/>
      <c r="K113" s="7"/>
      <c r="L113" s="7"/>
      <c r="N113" s="7"/>
      <c r="O113" s="7"/>
      <c r="P113" s="7"/>
      <c r="Q113" s="7"/>
      <c r="R113" s="7"/>
      <c r="S113" s="7"/>
      <c r="T113" s="7"/>
      <c r="U113" s="7"/>
      <c r="V113" s="7"/>
      <c r="W113" s="7"/>
      <c r="X113" s="7"/>
    </row>
    <row r="114" spans="1:24" ht="15.75" customHeight="1">
      <c r="A114" s="33">
        <v>63</v>
      </c>
      <c r="B114" s="7"/>
      <c r="C114" s="33"/>
      <c r="D114" s="7"/>
      <c r="E114" s="7"/>
      <c r="F114" s="7"/>
      <c r="G114" s="7"/>
      <c r="H114" s="7" t="s">
        <v>6931</v>
      </c>
      <c r="I114" s="7"/>
      <c r="K114" s="7"/>
      <c r="L114" s="7"/>
      <c r="N114" s="7"/>
      <c r="O114" s="7"/>
      <c r="P114" s="7"/>
      <c r="Q114" s="7"/>
      <c r="R114" s="7"/>
      <c r="S114" s="7"/>
      <c r="T114" s="7"/>
      <c r="U114" s="7"/>
      <c r="V114" s="7"/>
      <c r="W114" s="7"/>
      <c r="X114" s="7"/>
    </row>
    <row r="115" spans="1:24" ht="15.75" customHeight="1">
      <c r="A115" s="33">
        <v>64</v>
      </c>
      <c r="B115" s="7"/>
      <c r="C115" s="33"/>
      <c r="D115" s="7"/>
      <c r="E115" s="7"/>
      <c r="F115" s="7"/>
      <c r="G115" s="7"/>
      <c r="H115" s="7" t="s">
        <v>6932</v>
      </c>
      <c r="I115" s="7"/>
      <c r="K115" s="7"/>
      <c r="L115" s="7"/>
      <c r="N115" s="7"/>
      <c r="O115" s="7"/>
      <c r="P115" s="7"/>
      <c r="Q115" s="7"/>
      <c r="R115" s="7"/>
      <c r="S115" s="7"/>
      <c r="T115" s="7"/>
      <c r="U115" s="7"/>
      <c r="V115" s="7"/>
      <c r="W115" s="7"/>
      <c r="X115" s="7"/>
    </row>
    <row r="116" spans="1:24" ht="15.75" customHeight="1">
      <c r="A116" s="33">
        <v>65</v>
      </c>
      <c r="B116" s="7"/>
      <c r="C116" s="33"/>
      <c r="D116" s="7"/>
      <c r="E116" s="7"/>
      <c r="F116" s="7"/>
      <c r="G116" s="7"/>
      <c r="H116" s="7" t="s">
        <v>6933</v>
      </c>
      <c r="I116" s="7"/>
      <c r="K116" s="7"/>
      <c r="L116" s="7"/>
      <c r="N116" s="7"/>
      <c r="O116" s="7"/>
      <c r="P116" s="7"/>
      <c r="Q116" s="7"/>
      <c r="R116" s="7"/>
      <c r="S116" s="7"/>
      <c r="T116" s="7"/>
      <c r="U116" s="7"/>
      <c r="V116" s="7"/>
      <c r="W116" s="7"/>
      <c r="X116" s="7"/>
    </row>
    <row r="117" spans="1:24" ht="15.75" customHeight="1">
      <c r="A117" s="33">
        <v>66</v>
      </c>
      <c r="B117" s="7"/>
      <c r="C117" s="33"/>
      <c r="D117" s="7"/>
      <c r="E117" s="7"/>
      <c r="F117" s="7"/>
      <c r="G117" s="7"/>
      <c r="H117" s="7" t="s">
        <v>6934</v>
      </c>
      <c r="I117" s="7"/>
      <c r="K117" s="7"/>
      <c r="L117" s="7"/>
      <c r="N117" s="7"/>
      <c r="O117" s="7"/>
      <c r="P117" s="7"/>
      <c r="Q117" s="7"/>
      <c r="R117" s="7"/>
      <c r="S117" s="7"/>
      <c r="T117" s="7"/>
      <c r="U117" s="7"/>
      <c r="V117" s="7"/>
      <c r="W117" s="7"/>
      <c r="X117" s="7"/>
    </row>
    <row r="118" spans="1:24" ht="15.75" customHeight="1">
      <c r="A118" s="33">
        <v>67</v>
      </c>
      <c r="B118" s="7"/>
      <c r="C118" s="33"/>
      <c r="D118" s="7"/>
      <c r="E118" s="7"/>
      <c r="F118" s="7"/>
      <c r="G118" s="7"/>
      <c r="H118" s="7" t="str">
        <f ca="1">"AN ELVISH RANGER"&amp;" They are currently "&amp;INDEX('Random Motivations'!$B$2:$B$101,RANDBETWEEN(1,100))</f>
        <v>AN ELVISH RANGER They are currently Celebrating a religious festival</v>
      </c>
      <c r="I118" s="7"/>
      <c r="K118" s="7"/>
      <c r="L118" s="7"/>
      <c r="N118" s="7"/>
      <c r="O118" s="7"/>
      <c r="P118" s="7"/>
      <c r="Q118" s="7"/>
      <c r="R118" s="7"/>
      <c r="S118" s="7"/>
      <c r="T118" s="7"/>
      <c r="U118" s="7"/>
      <c r="V118" s="7"/>
      <c r="W118" s="7"/>
      <c r="X118" s="7"/>
    </row>
    <row r="119" spans="1:24" ht="15.75" customHeight="1">
      <c r="A119" s="33">
        <v>68</v>
      </c>
      <c r="B119" s="7"/>
      <c r="C119" s="33"/>
      <c r="D119" s="7"/>
      <c r="E119" s="7"/>
      <c r="F119" s="7"/>
      <c r="G119" s="7"/>
      <c r="H119" s="7" t="s">
        <v>6935</v>
      </c>
      <c r="I119" s="7"/>
      <c r="K119" s="7"/>
      <c r="L119" s="7"/>
      <c r="N119" s="7"/>
      <c r="O119" s="7"/>
      <c r="P119" s="7"/>
      <c r="Q119" s="7"/>
      <c r="R119" s="7"/>
      <c r="S119" s="7"/>
      <c r="T119" s="7"/>
      <c r="U119" s="7"/>
      <c r="V119" s="7"/>
      <c r="W119" s="7"/>
      <c r="X119" s="7"/>
    </row>
    <row r="120" spans="1:24" ht="15.75" customHeight="1">
      <c r="A120" s="33">
        <v>69</v>
      </c>
      <c r="B120" s="7"/>
      <c r="C120" s="33"/>
      <c r="D120" s="7"/>
      <c r="E120" s="7"/>
      <c r="F120" s="7"/>
      <c r="G120" s="7"/>
      <c r="H120" s="7" t="s">
        <v>6936</v>
      </c>
      <c r="I120" s="7"/>
      <c r="K120" s="7"/>
      <c r="L120" s="7"/>
      <c r="N120" s="7"/>
      <c r="O120" s="7"/>
      <c r="P120" s="7"/>
      <c r="Q120" s="7"/>
      <c r="R120" s="7"/>
      <c r="S120" s="7"/>
      <c r="T120" s="7"/>
      <c r="U120" s="7"/>
      <c r="V120" s="7"/>
      <c r="W120" s="7"/>
      <c r="X120" s="7"/>
    </row>
    <row r="121" spans="1:24" ht="15.75" customHeight="1">
      <c r="A121" s="33">
        <v>70</v>
      </c>
      <c r="B121" s="7"/>
      <c r="C121" s="33"/>
      <c r="D121" s="7"/>
      <c r="E121" s="7"/>
      <c r="F121" s="7"/>
      <c r="G121" s="7"/>
      <c r="H121" s="7" t="s">
        <v>6937</v>
      </c>
      <c r="I121" s="7"/>
      <c r="K121" s="7"/>
      <c r="L121" s="7"/>
      <c r="N121" s="7"/>
      <c r="O121" s="7"/>
      <c r="P121" s="7"/>
      <c r="Q121" s="7"/>
      <c r="R121" s="7"/>
      <c r="S121" s="7"/>
      <c r="T121" s="7"/>
      <c r="U121" s="7"/>
      <c r="V121" s="7"/>
      <c r="W121" s="7"/>
      <c r="X121" s="7"/>
    </row>
    <row r="122" spans="1:24" ht="15.75" customHeight="1">
      <c r="A122" s="33">
        <v>71</v>
      </c>
      <c r="B122" s="7"/>
      <c r="C122" s="33"/>
      <c r="D122" s="7"/>
      <c r="E122" s="7"/>
      <c r="F122" s="7"/>
      <c r="G122" s="7"/>
      <c r="H122" s="7" t="s">
        <v>6938</v>
      </c>
      <c r="I122" s="7"/>
      <c r="K122" s="7"/>
      <c r="L122" s="7"/>
      <c r="M122" s="7"/>
      <c r="N122" s="7"/>
      <c r="O122" s="7"/>
      <c r="P122" s="7"/>
      <c r="Q122" s="7"/>
      <c r="R122" s="7"/>
      <c r="S122" s="7"/>
      <c r="T122" s="7"/>
      <c r="U122" s="7"/>
      <c r="V122" s="7"/>
      <c r="W122" s="7"/>
      <c r="X122" s="7"/>
    </row>
    <row r="123" spans="1:24" ht="15.75" customHeight="1">
      <c r="A123" s="33">
        <v>72</v>
      </c>
      <c r="B123" s="7"/>
      <c r="C123" s="33"/>
      <c r="D123" s="7"/>
      <c r="E123" s="7"/>
      <c r="F123" s="7"/>
      <c r="G123" s="7"/>
      <c r="H123" s="7" t="s">
        <v>6939</v>
      </c>
      <c r="I123" s="7"/>
      <c r="K123" s="7"/>
      <c r="L123" s="7"/>
      <c r="N123" s="7"/>
      <c r="O123" s="7"/>
      <c r="P123" s="7"/>
      <c r="Q123" s="7"/>
      <c r="R123" s="7"/>
      <c r="S123" s="7"/>
      <c r="T123" s="7"/>
      <c r="U123" s="7"/>
      <c r="V123" s="7"/>
      <c r="W123" s="7"/>
      <c r="X123" s="7"/>
    </row>
    <row r="124" spans="1:24" ht="15.75" customHeight="1">
      <c r="A124" s="33">
        <v>73</v>
      </c>
      <c r="B124" s="7"/>
      <c r="C124" s="33"/>
      <c r="D124" s="7"/>
      <c r="E124" s="7"/>
      <c r="F124" s="7"/>
      <c r="G124" s="7"/>
      <c r="H124" s="7" t="s">
        <v>6940</v>
      </c>
      <c r="I124" s="7"/>
      <c r="K124" s="7"/>
      <c r="L124" s="7"/>
      <c r="N124" s="7"/>
      <c r="O124" s="7"/>
      <c r="P124" s="7"/>
      <c r="Q124" s="7"/>
      <c r="R124" s="7"/>
      <c r="S124" s="7"/>
      <c r="T124" s="7"/>
      <c r="U124" s="7"/>
      <c r="V124" s="7"/>
      <c r="W124" s="7"/>
      <c r="X124" s="7"/>
    </row>
    <row r="125" spans="1:24" ht="15.75" customHeight="1">
      <c r="A125" s="33">
        <v>74</v>
      </c>
      <c r="B125" s="7"/>
      <c r="C125" s="33"/>
      <c r="D125" s="7"/>
      <c r="E125" s="7"/>
      <c r="F125" s="7"/>
      <c r="G125" s="7"/>
      <c r="H125" s="7" t="s">
        <v>6941</v>
      </c>
      <c r="I125" s="7"/>
      <c r="K125" s="7"/>
      <c r="L125" s="7"/>
      <c r="N125" s="7"/>
      <c r="O125" s="7"/>
      <c r="P125" s="7"/>
      <c r="Q125" s="7"/>
      <c r="R125" s="7"/>
      <c r="S125" s="7"/>
      <c r="T125" s="7"/>
      <c r="U125" s="7"/>
      <c r="V125" s="7"/>
      <c r="W125" s="7"/>
      <c r="X125" s="7"/>
    </row>
    <row r="126" spans="1:24" ht="15.75" customHeight="1">
      <c r="A126" s="33">
        <v>75</v>
      </c>
      <c r="B126" s="7"/>
      <c r="C126" s="33"/>
      <c r="D126" s="7"/>
      <c r="E126" s="7"/>
      <c r="F126" s="7"/>
      <c r="G126" s="7"/>
      <c r="H126" s="7" t="s">
        <v>6942</v>
      </c>
      <c r="I126" s="7"/>
      <c r="K126" s="7"/>
      <c r="L126" s="7"/>
      <c r="N126" s="7"/>
      <c r="O126" s="7"/>
      <c r="P126" s="7"/>
      <c r="Q126" s="7"/>
      <c r="R126" s="7"/>
      <c r="S126" s="7"/>
      <c r="T126" s="7"/>
      <c r="U126" s="7"/>
      <c r="V126" s="7"/>
      <c r="W126" s="7"/>
      <c r="X126" s="7"/>
    </row>
    <row r="127" spans="1:24" ht="15.75" customHeight="1">
      <c r="A127" s="33">
        <v>76</v>
      </c>
      <c r="B127" s="7"/>
      <c r="C127" s="33"/>
      <c r="D127" s="7"/>
      <c r="E127" s="7"/>
      <c r="F127" s="7"/>
      <c r="G127" s="7"/>
      <c r="H127" s="7" t="s">
        <v>6943</v>
      </c>
      <c r="I127" s="7"/>
      <c r="K127" s="7"/>
      <c r="L127" s="7"/>
      <c r="N127" s="7"/>
      <c r="O127" s="7"/>
      <c r="P127" s="7"/>
      <c r="Q127" s="7"/>
      <c r="R127" s="7"/>
      <c r="S127" s="7"/>
      <c r="T127" s="7"/>
      <c r="U127" s="7"/>
      <c r="V127" s="7"/>
      <c r="W127" s="7"/>
      <c r="X127" s="7"/>
    </row>
    <row r="128" spans="1:24" ht="15.75" customHeight="1">
      <c r="A128" s="33">
        <v>77</v>
      </c>
      <c r="B128" s="7"/>
      <c r="C128" s="33"/>
      <c r="D128" s="7"/>
      <c r="E128" s="7"/>
      <c r="F128" s="7"/>
      <c r="G128" s="7"/>
      <c r="H128" s="7" t="str">
        <f ca="1">RANDBETWEEN(1,4)&amp;" "&amp;"TOWNFOLK"&amp;" They are currently "&amp;INDEX('Random Motivations'!$B$2:$B$101,RANDBETWEEN(1,100))</f>
        <v>2 TOWNFOLK They are currently Sitting in an overturned cart</v>
      </c>
      <c r="I128" s="7"/>
      <c r="K128" s="7"/>
      <c r="L128" s="7"/>
      <c r="N128" s="7"/>
      <c r="O128" s="7"/>
      <c r="P128" s="7"/>
      <c r="Q128" s="7"/>
      <c r="R128" s="7"/>
      <c r="S128" s="7"/>
      <c r="T128" s="7"/>
      <c r="U128" s="7"/>
      <c r="V128" s="7"/>
      <c r="W128" s="7"/>
      <c r="X128" s="7"/>
    </row>
    <row r="129" spans="1:24" ht="15.75" customHeight="1">
      <c r="A129" s="33">
        <v>78</v>
      </c>
      <c r="B129" s="7"/>
      <c r="C129" s="33"/>
      <c r="D129" s="7"/>
      <c r="E129" s="7"/>
      <c r="F129" s="7"/>
      <c r="G129" s="7"/>
      <c r="H129" s="7" t="str">
        <f ca="1">RANDBETWEEN(1,10)&amp;" "&amp;"CULTISTS"&amp;" They are currently "&amp;INDEX('Random Motivations'!$B$2:$B$101,RANDBETWEEN(1,100))</f>
        <v>7 CULTISTS They are currently Runaway slaves (unarmed &amp; un-armored)</v>
      </c>
      <c r="I129" s="7"/>
      <c r="K129" s="7"/>
      <c r="L129" s="7"/>
      <c r="N129" s="7"/>
      <c r="O129" s="7"/>
      <c r="P129" s="7"/>
      <c r="Q129" s="7"/>
      <c r="R129" s="7"/>
      <c r="S129" s="7"/>
      <c r="T129" s="7"/>
      <c r="U129" s="7"/>
      <c r="V129" s="7"/>
      <c r="W129" s="7"/>
      <c r="X129" s="7"/>
    </row>
    <row r="130" spans="1:24" ht="15.75" customHeight="1">
      <c r="B130" s="7"/>
      <c r="C130" s="33"/>
      <c r="D130" s="7"/>
      <c r="E130" s="7"/>
      <c r="F130" s="7"/>
      <c r="G130" s="7"/>
      <c r="H130" s="7"/>
      <c r="I130" s="7"/>
      <c r="K130" s="7"/>
      <c r="L130" s="7"/>
      <c r="N130" s="7"/>
      <c r="O130" s="7"/>
      <c r="P130" s="7"/>
      <c r="Q130" s="7"/>
      <c r="R130" s="7"/>
      <c r="S130" s="7"/>
      <c r="T130" s="7"/>
      <c r="U130" s="7"/>
      <c r="V130" s="7"/>
      <c r="W130" s="7"/>
      <c r="X130" s="7"/>
    </row>
    <row r="131" spans="1:24" ht="15.75" customHeight="1">
      <c r="B131" s="7"/>
      <c r="C131" s="33"/>
      <c r="D131" s="7"/>
      <c r="E131" s="7"/>
      <c r="F131" s="7"/>
      <c r="G131" s="7"/>
      <c r="H131" s="7"/>
      <c r="I131" s="7"/>
      <c r="K131" s="7"/>
      <c r="L131" s="7"/>
      <c r="N131" s="7"/>
      <c r="O131" s="7"/>
      <c r="P131" s="7"/>
      <c r="Q131" s="7"/>
      <c r="R131" s="7"/>
      <c r="S131" s="7"/>
      <c r="T131" s="7"/>
      <c r="U131" s="7"/>
      <c r="V131" s="7"/>
      <c r="W131" s="7"/>
      <c r="X131" s="7"/>
    </row>
    <row r="132" spans="1:24" ht="15.75" customHeight="1">
      <c r="B132" s="7"/>
      <c r="C132" s="33"/>
      <c r="D132" s="7"/>
      <c r="E132" s="7"/>
      <c r="F132" s="7"/>
      <c r="G132" s="7"/>
      <c r="H132" s="7"/>
      <c r="I132" s="7"/>
      <c r="K132" s="7"/>
      <c r="L132" s="7"/>
      <c r="N132" s="7"/>
      <c r="O132" s="7"/>
      <c r="P132" s="7"/>
      <c r="Q132" s="7"/>
      <c r="R132" s="7"/>
      <c r="S132" s="7"/>
      <c r="T132" s="7"/>
      <c r="U132" s="7"/>
      <c r="V132" s="7"/>
      <c r="W132" s="7"/>
      <c r="X132" s="7"/>
    </row>
    <row r="133" spans="1:24" ht="15.75" customHeight="1">
      <c r="B133" s="7"/>
      <c r="C133" s="33"/>
      <c r="D133" s="7"/>
      <c r="E133" s="7"/>
      <c r="F133" s="7"/>
      <c r="G133" s="7"/>
      <c r="H133" s="7"/>
      <c r="I133" s="7"/>
      <c r="K133" s="7"/>
      <c r="L133" s="7"/>
      <c r="N133" s="7"/>
      <c r="O133" s="7"/>
      <c r="P133" s="7"/>
      <c r="Q133" s="7"/>
      <c r="R133" s="7"/>
      <c r="S133" s="7"/>
      <c r="T133" s="7"/>
      <c r="U133" s="7"/>
      <c r="V133" s="7"/>
      <c r="W133" s="7"/>
      <c r="X133" s="7"/>
    </row>
    <row r="134" spans="1:24" ht="15.75" customHeight="1">
      <c r="B134" s="7"/>
      <c r="C134" s="33"/>
      <c r="D134" s="7"/>
      <c r="E134" s="7"/>
      <c r="F134" s="7"/>
      <c r="G134" s="7"/>
      <c r="H134" s="7"/>
      <c r="I134" s="7"/>
      <c r="K134" s="7"/>
      <c r="L134" s="7"/>
      <c r="N134" s="7"/>
      <c r="O134" s="7"/>
      <c r="P134" s="7"/>
      <c r="Q134" s="7"/>
      <c r="R134" s="7"/>
      <c r="S134" s="7"/>
      <c r="T134" s="7"/>
      <c r="U134" s="7"/>
      <c r="V134" s="7"/>
      <c r="W134" s="7"/>
      <c r="X134" s="7"/>
    </row>
    <row r="135" spans="1:24" ht="15.75" customHeight="1">
      <c r="B135" s="7"/>
      <c r="C135" s="33"/>
      <c r="D135" s="7"/>
      <c r="E135" s="7"/>
      <c r="F135" s="7"/>
      <c r="G135" s="7"/>
      <c r="H135" s="7"/>
      <c r="I135" s="7"/>
      <c r="K135" s="7"/>
      <c r="L135" s="7"/>
      <c r="N135" s="7"/>
      <c r="O135" s="7"/>
      <c r="P135" s="7"/>
      <c r="Q135" s="7"/>
      <c r="R135" s="7"/>
      <c r="S135" s="7"/>
      <c r="T135" s="7"/>
      <c r="U135" s="7"/>
      <c r="V135" s="7"/>
      <c r="W135" s="7"/>
      <c r="X135" s="7"/>
    </row>
    <row r="136" spans="1:24" ht="15.75" customHeight="1">
      <c r="B136" s="7"/>
      <c r="C136" s="33"/>
      <c r="D136" s="7"/>
      <c r="E136" s="7"/>
      <c r="F136" s="7"/>
      <c r="G136" s="7"/>
      <c r="H136" s="7"/>
      <c r="I136" s="7"/>
      <c r="K136" s="7"/>
      <c r="L136" s="7"/>
      <c r="N136" s="7"/>
      <c r="O136" s="7"/>
      <c r="P136" s="7"/>
      <c r="Q136" s="7"/>
      <c r="R136" s="7"/>
      <c r="S136" s="7"/>
      <c r="T136" s="7"/>
      <c r="U136" s="7"/>
      <c r="V136" s="7"/>
      <c r="W136" s="7"/>
      <c r="X136" s="7"/>
    </row>
    <row r="137" spans="1:24" ht="15.75" customHeight="1">
      <c r="B137" s="7"/>
      <c r="C137" s="33"/>
      <c r="D137" s="7"/>
      <c r="E137" s="7"/>
      <c r="F137" s="7"/>
      <c r="G137" s="7"/>
      <c r="H137" s="7"/>
      <c r="I137" s="7"/>
      <c r="K137" s="7"/>
      <c r="L137" s="7"/>
      <c r="N137" s="7"/>
      <c r="O137" s="7"/>
      <c r="P137" s="7"/>
      <c r="Q137" s="7"/>
      <c r="R137" s="7"/>
      <c r="S137" s="7"/>
      <c r="T137" s="7"/>
      <c r="U137" s="7"/>
      <c r="V137" s="7"/>
      <c r="W137" s="7"/>
      <c r="X137" s="7"/>
    </row>
    <row r="138" spans="1:24" ht="15.75" customHeight="1">
      <c r="B138" s="7"/>
      <c r="C138" s="33"/>
      <c r="D138" s="7"/>
      <c r="E138" s="7"/>
      <c r="F138" s="7"/>
      <c r="G138" s="7"/>
      <c r="H138" s="7"/>
      <c r="I138" s="7"/>
      <c r="K138" s="7"/>
      <c r="L138" s="7"/>
      <c r="N138" s="7"/>
      <c r="O138" s="7"/>
      <c r="P138" s="7"/>
      <c r="Q138" s="7"/>
      <c r="R138" s="7"/>
      <c r="S138" s="7"/>
      <c r="T138" s="7"/>
      <c r="U138" s="7"/>
      <c r="V138" s="7"/>
      <c r="W138" s="7"/>
      <c r="X138" s="7"/>
    </row>
    <row r="139" spans="1:24" ht="15.75" customHeight="1">
      <c r="B139" s="7"/>
      <c r="C139" s="33"/>
      <c r="D139" s="7"/>
      <c r="E139" s="7"/>
      <c r="F139" s="7"/>
      <c r="G139" s="7"/>
      <c r="H139" s="7"/>
      <c r="I139" s="7"/>
      <c r="K139" s="7"/>
      <c r="L139" s="7"/>
      <c r="N139" s="7"/>
      <c r="O139" s="7"/>
      <c r="P139" s="7"/>
      <c r="Q139" s="7"/>
      <c r="R139" s="7"/>
      <c r="S139" s="7"/>
      <c r="T139" s="7"/>
      <c r="U139" s="7"/>
      <c r="V139" s="7"/>
      <c r="W139" s="7"/>
      <c r="X139" s="7"/>
    </row>
    <row r="140" spans="1:24" ht="15.75" customHeight="1">
      <c r="B140" s="7"/>
      <c r="C140" s="33"/>
      <c r="D140" s="7"/>
      <c r="E140" s="7"/>
      <c r="F140" s="7"/>
      <c r="G140" s="7"/>
      <c r="H140" s="7"/>
      <c r="I140" s="7"/>
      <c r="K140" s="7"/>
      <c r="L140" s="7"/>
      <c r="N140" s="7"/>
      <c r="O140" s="7"/>
      <c r="P140" s="7"/>
      <c r="Q140" s="7"/>
      <c r="R140" s="7"/>
      <c r="S140" s="7"/>
      <c r="T140" s="7"/>
      <c r="U140" s="7"/>
      <c r="V140" s="7"/>
      <c r="W140" s="7"/>
      <c r="X140" s="7"/>
    </row>
    <row r="141" spans="1:24" ht="15.75" customHeight="1">
      <c r="B141" s="7"/>
      <c r="C141" s="33"/>
      <c r="D141" s="7"/>
      <c r="E141" s="7"/>
      <c r="F141" s="7"/>
      <c r="G141" s="7"/>
      <c r="H141" s="7"/>
      <c r="I141" s="7"/>
      <c r="K141" s="7"/>
      <c r="L141" s="7"/>
      <c r="N141" s="7"/>
      <c r="O141" s="7"/>
      <c r="P141" s="7"/>
      <c r="Q141" s="7"/>
      <c r="R141" s="7"/>
      <c r="S141" s="7"/>
      <c r="T141" s="7"/>
      <c r="U141" s="7"/>
      <c r="V141" s="7"/>
      <c r="W141" s="7"/>
      <c r="X141" s="7"/>
    </row>
    <row r="142" spans="1:24" ht="15.75" customHeight="1">
      <c r="B142" s="7"/>
      <c r="C142" s="33"/>
      <c r="D142" s="7"/>
      <c r="E142" s="7"/>
      <c r="F142" s="7"/>
      <c r="G142" s="7"/>
      <c r="H142" s="7"/>
      <c r="I142" s="7"/>
      <c r="K142" s="7"/>
      <c r="L142" s="7"/>
      <c r="N142" s="7"/>
      <c r="O142" s="7"/>
      <c r="P142" s="7"/>
      <c r="Q142" s="7"/>
      <c r="R142" s="7"/>
      <c r="S142" s="7"/>
      <c r="T142" s="7"/>
      <c r="U142" s="7"/>
      <c r="V142" s="7"/>
      <c r="W142" s="7"/>
      <c r="X142" s="7"/>
    </row>
    <row r="143" spans="1:24" ht="15.75" customHeight="1">
      <c r="B143" s="7"/>
      <c r="C143" s="33"/>
      <c r="D143" s="7"/>
      <c r="E143" s="7"/>
      <c r="F143" s="7"/>
      <c r="G143" s="7"/>
      <c r="H143" s="7"/>
      <c r="I143" s="7"/>
      <c r="K143" s="7"/>
      <c r="L143" s="7"/>
      <c r="N143" s="7"/>
      <c r="O143" s="7"/>
      <c r="P143" s="7"/>
      <c r="Q143" s="7"/>
      <c r="R143" s="7"/>
      <c r="S143" s="7"/>
      <c r="T143" s="7"/>
      <c r="U143" s="7"/>
      <c r="V143" s="7"/>
      <c r="W143" s="7"/>
      <c r="X143" s="7"/>
    </row>
    <row r="144" spans="1:24" ht="15.75" customHeight="1">
      <c r="B144" s="7"/>
      <c r="C144" s="33"/>
      <c r="D144" s="7"/>
      <c r="E144" s="7"/>
      <c r="F144" s="7"/>
      <c r="G144" s="7"/>
      <c r="H144" s="7"/>
      <c r="I144" s="7"/>
      <c r="K144" s="7"/>
      <c r="L144" s="7"/>
      <c r="N144" s="7"/>
      <c r="O144" s="7"/>
      <c r="P144" s="7"/>
      <c r="Q144" s="7"/>
      <c r="R144" s="7"/>
      <c r="S144" s="7"/>
      <c r="T144" s="7"/>
      <c r="U144" s="7"/>
      <c r="V144" s="7"/>
      <c r="W144" s="7"/>
      <c r="X144" s="7"/>
    </row>
    <row r="145" spans="2:24" ht="15.75" customHeight="1">
      <c r="B145" s="7"/>
      <c r="C145" s="33"/>
      <c r="D145" s="7"/>
      <c r="E145" s="7"/>
      <c r="F145" s="7"/>
      <c r="G145" s="7"/>
      <c r="H145" s="7"/>
      <c r="I145" s="7"/>
      <c r="K145" s="7"/>
      <c r="L145" s="7"/>
      <c r="N145" s="7"/>
      <c r="O145" s="7"/>
      <c r="P145" s="7"/>
      <c r="Q145" s="7"/>
      <c r="R145" s="7"/>
      <c r="S145" s="7"/>
      <c r="T145" s="7"/>
      <c r="U145" s="7"/>
      <c r="V145" s="7"/>
      <c r="W145" s="7"/>
      <c r="X145" s="7"/>
    </row>
    <row r="146" spans="2:24" ht="15.75" customHeight="1">
      <c r="B146" s="7"/>
      <c r="C146" s="33"/>
      <c r="D146" s="7"/>
      <c r="E146" s="7"/>
      <c r="F146" s="7"/>
      <c r="G146" s="7"/>
      <c r="H146" s="7"/>
      <c r="I146" s="7"/>
      <c r="K146" s="7"/>
      <c r="L146" s="7"/>
      <c r="N146" s="7"/>
      <c r="O146" s="7"/>
      <c r="P146" s="7"/>
      <c r="Q146" s="7"/>
      <c r="R146" s="7"/>
      <c r="S146" s="7"/>
      <c r="T146" s="7"/>
      <c r="U146" s="7"/>
      <c r="V146" s="7"/>
      <c r="W146" s="7"/>
      <c r="X146" s="7"/>
    </row>
    <row r="147" spans="2:24" ht="15.75" customHeight="1">
      <c r="B147" s="7"/>
      <c r="C147" s="33"/>
      <c r="D147" s="7"/>
      <c r="E147" s="7"/>
      <c r="F147" s="7"/>
      <c r="G147" s="7"/>
      <c r="H147" s="7"/>
      <c r="I147" s="7"/>
      <c r="K147" s="7"/>
      <c r="L147" s="7"/>
      <c r="N147" s="7"/>
      <c r="O147" s="7"/>
      <c r="P147" s="7"/>
      <c r="Q147" s="7"/>
      <c r="R147" s="7"/>
      <c r="S147" s="7"/>
      <c r="T147" s="7"/>
      <c r="U147" s="7"/>
      <c r="V147" s="7"/>
      <c r="W147" s="7"/>
      <c r="X147" s="7"/>
    </row>
    <row r="148" spans="2:24" ht="15.75" customHeight="1">
      <c r="B148" s="7"/>
      <c r="C148" s="33"/>
      <c r="D148" s="7"/>
      <c r="E148" s="7"/>
      <c r="F148" s="7"/>
      <c r="G148" s="7"/>
      <c r="H148" s="7"/>
      <c r="I148" s="7"/>
      <c r="K148" s="7"/>
      <c r="L148" s="7"/>
      <c r="N148" s="7"/>
      <c r="O148" s="7"/>
      <c r="P148" s="7"/>
      <c r="Q148" s="7"/>
      <c r="R148" s="7"/>
      <c r="S148" s="7"/>
      <c r="T148" s="7"/>
      <c r="U148" s="7"/>
      <c r="V148" s="7"/>
      <c r="W148" s="7"/>
      <c r="X148" s="7"/>
    </row>
    <row r="149" spans="2:24" ht="15.75" customHeight="1">
      <c r="B149" s="7"/>
      <c r="C149" s="33"/>
      <c r="D149" s="7"/>
      <c r="E149" s="7"/>
      <c r="F149" s="7"/>
      <c r="G149" s="7"/>
      <c r="H149" s="7"/>
      <c r="I149" s="7"/>
      <c r="K149" s="7"/>
      <c r="L149" s="7"/>
      <c r="N149" s="7"/>
      <c r="O149" s="7"/>
      <c r="P149" s="7"/>
      <c r="Q149" s="7"/>
      <c r="R149" s="7"/>
      <c r="S149" s="7"/>
      <c r="T149" s="7"/>
      <c r="U149" s="7"/>
      <c r="V149" s="7"/>
      <c r="W149" s="7"/>
      <c r="X149" s="7"/>
    </row>
    <row r="150" spans="2:24" ht="15.75" customHeight="1">
      <c r="B150" s="7"/>
      <c r="C150" s="33"/>
      <c r="D150" s="7"/>
      <c r="E150" s="7"/>
      <c r="F150" s="7"/>
      <c r="G150" s="7"/>
      <c r="H150" s="7"/>
      <c r="I150" s="7"/>
      <c r="K150" s="7"/>
      <c r="L150" s="7"/>
      <c r="N150" s="7"/>
      <c r="O150" s="7"/>
      <c r="P150" s="7"/>
      <c r="Q150" s="7"/>
      <c r="R150" s="7"/>
      <c r="S150" s="7"/>
      <c r="T150" s="7"/>
      <c r="U150" s="7"/>
      <c r="V150" s="7"/>
      <c r="W150" s="7"/>
      <c r="X150" s="7"/>
    </row>
    <row r="151" spans="2:24" ht="15.75" customHeight="1">
      <c r="B151" s="7"/>
      <c r="C151" s="33"/>
      <c r="D151" s="7"/>
      <c r="E151" s="7"/>
      <c r="F151" s="7"/>
      <c r="G151" s="7"/>
      <c r="H151" s="7"/>
      <c r="I151" s="7"/>
      <c r="K151" s="7"/>
      <c r="L151" s="7"/>
      <c r="N151" s="7"/>
      <c r="O151" s="7"/>
      <c r="P151" s="7"/>
      <c r="Q151" s="7"/>
      <c r="R151" s="7"/>
      <c r="S151" s="7"/>
      <c r="T151" s="7"/>
      <c r="U151" s="7"/>
      <c r="V151" s="7"/>
      <c r="W151" s="7"/>
      <c r="X151" s="7"/>
    </row>
    <row r="152" spans="2:24" ht="15.75" customHeight="1">
      <c r="B152" s="7"/>
      <c r="C152" s="33"/>
      <c r="D152" s="7"/>
      <c r="E152" s="7"/>
      <c r="F152" s="7"/>
      <c r="G152" s="7"/>
      <c r="H152" s="7"/>
      <c r="I152" s="7"/>
      <c r="K152" s="7"/>
      <c r="L152" s="7"/>
      <c r="N152" s="7"/>
      <c r="O152" s="7"/>
      <c r="P152" s="7"/>
      <c r="Q152" s="7"/>
      <c r="R152" s="7"/>
      <c r="S152" s="7"/>
      <c r="T152" s="7"/>
      <c r="U152" s="7"/>
      <c r="V152" s="7"/>
      <c r="W152" s="7"/>
      <c r="X152" s="7"/>
    </row>
    <row r="153" spans="2:24" ht="15.75" customHeight="1">
      <c r="B153" s="7"/>
      <c r="C153" s="33"/>
      <c r="D153" s="7"/>
      <c r="E153" s="7"/>
      <c r="F153" s="7"/>
      <c r="G153" s="7"/>
      <c r="H153" s="7"/>
      <c r="I153" s="7"/>
      <c r="K153" s="7"/>
      <c r="L153" s="7"/>
      <c r="N153" s="7"/>
      <c r="O153" s="7"/>
      <c r="P153" s="7"/>
      <c r="Q153" s="7"/>
      <c r="R153" s="7"/>
      <c r="S153" s="7"/>
      <c r="T153" s="7"/>
      <c r="U153" s="7"/>
      <c r="V153" s="7"/>
      <c r="W153" s="7"/>
      <c r="X153" s="7"/>
    </row>
    <row r="154" spans="2:24" ht="15.75" customHeight="1">
      <c r="B154" s="7"/>
      <c r="C154" s="33"/>
      <c r="D154" s="7"/>
      <c r="E154" s="7"/>
      <c r="F154" s="7"/>
      <c r="G154" s="7"/>
      <c r="H154" s="7"/>
      <c r="I154" s="7"/>
      <c r="K154" s="7"/>
      <c r="L154" s="7"/>
      <c r="N154" s="7"/>
      <c r="O154" s="7"/>
      <c r="P154" s="7"/>
      <c r="Q154" s="7"/>
      <c r="R154" s="7"/>
      <c r="S154" s="7"/>
      <c r="T154" s="7"/>
      <c r="U154" s="7"/>
      <c r="V154" s="7"/>
      <c r="W154" s="7"/>
      <c r="X154" s="7"/>
    </row>
    <row r="155" spans="2:24" ht="15.75" customHeight="1">
      <c r="B155" s="7"/>
      <c r="C155" s="33"/>
      <c r="D155" s="7"/>
      <c r="E155" s="7"/>
      <c r="F155" s="7"/>
      <c r="G155" s="7"/>
      <c r="H155" s="7"/>
      <c r="I155" s="7"/>
      <c r="K155" s="7"/>
      <c r="L155" s="7"/>
      <c r="N155" s="7"/>
      <c r="O155" s="7"/>
      <c r="P155" s="7"/>
      <c r="Q155" s="7"/>
      <c r="R155" s="7"/>
      <c r="S155" s="7"/>
      <c r="T155" s="7"/>
      <c r="U155" s="7"/>
      <c r="V155" s="7"/>
      <c r="W155" s="7"/>
      <c r="X155" s="7"/>
    </row>
    <row r="156" spans="2:24" ht="15.75" customHeight="1">
      <c r="B156" s="7"/>
      <c r="C156" s="33"/>
      <c r="D156" s="7"/>
      <c r="E156" s="7"/>
      <c r="F156" s="7"/>
      <c r="G156" s="7"/>
      <c r="H156" s="7"/>
      <c r="I156" s="7"/>
      <c r="K156" s="7"/>
      <c r="L156" s="7"/>
      <c r="N156" s="7"/>
      <c r="O156" s="7"/>
      <c r="P156" s="7"/>
      <c r="Q156" s="7"/>
      <c r="R156" s="7"/>
      <c r="S156" s="7"/>
      <c r="T156" s="7"/>
      <c r="U156" s="7"/>
      <c r="V156" s="7"/>
      <c r="W156" s="7"/>
      <c r="X156" s="7"/>
    </row>
    <row r="157" spans="2:24" ht="15.75" customHeight="1">
      <c r="B157" s="7"/>
      <c r="C157" s="33"/>
      <c r="D157" s="7"/>
      <c r="E157" s="7"/>
      <c r="F157" s="7"/>
      <c r="G157" s="7"/>
      <c r="H157" s="7"/>
      <c r="I157" s="7"/>
      <c r="K157" s="7"/>
      <c r="L157" s="7"/>
      <c r="N157" s="7"/>
      <c r="O157" s="7"/>
      <c r="P157" s="7"/>
      <c r="Q157" s="7"/>
      <c r="R157" s="7"/>
      <c r="S157" s="7"/>
      <c r="T157" s="7"/>
      <c r="U157" s="7"/>
      <c r="V157" s="7"/>
      <c r="W157" s="7"/>
      <c r="X157" s="7"/>
    </row>
    <row r="158" spans="2:24" ht="15.75" customHeight="1">
      <c r="B158" s="7"/>
      <c r="C158" s="33"/>
      <c r="D158" s="7"/>
      <c r="E158" s="7"/>
      <c r="F158" s="7"/>
      <c r="G158" s="7"/>
      <c r="H158" s="7"/>
      <c r="I158" s="7"/>
      <c r="K158" s="7"/>
      <c r="L158" s="7"/>
      <c r="N158" s="7"/>
      <c r="O158" s="7"/>
      <c r="P158" s="7"/>
      <c r="Q158" s="7"/>
      <c r="R158" s="7"/>
      <c r="S158" s="7"/>
      <c r="T158" s="7"/>
      <c r="U158" s="7"/>
      <c r="V158" s="7"/>
      <c r="W158" s="7"/>
      <c r="X158" s="7"/>
    </row>
    <row r="159" spans="2:24" ht="15.75" customHeight="1">
      <c r="B159" s="7"/>
      <c r="C159" s="33"/>
      <c r="D159" s="7"/>
      <c r="E159" s="7"/>
      <c r="F159" s="7"/>
      <c r="G159" s="7"/>
      <c r="H159" s="7"/>
      <c r="I159" s="7"/>
      <c r="K159" s="7"/>
      <c r="L159" s="7"/>
      <c r="N159" s="7"/>
      <c r="O159" s="7"/>
      <c r="P159" s="7"/>
      <c r="Q159" s="7"/>
      <c r="R159" s="7"/>
      <c r="S159" s="7"/>
      <c r="T159" s="7"/>
      <c r="U159" s="7"/>
      <c r="V159" s="7"/>
      <c r="W159" s="7"/>
      <c r="X159" s="7"/>
    </row>
    <row r="160" spans="2:24" ht="15.75" customHeight="1">
      <c r="B160" s="7"/>
      <c r="C160" s="33"/>
      <c r="D160" s="7"/>
      <c r="E160" s="7"/>
      <c r="F160" s="7"/>
      <c r="G160" s="7"/>
      <c r="H160" s="7"/>
      <c r="I160" s="7"/>
      <c r="K160" s="7"/>
      <c r="L160" s="7"/>
      <c r="N160" s="7"/>
      <c r="O160" s="7"/>
      <c r="P160" s="7"/>
      <c r="Q160" s="7"/>
      <c r="R160" s="7"/>
      <c r="S160" s="7"/>
      <c r="T160" s="7"/>
      <c r="U160" s="7"/>
      <c r="V160" s="7"/>
      <c r="W160" s="7"/>
      <c r="X160" s="7"/>
    </row>
    <row r="161" spans="2:24" ht="15.75" customHeight="1">
      <c r="B161" s="7"/>
      <c r="C161" s="33"/>
      <c r="D161" s="7"/>
      <c r="E161" s="7"/>
      <c r="F161" s="7"/>
      <c r="G161" s="7"/>
      <c r="H161" s="7"/>
      <c r="I161" s="7"/>
      <c r="K161" s="7"/>
      <c r="L161" s="7"/>
      <c r="N161" s="7"/>
      <c r="O161" s="7"/>
      <c r="P161" s="7"/>
      <c r="Q161" s="7"/>
      <c r="R161" s="7"/>
      <c r="S161" s="7"/>
      <c r="T161" s="7"/>
      <c r="U161" s="7"/>
      <c r="V161" s="7"/>
      <c r="W161" s="7"/>
      <c r="X161" s="7"/>
    </row>
    <row r="162" spans="2:24" ht="15.75" customHeight="1">
      <c r="B162" s="7"/>
      <c r="C162" s="33"/>
      <c r="D162" s="7"/>
      <c r="E162" s="7"/>
      <c r="F162" s="7"/>
      <c r="G162" s="7"/>
      <c r="H162" s="7"/>
      <c r="I162" s="7"/>
      <c r="K162" s="7"/>
      <c r="L162" s="7"/>
      <c r="N162" s="7"/>
      <c r="O162" s="7"/>
      <c r="P162" s="7"/>
      <c r="Q162" s="7"/>
      <c r="R162" s="7"/>
      <c r="S162" s="7"/>
      <c r="T162" s="7"/>
      <c r="U162" s="7"/>
      <c r="V162" s="7"/>
      <c r="W162" s="7"/>
      <c r="X162" s="7"/>
    </row>
    <row r="163" spans="2:24" ht="15.75" customHeight="1">
      <c r="B163" s="7"/>
      <c r="C163" s="33"/>
      <c r="D163" s="7"/>
      <c r="E163" s="7"/>
      <c r="F163" s="7"/>
      <c r="G163" s="7"/>
      <c r="H163" s="7"/>
      <c r="I163" s="7"/>
      <c r="K163" s="7"/>
      <c r="L163" s="7"/>
      <c r="N163" s="7"/>
      <c r="O163" s="7"/>
      <c r="P163" s="7"/>
      <c r="Q163" s="7"/>
      <c r="R163" s="7"/>
      <c r="S163" s="7"/>
      <c r="T163" s="7"/>
      <c r="U163" s="7"/>
      <c r="V163" s="7"/>
      <c r="W163" s="7"/>
      <c r="X163" s="7"/>
    </row>
    <row r="164" spans="2:24" ht="15.75" customHeight="1">
      <c r="B164" s="7"/>
      <c r="C164" s="33"/>
      <c r="D164" s="7"/>
      <c r="E164" s="7"/>
      <c r="F164" s="7"/>
      <c r="G164" s="7"/>
      <c r="H164" s="7"/>
      <c r="I164" s="7"/>
      <c r="K164" s="7"/>
      <c r="L164" s="7"/>
      <c r="N164" s="7"/>
      <c r="O164" s="7"/>
      <c r="P164" s="7"/>
      <c r="Q164" s="7"/>
      <c r="R164" s="7"/>
      <c r="S164" s="7"/>
      <c r="T164" s="7"/>
      <c r="U164" s="7"/>
      <c r="V164" s="7"/>
      <c r="W164" s="7"/>
      <c r="X164" s="7"/>
    </row>
    <row r="165" spans="2:24" ht="15.75" customHeight="1">
      <c r="B165" s="7"/>
      <c r="C165" s="33"/>
      <c r="D165" s="7"/>
      <c r="E165" s="7"/>
      <c r="F165" s="7"/>
      <c r="G165" s="7"/>
      <c r="H165" s="7"/>
      <c r="I165" s="7"/>
      <c r="K165" s="7"/>
      <c r="L165" s="7"/>
      <c r="N165" s="7"/>
      <c r="O165" s="7"/>
      <c r="P165" s="7"/>
      <c r="Q165" s="7"/>
      <c r="R165" s="7"/>
      <c r="S165" s="7"/>
      <c r="T165" s="7"/>
      <c r="U165" s="7"/>
      <c r="V165" s="7"/>
      <c r="W165" s="7"/>
      <c r="X165" s="7"/>
    </row>
    <row r="166" spans="2:24" ht="15.75" customHeight="1">
      <c r="B166" s="7"/>
      <c r="C166" s="33"/>
      <c r="D166" s="7"/>
      <c r="E166" s="7"/>
      <c r="F166" s="7"/>
      <c r="G166" s="7"/>
      <c r="H166" s="7"/>
      <c r="I166" s="7"/>
      <c r="K166" s="7"/>
      <c r="L166" s="7"/>
      <c r="N166" s="7"/>
      <c r="O166" s="7"/>
      <c r="P166" s="7"/>
      <c r="Q166" s="7"/>
      <c r="R166" s="7"/>
      <c r="S166" s="7"/>
      <c r="T166" s="7"/>
      <c r="U166" s="7"/>
      <c r="V166" s="7"/>
      <c r="W166" s="7"/>
      <c r="X166" s="7"/>
    </row>
    <row r="167" spans="2:24" ht="15.75" customHeight="1">
      <c r="B167" s="7"/>
      <c r="C167" s="33"/>
      <c r="D167" s="7"/>
      <c r="E167" s="7"/>
      <c r="F167" s="7"/>
      <c r="G167" s="7"/>
      <c r="H167" s="7"/>
      <c r="I167" s="7"/>
      <c r="K167" s="7"/>
      <c r="L167" s="7"/>
      <c r="N167" s="7"/>
      <c r="O167" s="7"/>
      <c r="P167" s="7"/>
      <c r="Q167" s="7"/>
      <c r="R167" s="7"/>
      <c r="S167" s="7"/>
      <c r="T167" s="7"/>
      <c r="U167" s="7"/>
      <c r="V167" s="7"/>
      <c r="W167" s="7"/>
      <c r="X167" s="7"/>
    </row>
    <row r="168" spans="2:24" ht="15.75" customHeight="1">
      <c r="B168" s="7"/>
      <c r="C168" s="33"/>
      <c r="D168" s="7"/>
      <c r="E168" s="7"/>
      <c r="F168" s="7"/>
      <c r="G168" s="7"/>
      <c r="H168" s="7"/>
      <c r="I168" s="7"/>
      <c r="K168" s="7"/>
      <c r="L168" s="7"/>
      <c r="N168" s="7"/>
      <c r="O168" s="7"/>
      <c r="P168" s="7"/>
      <c r="Q168" s="7"/>
      <c r="R168" s="7"/>
      <c r="S168" s="7"/>
      <c r="T168" s="7"/>
      <c r="U168" s="7"/>
      <c r="V168" s="7"/>
      <c r="W168" s="7"/>
      <c r="X168" s="7"/>
    </row>
    <row r="169" spans="2:24" ht="15.75" customHeight="1">
      <c r="B169" s="7"/>
      <c r="C169" s="33"/>
      <c r="D169" s="7"/>
      <c r="E169" s="7"/>
      <c r="F169" s="7"/>
      <c r="G169" s="7"/>
      <c r="H169" s="7"/>
      <c r="I169" s="7"/>
      <c r="K169" s="7"/>
      <c r="L169" s="7"/>
      <c r="N169" s="7"/>
      <c r="O169" s="7"/>
      <c r="P169" s="7"/>
      <c r="Q169" s="7"/>
      <c r="R169" s="7"/>
      <c r="S169" s="7"/>
      <c r="T169" s="7"/>
      <c r="U169" s="7"/>
      <c r="V169" s="7"/>
      <c r="W169" s="7"/>
      <c r="X169" s="7"/>
    </row>
    <row r="170" spans="2:24" ht="15.75" customHeight="1">
      <c r="B170" s="7"/>
      <c r="C170" s="33"/>
      <c r="D170" s="7"/>
      <c r="E170" s="7"/>
      <c r="F170" s="7"/>
      <c r="G170" s="7"/>
      <c r="H170" s="7"/>
      <c r="I170" s="7"/>
      <c r="K170" s="7"/>
      <c r="L170" s="7"/>
      <c r="N170" s="7"/>
      <c r="O170" s="7"/>
      <c r="P170" s="7"/>
      <c r="Q170" s="7"/>
      <c r="R170" s="7"/>
      <c r="S170" s="7"/>
      <c r="T170" s="7"/>
      <c r="U170" s="7"/>
      <c r="V170" s="7"/>
      <c r="W170" s="7"/>
      <c r="X170" s="7"/>
    </row>
    <row r="171" spans="2:24" ht="15.75" customHeight="1">
      <c r="B171" s="7"/>
      <c r="C171" s="33"/>
      <c r="D171" s="7"/>
      <c r="E171" s="7"/>
      <c r="F171" s="7"/>
      <c r="G171" s="7"/>
      <c r="H171" s="7"/>
      <c r="I171" s="7"/>
      <c r="K171" s="7"/>
      <c r="L171" s="7"/>
      <c r="N171" s="7"/>
      <c r="O171" s="7"/>
      <c r="P171" s="7"/>
      <c r="Q171" s="7"/>
      <c r="R171" s="7"/>
      <c r="S171" s="7"/>
      <c r="T171" s="7"/>
      <c r="U171" s="7"/>
      <c r="V171" s="7"/>
      <c r="W171" s="7"/>
      <c r="X171" s="7"/>
    </row>
    <row r="172" spans="2:24" ht="15.75" customHeight="1">
      <c r="B172" s="7"/>
      <c r="C172" s="33"/>
      <c r="D172" s="7"/>
      <c r="E172" s="7"/>
      <c r="F172" s="7"/>
      <c r="G172" s="7"/>
      <c r="H172" s="7"/>
      <c r="I172" s="7"/>
      <c r="K172" s="7"/>
      <c r="L172" s="7"/>
      <c r="N172" s="7"/>
      <c r="O172" s="7"/>
      <c r="P172" s="7"/>
      <c r="Q172" s="7"/>
      <c r="R172" s="7"/>
      <c r="S172" s="7"/>
      <c r="T172" s="7"/>
      <c r="U172" s="7"/>
      <c r="V172" s="7"/>
      <c r="W172" s="7"/>
      <c r="X172" s="7"/>
    </row>
    <row r="173" spans="2:24" ht="15.75" customHeight="1">
      <c r="B173" s="7"/>
      <c r="C173" s="33"/>
      <c r="D173" s="7"/>
      <c r="E173" s="7"/>
      <c r="F173" s="7"/>
      <c r="G173" s="7"/>
      <c r="H173" s="7"/>
      <c r="I173" s="7"/>
      <c r="K173" s="7"/>
      <c r="L173" s="7"/>
      <c r="N173" s="7"/>
      <c r="O173" s="7"/>
      <c r="P173" s="7"/>
      <c r="Q173" s="7"/>
      <c r="R173" s="7"/>
      <c r="S173" s="7"/>
      <c r="T173" s="7"/>
      <c r="U173" s="7"/>
      <c r="V173" s="7"/>
      <c r="W173" s="7"/>
      <c r="X173" s="7"/>
    </row>
    <row r="174" spans="2:24" ht="15.75" customHeight="1">
      <c r="B174" s="7"/>
      <c r="C174" s="33"/>
      <c r="D174" s="7"/>
      <c r="E174" s="7"/>
      <c r="F174" s="7"/>
      <c r="G174" s="7"/>
      <c r="H174" s="7"/>
      <c r="I174" s="7"/>
      <c r="K174" s="7"/>
      <c r="L174" s="7"/>
      <c r="N174" s="7"/>
      <c r="O174" s="7"/>
      <c r="P174" s="7"/>
      <c r="Q174" s="7"/>
      <c r="R174" s="7"/>
      <c r="S174" s="7"/>
      <c r="T174" s="7"/>
      <c r="U174" s="7"/>
      <c r="V174" s="7"/>
      <c r="W174" s="7"/>
      <c r="X174" s="7"/>
    </row>
    <row r="175" spans="2:24" ht="15.75" customHeight="1">
      <c r="B175" s="7"/>
      <c r="C175" s="33"/>
      <c r="D175" s="7"/>
      <c r="E175" s="7"/>
      <c r="F175" s="7"/>
      <c r="G175" s="7"/>
      <c r="H175" s="7"/>
      <c r="I175" s="7"/>
      <c r="K175" s="7"/>
      <c r="L175" s="7"/>
      <c r="N175" s="7"/>
      <c r="O175" s="7"/>
      <c r="P175" s="7"/>
      <c r="Q175" s="7"/>
      <c r="R175" s="7"/>
      <c r="S175" s="7"/>
      <c r="T175" s="7"/>
      <c r="U175" s="7"/>
      <c r="V175" s="7"/>
      <c r="W175" s="7"/>
      <c r="X175" s="7"/>
    </row>
    <row r="176" spans="2:24" ht="15.75" customHeight="1">
      <c r="B176" s="7"/>
      <c r="C176" s="33"/>
      <c r="D176" s="7"/>
      <c r="E176" s="7"/>
      <c r="F176" s="7"/>
      <c r="G176" s="7"/>
      <c r="H176" s="7"/>
      <c r="I176" s="7"/>
      <c r="K176" s="7"/>
      <c r="L176" s="7"/>
      <c r="N176" s="7"/>
      <c r="O176" s="7"/>
      <c r="P176" s="7"/>
      <c r="Q176" s="7"/>
      <c r="R176" s="7"/>
      <c r="S176" s="7"/>
      <c r="T176" s="7"/>
      <c r="U176" s="7"/>
      <c r="V176" s="7"/>
      <c r="W176" s="7"/>
      <c r="X176" s="7"/>
    </row>
    <row r="177" spans="2:24" ht="15.75" customHeight="1">
      <c r="B177" s="7"/>
      <c r="C177" s="33"/>
      <c r="D177" s="7"/>
      <c r="E177" s="7"/>
      <c r="F177" s="7"/>
      <c r="G177" s="7"/>
      <c r="H177" s="7"/>
      <c r="I177" s="7"/>
      <c r="K177" s="7"/>
      <c r="L177" s="7"/>
      <c r="N177" s="7"/>
      <c r="O177" s="7"/>
      <c r="P177" s="7"/>
      <c r="Q177" s="7"/>
      <c r="R177" s="7"/>
      <c r="S177" s="7"/>
      <c r="T177" s="7"/>
      <c r="U177" s="7"/>
      <c r="V177" s="7"/>
      <c r="W177" s="7"/>
      <c r="X177" s="7"/>
    </row>
    <row r="178" spans="2:24" ht="15.75" customHeight="1">
      <c r="B178" s="7"/>
      <c r="C178" s="33"/>
      <c r="D178" s="7"/>
      <c r="E178" s="7"/>
      <c r="F178" s="7"/>
      <c r="G178" s="7"/>
      <c r="H178" s="7"/>
      <c r="I178" s="7"/>
      <c r="K178" s="7"/>
      <c r="L178" s="7"/>
      <c r="N178" s="7"/>
      <c r="O178" s="7"/>
      <c r="P178" s="7"/>
      <c r="Q178" s="7"/>
      <c r="R178" s="7"/>
      <c r="S178" s="7"/>
      <c r="T178" s="7"/>
      <c r="U178" s="7"/>
      <c r="V178" s="7"/>
      <c r="W178" s="7"/>
      <c r="X178" s="7"/>
    </row>
    <row r="179" spans="2:24" ht="15.75" customHeight="1">
      <c r="B179" s="7"/>
      <c r="C179" s="33"/>
      <c r="D179" s="7"/>
      <c r="E179" s="7"/>
      <c r="F179" s="7"/>
      <c r="G179" s="7"/>
      <c r="H179" s="7"/>
      <c r="I179" s="7"/>
      <c r="K179" s="7"/>
      <c r="L179" s="7"/>
      <c r="N179" s="7"/>
      <c r="O179" s="7"/>
      <c r="P179" s="7"/>
      <c r="Q179" s="7"/>
      <c r="R179" s="7"/>
      <c r="S179" s="7"/>
      <c r="T179" s="7"/>
      <c r="U179" s="7"/>
      <c r="V179" s="7"/>
      <c r="W179" s="7"/>
      <c r="X179" s="7"/>
    </row>
    <row r="180" spans="2:24" ht="15.75" customHeight="1">
      <c r="B180" s="7"/>
      <c r="C180" s="33"/>
      <c r="D180" s="7"/>
      <c r="E180" s="7"/>
      <c r="F180" s="7"/>
      <c r="G180" s="7"/>
      <c r="H180" s="7"/>
      <c r="I180" s="7"/>
      <c r="K180" s="7"/>
      <c r="L180" s="7"/>
      <c r="N180" s="7"/>
      <c r="O180" s="7"/>
      <c r="P180" s="7"/>
      <c r="Q180" s="7"/>
      <c r="R180" s="7"/>
      <c r="S180" s="7"/>
      <c r="T180" s="7"/>
      <c r="U180" s="7"/>
      <c r="V180" s="7"/>
      <c r="W180" s="7"/>
      <c r="X180" s="7"/>
    </row>
    <row r="181" spans="2:24" ht="15.75" customHeight="1">
      <c r="B181" s="7"/>
      <c r="C181" s="33"/>
      <c r="D181" s="7"/>
      <c r="E181" s="7"/>
      <c r="F181" s="7"/>
      <c r="G181" s="7"/>
      <c r="H181" s="7"/>
      <c r="I181" s="7"/>
      <c r="K181" s="7"/>
      <c r="L181" s="7"/>
      <c r="N181" s="7"/>
      <c r="O181" s="7"/>
      <c r="P181" s="7"/>
      <c r="Q181" s="7"/>
      <c r="R181" s="7"/>
      <c r="S181" s="7"/>
      <c r="T181" s="7"/>
      <c r="U181" s="7"/>
      <c r="V181" s="7"/>
      <c r="W181" s="7"/>
      <c r="X181" s="7"/>
    </row>
    <row r="182" spans="2:24" ht="15.75" customHeight="1">
      <c r="B182" s="7"/>
      <c r="C182" s="33"/>
      <c r="D182" s="7"/>
      <c r="E182" s="7"/>
      <c r="F182" s="7"/>
      <c r="G182" s="7"/>
      <c r="H182" s="7"/>
      <c r="I182" s="7"/>
      <c r="K182" s="7"/>
      <c r="L182" s="7"/>
      <c r="N182" s="7"/>
      <c r="O182" s="7"/>
      <c r="P182" s="7"/>
      <c r="Q182" s="7"/>
      <c r="R182" s="7"/>
      <c r="S182" s="7"/>
      <c r="T182" s="7"/>
      <c r="U182" s="7"/>
      <c r="V182" s="7"/>
      <c r="W182" s="7"/>
      <c r="X182" s="7"/>
    </row>
    <row r="183" spans="2:24" ht="15.75" customHeight="1">
      <c r="B183" s="7"/>
      <c r="C183" s="33"/>
      <c r="D183" s="7"/>
      <c r="E183" s="7"/>
      <c r="F183" s="7"/>
      <c r="G183" s="7"/>
      <c r="H183" s="7"/>
      <c r="I183" s="7"/>
      <c r="K183" s="7"/>
      <c r="L183" s="7"/>
      <c r="N183" s="7"/>
      <c r="O183" s="7"/>
      <c r="P183" s="7"/>
      <c r="Q183" s="7"/>
      <c r="R183" s="7"/>
      <c r="S183" s="7"/>
      <c r="T183" s="7"/>
      <c r="U183" s="7"/>
      <c r="V183" s="7"/>
      <c r="W183" s="7"/>
      <c r="X183" s="7"/>
    </row>
    <row r="184" spans="2:24" ht="15.75" customHeight="1">
      <c r="B184" s="7"/>
      <c r="C184" s="33"/>
      <c r="D184" s="7"/>
      <c r="E184" s="7"/>
      <c r="F184" s="7"/>
      <c r="G184" s="7"/>
      <c r="H184" s="7"/>
      <c r="I184" s="7"/>
      <c r="K184" s="7"/>
      <c r="L184" s="7"/>
      <c r="N184" s="7"/>
      <c r="O184" s="7"/>
      <c r="P184" s="7"/>
      <c r="Q184" s="7"/>
      <c r="R184" s="7"/>
      <c r="S184" s="7"/>
      <c r="T184" s="7"/>
      <c r="U184" s="7"/>
      <c r="V184" s="7"/>
      <c r="W184" s="7"/>
      <c r="X184" s="7"/>
    </row>
    <row r="185" spans="2:24" ht="15.75" customHeight="1">
      <c r="B185" s="7"/>
      <c r="C185" s="33"/>
      <c r="D185" s="7"/>
      <c r="E185" s="7"/>
      <c r="F185" s="7"/>
      <c r="G185" s="7"/>
      <c r="H185" s="7"/>
      <c r="I185" s="7"/>
      <c r="K185" s="7"/>
      <c r="L185" s="7"/>
      <c r="N185" s="7"/>
      <c r="O185" s="7"/>
      <c r="P185" s="7"/>
      <c r="Q185" s="7"/>
      <c r="R185" s="7"/>
      <c r="S185" s="7"/>
      <c r="T185" s="7"/>
      <c r="U185" s="7"/>
      <c r="V185" s="7"/>
      <c r="W185" s="7"/>
      <c r="X185" s="7"/>
    </row>
    <row r="186" spans="2:24" ht="15.75" customHeight="1">
      <c r="B186" s="7"/>
      <c r="C186" s="33"/>
      <c r="D186" s="7"/>
      <c r="E186" s="7"/>
      <c r="F186" s="7"/>
      <c r="G186" s="7"/>
      <c r="H186" s="7"/>
      <c r="I186" s="7"/>
      <c r="K186" s="7"/>
      <c r="L186" s="7"/>
      <c r="N186" s="7"/>
      <c r="O186" s="7"/>
      <c r="P186" s="7"/>
      <c r="Q186" s="7"/>
      <c r="R186" s="7"/>
      <c r="S186" s="7"/>
      <c r="T186" s="7"/>
      <c r="U186" s="7"/>
      <c r="V186" s="7"/>
      <c r="W186" s="7"/>
      <c r="X186" s="7"/>
    </row>
    <row r="187" spans="2:24" ht="15.75" customHeight="1">
      <c r="B187" s="7"/>
      <c r="C187" s="33"/>
      <c r="D187" s="7"/>
      <c r="E187" s="7"/>
      <c r="F187" s="7"/>
      <c r="G187" s="7"/>
      <c r="H187" s="7"/>
      <c r="I187" s="7"/>
      <c r="K187" s="7"/>
      <c r="L187" s="7"/>
      <c r="N187" s="7"/>
      <c r="O187" s="7"/>
      <c r="P187" s="7"/>
      <c r="Q187" s="7"/>
      <c r="R187" s="7"/>
      <c r="S187" s="7"/>
      <c r="T187" s="7"/>
      <c r="U187" s="7"/>
      <c r="V187" s="7"/>
      <c r="W187" s="7"/>
      <c r="X187" s="7"/>
    </row>
    <row r="188" spans="2:24" ht="15.75" customHeight="1">
      <c r="B188" s="7"/>
      <c r="C188" s="33"/>
      <c r="D188" s="7"/>
      <c r="E188" s="7"/>
      <c r="F188" s="7"/>
      <c r="G188" s="7"/>
      <c r="H188" s="7"/>
      <c r="I188" s="7"/>
      <c r="K188" s="7"/>
      <c r="L188" s="7"/>
      <c r="N188" s="7"/>
      <c r="O188" s="7"/>
      <c r="P188" s="7"/>
      <c r="Q188" s="7"/>
      <c r="R188" s="7"/>
      <c r="S188" s="7"/>
      <c r="T188" s="7"/>
      <c r="U188" s="7"/>
      <c r="V188" s="7"/>
      <c r="W188" s="7"/>
      <c r="X188" s="7"/>
    </row>
    <row r="189" spans="2:24" ht="15.75" customHeight="1">
      <c r="B189" s="7"/>
      <c r="C189" s="33"/>
      <c r="D189" s="7"/>
      <c r="E189" s="7"/>
      <c r="F189" s="7"/>
      <c r="G189" s="7"/>
      <c r="H189" s="7"/>
      <c r="I189" s="7"/>
      <c r="K189" s="7"/>
      <c r="L189" s="7"/>
      <c r="N189" s="7"/>
      <c r="O189" s="7"/>
      <c r="P189" s="7"/>
      <c r="Q189" s="7"/>
      <c r="R189" s="7"/>
      <c r="S189" s="7"/>
      <c r="T189" s="7"/>
      <c r="U189" s="7"/>
      <c r="V189" s="7"/>
      <c r="W189" s="7"/>
      <c r="X189" s="7"/>
    </row>
    <row r="190" spans="2:24" ht="15.75" customHeight="1">
      <c r="B190" s="7"/>
      <c r="C190" s="33"/>
      <c r="D190" s="7"/>
      <c r="E190" s="7"/>
      <c r="F190" s="7"/>
      <c r="G190" s="7"/>
      <c r="H190" s="7"/>
      <c r="I190" s="7"/>
      <c r="K190" s="7"/>
      <c r="L190" s="7"/>
      <c r="N190" s="7"/>
      <c r="O190" s="7"/>
      <c r="P190" s="7"/>
      <c r="Q190" s="7"/>
      <c r="R190" s="7"/>
      <c r="S190" s="7"/>
      <c r="T190" s="7"/>
      <c r="U190" s="7"/>
      <c r="V190" s="7"/>
      <c r="W190" s="7"/>
      <c r="X190" s="7"/>
    </row>
    <row r="191" spans="2:24" ht="15.75" customHeight="1">
      <c r="B191" s="7"/>
      <c r="C191" s="33"/>
      <c r="D191" s="7"/>
      <c r="E191" s="7"/>
      <c r="F191" s="7"/>
      <c r="G191" s="7"/>
      <c r="H191" s="7"/>
      <c r="I191" s="7"/>
      <c r="K191" s="7"/>
      <c r="L191" s="7"/>
      <c r="N191" s="7"/>
      <c r="O191" s="7"/>
      <c r="P191" s="7"/>
      <c r="Q191" s="7"/>
      <c r="R191" s="7"/>
      <c r="S191" s="7"/>
      <c r="T191" s="7"/>
      <c r="U191" s="7"/>
      <c r="V191" s="7"/>
      <c r="W191" s="7"/>
      <c r="X191" s="7"/>
    </row>
    <row r="192" spans="2:24" ht="15.75" customHeight="1">
      <c r="B192" s="7"/>
      <c r="C192" s="33"/>
      <c r="D192" s="7"/>
      <c r="E192" s="7"/>
      <c r="F192" s="7"/>
      <c r="G192" s="7"/>
      <c r="H192" s="7"/>
      <c r="I192" s="7"/>
      <c r="K192" s="7"/>
      <c r="L192" s="7"/>
      <c r="N192" s="7"/>
      <c r="O192" s="7"/>
      <c r="P192" s="7"/>
      <c r="Q192" s="7"/>
      <c r="R192" s="7"/>
      <c r="S192" s="7"/>
      <c r="T192" s="7"/>
      <c r="U192" s="7"/>
      <c r="V192" s="7"/>
      <c r="W192" s="7"/>
      <c r="X192" s="7"/>
    </row>
    <row r="193" spans="2:24" ht="15.75" customHeight="1">
      <c r="B193" s="7"/>
      <c r="C193" s="33"/>
      <c r="D193" s="7"/>
      <c r="E193" s="7"/>
      <c r="F193" s="7"/>
      <c r="G193" s="7"/>
      <c r="H193" s="7"/>
      <c r="I193" s="7"/>
      <c r="K193" s="7"/>
      <c r="L193" s="7"/>
      <c r="N193" s="7"/>
      <c r="O193" s="7"/>
      <c r="P193" s="7"/>
      <c r="Q193" s="7"/>
      <c r="R193" s="7"/>
      <c r="S193" s="7"/>
      <c r="T193" s="7"/>
      <c r="U193" s="7"/>
      <c r="V193" s="7"/>
      <c r="W193" s="7"/>
      <c r="X193" s="7"/>
    </row>
    <row r="194" spans="2:24" ht="15.75" customHeight="1">
      <c r="B194" s="7"/>
      <c r="C194" s="33"/>
      <c r="D194" s="7"/>
      <c r="E194" s="7"/>
      <c r="F194" s="7"/>
      <c r="G194" s="7"/>
      <c r="H194" s="7"/>
      <c r="I194" s="7"/>
      <c r="K194" s="7"/>
      <c r="L194" s="7"/>
      <c r="N194" s="7"/>
      <c r="O194" s="7"/>
      <c r="P194" s="7"/>
      <c r="Q194" s="7"/>
      <c r="R194" s="7"/>
      <c r="S194" s="7"/>
      <c r="T194" s="7"/>
      <c r="U194" s="7"/>
      <c r="V194" s="7"/>
      <c r="W194" s="7"/>
      <c r="X194" s="7"/>
    </row>
    <row r="195" spans="2:24" ht="15.75" customHeight="1">
      <c r="B195" s="7"/>
      <c r="C195" s="33"/>
      <c r="D195" s="7"/>
      <c r="E195" s="7"/>
      <c r="F195" s="7"/>
      <c r="G195" s="7"/>
      <c r="H195" s="7"/>
      <c r="I195" s="7"/>
      <c r="K195" s="7"/>
      <c r="L195" s="7"/>
      <c r="N195" s="7"/>
      <c r="O195" s="7"/>
      <c r="P195" s="7"/>
      <c r="Q195" s="7"/>
      <c r="R195" s="7"/>
      <c r="S195" s="7"/>
      <c r="T195" s="7"/>
      <c r="U195" s="7"/>
      <c r="V195" s="7"/>
      <c r="W195" s="7"/>
      <c r="X195" s="7"/>
    </row>
    <row r="196" spans="2:24" ht="15.75" customHeight="1">
      <c r="B196" s="7"/>
      <c r="C196" s="33"/>
      <c r="D196" s="7"/>
      <c r="E196" s="7"/>
      <c r="F196" s="7"/>
      <c r="G196" s="7"/>
      <c r="H196" s="7"/>
      <c r="I196" s="7"/>
      <c r="K196" s="7"/>
      <c r="L196" s="7"/>
      <c r="N196" s="7"/>
      <c r="O196" s="7"/>
      <c r="P196" s="7"/>
      <c r="Q196" s="7"/>
      <c r="R196" s="7"/>
      <c r="S196" s="7"/>
      <c r="T196" s="7"/>
      <c r="U196" s="7"/>
      <c r="V196" s="7"/>
      <c r="W196" s="7"/>
      <c r="X196" s="7"/>
    </row>
    <row r="197" spans="2:24" ht="15.75" customHeight="1">
      <c r="B197" s="7"/>
      <c r="C197" s="33"/>
      <c r="D197" s="7"/>
      <c r="E197" s="7"/>
      <c r="F197" s="7"/>
      <c r="G197" s="7"/>
      <c r="H197" s="7"/>
      <c r="I197" s="7"/>
      <c r="K197" s="7"/>
      <c r="L197" s="7"/>
      <c r="N197" s="7"/>
      <c r="O197" s="7"/>
      <c r="P197" s="7"/>
      <c r="Q197" s="7"/>
      <c r="R197" s="7"/>
      <c r="S197" s="7"/>
      <c r="T197" s="7"/>
      <c r="U197" s="7"/>
      <c r="V197" s="7"/>
      <c r="W197" s="7"/>
      <c r="X197" s="7"/>
    </row>
    <row r="198" spans="2:24" ht="15.75" customHeight="1">
      <c r="B198" s="7"/>
      <c r="C198" s="33"/>
      <c r="D198" s="7"/>
      <c r="E198" s="7"/>
      <c r="F198" s="7"/>
      <c r="G198" s="7"/>
      <c r="H198" s="7"/>
      <c r="I198" s="7"/>
      <c r="K198" s="7"/>
      <c r="L198" s="7"/>
      <c r="N198" s="7"/>
      <c r="O198" s="7"/>
      <c r="P198" s="7"/>
      <c r="Q198" s="7"/>
      <c r="R198" s="7"/>
      <c r="S198" s="7"/>
      <c r="T198" s="7"/>
      <c r="U198" s="7"/>
      <c r="V198" s="7"/>
      <c r="W198" s="7"/>
      <c r="X198" s="7"/>
    </row>
    <row r="199" spans="2:24" ht="15.75" customHeight="1">
      <c r="B199" s="7"/>
      <c r="C199" s="33"/>
      <c r="D199" s="7"/>
      <c r="E199" s="7"/>
      <c r="F199" s="7"/>
      <c r="G199" s="7"/>
      <c r="H199" s="7"/>
      <c r="I199" s="7"/>
      <c r="K199" s="7"/>
      <c r="L199" s="7"/>
      <c r="N199" s="7"/>
      <c r="O199" s="7"/>
      <c r="P199" s="7"/>
      <c r="Q199" s="7"/>
      <c r="R199" s="7"/>
      <c r="S199" s="7"/>
      <c r="T199" s="7"/>
      <c r="U199" s="7"/>
      <c r="V199" s="7"/>
      <c r="W199" s="7"/>
      <c r="X199" s="7"/>
    </row>
    <row r="200" spans="2:24" ht="15.75" customHeight="1">
      <c r="B200" s="7"/>
      <c r="C200" s="33"/>
      <c r="D200" s="7"/>
      <c r="E200" s="7"/>
      <c r="F200" s="7"/>
      <c r="G200" s="7"/>
      <c r="H200" s="7"/>
      <c r="I200" s="7"/>
      <c r="K200" s="7"/>
      <c r="L200" s="7"/>
      <c r="N200" s="7"/>
      <c r="O200" s="7"/>
      <c r="P200" s="7"/>
      <c r="Q200" s="7"/>
      <c r="R200" s="7"/>
      <c r="S200" s="7"/>
      <c r="T200" s="7"/>
      <c r="U200" s="7"/>
      <c r="V200" s="7"/>
      <c r="W200" s="7"/>
      <c r="X200" s="7"/>
    </row>
    <row r="201" spans="2:24" ht="15.75" customHeight="1">
      <c r="B201" s="7"/>
      <c r="C201" s="33"/>
      <c r="D201" s="7"/>
      <c r="E201" s="7"/>
      <c r="F201" s="7"/>
      <c r="G201" s="7"/>
      <c r="H201" s="7"/>
      <c r="I201" s="7"/>
      <c r="K201" s="7"/>
      <c r="L201" s="7"/>
      <c r="N201" s="7"/>
      <c r="O201" s="7"/>
      <c r="P201" s="7"/>
      <c r="Q201" s="7"/>
      <c r="R201" s="7"/>
      <c r="S201" s="7"/>
      <c r="T201" s="7"/>
      <c r="U201" s="7"/>
      <c r="V201" s="7"/>
      <c r="W201" s="7"/>
      <c r="X201" s="7"/>
    </row>
    <row r="202" spans="2:24" ht="15.75" customHeight="1">
      <c r="B202" s="7"/>
      <c r="C202" s="33"/>
      <c r="D202" s="7"/>
      <c r="E202" s="7"/>
      <c r="F202" s="7"/>
      <c r="G202" s="7"/>
      <c r="H202" s="7"/>
      <c r="I202" s="7"/>
      <c r="K202" s="7"/>
      <c r="L202" s="7"/>
      <c r="M202" s="7"/>
      <c r="N202" s="7"/>
      <c r="O202" s="7"/>
      <c r="P202" s="7"/>
      <c r="Q202" s="7"/>
      <c r="R202" s="7"/>
      <c r="S202" s="7"/>
      <c r="T202" s="7"/>
      <c r="U202" s="7"/>
      <c r="V202" s="7"/>
      <c r="W202" s="7"/>
      <c r="X202" s="7"/>
    </row>
    <row r="203" spans="2:24" ht="15.75" customHeight="1">
      <c r="B203" s="7"/>
      <c r="C203" s="33"/>
      <c r="D203" s="7"/>
      <c r="E203" s="7"/>
      <c r="F203" s="7"/>
      <c r="G203" s="7"/>
      <c r="H203" s="7"/>
      <c r="I203" s="7"/>
      <c r="K203" s="7"/>
      <c r="L203" s="7"/>
      <c r="M203" s="7"/>
      <c r="N203" s="7"/>
      <c r="O203" s="7"/>
      <c r="P203" s="7"/>
      <c r="Q203" s="7"/>
      <c r="R203" s="7"/>
      <c r="S203" s="7"/>
      <c r="T203" s="7"/>
      <c r="U203" s="7"/>
      <c r="V203" s="7"/>
      <c r="W203" s="7"/>
      <c r="X203" s="7"/>
    </row>
    <row r="204" spans="2:24" ht="15.75" customHeight="1">
      <c r="B204" s="7"/>
      <c r="C204" s="33"/>
      <c r="D204" s="7"/>
      <c r="E204" s="7"/>
      <c r="F204" s="7"/>
      <c r="G204" s="7"/>
      <c r="H204" s="7"/>
      <c r="I204" s="7"/>
      <c r="K204" s="7"/>
      <c r="L204" s="7"/>
      <c r="M204" s="7"/>
      <c r="N204" s="7"/>
      <c r="O204" s="7"/>
      <c r="P204" s="7"/>
      <c r="Q204" s="7"/>
      <c r="R204" s="7"/>
      <c r="S204" s="7"/>
      <c r="T204" s="7"/>
      <c r="U204" s="7"/>
      <c r="V204" s="7"/>
      <c r="W204" s="7"/>
      <c r="X204" s="7"/>
    </row>
    <row r="205" spans="2:24" ht="15.75" customHeight="1">
      <c r="B205" s="7"/>
      <c r="C205" s="33"/>
      <c r="D205" s="7"/>
      <c r="E205" s="7"/>
      <c r="F205" s="7"/>
      <c r="G205" s="7"/>
      <c r="H205" s="7"/>
      <c r="I205" s="7"/>
      <c r="K205" s="7"/>
      <c r="L205" s="7"/>
      <c r="M205" s="7"/>
      <c r="N205" s="7"/>
      <c r="O205" s="7"/>
      <c r="P205" s="7"/>
      <c r="Q205" s="7"/>
      <c r="R205" s="7"/>
      <c r="S205" s="7"/>
      <c r="T205" s="7"/>
      <c r="U205" s="7"/>
      <c r="V205" s="7"/>
      <c r="W205" s="7"/>
      <c r="X205" s="7"/>
    </row>
    <row r="206" spans="2:24" ht="15.75" customHeight="1">
      <c r="B206" s="7"/>
      <c r="C206" s="33"/>
      <c r="D206" s="7"/>
      <c r="E206" s="7"/>
      <c r="F206" s="7"/>
      <c r="G206" s="7"/>
      <c r="H206" s="7"/>
      <c r="I206" s="7"/>
      <c r="K206" s="7"/>
      <c r="L206" s="7"/>
      <c r="M206" s="7"/>
      <c r="N206" s="7"/>
      <c r="O206" s="7"/>
      <c r="P206" s="7"/>
      <c r="Q206" s="7"/>
      <c r="R206" s="7"/>
      <c r="S206" s="7"/>
      <c r="T206" s="7"/>
      <c r="U206" s="7"/>
      <c r="V206" s="7"/>
      <c r="W206" s="7"/>
      <c r="X206" s="7"/>
    </row>
    <row r="207" spans="2:24" ht="15.75" customHeight="1">
      <c r="B207" s="7"/>
      <c r="C207" s="33"/>
      <c r="D207" s="7"/>
      <c r="E207" s="7"/>
      <c r="F207" s="7"/>
      <c r="G207" s="7"/>
      <c r="H207" s="7"/>
      <c r="I207" s="7"/>
      <c r="K207" s="7"/>
      <c r="L207" s="7"/>
      <c r="M207" s="7"/>
      <c r="N207" s="7"/>
      <c r="O207" s="7"/>
      <c r="P207" s="7"/>
      <c r="Q207" s="7"/>
      <c r="R207" s="7"/>
      <c r="S207" s="7"/>
      <c r="T207" s="7"/>
      <c r="U207" s="7"/>
      <c r="V207" s="7"/>
      <c r="W207" s="7"/>
      <c r="X207" s="7"/>
    </row>
    <row r="208" spans="2:24" ht="15.75" customHeight="1">
      <c r="B208" s="7"/>
      <c r="C208" s="33"/>
      <c r="D208" s="7"/>
      <c r="E208" s="7"/>
      <c r="F208" s="7"/>
      <c r="G208" s="7"/>
      <c r="H208" s="7"/>
      <c r="I208" s="7"/>
      <c r="K208" s="7"/>
      <c r="L208" s="7"/>
      <c r="M208" s="7"/>
      <c r="N208" s="7"/>
      <c r="O208" s="7"/>
      <c r="P208" s="7"/>
      <c r="Q208" s="7"/>
      <c r="R208" s="7"/>
      <c r="S208" s="7"/>
      <c r="T208" s="7"/>
      <c r="U208" s="7"/>
      <c r="V208" s="7"/>
      <c r="W208" s="7"/>
      <c r="X208" s="7"/>
    </row>
    <row r="209" spans="2:24" ht="15.75" customHeight="1">
      <c r="B209" s="7"/>
      <c r="C209" s="33"/>
      <c r="D209" s="7"/>
      <c r="E209" s="7"/>
      <c r="F209" s="7"/>
      <c r="G209" s="7"/>
      <c r="H209" s="7"/>
      <c r="I209" s="7"/>
      <c r="K209" s="7"/>
      <c r="L209" s="7"/>
      <c r="M209" s="7"/>
      <c r="N209" s="7"/>
      <c r="O209" s="7"/>
      <c r="P209" s="7"/>
      <c r="Q209" s="7"/>
      <c r="R209" s="7"/>
      <c r="S209" s="7"/>
      <c r="T209" s="7"/>
      <c r="U209" s="7"/>
      <c r="V209" s="7"/>
      <c r="W209" s="7"/>
      <c r="X209" s="7"/>
    </row>
    <row r="210" spans="2:24" ht="15.75" customHeight="1">
      <c r="B210" s="7"/>
      <c r="C210" s="33"/>
      <c r="D210" s="7"/>
      <c r="E210" s="7"/>
      <c r="F210" s="7"/>
      <c r="G210" s="7"/>
      <c r="H210" s="7"/>
      <c r="I210" s="7"/>
      <c r="K210" s="7"/>
      <c r="L210" s="7"/>
      <c r="M210" s="7"/>
      <c r="N210" s="7"/>
      <c r="O210" s="7"/>
      <c r="P210" s="7"/>
      <c r="Q210" s="7"/>
      <c r="R210" s="7"/>
      <c r="S210" s="7"/>
      <c r="T210" s="7"/>
      <c r="U210" s="7"/>
      <c r="V210" s="7"/>
      <c r="W210" s="7"/>
      <c r="X210" s="7"/>
    </row>
    <row r="211" spans="2:24" ht="15.75" customHeight="1">
      <c r="B211" s="7"/>
      <c r="C211" s="33"/>
      <c r="D211" s="7"/>
      <c r="E211" s="7"/>
      <c r="F211" s="7"/>
      <c r="G211" s="7"/>
      <c r="H211" s="7"/>
      <c r="I211" s="7"/>
      <c r="K211" s="7"/>
      <c r="L211" s="7"/>
      <c r="M211" s="7"/>
      <c r="N211" s="7"/>
      <c r="O211" s="7"/>
      <c r="P211" s="7"/>
      <c r="Q211" s="7"/>
      <c r="R211" s="7"/>
      <c r="S211" s="7"/>
      <c r="T211" s="7"/>
      <c r="U211" s="7"/>
      <c r="V211" s="7"/>
      <c r="W211" s="7"/>
      <c r="X211" s="7"/>
    </row>
    <row r="212" spans="2:24" ht="15.75" customHeight="1">
      <c r="B212" s="7"/>
      <c r="C212" s="33"/>
      <c r="D212" s="7"/>
      <c r="E212" s="7"/>
      <c r="F212" s="7"/>
      <c r="G212" s="7"/>
      <c r="H212" s="7"/>
      <c r="I212" s="7"/>
      <c r="K212" s="7"/>
      <c r="L212" s="7"/>
      <c r="M212" s="7"/>
      <c r="N212" s="7"/>
      <c r="O212" s="7"/>
      <c r="P212" s="7"/>
      <c r="Q212" s="7"/>
      <c r="R212" s="7"/>
      <c r="S212" s="7"/>
      <c r="T212" s="7"/>
      <c r="U212" s="7"/>
      <c r="V212" s="7"/>
      <c r="W212" s="7"/>
      <c r="X212" s="7"/>
    </row>
    <row r="213" spans="2:24" ht="15.75" customHeight="1">
      <c r="B213" s="7"/>
      <c r="C213" s="33"/>
      <c r="D213" s="7"/>
      <c r="E213" s="7"/>
      <c r="F213" s="7"/>
      <c r="G213" s="7"/>
      <c r="H213" s="7"/>
      <c r="I213" s="7"/>
      <c r="K213" s="7"/>
      <c r="L213" s="7"/>
      <c r="M213" s="7"/>
      <c r="N213" s="7"/>
      <c r="O213" s="7"/>
      <c r="P213" s="7"/>
      <c r="Q213" s="7"/>
      <c r="R213" s="7"/>
      <c r="S213" s="7"/>
      <c r="T213" s="7"/>
      <c r="U213" s="7"/>
      <c r="V213" s="7"/>
      <c r="W213" s="7"/>
      <c r="X213" s="7"/>
    </row>
    <row r="214" spans="2:24" ht="15.75" customHeight="1">
      <c r="B214" s="7"/>
      <c r="C214" s="33"/>
      <c r="D214" s="7"/>
      <c r="E214" s="7"/>
      <c r="F214" s="7"/>
      <c r="G214" s="7"/>
      <c r="H214" s="7"/>
      <c r="I214" s="7"/>
      <c r="K214" s="7"/>
      <c r="L214" s="7"/>
      <c r="M214" s="7"/>
      <c r="N214" s="7"/>
      <c r="O214" s="7"/>
      <c r="P214" s="7"/>
      <c r="Q214" s="7"/>
      <c r="R214" s="7"/>
      <c r="S214" s="7"/>
      <c r="T214" s="7"/>
      <c r="U214" s="7"/>
      <c r="V214" s="7"/>
      <c r="W214" s="7"/>
      <c r="X214" s="7"/>
    </row>
    <row r="215" spans="2:24" ht="15.75" customHeight="1">
      <c r="B215" s="7"/>
      <c r="C215" s="33"/>
      <c r="D215" s="7"/>
      <c r="E215" s="7"/>
      <c r="F215" s="7"/>
      <c r="G215" s="7"/>
      <c r="H215" s="7"/>
      <c r="I215" s="7"/>
      <c r="K215" s="7"/>
      <c r="L215" s="7"/>
      <c r="M215" s="7"/>
      <c r="N215" s="7"/>
      <c r="O215" s="7"/>
      <c r="P215" s="7"/>
      <c r="Q215" s="7"/>
      <c r="R215" s="7"/>
      <c r="S215" s="7"/>
      <c r="T215" s="7"/>
      <c r="U215" s="7"/>
      <c r="V215" s="7"/>
      <c r="W215" s="7"/>
      <c r="X215" s="7"/>
    </row>
    <row r="216" spans="2:24" ht="15.75" customHeight="1">
      <c r="B216" s="7"/>
      <c r="C216" s="33"/>
      <c r="D216" s="7"/>
      <c r="E216" s="7"/>
      <c r="F216" s="7"/>
      <c r="G216" s="7"/>
      <c r="H216" s="7"/>
      <c r="I216" s="7"/>
      <c r="K216" s="7"/>
      <c r="L216" s="7"/>
      <c r="M216" s="7"/>
      <c r="N216" s="7"/>
      <c r="O216" s="7"/>
      <c r="P216" s="7"/>
      <c r="Q216" s="7"/>
      <c r="R216" s="7"/>
      <c r="S216" s="7"/>
      <c r="T216" s="7"/>
      <c r="U216" s="7"/>
      <c r="V216" s="7"/>
      <c r="W216" s="7"/>
      <c r="X216" s="7"/>
    </row>
    <row r="217" spans="2:24" ht="15.75" customHeight="1">
      <c r="B217" s="7"/>
      <c r="C217" s="33"/>
      <c r="D217" s="7"/>
      <c r="E217" s="7"/>
      <c r="F217" s="7"/>
      <c r="G217" s="7"/>
      <c r="H217" s="7"/>
      <c r="I217" s="7"/>
      <c r="K217" s="7"/>
      <c r="L217" s="7"/>
      <c r="M217" s="7"/>
      <c r="N217" s="7"/>
      <c r="O217" s="7"/>
      <c r="P217" s="7"/>
      <c r="Q217" s="7"/>
      <c r="R217" s="7"/>
      <c r="S217" s="7"/>
      <c r="T217" s="7"/>
      <c r="U217" s="7"/>
      <c r="V217" s="7"/>
      <c r="W217" s="7"/>
      <c r="X217" s="7"/>
    </row>
    <row r="218" spans="2:24" ht="15.75" customHeight="1">
      <c r="B218" s="7"/>
      <c r="C218" s="33"/>
      <c r="D218" s="7"/>
      <c r="E218" s="7"/>
      <c r="F218" s="7"/>
      <c r="G218" s="7"/>
      <c r="H218" s="7"/>
      <c r="I218" s="7"/>
      <c r="K218" s="7"/>
      <c r="L218" s="7"/>
      <c r="M218" s="7"/>
      <c r="N218" s="7"/>
      <c r="O218" s="7"/>
      <c r="P218" s="7"/>
      <c r="Q218" s="7"/>
      <c r="R218" s="7"/>
      <c r="S218" s="7"/>
      <c r="T218" s="7"/>
      <c r="U218" s="7"/>
      <c r="V218" s="7"/>
      <c r="W218" s="7"/>
      <c r="X218" s="7"/>
    </row>
    <row r="219" spans="2:24" ht="15.75" customHeight="1">
      <c r="B219" s="7"/>
      <c r="C219" s="33"/>
      <c r="D219" s="7"/>
      <c r="E219" s="7"/>
      <c r="F219" s="7"/>
      <c r="G219" s="7"/>
      <c r="H219" s="7"/>
      <c r="I219" s="7"/>
      <c r="K219" s="7"/>
      <c r="L219" s="7"/>
      <c r="M219" s="7"/>
      <c r="N219" s="7"/>
      <c r="O219" s="7"/>
      <c r="P219" s="7"/>
      <c r="Q219" s="7"/>
      <c r="R219" s="7"/>
      <c r="S219" s="7"/>
      <c r="T219" s="7"/>
      <c r="U219" s="7"/>
      <c r="V219" s="7"/>
      <c r="W219" s="7"/>
      <c r="X219" s="7"/>
    </row>
    <row r="220" spans="2:24" ht="15.75" customHeight="1">
      <c r="B220" s="7"/>
      <c r="C220" s="33"/>
      <c r="D220" s="7"/>
      <c r="E220" s="7"/>
      <c r="F220" s="7"/>
      <c r="G220" s="7"/>
      <c r="H220" s="7"/>
      <c r="I220" s="7"/>
      <c r="K220" s="7"/>
      <c r="L220" s="7"/>
      <c r="M220" s="7"/>
      <c r="N220" s="7"/>
      <c r="O220" s="7"/>
      <c r="P220" s="7"/>
      <c r="Q220" s="7"/>
      <c r="R220" s="7"/>
      <c r="S220" s="7"/>
      <c r="T220" s="7"/>
      <c r="U220" s="7"/>
      <c r="V220" s="7"/>
      <c r="W220" s="7"/>
      <c r="X220" s="7"/>
    </row>
    <row r="221" spans="2:24" ht="15.75" customHeight="1">
      <c r="B221" s="7"/>
      <c r="C221" s="33"/>
      <c r="D221" s="7"/>
      <c r="E221" s="7"/>
      <c r="F221" s="7"/>
      <c r="G221" s="7"/>
      <c r="H221" s="7"/>
      <c r="I221" s="7"/>
      <c r="K221" s="7"/>
      <c r="L221" s="7"/>
      <c r="M221" s="7"/>
      <c r="N221" s="7"/>
      <c r="O221" s="7"/>
      <c r="P221" s="7"/>
      <c r="Q221" s="7"/>
      <c r="R221" s="7"/>
      <c r="S221" s="7"/>
      <c r="T221" s="7"/>
      <c r="U221" s="7"/>
      <c r="V221" s="7"/>
      <c r="W221" s="7"/>
      <c r="X221" s="7"/>
    </row>
    <row r="222" spans="2:24" ht="15.75" customHeight="1">
      <c r="B222" s="7"/>
      <c r="C222" s="33"/>
      <c r="D222" s="7"/>
      <c r="E222" s="7"/>
      <c r="F222" s="7"/>
      <c r="G222" s="7"/>
      <c r="H222" s="7"/>
      <c r="I222" s="7"/>
      <c r="K222" s="7"/>
      <c r="L222" s="7"/>
      <c r="M222" s="7"/>
      <c r="N222" s="7"/>
      <c r="O222" s="7"/>
      <c r="P222" s="7"/>
      <c r="Q222" s="7"/>
      <c r="R222" s="7"/>
      <c r="S222" s="7"/>
      <c r="T222" s="7"/>
      <c r="U222" s="7"/>
      <c r="V222" s="7"/>
      <c r="W222" s="7"/>
      <c r="X222" s="7"/>
    </row>
    <row r="223" spans="2:24" ht="15.75" customHeight="1">
      <c r="B223" s="7"/>
      <c r="C223" s="33"/>
      <c r="D223" s="7"/>
      <c r="E223" s="7"/>
      <c r="F223" s="7"/>
      <c r="G223" s="7"/>
      <c r="H223" s="7"/>
      <c r="I223" s="7"/>
      <c r="K223" s="7"/>
      <c r="L223" s="7"/>
      <c r="M223" s="7"/>
      <c r="N223" s="7"/>
      <c r="O223" s="7"/>
      <c r="P223" s="7"/>
      <c r="Q223" s="7"/>
      <c r="R223" s="7"/>
      <c r="S223" s="7"/>
      <c r="T223" s="7"/>
      <c r="U223" s="7"/>
      <c r="V223" s="7"/>
      <c r="W223" s="7"/>
      <c r="X223" s="7"/>
    </row>
    <row r="224" spans="2:24" ht="15.75" customHeight="1">
      <c r="B224" s="7"/>
      <c r="C224" s="33"/>
      <c r="D224" s="7"/>
      <c r="E224" s="7"/>
      <c r="F224" s="7"/>
      <c r="G224" s="7"/>
      <c r="H224" s="7"/>
      <c r="I224" s="7"/>
      <c r="K224" s="7"/>
      <c r="L224" s="7"/>
      <c r="M224" s="7"/>
      <c r="N224" s="7"/>
      <c r="O224" s="7"/>
      <c r="P224" s="7"/>
      <c r="Q224" s="7"/>
      <c r="R224" s="7"/>
      <c r="S224" s="7"/>
      <c r="T224" s="7"/>
      <c r="U224" s="7"/>
      <c r="V224" s="7"/>
      <c r="W224" s="7"/>
      <c r="X224" s="7"/>
    </row>
    <row r="225" spans="2:24" ht="15.75" customHeight="1">
      <c r="B225" s="7"/>
      <c r="C225" s="33"/>
      <c r="D225" s="7"/>
      <c r="E225" s="7"/>
      <c r="F225" s="7"/>
      <c r="G225" s="7"/>
      <c r="H225" s="7"/>
      <c r="I225" s="7"/>
      <c r="K225" s="7"/>
      <c r="L225" s="7"/>
      <c r="M225" s="7"/>
      <c r="N225" s="7"/>
      <c r="O225" s="7"/>
      <c r="P225" s="7"/>
      <c r="Q225" s="7"/>
      <c r="R225" s="7"/>
      <c r="S225" s="7"/>
      <c r="T225" s="7"/>
      <c r="U225" s="7"/>
      <c r="V225" s="7"/>
      <c r="W225" s="7"/>
      <c r="X225" s="7"/>
    </row>
    <row r="226" spans="2:24" ht="15.75" customHeight="1">
      <c r="B226" s="7"/>
      <c r="C226" s="33"/>
      <c r="D226" s="7"/>
      <c r="E226" s="7"/>
      <c r="F226" s="7"/>
      <c r="G226" s="7"/>
      <c r="H226" s="7"/>
      <c r="I226" s="7"/>
      <c r="K226" s="7"/>
      <c r="L226" s="7"/>
      <c r="M226" s="7"/>
      <c r="N226" s="7"/>
      <c r="O226" s="7"/>
      <c r="P226" s="7"/>
      <c r="Q226" s="7"/>
      <c r="R226" s="7"/>
      <c r="S226" s="7"/>
      <c r="T226" s="7"/>
      <c r="U226" s="7"/>
      <c r="V226" s="7"/>
      <c r="W226" s="7"/>
      <c r="X226" s="7"/>
    </row>
    <row r="227" spans="2:24" ht="15.75" customHeight="1">
      <c r="B227" s="7"/>
      <c r="C227" s="33"/>
      <c r="D227" s="7"/>
      <c r="E227" s="7"/>
      <c r="F227" s="7"/>
      <c r="G227" s="7"/>
      <c r="H227" s="7"/>
      <c r="I227" s="7"/>
      <c r="K227" s="7"/>
      <c r="L227" s="7"/>
      <c r="M227" s="7"/>
      <c r="N227" s="7"/>
      <c r="O227" s="7"/>
      <c r="P227" s="7"/>
      <c r="Q227" s="7"/>
      <c r="R227" s="7"/>
      <c r="S227" s="7"/>
      <c r="T227" s="7"/>
      <c r="U227" s="7"/>
      <c r="V227" s="7"/>
      <c r="W227" s="7"/>
      <c r="X227" s="7"/>
    </row>
    <row r="228" spans="2:24" ht="15.75" customHeight="1">
      <c r="B228" s="7"/>
      <c r="C228" s="33"/>
      <c r="D228" s="7"/>
      <c r="E228" s="7"/>
      <c r="F228" s="7"/>
      <c r="G228" s="7"/>
      <c r="H228" s="7"/>
      <c r="I228" s="7"/>
      <c r="K228" s="7"/>
      <c r="L228" s="7"/>
      <c r="M228" s="7"/>
      <c r="N228" s="7"/>
      <c r="O228" s="7"/>
      <c r="P228" s="7"/>
      <c r="Q228" s="7"/>
      <c r="R228" s="7"/>
      <c r="S228" s="7"/>
      <c r="T228" s="7"/>
      <c r="U228" s="7"/>
      <c r="V228" s="7"/>
      <c r="W228" s="7"/>
      <c r="X228" s="7"/>
    </row>
    <row r="229" spans="2:24" ht="15.75" customHeight="1">
      <c r="B229" s="7"/>
      <c r="C229" s="33"/>
      <c r="D229" s="7"/>
      <c r="E229" s="7"/>
      <c r="F229" s="7"/>
      <c r="G229" s="7"/>
      <c r="H229" s="7"/>
      <c r="I229" s="7"/>
      <c r="K229" s="7"/>
      <c r="L229" s="7"/>
      <c r="M229" s="7"/>
      <c r="N229" s="7"/>
      <c r="O229" s="7"/>
      <c r="P229" s="7"/>
      <c r="Q229" s="7"/>
      <c r="R229" s="7"/>
      <c r="S229" s="7"/>
      <c r="T229" s="7"/>
      <c r="U229" s="7"/>
      <c r="V229" s="7"/>
      <c r="W229" s="7"/>
      <c r="X229" s="7"/>
    </row>
    <row r="230" spans="2:24" ht="15.75" customHeight="1">
      <c r="B230" s="7"/>
      <c r="C230" s="33"/>
      <c r="D230" s="7"/>
      <c r="E230" s="7"/>
      <c r="F230" s="7"/>
      <c r="G230" s="7"/>
      <c r="H230" s="7"/>
      <c r="I230" s="7"/>
      <c r="K230" s="7"/>
      <c r="L230" s="7"/>
      <c r="M230" s="7"/>
      <c r="N230" s="7"/>
      <c r="O230" s="7"/>
      <c r="P230" s="7"/>
      <c r="Q230" s="7"/>
      <c r="R230" s="7"/>
      <c r="S230" s="7"/>
      <c r="T230" s="7"/>
      <c r="U230" s="7"/>
      <c r="V230" s="7"/>
      <c r="W230" s="7"/>
      <c r="X230" s="7"/>
    </row>
    <row r="231" spans="2:24" ht="15.75" customHeight="1">
      <c r="B231" s="7"/>
      <c r="C231" s="33"/>
      <c r="D231" s="7"/>
      <c r="E231" s="7"/>
      <c r="F231" s="7"/>
      <c r="G231" s="7"/>
      <c r="H231" s="7"/>
      <c r="I231" s="7"/>
      <c r="K231" s="7"/>
      <c r="L231" s="7"/>
      <c r="M231" s="7"/>
      <c r="N231" s="7"/>
      <c r="O231" s="7"/>
      <c r="P231" s="7"/>
      <c r="Q231" s="7"/>
      <c r="R231" s="7"/>
      <c r="S231" s="7"/>
      <c r="T231" s="7"/>
      <c r="U231" s="7"/>
      <c r="V231" s="7"/>
      <c r="W231" s="7"/>
      <c r="X231" s="7"/>
    </row>
    <row r="232" spans="2:24" ht="15.75" customHeight="1">
      <c r="B232" s="7"/>
      <c r="C232" s="33"/>
      <c r="D232" s="7"/>
      <c r="E232" s="7"/>
      <c r="F232" s="7"/>
      <c r="G232" s="7"/>
      <c r="H232" s="7"/>
      <c r="I232" s="7"/>
      <c r="K232" s="7"/>
      <c r="L232" s="7"/>
      <c r="M232" s="7"/>
      <c r="N232" s="7"/>
      <c r="O232" s="7"/>
      <c r="P232" s="7"/>
      <c r="Q232" s="7"/>
      <c r="R232" s="7"/>
      <c r="S232" s="7"/>
      <c r="T232" s="7"/>
      <c r="U232" s="7"/>
      <c r="V232" s="7"/>
      <c r="W232" s="7"/>
      <c r="X232" s="7"/>
    </row>
    <row r="233" spans="2:24" ht="15.75" customHeight="1">
      <c r="B233" s="7"/>
      <c r="C233" s="33"/>
      <c r="D233" s="7"/>
      <c r="E233" s="7"/>
      <c r="F233" s="7"/>
      <c r="G233" s="7"/>
      <c r="H233" s="7"/>
      <c r="I233" s="7"/>
      <c r="K233" s="7"/>
      <c r="L233" s="7"/>
      <c r="M233" s="7"/>
      <c r="N233" s="7"/>
      <c r="O233" s="7"/>
      <c r="P233" s="7"/>
      <c r="Q233" s="7"/>
      <c r="R233" s="7"/>
      <c r="S233" s="7"/>
      <c r="T233" s="7"/>
      <c r="U233" s="7"/>
      <c r="V233" s="7"/>
      <c r="W233" s="7"/>
      <c r="X233" s="7"/>
    </row>
    <row r="234" spans="2:24" ht="15.75" customHeight="1">
      <c r="B234" s="7"/>
      <c r="C234" s="33"/>
      <c r="D234" s="7"/>
      <c r="E234" s="7"/>
      <c r="F234" s="7"/>
      <c r="G234" s="7"/>
      <c r="H234" s="7"/>
      <c r="I234" s="7"/>
      <c r="K234" s="7"/>
      <c r="L234" s="7"/>
      <c r="M234" s="7"/>
      <c r="N234" s="7"/>
      <c r="O234" s="7"/>
      <c r="P234" s="7"/>
      <c r="Q234" s="7"/>
      <c r="R234" s="7"/>
      <c r="S234" s="7"/>
      <c r="T234" s="7"/>
      <c r="U234" s="7"/>
      <c r="V234" s="7"/>
      <c r="W234" s="7"/>
      <c r="X234" s="7"/>
    </row>
    <row r="235" spans="2:24" ht="15.75" customHeight="1">
      <c r="B235" s="7"/>
      <c r="C235" s="33"/>
      <c r="D235" s="7"/>
      <c r="E235" s="7"/>
      <c r="F235" s="7"/>
      <c r="G235" s="7"/>
      <c r="H235" s="7"/>
      <c r="I235" s="7"/>
      <c r="K235" s="7"/>
      <c r="L235" s="7"/>
      <c r="M235" s="7"/>
      <c r="N235" s="7"/>
      <c r="O235" s="7"/>
      <c r="P235" s="7"/>
      <c r="Q235" s="7"/>
      <c r="R235" s="7"/>
      <c r="S235" s="7"/>
      <c r="T235" s="7"/>
      <c r="U235" s="7"/>
      <c r="V235" s="7"/>
      <c r="W235" s="7"/>
      <c r="X235" s="7"/>
    </row>
    <row r="236" spans="2:24" ht="15.75" customHeight="1">
      <c r="B236" s="7"/>
      <c r="C236" s="33"/>
      <c r="D236" s="7"/>
      <c r="E236" s="7"/>
      <c r="F236" s="7"/>
      <c r="G236" s="7"/>
      <c r="H236" s="7"/>
      <c r="I236" s="7"/>
      <c r="K236" s="7"/>
      <c r="L236" s="7"/>
      <c r="M236" s="7"/>
      <c r="N236" s="7"/>
      <c r="O236" s="7"/>
      <c r="P236" s="7"/>
      <c r="Q236" s="7"/>
      <c r="R236" s="7"/>
      <c r="S236" s="7"/>
      <c r="T236" s="7"/>
      <c r="U236" s="7"/>
      <c r="V236" s="7"/>
      <c r="W236" s="7"/>
      <c r="X236" s="7"/>
    </row>
    <row r="237" spans="2:24" ht="15.75" customHeight="1">
      <c r="B237" s="7"/>
      <c r="C237" s="33"/>
      <c r="D237" s="7"/>
      <c r="E237" s="7"/>
      <c r="F237" s="7"/>
      <c r="G237" s="7"/>
      <c r="H237" s="7"/>
      <c r="I237" s="7"/>
      <c r="K237" s="7"/>
      <c r="L237" s="7"/>
      <c r="M237" s="7"/>
      <c r="N237" s="7"/>
      <c r="O237" s="7"/>
      <c r="P237" s="7"/>
      <c r="Q237" s="7"/>
      <c r="R237" s="7"/>
      <c r="S237" s="7"/>
      <c r="T237" s="7"/>
      <c r="U237" s="7"/>
      <c r="V237" s="7"/>
      <c r="W237" s="7"/>
      <c r="X237" s="7"/>
    </row>
    <row r="238" spans="2:24" ht="15.75" customHeight="1">
      <c r="B238" s="7"/>
      <c r="C238" s="33"/>
      <c r="D238" s="7"/>
      <c r="E238" s="7"/>
      <c r="F238" s="7"/>
      <c r="G238" s="7"/>
      <c r="H238" s="7"/>
      <c r="I238" s="7"/>
      <c r="K238" s="7"/>
      <c r="L238" s="7"/>
      <c r="M238" s="7"/>
      <c r="N238" s="7"/>
      <c r="O238" s="7"/>
      <c r="P238" s="7"/>
      <c r="Q238" s="7"/>
      <c r="R238" s="7"/>
      <c r="S238" s="7"/>
      <c r="T238" s="7"/>
      <c r="U238" s="7"/>
      <c r="V238" s="7"/>
      <c r="W238" s="7"/>
      <c r="X238" s="7"/>
    </row>
    <row r="239" spans="2:24" ht="15.75" customHeight="1">
      <c r="B239" s="7"/>
      <c r="C239" s="33"/>
      <c r="D239" s="7"/>
      <c r="E239" s="7"/>
      <c r="F239" s="7"/>
      <c r="G239" s="7"/>
      <c r="H239" s="7"/>
      <c r="I239" s="7"/>
      <c r="K239" s="7"/>
      <c r="L239" s="7"/>
      <c r="M239" s="7"/>
      <c r="N239" s="7"/>
      <c r="O239" s="7"/>
      <c r="P239" s="7"/>
      <c r="Q239" s="7"/>
      <c r="R239" s="7"/>
      <c r="S239" s="7"/>
      <c r="T239" s="7"/>
      <c r="U239" s="7"/>
      <c r="V239" s="7"/>
      <c r="W239" s="7"/>
      <c r="X239" s="7"/>
    </row>
    <row r="240" spans="2:24" ht="15.75" customHeight="1">
      <c r="B240" s="7"/>
      <c r="C240" s="33"/>
      <c r="D240" s="7"/>
      <c r="E240" s="7"/>
      <c r="F240" s="7"/>
      <c r="G240" s="7"/>
      <c r="H240" s="7"/>
      <c r="I240" s="7"/>
      <c r="K240" s="7"/>
      <c r="L240" s="7"/>
      <c r="M240" s="7"/>
      <c r="N240" s="7"/>
      <c r="O240" s="7"/>
      <c r="P240" s="7"/>
      <c r="Q240" s="7"/>
      <c r="R240" s="7"/>
      <c r="S240" s="7"/>
      <c r="T240" s="7"/>
      <c r="U240" s="7"/>
      <c r="V240" s="7"/>
      <c r="W240" s="7"/>
      <c r="X240" s="7"/>
    </row>
    <row r="241" spans="2:24" ht="15.75" customHeight="1">
      <c r="B241" s="7"/>
      <c r="C241" s="33"/>
      <c r="D241" s="7"/>
      <c r="E241" s="7"/>
      <c r="F241" s="7"/>
      <c r="G241" s="7"/>
      <c r="H241" s="7"/>
      <c r="I241" s="7"/>
      <c r="K241" s="7"/>
      <c r="L241" s="7"/>
      <c r="M241" s="7"/>
      <c r="N241" s="7"/>
      <c r="O241" s="7"/>
      <c r="P241" s="7"/>
      <c r="Q241" s="7"/>
      <c r="R241" s="7"/>
      <c r="S241" s="7"/>
      <c r="T241" s="7"/>
      <c r="U241" s="7"/>
      <c r="V241" s="7"/>
      <c r="W241" s="7"/>
      <c r="X241" s="7"/>
    </row>
    <row r="242" spans="2:24" ht="15.75" customHeight="1">
      <c r="B242" s="7"/>
      <c r="C242" s="33"/>
      <c r="D242" s="7"/>
      <c r="E242" s="7"/>
      <c r="F242" s="7"/>
      <c r="G242" s="7"/>
      <c r="H242" s="7"/>
      <c r="I242" s="7"/>
      <c r="K242" s="7"/>
      <c r="L242" s="7"/>
      <c r="M242" s="7"/>
      <c r="N242" s="7"/>
      <c r="O242" s="7"/>
      <c r="P242" s="7"/>
      <c r="Q242" s="7"/>
      <c r="R242" s="7"/>
      <c r="S242" s="7"/>
      <c r="T242" s="7"/>
      <c r="U242" s="7"/>
      <c r="V242" s="7"/>
      <c r="W242" s="7"/>
      <c r="X242" s="7"/>
    </row>
    <row r="243" spans="2:24" ht="15.75" customHeight="1">
      <c r="B243" s="7"/>
      <c r="C243" s="33"/>
      <c r="D243" s="7"/>
      <c r="E243" s="7"/>
      <c r="F243" s="7"/>
      <c r="G243" s="7"/>
      <c r="H243" s="7"/>
      <c r="I243" s="7"/>
      <c r="K243" s="7"/>
      <c r="L243" s="7"/>
      <c r="M243" s="7"/>
      <c r="N243" s="7"/>
      <c r="O243" s="7"/>
      <c r="P243" s="7"/>
      <c r="Q243" s="7"/>
      <c r="R243" s="7"/>
      <c r="S243" s="7"/>
      <c r="T243" s="7"/>
      <c r="U243" s="7"/>
      <c r="V243" s="7"/>
      <c r="W243" s="7"/>
      <c r="X243" s="7"/>
    </row>
    <row r="244" spans="2:24" ht="15.75" customHeight="1">
      <c r="B244" s="7"/>
      <c r="C244" s="33"/>
      <c r="D244" s="7"/>
      <c r="E244" s="7"/>
      <c r="F244" s="7"/>
      <c r="G244" s="7"/>
      <c r="H244" s="7"/>
      <c r="I244" s="7"/>
      <c r="K244" s="7"/>
      <c r="L244" s="7"/>
      <c r="M244" s="7"/>
      <c r="N244" s="7"/>
      <c r="O244" s="7"/>
      <c r="P244" s="7"/>
      <c r="Q244" s="7"/>
      <c r="R244" s="7"/>
      <c r="S244" s="7"/>
      <c r="T244" s="7"/>
      <c r="U244" s="7"/>
      <c r="V244" s="7"/>
      <c r="W244" s="7"/>
      <c r="X244" s="7"/>
    </row>
    <row r="245" spans="2:24" ht="15.75" customHeight="1">
      <c r="B245" s="7"/>
      <c r="C245" s="33"/>
      <c r="D245" s="7"/>
      <c r="E245" s="7"/>
      <c r="F245" s="7"/>
      <c r="G245" s="7"/>
      <c r="H245" s="7"/>
      <c r="I245" s="7"/>
      <c r="K245" s="7"/>
      <c r="L245" s="7"/>
      <c r="M245" s="7"/>
      <c r="N245" s="7"/>
      <c r="O245" s="7"/>
      <c r="P245" s="7"/>
      <c r="Q245" s="7"/>
      <c r="R245" s="7"/>
      <c r="S245" s="7"/>
      <c r="T245" s="7"/>
      <c r="U245" s="7"/>
      <c r="V245" s="7"/>
      <c r="W245" s="7"/>
      <c r="X245" s="7"/>
    </row>
    <row r="246" spans="2:24" ht="15.75" customHeight="1">
      <c r="B246" s="7"/>
      <c r="C246" s="33"/>
      <c r="D246" s="7"/>
      <c r="E246" s="7"/>
      <c r="F246" s="7"/>
      <c r="G246" s="7"/>
      <c r="H246" s="7"/>
      <c r="I246" s="7"/>
      <c r="K246" s="7"/>
      <c r="L246" s="7"/>
      <c r="M246" s="7"/>
      <c r="N246" s="7"/>
      <c r="O246" s="7"/>
      <c r="P246" s="7"/>
      <c r="Q246" s="7"/>
      <c r="R246" s="7"/>
      <c r="S246" s="7"/>
      <c r="T246" s="7"/>
      <c r="U246" s="7"/>
      <c r="V246" s="7"/>
      <c r="W246" s="7"/>
      <c r="X246" s="7"/>
    </row>
    <row r="247" spans="2:24" ht="15.75" customHeight="1">
      <c r="B247" s="7"/>
      <c r="C247" s="33"/>
      <c r="D247" s="7"/>
      <c r="E247" s="7"/>
      <c r="F247" s="7"/>
      <c r="G247" s="7"/>
      <c r="H247" s="7"/>
      <c r="I247" s="7"/>
      <c r="K247" s="7"/>
      <c r="L247" s="7"/>
      <c r="M247" s="7"/>
      <c r="N247" s="7"/>
      <c r="O247" s="7"/>
      <c r="P247" s="7"/>
      <c r="Q247" s="7"/>
      <c r="R247" s="7"/>
      <c r="S247" s="7"/>
      <c r="T247" s="7"/>
      <c r="U247" s="7"/>
      <c r="V247" s="7"/>
      <c r="W247" s="7"/>
      <c r="X247" s="7"/>
    </row>
    <row r="248" spans="2:24" ht="15.75" customHeight="1">
      <c r="B248" s="7"/>
      <c r="C248" s="33"/>
      <c r="D248" s="7"/>
      <c r="E248" s="7"/>
      <c r="F248" s="7"/>
      <c r="G248" s="7"/>
      <c r="H248" s="7"/>
      <c r="I248" s="7"/>
      <c r="K248" s="7"/>
      <c r="L248" s="7"/>
      <c r="M248" s="7"/>
      <c r="N248" s="7"/>
      <c r="O248" s="7"/>
      <c r="P248" s="7"/>
      <c r="Q248" s="7"/>
      <c r="R248" s="7"/>
      <c r="S248" s="7"/>
      <c r="T248" s="7"/>
      <c r="U248" s="7"/>
      <c r="V248" s="7"/>
      <c r="W248" s="7"/>
      <c r="X248" s="7"/>
    </row>
    <row r="249" spans="2:24" ht="15.75" customHeight="1">
      <c r="B249" s="7"/>
      <c r="C249" s="33"/>
      <c r="D249" s="7"/>
      <c r="E249" s="7"/>
      <c r="F249" s="7"/>
      <c r="G249" s="7"/>
      <c r="H249" s="7"/>
      <c r="I249" s="7"/>
      <c r="K249" s="7"/>
      <c r="L249" s="7"/>
      <c r="M249" s="7"/>
      <c r="N249" s="7"/>
      <c r="O249" s="7"/>
      <c r="P249" s="7"/>
      <c r="Q249" s="7"/>
      <c r="R249" s="7"/>
      <c r="S249" s="7"/>
      <c r="T249" s="7"/>
      <c r="U249" s="7"/>
      <c r="V249" s="7"/>
      <c r="W249" s="7"/>
      <c r="X249" s="7"/>
    </row>
    <row r="250" spans="2:24" ht="15.75" customHeight="1">
      <c r="B250" s="7"/>
      <c r="C250" s="33"/>
      <c r="D250" s="7"/>
      <c r="E250" s="7"/>
      <c r="F250" s="7"/>
      <c r="G250" s="7"/>
      <c r="H250" s="7"/>
      <c r="I250" s="7"/>
      <c r="K250" s="7"/>
      <c r="L250" s="7"/>
      <c r="M250" s="7"/>
      <c r="N250" s="7"/>
      <c r="O250" s="7"/>
      <c r="P250" s="7"/>
      <c r="Q250" s="7"/>
      <c r="R250" s="7"/>
      <c r="S250" s="7"/>
      <c r="T250" s="7"/>
      <c r="U250" s="7"/>
      <c r="V250" s="7"/>
      <c r="W250" s="7"/>
      <c r="X250" s="7"/>
    </row>
    <row r="251" spans="2:24" ht="15.75" customHeight="1">
      <c r="B251" s="7"/>
      <c r="C251" s="33"/>
      <c r="D251" s="7"/>
      <c r="E251" s="7"/>
      <c r="F251" s="7"/>
      <c r="G251" s="7"/>
      <c r="H251" s="7"/>
      <c r="I251" s="7"/>
      <c r="K251" s="7"/>
      <c r="L251" s="7"/>
      <c r="M251" s="7"/>
      <c r="N251" s="7"/>
      <c r="O251" s="7"/>
      <c r="P251" s="7"/>
      <c r="Q251" s="7"/>
      <c r="R251" s="7"/>
      <c r="S251" s="7"/>
      <c r="T251" s="7"/>
      <c r="U251" s="7"/>
      <c r="V251" s="7"/>
      <c r="W251" s="7"/>
      <c r="X251" s="7"/>
    </row>
    <row r="252" spans="2:24" ht="15.75" customHeight="1">
      <c r="B252" s="7"/>
      <c r="C252" s="33"/>
      <c r="D252" s="7"/>
      <c r="E252" s="7"/>
      <c r="F252" s="7"/>
      <c r="G252" s="7"/>
      <c r="H252" s="7"/>
      <c r="I252" s="7"/>
      <c r="K252" s="7"/>
      <c r="L252" s="7"/>
      <c r="M252" s="7"/>
      <c r="N252" s="7"/>
      <c r="O252" s="7"/>
      <c r="P252" s="7"/>
      <c r="Q252" s="7"/>
      <c r="R252" s="7"/>
      <c r="S252" s="7"/>
      <c r="T252" s="7"/>
      <c r="U252" s="7"/>
      <c r="V252" s="7"/>
      <c r="W252" s="7"/>
      <c r="X252" s="7"/>
    </row>
    <row r="253" spans="2:24" ht="15.75" customHeight="1">
      <c r="B253" s="7"/>
      <c r="C253" s="33"/>
      <c r="D253" s="7"/>
      <c r="E253" s="7"/>
      <c r="F253" s="7"/>
      <c r="G253" s="7"/>
      <c r="H253" s="7"/>
      <c r="I253" s="7"/>
      <c r="K253" s="7"/>
      <c r="L253" s="7"/>
      <c r="M253" s="7"/>
      <c r="N253" s="7"/>
      <c r="O253" s="7"/>
      <c r="P253" s="7"/>
      <c r="Q253" s="7"/>
      <c r="R253" s="7"/>
      <c r="S253" s="7"/>
      <c r="T253" s="7"/>
      <c r="U253" s="7"/>
      <c r="V253" s="7"/>
      <c r="W253" s="7"/>
      <c r="X253" s="7"/>
    </row>
    <row r="254" spans="2:24" ht="15.75" customHeight="1">
      <c r="B254" s="7"/>
      <c r="C254" s="33"/>
      <c r="D254" s="7"/>
      <c r="E254" s="7"/>
      <c r="F254" s="7"/>
      <c r="G254" s="7"/>
      <c r="H254" s="7"/>
      <c r="I254" s="7"/>
      <c r="K254" s="7"/>
      <c r="L254" s="7"/>
      <c r="M254" s="7"/>
      <c r="N254" s="7"/>
      <c r="O254" s="7"/>
      <c r="P254" s="7"/>
      <c r="Q254" s="7"/>
      <c r="R254" s="7"/>
      <c r="S254" s="7"/>
      <c r="T254" s="7"/>
      <c r="U254" s="7"/>
      <c r="V254" s="7"/>
      <c r="W254" s="7"/>
      <c r="X254" s="7"/>
    </row>
    <row r="255" spans="2:24" ht="15.75" customHeight="1">
      <c r="B255" s="7"/>
      <c r="C255" s="33"/>
      <c r="D255" s="7"/>
      <c r="E255" s="7"/>
      <c r="F255" s="7"/>
      <c r="G255" s="7"/>
      <c r="H255" s="7"/>
      <c r="I255" s="7"/>
      <c r="K255" s="7"/>
      <c r="L255" s="7"/>
      <c r="M255" s="7"/>
      <c r="N255" s="7"/>
      <c r="O255" s="7"/>
      <c r="P255" s="7"/>
      <c r="Q255" s="7"/>
      <c r="R255" s="7"/>
      <c r="S255" s="7"/>
      <c r="T255" s="7"/>
      <c r="U255" s="7"/>
      <c r="V255" s="7"/>
      <c r="W255" s="7"/>
      <c r="X255" s="7"/>
    </row>
    <row r="256" spans="2:24" ht="15.75" customHeight="1">
      <c r="B256" s="7"/>
      <c r="C256" s="33"/>
      <c r="D256" s="7"/>
      <c r="E256" s="7"/>
      <c r="F256" s="7"/>
      <c r="G256" s="7"/>
      <c r="H256" s="7"/>
      <c r="I256" s="7"/>
      <c r="K256" s="7"/>
      <c r="L256" s="7"/>
      <c r="M256" s="7"/>
      <c r="N256" s="7"/>
      <c r="O256" s="7"/>
      <c r="P256" s="7"/>
      <c r="Q256" s="7"/>
      <c r="R256" s="7"/>
      <c r="S256" s="7"/>
      <c r="T256" s="7"/>
      <c r="U256" s="7"/>
      <c r="V256" s="7"/>
      <c r="W256" s="7"/>
      <c r="X256" s="7"/>
    </row>
    <row r="257" spans="2:24" ht="15.75" customHeight="1">
      <c r="B257" s="7"/>
      <c r="C257" s="33"/>
      <c r="D257" s="7"/>
      <c r="E257" s="7"/>
      <c r="F257" s="7"/>
      <c r="G257" s="7"/>
      <c r="H257" s="7"/>
      <c r="I257" s="7"/>
      <c r="K257" s="7"/>
      <c r="L257" s="7"/>
      <c r="M257" s="7"/>
      <c r="N257" s="7"/>
      <c r="O257" s="7"/>
      <c r="P257" s="7"/>
      <c r="Q257" s="7"/>
      <c r="R257" s="7"/>
      <c r="S257" s="7"/>
      <c r="T257" s="7"/>
      <c r="U257" s="7"/>
      <c r="V257" s="7"/>
      <c r="W257" s="7"/>
      <c r="X257" s="7"/>
    </row>
    <row r="258" spans="2:24" ht="15.75" customHeight="1">
      <c r="B258" s="7"/>
      <c r="C258" s="33"/>
      <c r="D258" s="7"/>
      <c r="E258" s="7"/>
      <c r="F258" s="7"/>
      <c r="G258" s="7"/>
      <c r="H258" s="7"/>
      <c r="I258" s="7"/>
      <c r="K258" s="7"/>
      <c r="L258" s="7"/>
      <c r="M258" s="7"/>
      <c r="N258" s="7"/>
      <c r="O258" s="7"/>
      <c r="P258" s="7"/>
      <c r="Q258" s="7"/>
      <c r="R258" s="7"/>
      <c r="S258" s="7"/>
      <c r="T258" s="7"/>
      <c r="U258" s="7"/>
      <c r="V258" s="7"/>
      <c r="W258" s="7"/>
      <c r="X258" s="7"/>
    </row>
    <row r="259" spans="2:24" ht="15.75" customHeight="1">
      <c r="B259" s="7"/>
      <c r="C259" s="33"/>
      <c r="D259" s="7"/>
      <c r="E259" s="7"/>
      <c r="F259" s="7"/>
      <c r="G259" s="7"/>
      <c r="H259" s="7"/>
      <c r="I259" s="7"/>
      <c r="K259" s="7"/>
      <c r="L259" s="7"/>
      <c r="M259" s="7"/>
      <c r="N259" s="7"/>
      <c r="O259" s="7"/>
      <c r="P259" s="7"/>
      <c r="Q259" s="7"/>
      <c r="R259" s="7"/>
      <c r="S259" s="7"/>
      <c r="T259" s="7"/>
      <c r="U259" s="7"/>
      <c r="V259" s="7"/>
      <c r="W259" s="7"/>
      <c r="X259" s="7"/>
    </row>
    <row r="260" spans="2:24" ht="15.75" customHeight="1">
      <c r="B260" s="7"/>
      <c r="C260" s="33"/>
      <c r="D260" s="7"/>
      <c r="E260" s="7"/>
      <c r="F260" s="7"/>
      <c r="G260" s="7"/>
      <c r="H260" s="7"/>
      <c r="I260" s="7"/>
      <c r="K260" s="7"/>
      <c r="L260" s="7"/>
      <c r="M260" s="7"/>
      <c r="N260" s="7"/>
      <c r="O260" s="7"/>
      <c r="P260" s="7"/>
      <c r="Q260" s="7"/>
      <c r="R260" s="7"/>
      <c r="S260" s="7"/>
      <c r="T260" s="7"/>
      <c r="U260" s="7"/>
      <c r="V260" s="7"/>
      <c r="W260" s="7"/>
      <c r="X260" s="7"/>
    </row>
    <row r="261" spans="2:24" ht="15.75" customHeight="1">
      <c r="B261" s="7"/>
      <c r="C261" s="33"/>
      <c r="D261" s="7"/>
      <c r="E261" s="7"/>
      <c r="F261" s="7"/>
      <c r="G261" s="7"/>
      <c r="H261" s="7"/>
      <c r="I261" s="7"/>
      <c r="K261" s="7"/>
      <c r="L261" s="7"/>
      <c r="M261" s="7"/>
      <c r="N261" s="7"/>
      <c r="O261" s="7"/>
      <c r="P261" s="7"/>
      <c r="Q261" s="7"/>
      <c r="R261" s="7"/>
      <c r="S261" s="7"/>
      <c r="T261" s="7"/>
      <c r="U261" s="7"/>
      <c r="V261" s="7"/>
      <c r="W261" s="7"/>
      <c r="X261" s="7"/>
    </row>
    <row r="262" spans="2:24" ht="15.75" customHeight="1">
      <c r="B262" s="7"/>
      <c r="C262" s="33"/>
      <c r="D262" s="7"/>
      <c r="E262" s="7"/>
      <c r="F262" s="7"/>
      <c r="G262" s="7"/>
      <c r="H262" s="7"/>
      <c r="I262" s="7"/>
      <c r="K262" s="7"/>
      <c r="L262" s="7"/>
      <c r="M262" s="7"/>
      <c r="N262" s="7"/>
      <c r="O262" s="7"/>
      <c r="P262" s="7"/>
      <c r="Q262" s="7"/>
      <c r="R262" s="7"/>
      <c r="S262" s="7"/>
      <c r="T262" s="7"/>
      <c r="U262" s="7"/>
      <c r="V262" s="7"/>
      <c r="W262" s="7"/>
      <c r="X262" s="7"/>
    </row>
    <row r="263" spans="2:24" ht="15.75" customHeight="1">
      <c r="B263" s="7"/>
      <c r="C263" s="33"/>
      <c r="D263" s="7"/>
      <c r="E263" s="7"/>
      <c r="F263" s="7"/>
      <c r="G263" s="7"/>
      <c r="H263" s="7"/>
      <c r="I263" s="7"/>
      <c r="K263" s="7"/>
      <c r="L263" s="7"/>
      <c r="M263" s="7"/>
      <c r="N263" s="7"/>
      <c r="O263" s="7"/>
      <c r="P263" s="7"/>
      <c r="Q263" s="7"/>
      <c r="R263" s="7"/>
      <c r="S263" s="7"/>
      <c r="T263" s="7"/>
      <c r="U263" s="7"/>
      <c r="V263" s="7"/>
      <c r="W263" s="7"/>
      <c r="X263" s="7"/>
    </row>
    <row r="264" spans="2:24" ht="15.75" customHeight="1">
      <c r="B264" s="7"/>
      <c r="C264" s="33"/>
      <c r="D264" s="7"/>
      <c r="E264" s="7"/>
      <c r="F264" s="7"/>
      <c r="G264" s="7"/>
      <c r="H264" s="7"/>
      <c r="I264" s="7"/>
      <c r="K264" s="7"/>
      <c r="L264" s="7"/>
      <c r="M264" s="7"/>
      <c r="N264" s="7"/>
      <c r="O264" s="7"/>
      <c r="P264" s="7"/>
      <c r="Q264" s="7"/>
      <c r="R264" s="7"/>
      <c r="S264" s="7"/>
      <c r="T264" s="7"/>
      <c r="U264" s="7"/>
      <c r="V264" s="7"/>
      <c r="W264" s="7"/>
      <c r="X264" s="7"/>
    </row>
    <row r="265" spans="2:24" ht="15.75" customHeight="1">
      <c r="B265" s="7"/>
      <c r="C265" s="33"/>
      <c r="D265" s="7"/>
      <c r="E265" s="7"/>
      <c r="F265" s="7"/>
      <c r="G265" s="7"/>
      <c r="H265" s="7"/>
      <c r="I265" s="7"/>
      <c r="K265" s="7"/>
      <c r="L265" s="7"/>
      <c r="M265" s="7"/>
      <c r="N265" s="7"/>
      <c r="O265" s="7"/>
      <c r="P265" s="7"/>
      <c r="Q265" s="7"/>
      <c r="R265" s="7"/>
      <c r="S265" s="7"/>
      <c r="T265" s="7"/>
      <c r="U265" s="7"/>
      <c r="V265" s="7"/>
      <c r="W265" s="7"/>
      <c r="X265" s="7"/>
    </row>
    <row r="266" spans="2:24" ht="15.75" customHeight="1">
      <c r="B266" s="7"/>
      <c r="C266" s="33"/>
      <c r="D266" s="7"/>
      <c r="E266" s="7"/>
      <c r="F266" s="7"/>
      <c r="G266" s="7"/>
      <c r="H266" s="7"/>
      <c r="I266" s="7"/>
      <c r="K266" s="7"/>
      <c r="L266" s="7"/>
      <c r="M266" s="7"/>
      <c r="N266" s="7"/>
      <c r="O266" s="7"/>
      <c r="P266" s="7"/>
      <c r="Q266" s="7"/>
      <c r="R266" s="7"/>
      <c r="S266" s="7"/>
      <c r="T266" s="7"/>
      <c r="U266" s="7"/>
      <c r="V266" s="7"/>
      <c r="W266" s="7"/>
      <c r="X266" s="7"/>
    </row>
    <row r="267" spans="2:24" ht="15.75" customHeight="1">
      <c r="B267" s="7"/>
      <c r="C267" s="33"/>
      <c r="D267" s="7"/>
      <c r="E267" s="7"/>
      <c r="F267" s="7"/>
      <c r="G267" s="7"/>
      <c r="H267" s="7"/>
      <c r="I267" s="7"/>
      <c r="K267" s="7"/>
      <c r="L267" s="7"/>
      <c r="M267" s="7"/>
      <c r="N267" s="7"/>
      <c r="O267" s="7"/>
      <c r="P267" s="7"/>
      <c r="Q267" s="7"/>
      <c r="R267" s="7"/>
      <c r="S267" s="7"/>
      <c r="T267" s="7"/>
      <c r="U267" s="7"/>
      <c r="V267" s="7"/>
      <c r="W267" s="7"/>
      <c r="X267" s="7"/>
    </row>
    <row r="268" spans="2:24" ht="15.75" customHeight="1">
      <c r="B268" s="7"/>
      <c r="C268" s="33"/>
      <c r="D268" s="7"/>
      <c r="E268" s="7"/>
      <c r="F268" s="7"/>
      <c r="G268" s="7"/>
      <c r="H268" s="7"/>
      <c r="I268" s="7"/>
      <c r="K268" s="7"/>
      <c r="L268" s="7"/>
      <c r="M268" s="7"/>
      <c r="N268" s="7"/>
      <c r="O268" s="7"/>
      <c r="P268" s="7"/>
      <c r="Q268" s="7"/>
      <c r="R268" s="7"/>
      <c r="S268" s="7"/>
      <c r="T268" s="7"/>
      <c r="U268" s="7"/>
      <c r="V268" s="7"/>
      <c r="W268" s="7"/>
      <c r="X268" s="7"/>
    </row>
    <row r="269" spans="2:24" ht="15.75" customHeight="1">
      <c r="B269" s="7"/>
      <c r="C269" s="33"/>
      <c r="D269" s="7"/>
      <c r="E269" s="7"/>
      <c r="F269" s="7"/>
      <c r="G269" s="7"/>
      <c r="H269" s="7"/>
      <c r="I269" s="7"/>
      <c r="K269" s="7"/>
      <c r="L269" s="7"/>
      <c r="M269" s="7"/>
      <c r="N269" s="7"/>
      <c r="O269" s="7"/>
      <c r="P269" s="7"/>
      <c r="Q269" s="7"/>
      <c r="R269" s="7"/>
      <c r="S269" s="7"/>
      <c r="T269" s="7"/>
      <c r="U269" s="7"/>
      <c r="V269" s="7"/>
      <c r="W269" s="7"/>
      <c r="X269" s="7"/>
    </row>
    <row r="270" spans="2:24" ht="15.75" customHeight="1">
      <c r="B270" s="7"/>
      <c r="C270" s="33"/>
      <c r="D270" s="7"/>
      <c r="E270" s="7"/>
      <c r="F270" s="7"/>
      <c r="G270" s="7"/>
      <c r="H270" s="7"/>
      <c r="I270" s="7"/>
      <c r="K270" s="7"/>
      <c r="L270" s="7"/>
      <c r="M270" s="7"/>
      <c r="N270" s="7"/>
      <c r="O270" s="7"/>
      <c r="P270" s="7"/>
      <c r="Q270" s="7"/>
      <c r="R270" s="7"/>
      <c r="S270" s="7"/>
      <c r="T270" s="7"/>
      <c r="U270" s="7"/>
      <c r="V270" s="7"/>
      <c r="W270" s="7"/>
      <c r="X270" s="7"/>
    </row>
    <row r="271" spans="2:24" ht="15.75" customHeight="1">
      <c r="B271" s="7"/>
      <c r="C271" s="33"/>
      <c r="D271" s="7"/>
      <c r="E271" s="7"/>
      <c r="F271" s="7"/>
      <c r="G271" s="7"/>
      <c r="H271" s="7"/>
      <c r="I271" s="7"/>
      <c r="K271" s="7"/>
      <c r="L271" s="7"/>
      <c r="M271" s="7"/>
      <c r="N271" s="7"/>
      <c r="O271" s="7"/>
      <c r="P271" s="7"/>
      <c r="Q271" s="7"/>
      <c r="R271" s="7"/>
      <c r="S271" s="7"/>
      <c r="T271" s="7"/>
      <c r="U271" s="7"/>
      <c r="V271" s="7"/>
      <c r="W271" s="7"/>
      <c r="X271" s="7"/>
    </row>
    <row r="272" spans="2:24" ht="15.75" customHeight="1">
      <c r="B272" s="7"/>
      <c r="C272" s="33"/>
      <c r="D272" s="7"/>
      <c r="E272" s="7"/>
      <c r="F272" s="7"/>
      <c r="G272" s="7"/>
      <c r="H272" s="7"/>
      <c r="I272" s="7"/>
      <c r="K272" s="7"/>
      <c r="L272" s="7"/>
      <c r="M272" s="7"/>
      <c r="N272" s="7"/>
      <c r="O272" s="7"/>
      <c r="P272" s="7"/>
      <c r="Q272" s="7"/>
      <c r="R272" s="7"/>
      <c r="S272" s="7"/>
      <c r="T272" s="7"/>
      <c r="U272" s="7"/>
      <c r="V272" s="7"/>
      <c r="W272" s="7"/>
      <c r="X272" s="7"/>
    </row>
    <row r="273" spans="2:24" ht="15.75" customHeight="1">
      <c r="B273" s="7"/>
      <c r="C273" s="33"/>
      <c r="D273" s="7"/>
      <c r="E273" s="7"/>
      <c r="F273" s="7"/>
      <c r="G273" s="7"/>
      <c r="H273" s="7"/>
      <c r="I273" s="7"/>
      <c r="K273" s="7"/>
      <c r="L273" s="7"/>
      <c r="M273" s="7"/>
      <c r="N273" s="7"/>
      <c r="O273" s="7"/>
      <c r="P273" s="7"/>
      <c r="Q273" s="7"/>
      <c r="R273" s="7"/>
      <c r="S273" s="7"/>
      <c r="T273" s="7"/>
      <c r="U273" s="7"/>
      <c r="V273" s="7"/>
      <c r="W273" s="7"/>
      <c r="X273" s="7"/>
    </row>
    <row r="274" spans="2:24" ht="15.75" customHeight="1">
      <c r="B274" s="7"/>
      <c r="C274" s="33"/>
      <c r="D274" s="7"/>
      <c r="E274" s="7"/>
      <c r="F274" s="7"/>
      <c r="G274" s="7"/>
      <c r="H274" s="7"/>
      <c r="I274" s="7"/>
      <c r="K274" s="7"/>
      <c r="L274" s="7"/>
      <c r="M274" s="7"/>
      <c r="N274" s="7"/>
      <c r="O274" s="7"/>
      <c r="P274" s="7"/>
      <c r="Q274" s="7"/>
      <c r="R274" s="7"/>
      <c r="S274" s="7"/>
      <c r="T274" s="7"/>
      <c r="U274" s="7"/>
      <c r="V274" s="7"/>
      <c r="W274" s="7"/>
      <c r="X274" s="7"/>
    </row>
    <row r="275" spans="2:24" ht="15.75" customHeight="1">
      <c r="B275" s="7"/>
      <c r="C275" s="33"/>
      <c r="D275" s="7"/>
      <c r="E275" s="7"/>
      <c r="F275" s="7"/>
      <c r="G275" s="7"/>
      <c r="H275" s="7"/>
      <c r="I275" s="7"/>
      <c r="K275" s="7"/>
      <c r="L275" s="7"/>
      <c r="M275" s="7"/>
      <c r="N275" s="7"/>
      <c r="O275" s="7"/>
      <c r="P275" s="7"/>
      <c r="Q275" s="7"/>
      <c r="R275" s="7"/>
      <c r="S275" s="7"/>
      <c r="T275" s="7"/>
      <c r="U275" s="7"/>
      <c r="V275" s="7"/>
      <c r="W275" s="7"/>
      <c r="X275" s="7"/>
    </row>
    <row r="276" spans="2:24" ht="15.75" customHeight="1">
      <c r="B276" s="7"/>
      <c r="C276" s="33"/>
      <c r="D276" s="7"/>
      <c r="E276" s="7"/>
      <c r="F276" s="7"/>
      <c r="G276" s="7"/>
      <c r="H276" s="7"/>
      <c r="I276" s="7"/>
      <c r="K276" s="7"/>
      <c r="L276" s="7"/>
      <c r="M276" s="7"/>
      <c r="N276" s="7"/>
      <c r="O276" s="7"/>
      <c r="P276" s="7"/>
      <c r="Q276" s="7"/>
      <c r="R276" s="7"/>
      <c r="S276" s="7"/>
      <c r="T276" s="7"/>
      <c r="U276" s="7"/>
      <c r="V276" s="7"/>
      <c r="W276" s="7"/>
      <c r="X276" s="7"/>
    </row>
    <row r="277" spans="2:24" ht="15.75" customHeight="1">
      <c r="B277" s="7"/>
      <c r="C277" s="33"/>
      <c r="D277" s="7"/>
      <c r="E277" s="7"/>
      <c r="F277" s="7"/>
      <c r="G277" s="7"/>
      <c r="H277" s="7"/>
      <c r="I277" s="7"/>
      <c r="K277" s="7"/>
      <c r="L277" s="7"/>
      <c r="M277" s="7"/>
      <c r="N277" s="7"/>
      <c r="O277" s="7"/>
      <c r="P277" s="7"/>
      <c r="Q277" s="7"/>
      <c r="R277" s="7"/>
      <c r="S277" s="7"/>
      <c r="T277" s="7"/>
      <c r="U277" s="7"/>
      <c r="V277" s="7"/>
      <c r="W277" s="7"/>
      <c r="X277" s="7"/>
    </row>
    <row r="278" spans="2:24" ht="15.75" customHeight="1">
      <c r="B278" s="7"/>
      <c r="C278" s="33"/>
      <c r="D278" s="7"/>
      <c r="E278" s="7"/>
      <c r="F278" s="7"/>
      <c r="G278" s="7"/>
      <c r="H278" s="7"/>
      <c r="I278" s="7"/>
      <c r="K278" s="7"/>
      <c r="L278" s="7"/>
      <c r="M278" s="7"/>
      <c r="N278" s="7"/>
      <c r="O278" s="7"/>
      <c r="P278" s="7"/>
      <c r="Q278" s="7"/>
      <c r="R278" s="7"/>
      <c r="S278" s="7"/>
      <c r="T278" s="7"/>
      <c r="U278" s="7"/>
      <c r="V278" s="7"/>
      <c r="W278" s="7"/>
      <c r="X278" s="7"/>
    </row>
    <row r="279" spans="2:24" ht="15.75" customHeight="1">
      <c r="B279" s="7"/>
      <c r="C279" s="33"/>
      <c r="D279" s="7"/>
      <c r="E279" s="7"/>
      <c r="F279" s="7"/>
      <c r="G279" s="7"/>
      <c r="H279" s="7"/>
      <c r="I279" s="7"/>
      <c r="K279" s="7"/>
      <c r="L279" s="7"/>
      <c r="M279" s="7"/>
      <c r="N279" s="7"/>
      <c r="O279" s="7"/>
      <c r="P279" s="7"/>
      <c r="Q279" s="7"/>
      <c r="R279" s="7"/>
      <c r="S279" s="7"/>
      <c r="T279" s="7"/>
      <c r="U279" s="7"/>
      <c r="V279" s="7"/>
      <c r="W279" s="7"/>
      <c r="X279" s="7"/>
    </row>
    <row r="280" spans="2:24" ht="15.75" customHeight="1">
      <c r="B280" s="7"/>
      <c r="C280" s="33"/>
      <c r="D280" s="7"/>
      <c r="E280" s="7"/>
      <c r="F280" s="7"/>
      <c r="G280" s="7"/>
      <c r="H280" s="7"/>
      <c r="I280" s="7"/>
      <c r="K280" s="7"/>
      <c r="L280" s="7"/>
      <c r="M280" s="7"/>
      <c r="N280" s="7"/>
      <c r="O280" s="7"/>
      <c r="P280" s="7"/>
      <c r="Q280" s="7"/>
      <c r="R280" s="7"/>
      <c r="S280" s="7"/>
      <c r="T280" s="7"/>
      <c r="U280" s="7"/>
      <c r="V280" s="7"/>
      <c r="W280" s="7"/>
      <c r="X280" s="7"/>
    </row>
    <row r="281" spans="2:24" ht="15.75" customHeight="1">
      <c r="B281" s="7"/>
      <c r="C281" s="33"/>
      <c r="D281" s="7"/>
      <c r="E281" s="7"/>
      <c r="F281" s="7"/>
      <c r="G281" s="7"/>
      <c r="H281" s="7"/>
      <c r="I281" s="7"/>
      <c r="K281" s="7"/>
      <c r="L281" s="7"/>
      <c r="M281" s="7"/>
      <c r="N281" s="7"/>
      <c r="O281" s="7"/>
      <c r="P281" s="7"/>
      <c r="Q281" s="7"/>
      <c r="R281" s="7"/>
      <c r="S281" s="7"/>
      <c r="T281" s="7"/>
      <c r="U281" s="7"/>
      <c r="V281" s="7"/>
      <c r="W281" s="7"/>
      <c r="X281" s="7"/>
    </row>
    <row r="282" spans="2:24" ht="15.75" customHeight="1">
      <c r="B282" s="7"/>
      <c r="C282" s="33"/>
      <c r="D282" s="7"/>
      <c r="E282" s="7"/>
      <c r="F282" s="7"/>
      <c r="G282" s="7"/>
      <c r="H282" s="7"/>
      <c r="I282" s="7"/>
      <c r="K282" s="7"/>
      <c r="L282" s="7"/>
      <c r="M282" s="7"/>
      <c r="N282" s="7"/>
      <c r="O282" s="7"/>
      <c r="P282" s="7"/>
      <c r="Q282" s="7"/>
      <c r="R282" s="7"/>
      <c r="S282" s="7"/>
      <c r="T282" s="7"/>
      <c r="U282" s="7"/>
      <c r="V282" s="7"/>
      <c r="W282" s="7"/>
      <c r="X282" s="7"/>
    </row>
    <row r="283" spans="2:24" ht="15.75" customHeight="1">
      <c r="B283" s="7"/>
      <c r="C283" s="33"/>
      <c r="D283" s="7"/>
      <c r="E283" s="7"/>
      <c r="F283" s="7"/>
      <c r="G283" s="7"/>
      <c r="H283" s="7"/>
      <c r="I283" s="7"/>
      <c r="K283" s="7"/>
      <c r="L283" s="7"/>
      <c r="M283" s="7"/>
      <c r="N283" s="7"/>
      <c r="O283" s="7"/>
      <c r="P283" s="7"/>
      <c r="Q283" s="7"/>
      <c r="R283" s="7"/>
      <c r="S283" s="7"/>
      <c r="T283" s="7"/>
      <c r="U283" s="7"/>
      <c r="V283" s="7"/>
      <c r="W283" s="7"/>
      <c r="X283" s="7"/>
    </row>
    <row r="284" spans="2:24" ht="15.75" customHeight="1">
      <c r="B284" s="7"/>
      <c r="C284" s="33"/>
      <c r="D284" s="7"/>
      <c r="E284" s="7"/>
      <c r="F284" s="7"/>
      <c r="G284" s="7"/>
      <c r="H284" s="7"/>
      <c r="I284" s="7"/>
      <c r="K284" s="7"/>
      <c r="L284" s="7"/>
      <c r="M284" s="7"/>
      <c r="N284" s="7"/>
      <c r="O284" s="7"/>
      <c r="P284" s="7"/>
      <c r="Q284" s="7"/>
      <c r="R284" s="7"/>
      <c r="S284" s="7"/>
      <c r="T284" s="7"/>
      <c r="U284" s="7"/>
      <c r="V284" s="7"/>
      <c r="W284" s="7"/>
      <c r="X284" s="7"/>
    </row>
    <row r="285" spans="2:24" ht="15.75" customHeight="1">
      <c r="B285" s="7"/>
      <c r="C285" s="33"/>
      <c r="D285" s="7"/>
      <c r="E285" s="7"/>
      <c r="F285" s="7"/>
      <c r="G285" s="7"/>
      <c r="H285" s="7"/>
      <c r="I285" s="7"/>
      <c r="K285" s="7"/>
      <c r="L285" s="7"/>
      <c r="M285" s="7"/>
      <c r="N285" s="7"/>
      <c r="O285" s="7"/>
      <c r="P285" s="7"/>
      <c r="Q285" s="7"/>
      <c r="R285" s="7"/>
      <c r="S285" s="7"/>
      <c r="T285" s="7"/>
      <c r="U285" s="7"/>
      <c r="V285" s="7"/>
      <c r="W285" s="7"/>
      <c r="X285" s="7"/>
    </row>
    <row r="286" spans="2:24" ht="15.75" customHeight="1">
      <c r="B286" s="7"/>
      <c r="C286" s="33"/>
      <c r="D286" s="7"/>
      <c r="E286" s="7"/>
      <c r="F286" s="7"/>
      <c r="G286" s="7"/>
      <c r="H286" s="7"/>
      <c r="I286" s="7"/>
      <c r="K286" s="7"/>
      <c r="L286" s="7"/>
      <c r="M286" s="7"/>
      <c r="N286" s="7"/>
      <c r="O286" s="7"/>
      <c r="P286" s="7"/>
      <c r="Q286" s="7"/>
      <c r="R286" s="7"/>
      <c r="S286" s="7"/>
      <c r="T286" s="7"/>
      <c r="U286" s="7"/>
      <c r="V286" s="7"/>
      <c r="W286" s="7"/>
      <c r="X286" s="7"/>
    </row>
    <row r="287" spans="2:24" ht="15.75" customHeight="1">
      <c r="B287" s="7"/>
      <c r="C287" s="33"/>
      <c r="D287" s="7"/>
      <c r="E287" s="7"/>
      <c r="F287" s="7"/>
      <c r="G287" s="7"/>
      <c r="H287" s="7"/>
      <c r="I287" s="7"/>
      <c r="K287" s="7"/>
      <c r="L287" s="7"/>
      <c r="M287" s="7"/>
      <c r="N287" s="7"/>
      <c r="O287" s="7"/>
      <c r="P287" s="7"/>
      <c r="Q287" s="7"/>
      <c r="R287" s="7"/>
      <c r="S287" s="7"/>
      <c r="T287" s="7"/>
      <c r="U287" s="7"/>
      <c r="V287" s="7"/>
      <c r="W287" s="7"/>
      <c r="X287" s="7"/>
    </row>
    <row r="288" spans="2:24" ht="15.75" customHeight="1">
      <c r="B288" s="7"/>
      <c r="C288" s="33"/>
      <c r="D288" s="7"/>
      <c r="E288" s="7"/>
      <c r="F288" s="7"/>
      <c r="G288" s="7"/>
      <c r="H288" s="7"/>
      <c r="I288" s="7"/>
      <c r="K288" s="7"/>
      <c r="L288" s="7"/>
      <c r="M288" s="7"/>
      <c r="N288" s="7"/>
      <c r="O288" s="7"/>
      <c r="P288" s="7"/>
      <c r="Q288" s="7"/>
      <c r="R288" s="7"/>
      <c r="S288" s="7"/>
      <c r="T288" s="7"/>
      <c r="U288" s="7"/>
      <c r="V288" s="7"/>
      <c r="W288" s="7"/>
      <c r="X288" s="7"/>
    </row>
    <row r="289" spans="2:24" ht="15.75" customHeight="1">
      <c r="B289" s="7"/>
      <c r="C289" s="33"/>
      <c r="D289" s="7"/>
      <c r="E289" s="7"/>
      <c r="F289" s="7"/>
      <c r="G289" s="7"/>
      <c r="H289" s="7"/>
      <c r="I289" s="7"/>
      <c r="K289" s="7"/>
      <c r="L289" s="7"/>
      <c r="M289" s="7"/>
      <c r="N289" s="7"/>
      <c r="O289" s="7"/>
      <c r="P289" s="7"/>
      <c r="Q289" s="7"/>
      <c r="R289" s="7"/>
      <c r="S289" s="7"/>
      <c r="T289" s="7"/>
      <c r="U289" s="7"/>
      <c r="V289" s="7"/>
      <c r="W289" s="7"/>
      <c r="X289" s="7"/>
    </row>
    <row r="290" spans="2:24" ht="15.75" customHeight="1">
      <c r="B290" s="7"/>
      <c r="C290" s="33"/>
      <c r="D290" s="7"/>
      <c r="E290" s="7"/>
      <c r="F290" s="7"/>
      <c r="G290" s="7"/>
      <c r="H290" s="7"/>
      <c r="I290" s="7"/>
      <c r="K290" s="7"/>
      <c r="L290" s="7"/>
      <c r="M290" s="7"/>
      <c r="N290" s="7"/>
      <c r="O290" s="7"/>
      <c r="P290" s="7"/>
      <c r="Q290" s="7"/>
      <c r="R290" s="7"/>
      <c r="S290" s="7"/>
      <c r="T290" s="7"/>
      <c r="U290" s="7"/>
      <c r="V290" s="7"/>
      <c r="W290" s="7"/>
      <c r="X290" s="7"/>
    </row>
    <row r="291" spans="2:24" ht="15.75" customHeight="1">
      <c r="B291" s="7"/>
      <c r="C291" s="33"/>
      <c r="D291" s="7"/>
      <c r="E291" s="7"/>
      <c r="F291" s="7"/>
      <c r="G291" s="7"/>
      <c r="H291" s="7"/>
      <c r="I291" s="7"/>
      <c r="K291" s="7"/>
      <c r="L291" s="7"/>
      <c r="M291" s="7"/>
      <c r="N291" s="7"/>
      <c r="O291" s="7"/>
      <c r="P291" s="7"/>
      <c r="Q291" s="7"/>
      <c r="R291" s="7"/>
      <c r="S291" s="7"/>
      <c r="T291" s="7"/>
      <c r="U291" s="7"/>
      <c r="V291" s="7"/>
      <c r="W291" s="7"/>
      <c r="X291" s="7"/>
    </row>
    <row r="292" spans="2:24" ht="15.75" customHeight="1">
      <c r="B292" s="7"/>
      <c r="C292" s="33"/>
      <c r="D292" s="7"/>
      <c r="E292" s="7"/>
      <c r="F292" s="7"/>
      <c r="G292" s="7"/>
      <c r="H292" s="7"/>
      <c r="I292" s="7"/>
      <c r="K292" s="7"/>
      <c r="L292" s="7"/>
      <c r="M292" s="7"/>
      <c r="N292" s="7"/>
      <c r="O292" s="7"/>
      <c r="P292" s="7"/>
      <c r="Q292" s="7"/>
      <c r="R292" s="7"/>
      <c r="S292" s="7"/>
      <c r="T292" s="7"/>
      <c r="U292" s="7"/>
      <c r="V292" s="7"/>
      <c r="W292" s="7"/>
      <c r="X292" s="7"/>
    </row>
    <row r="293" spans="2:24" ht="15.75" customHeight="1">
      <c r="B293" s="7"/>
      <c r="C293" s="33"/>
      <c r="D293" s="7"/>
      <c r="E293" s="7"/>
      <c r="F293" s="7"/>
      <c r="G293" s="7"/>
      <c r="H293" s="7"/>
      <c r="I293" s="7"/>
      <c r="K293" s="7"/>
      <c r="L293" s="7"/>
      <c r="M293" s="7"/>
      <c r="N293" s="7"/>
      <c r="O293" s="7"/>
      <c r="P293" s="7"/>
      <c r="Q293" s="7"/>
      <c r="R293" s="7"/>
      <c r="S293" s="7"/>
      <c r="T293" s="7"/>
      <c r="U293" s="7"/>
      <c r="V293" s="7"/>
      <c r="W293" s="7"/>
      <c r="X293" s="7"/>
    </row>
    <row r="294" spans="2:24" ht="15.75" customHeight="1">
      <c r="B294" s="7"/>
      <c r="C294" s="33"/>
      <c r="D294" s="7"/>
      <c r="E294" s="7"/>
      <c r="F294" s="7"/>
      <c r="G294" s="7"/>
      <c r="H294" s="7"/>
      <c r="I294" s="7"/>
      <c r="K294" s="7"/>
      <c r="L294" s="7"/>
      <c r="M294" s="7"/>
      <c r="N294" s="7"/>
      <c r="O294" s="7"/>
      <c r="P294" s="7"/>
      <c r="Q294" s="7"/>
      <c r="R294" s="7"/>
      <c r="S294" s="7"/>
      <c r="T294" s="7"/>
      <c r="U294" s="7"/>
      <c r="V294" s="7"/>
      <c r="W294" s="7"/>
      <c r="X294" s="7"/>
    </row>
    <row r="295" spans="2:24" ht="15.75" customHeight="1">
      <c r="B295" s="7"/>
      <c r="C295" s="33"/>
      <c r="D295" s="7"/>
      <c r="E295" s="7"/>
      <c r="F295" s="7"/>
      <c r="G295" s="7"/>
      <c r="H295" s="7"/>
      <c r="I295" s="7"/>
      <c r="K295" s="7"/>
      <c r="L295" s="7"/>
      <c r="M295" s="7"/>
      <c r="N295" s="7"/>
      <c r="O295" s="7"/>
      <c r="P295" s="7"/>
      <c r="Q295" s="7"/>
      <c r="R295" s="7"/>
      <c r="S295" s="7"/>
      <c r="T295" s="7"/>
      <c r="U295" s="7"/>
      <c r="V295" s="7"/>
      <c r="W295" s="7"/>
      <c r="X295" s="7"/>
    </row>
    <row r="296" spans="2:24" ht="15.75" customHeight="1">
      <c r="B296" s="7"/>
      <c r="C296" s="33"/>
      <c r="D296" s="7"/>
      <c r="E296" s="7"/>
      <c r="F296" s="7"/>
      <c r="G296" s="7"/>
      <c r="H296" s="7"/>
      <c r="I296" s="7"/>
      <c r="K296" s="7"/>
      <c r="L296" s="7"/>
      <c r="M296" s="7"/>
      <c r="N296" s="7"/>
      <c r="O296" s="7"/>
      <c r="P296" s="7"/>
      <c r="Q296" s="7"/>
      <c r="R296" s="7"/>
      <c r="S296" s="7"/>
      <c r="T296" s="7"/>
      <c r="U296" s="7"/>
      <c r="V296" s="7"/>
      <c r="W296" s="7"/>
      <c r="X296" s="7"/>
    </row>
    <row r="297" spans="2:24" ht="15.75" customHeight="1">
      <c r="B297" s="7"/>
      <c r="C297" s="33"/>
      <c r="D297" s="7"/>
      <c r="E297" s="7"/>
      <c r="F297" s="7"/>
      <c r="G297" s="7"/>
      <c r="H297" s="7"/>
      <c r="I297" s="7"/>
      <c r="K297" s="7"/>
      <c r="L297" s="7"/>
      <c r="M297" s="7"/>
      <c r="N297" s="7"/>
      <c r="O297" s="7"/>
      <c r="P297" s="7"/>
      <c r="Q297" s="7"/>
      <c r="R297" s="7"/>
      <c r="S297" s="7"/>
      <c r="T297" s="7"/>
      <c r="U297" s="7"/>
      <c r="V297" s="7"/>
      <c r="W297" s="7"/>
      <c r="X297" s="7"/>
    </row>
    <row r="298" spans="2:24" ht="15.75" customHeight="1">
      <c r="B298" s="7"/>
      <c r="C298" s="33"/>
      <c r="D298" s="7"/>
      <c r="E298" s="7"/>
      <c r="F298" s="7"/>
      <c r="G298" s="7"/>
      <c r="H298" s="7"/>
      <c r="I298" s="7"/>
      <c r="K298" s="7"/>
      <c r="L298" s="7"/>
      <c r="M298" s="7"/>
      <c r="N298" s="7"/>
      <c r="O298" s="7"/>
      <c r="P298" s="7"/>
      <c r="Q298" s="7"/>
      <c r="R298" s="7"/>
      <c r="S298" s="7"/>
      <c r="T298" s="7"/>
      <c r="U298" s="7"/>
      <c r="V298" s="7"/>
      <c r="W298" s="7"/>
      <c r="X298" s="7"/>
    </row>
    <row r="299" spans="2:24" ht="15.75" customHeight="1">
      <c r="B299" s="7"/>
      <c r="C299" s="33"/>
      <c r="D299" s="7"/>
      <c r="E299" s="7"/>
      <c r="F299" s="7"/>
      <c r="G299" s="7"/>
      <c r="H299" s="7"/>
      <c r="I299" s="7"/>
      <c r="K299" s="7"/>
      <c r="L299" s="7"/>
      <c r="M299" s="7"/>
      <c r="N299" s="7"/>
      <c r="O299" s="7"/>
      <c r="P299" s="7"/>
      <c r="Q299" s="7"/>
      <c r="R299" s="7"/>
      <c r="S299" s="7"/>
      <c r="T299" s="7"/>
      <c r="U299" s="7"/>
      <c r="V299" s="7"/>
      <c r="W299" s="7"/>
      <c r="X299" s="7"/>
    </row>
    <row r="300" spans="2:24" ht="15.75" customHeight="1">
      <c r="B300" s="7"/>
      <c r="C300" s="33"/>
      <c r="D300" s="7"/>
      <c r="E300" s="7"/>
      <c r="F300" s="7"/>
      <c r="G300" s="7"/>
      <c r="H300" s="7"/>
      <c r="I300" s="7"/>
      <c r="K300" s="7"/>
      <c r="L300" s="7"/>
      <c r="M300" s="7"/>
      <c r="N300" s="7"/>
      <c r="O300" s="7"/>
      <c r="P300" s="7"/>
      <c r="Q300" s="7"/>
      <c r="R300" s="7"/>
      <c r="S300" s="7"/>
      <c r="T300" s="7"/>
      <c r="U300" s="7"/>
      <c r="V300" s="7"/>
      <c r="W300" s="7"/>
      <c r="X300" s="7"/>
    </row>
    <row r="301" spans="2:24" ht="15.75" customHeight="1">
      <c r="B301" s="7"/>
      <c r="C301" s="33"/>
      <c r="D301" s="7"/>
      <c r="E301" s="7"/>
      <c r="F301" s="7"/>
      <c r="G301" s="7"/>
      <c r="H301" s="7"/>
      <c r="I301" s="7"/>
      <c r="K301" s="7"/>
      <c r="L301" s="7"/>
      <c r="M301" s="7"/>
      <c r="N301" s="7"/>
      <c r="O301" s="7"/>
      <c r="P301" s="7"/>
      <c r="Q301" s="7"/>
      <c r="R301" s="7"/>
      <c r="S301" s="7"/>
      <c r="T301" s="7"/>
      <c r="U301" s="7"/>
      <c r="V301" s="7"/>
      <c r="W301" s="7"/>
      <c r="X301" s="7"/>
    </row>
    <row r="302" spans="2:24" ht="15.75" customHeight="1">
      <c r="B302" s="7"/>
      <c r="C302" s="33"/>
      <c r="D302" s="7"/>
      <c r="E302" s="7"/>
      <c r="F302" s="7"/>
      <c r="G302" s="7"/>
      <c r="H302" s="7"/>
      <c r="I302" s="7"/>
      <c r="K302" s="7"/>
      <c r="L302" s="7"/>
      <c r="M302" s="7"/>
      <c r="N302" s="7"/>
      <c r="O302" s="7"/>
      <c r="P302" s="7"/>
      <c r="Q302" s="7"/>
      <c r="R302" s="7"/>
      <c r="S302" s="7"/>
      <c r="T302" s="7"/>
      <c r="U302" s="7"/>
      <c r="V302" s="7"/>
      <c r="W302" s="7"/>
      <c r="X302" s="7"/>
    </row>
    <row r="303" spans="2:24" ht="15.75" customHeight="1">
      <c r="B303" s="7"/>
      <c r="C303" s="33"/>
      <c r="D303" s="7"/>
      <c r="E303" s="7"/>
      <c r="F303" s="7"/>
      <c r="G303" s="7"/>
      <c r="H303" s="7"/>
      <c r="I303" s="7"/>
      <c r="K303" s="7"/>
      <c r="L303" s="7"/>
      <c r="M303" s="7"/>
      <c r="N303" s="7"/>
      <c r="O303" s="7"/>
      <c r="P303" s="7"/>
      <c r="Q303" s="7"/>
      <c r="R303" s="7"/>
      <c r="S303" s="7"/>
      <c r="T303" s="7"/>
      <c r="U303" s="7"/>
      <c r="V303" s="7"/>
      <c r="W303" s="7"/>
      <c r="X303" s="7"/>
    </row>
    <row r="304" spans="2:24" ht="15.75" customHeight="1">
      <c r="B304" s="7"/>
      <c r="C304" s="33"/>
      <c r="D304" s="7"/>
      <c r="E304" s="7"/>
      <c r="F304" s="7"/>
      <c r="G304" s="7"/>
      <c r="H304" s="7"/>
      <c r="I304" s="7"/>
      <c r="K304" s="7"/>
      <c r="L304" s="7"/>
      <c r="M304" s="7"/>
      <c r="N304" s="7"/>
      <c r="O304" s="7"/>
      <c r="P304" s="7"/>
      <c r="Q304" s="7"/>
      <c r="R304" s="7"/>
      <c r="S304" s="7"/>
      <c r="T304" s="7"/>
      <c r="U304" s="7"/>
      <c r="V304" s="7"/>
      <c r="W304" s="7"/>
      <c r="X304" s="7"/>
    </row>
    <row r="305" spans="2:24" ht="15.75" customHeight="1">
      <c r="B305" s="7"/>
      <c r="C305" s="33"/>
      <c r="D305" s="7"/>
      <c r="E305" s="7"/>
      <c r="F305" s="7"/>
      <c r="G305" s="7"/>
      <c r="H305" s="7"/>
      <c r="I305" s="7"/>
      <c r="K305" s="7"/>
      <c r="L305" s="7"/>
      <c r="M305" s="7"/>
      <c r="N305" s="7"/>
      <c r="O305" s="7"/>
      <c r="P305" s="7"/>
      <c r="Q305" s="7"/>
      <c r="R305" s="7"/>
      <c r="S305" s="7"/>
      <c r="T305" s="7"/>
      <c r="U305" s="7"/>
      <c r="V305" s="7"/>
      <c r="W305" s="7"/>
      <c r="X305" s="7"/>
    </row>
    <row r="306" spans="2:24" ht="15.75" customHeight="1">
      <c r="B306" s="7"/>
      <c r="C306" s="33"/>
      <c r="D306" s="7"/>
      <c r="E306" s="7"/>
      <c r="F306" s="7"/>
      <c r="G306" s="7"/>
      <c r="H306" s="7"/>
      <c r="I306" s="7"/>
      <c r="K306" s="7"/>
      <c r="L306" s="7"/>
      <c r="M306" s="7"/>
      <c r="N306" s="7"/>
      <c r="O306" s="7"/>
      <c r="P306" s="7"/>
      <c r="Q306" s="7"/>
      <c r="R306" s="7"/>
      <c r="S306" s="7"/>
      <c r="T306" s="7"/>
      <c r="U306" s="7"/>
      <c r="V306" s="7"/>
      <c r="W306" s="7"/>
      <c r="X306" s="7"/>
    </row>
    <row r="307" spans="2:24" ht="15.75" customHeight="1">
      <c r="B307" s="7"/>
      <c r="C307" s="33"/>
      <c r="D307" s="7"/>
      <c r="E307" s="7"/>
      <c r="F307" s="7"/>
      <c r="G307" s="7"/>
      <c r="H307" s="7"/>
      <c r="I307" s="7"/>
      <c r="K307" s="7"/>
      <c r="L307" s="7"/>
      <c r="M307" s="7"/>
      <c r="N307" s="7"/>
      <c r="O307" s="7"/>
      <c r="P307" s="7"/>
      <c r="Q307" s="7"/>
      <c r="R307" s="7"/>
      <c r="S307" s="7"/>
      <c r="T307" s="7"/>
      <c r="U307" s="7"/>
      <c r="V307" s="7"/>
      <c r="W307" s="7"/>
      <c r="X307" s="7"/>
    </row>
    <row r="308" spans="2:24" ht="15.75" customHeight="1">
      <c r="B308" s="7"/>
      <c r="C308" s="33"/>
      <c r="D308" s="7"/>
      <c r="E308" s="7"/>
      <c r="F308" s="7"/>
      <c r="G308" s="7"/>
      <c r="H308" s="7"/>
      <c r="I308" s="7"/>
      <c r="K308" s="7"/>
      <c r="L308" s="7"/>
      <c r="M308" s="7"/>
      <c r="N308" s="7"/>
      <c r="O308" s="7"/>
      <c r="P308" s="7"/>
      <c r="Q308" s="7"/>
      <c r="R308" s="7"/>
      <c r="S308" s="7"/>
      <c r="T308" s="7"/>
      <c r="U308" s="7"/>
      <c r="V308" s="7"/>
      <c r="W308" s="7"/>
      <c r="X308" s="7"/>
    </row>
    <row r="309" spans="2:24" ht="15.75" customHeight="1">
      <c r="B309" s="7"/>
      <c r="C309" s="33"/>
      <c r="D309" s="7"/>
      <c r="E309" s="7"/>
      <c r="F309" s="7"/>
      <c r="G309" s="7"/>
      <c r="H309" s="7"/>
      <c r="I309" s="7"/>
      <c r="K309" s="7"/>
      <c r="L309" s="7"/>
      <c r="M309" s="7"/>
      <c r="N309" s="7"/>
      <c r="O309" s="7"/>
      <c r="P309" s="7"/>
      <c r="Q309" s="7"/>
      <c r="R309" s="7"/>
      <c r="S309" s="7"/>
      <c r="T309" s="7"/>
      <c r="U309" s="7"/>
      <c r="V309" s="7"/>
      <c r="W309" s="7"/>
      <c r="X309" s="7"/>
    </row>
    <row r="310" spans="2:24" ht="15.75" customHeight="1">
      <c r="B310" s="7"/>
      <c r="C310" s="33"/>
      <c r="D310" s="7"/>
      <c r="E310" s="7"/>
      <c r="F310" s="7"/>
      <c r="G310" s="7"/>
      <c r="H310" s="7"/>
      <c r="I310" s="7"/>
      <c r="K310" s="7"/>
      <c r="L310" s="7"/>
      <c r="M310" s="7"/>
      <c r="N310" s="7"/>
      <c r="O310" s="7"/>
      <c r="P310" s="7"/>
      <c r="Q310" s="7"/>
      <c r="R310" s="7"/>
      <c r="S310" s="7"/>
      <c r="T310" s="7"/>
      <c r="U310" s="7"/>
      <c r="V310" s="7"/>
      <c r="W310" s="7"/>
      <c r="X310" s="7"/>
    </row>
    <row r="311" spans="2:24" ht="15.75" customHeight="1">
      <c r="B311" s="7"/>
      <c r="C311" s="33"/>
      <c r="D311" s="7"/>
      <c r="E311" s="7"/>
      <c r="F311" s="7"/>
      <c r="G311" s="7"/>
      <c r="H311" s="7"/>
      <c r="I311" s="7"/>
      <c r="K311" s="7"/>
      <c r="L311" s="7"/>
      <c r="M311" s="7"/>
      <c r="N311" s="7"/>
      <c r="O311" s="7"/>
      <c r="P311" s="7"/>
      <c r="Q311" s="7"/>
      <c r="R311" s="7"/>
      <c r="S311" s="7"/>
      <c r="T311" s="7"/>
      <c r="U311" s="7"/>
      <c r="V311" s="7"/>
      <c r="W311" s="7"/>
      <c r="X311" s="7"/>
    </row>
    <row r="312" spans="2:24" ht="15.75" customHeight="1">
      <c r="B312" s="7"/>
      <c r="C312" s="33"/>
      <c r="D312" s="7"/>
      <c r="E312" s="7"/>
      <c r="F312" s="7"/>
      <c r="G312" s="7"/>
      <c r="H312" s="7"/>
      <c r="I312" s="7"/>
      <c r="K312" s="7"/>
      <c r="L312" s="7"/>
      <c r="M312" s="7"/>
      <c r="N312" s="7"/>
      <c r="O312" s="7"/>
      <c r="P312" s="7"/>
      <c r="Q312" s="7"/>
      <c r="R312" s="7"/>
      <c r="S312" s="7"/>
      <c r="T312" s="7"/>
      <c r="U312" s="7"/>
      <c r="V312" s="7"/>
      <c r="W312" s="7"/>
      <c r="X312" s="7"/>
    </row>
    <row r="313" spans="2:24" ht="15.75" customHeight="1">
      <c r="B313" s="7"/>
      <c r="C313" s="33"/>
      <c r="D313" s="7"/>
      <c r="E313" s="7"/>
      <c r="F313" s="7"/>
      <c r="G313" s="7"/>
      <c r="H313" s="7"/>
      <c r="I313" s="7"/>
      <c r="K313" s="7"/>
      <c r="L313" s="7"/>
      <c r="M313" s="7"/>
      <c r="N313" s="7"/>
      <c r="O313" s="7"/>
      <c r="P313" s="7"/>
      <c r="Q313" s="7"/>
      <c r="R313" s="7"/>
      <c r="S313" s="7"/>
      <c r="T313" s="7"/>
      <c r="U313" s="7"/>
      <c r="V313" s="7"/>
      <c r="W313" s="7"/>
      <c r="X313" s="7"/>
    </row>
    <row r="314" spans="2:24" ht="15.75" customHeight="1">
      <c r="B314" s="7"/>
      <c r="C314" s="33"/>
      <c r="D314" s="7"/>
      <c r="E314" s="7"/>
      <c r="F314" s="7"/>
      <c r="G314" s="7"/>
      <c r="H314" s="7"/>
      <c r="I314" s="7"/>
      <c r="K314" s="7"/>
      <c r="L314" s="7"/>
      <c r="M314" s="7"/>
      <c r="N314" s="7"/>
      <c r="O314" s="7"/>
      <c r="P314" s="7"/>
      <c r="Q314" s="7"/>
      <c r="R314" s="7"/>
      <c r="S314" s="7"/>
      <c r="T314" s="7"/>
      <c r="U314" s="7"/>
      <c r="V314" s="7"/>
      <c r="W314" s="7"/>
      <c r="X314" s="7"/>
    </row>
    <row r="315" spans="2:24" ht="15.75" customHeight="1">
      <c r="B315" s="7"/>
      <c r="C315" s="33"/>
      <c r="D315" s="7"/>
      <c r="E315" s="7"/>
      <c r="F315" s="7"/>
      <c r="G315" s="7"/>
      <c r="H315" s="7"/>
      <c r="I315" s="7"/>
      <c r="K315" s="7"/>
      <c r="L315" s="7"/>
      <c r="M315" s="7"/>
      <c r="N315" s="7"/>
      <c r="O315" s="7"/>
      <c r="P315" s="7"/>
      <c r="Q315" s="7"/>
      <c r="R315" s="7"/>
      <c r="S315" s="7"/>
      <c r="T315" s="7"/>
      <c r="U315" s="7"/>
      <c r="V315" s="7"/>
      <c r="W315" s="7"/>
      <c r="X315" s="7"/>
    </row>
    <row r="316" spans="2:24" ht="15.75" customHeight="1">
      <c r="B316" s="7"/>
      <c r="C316" s="33"/>
      <c r="D316" s="7"/>
      <c r="E316" s="7"/>
      <c r="F316" s="7"/>
      <c r="G316" s="7"/>
      <c r="H316" s="7"/>
      <c r="I316" s="7"/>
      <c r="K316" s="7"/>
      <c r="L316" s="7"/>
      <c r="M316" s="7"/>
      <c r="N316" s="7"/>
      <c r="O316" s="7"/>
      <c r="P316" s="7"/>
      <c r="Q316" s="7"/>
      <c r="R316" s="7"/>
      <c r="S316" s="7"/>
      <c r="T316" s="7"/>
      <c r="U316" s="7"/>
      <c r="V316" s="7"/>
      <c r="W316" s="7"/>
      <c r="X316" s="7"/>
    </row>
    <row r="317" spans="2:24" ht="15.75" customHeight="1">
      <c r="B317" s="7"/>
      <c r="C317" s="33"/>
      <c r="D317" s="7"/>
      <c r="E317" s="7"/>
      <c r="F317" s="7"/>
      <c r="G317" s="7"/>
      <c r="H317" s="7"/>
      <c r="I317" s="7"/>
      <c r="K317" s="7"/>
      <c r="L317" s="7"/>
      <c r="M317" s="7"/>
      <c r="N317" s="7"/>
      <c r="O317" s="7"/>
      <c r="P317" s="7"/>
      <c r="Q317" s="7"/>
      <c r="R317" s="7"/>
      <c r="S317" s="7"/>
      <c r="T317" s="7"/>
      <c r="U317" s="7"/>
      <c r="V317" s="7"/>
      <c r="W317" s="7"/>
      <c r="X317" s="7"/>
    </row>
    <row r="318" spans="2:24" ht="15.75" customHeight="1">
      <c r="B318" s="7"/>
      <c r="C318" s="33"/>
      <c r="D318" s="7"/>
      <c r="E318" s="7"/>
      <c r="F318" s="7"/>
      <c r="G318" s="7"/>
      <c r="H318" s="7"/>
      <c r="I318" s="7"/>
      <c r="K318" s="7"/>
      <c r="L318" s="7"/>
      <c r="M318" s="7"/>
      <c r="N318" s="7"/>
      <c r="O318" s="7"/>
      <c r="P318" s="7"/>
      <c r="Q318" s="7"/>
      <c r="R318" s="7"/>
      <c r="S318" s="7"/>
      <c r="T318" s="7"/>
      <c r="U318" s="7"/>
      <c r="V318" s="7"/>
      <c r="W318" s="7"/>
      <c r="X318" s="7"/>
    </row>
    <row r="319" spans="2:24" ht="15.75" customHeight="1">
      <c r="B319" s="7"/>
      <c r="C319" s="33"/>
      <c r="D319" s="7"/>
      <c r="E319" s="7"/>
      <c r="F319" s="7"/>
      <c r="G319" s="7"/>
      <c r="H319" s="7"/>
      <c r="I319" s="7"/>
      <c r="K319" s="7"/>
      <c r="L319" s="7"/>
      <c r="M319" s="7"/>
      <c r="N319" s="7"/>
      <c r="O319" s="7"/>
      <c r="P319" s="7"/>
      <c r="Q319" s="7"/>
      <c r="R319" s="7"/>
      <c r="S319" s="7"/>
      <c r="T319" s="7"/>
      <c r="U319" s="7"/>
      <c r="V319" s="7"/>
      <c r="W319" s="7"/>
      <c r="X319" s="7"/>
    </row>
    <row r="320" spans="2:24" ht="15.75" customHeight="1">
      <c r="B320" s="7"/>
      <c r="C320" s="33"/>
      <c r="D320" s="7"/>
      <c r="E320" s="7"/>
      <c r="F320" s="7"/>
      <c r="G320" s="7"/>
      <c r="H320" s="7"/>
      <c r="I320" s="7"/>
      <c r="K320" s="7"/>
      <c r="L320" s="7"/>
      <c r="M320" s="7"/>
      <c r="N320" s="7"/>
      <c r="O320" s="7"/>
      <c r="P320" s="7"/>
      <c r="Q320" s="7"/>
      <c r="R320" s="7"/>
      <c r="S320" s="7"/>
      <c r="T320" s="7"/>
      <c r="U320" s="7"/>
      <c r="V320" s="7"/>
      <c r="W320" s="7"/>
      <c r="X320" s="7"/>
    </row>
    <row r="321" spans="2:24" ht="15.75" customHeight="1">
      <c r="B321" s="7"/>
      <c r="C321" s="33"/>
      <c r="D321" s="7"/>
      <c r="E321" s="7"/>
      <c r="F321" s="7"/>
      <c r="G321" s="7"/>
      <c r="H321" s="7"/>
      <c r="I321" s="7"/>
      <c r="K321" s="7"/>
      <c r="L321" s="7"/>
      <c r="M321" s="7"/>
      <c r="N321" s="7"/>
      <c r="O321" s="7"/>
      <c r="P321" s="7"/>
      <c r="Q321" s="7"/>
      <c r="R321" s="7"/>
      <c r="S321" s="7"/>
      <c r="T321" s="7"/>
      <c r="U321" s="7"/>
      <c r="V321" s="7"/>
      <c r="W321" s="7"/>
      <c r="X321" s="7"/>
    </row>
    <row r="322" spans="2:24" ht="15.75" customHeight="1">
      <c r="B322" s="7"/>
      <c r="C322" s="33"/>
      <c r="D322" s="7"/>
      <c r="E322" s="7"/>
      <c r="F322" s="7"/>
      <c r="G322" s="7"/>
      <c r="H322" s="7"/>
      <c r="I322" s="7"/>
      <c r="K322" s="7"/>
      <c r="L322" s="7"/>
      <c r="M322" s="7"/>
      <c r="N322" s="7"/>
      <c r="O322" s="7"/>
      <c r="P322" s="7"/>
      <c r="Q322" s="7"/>
      <c r="R322" s="7"/>
      <c r="S322" s="7"/>
      <c r="T322" s="7"/>
      <c r="U322" s="7"/>
      <c r="V322" s="7"/>
      <c r="W322" s="7"/>
      <c r="X322" s="7"/>
    </row>
    <row r="323" spans="2:24" ht="15.75" customHeight="1">
      <c r="B323" s="7"/>
      <c r="C323" s="33"/>
      <c r="D323" s="7"/>
      <c r="E323" s="7"/>
      <c r="F323" s="7"/>
      <c r="G323" s="7"/>
      <c r="H323" s="7"/>
      <c r="I323" s="7"/>
      <c r="K323" s="7"/>
      <c r="L323" s="7"/>
      <c r="M323" s="7"/>
      <c r="N323" s="7"/>
      <c r="O323" s="7"/>
      <c r="P323" s="7"/>
      <c r="Q323" s="7"/>
      <c r="R323" s="7"/>
      <c r="S323" s="7"/>
      <c r="T323" s="7"/>
      <c r="U323" s="7"/>
      <c r="V323" s="7"/>
      <c r="W323" s="7"/>
      <c r="X323" s="7"/>
    </row>
    <row r="324" spans="2:24" ht="15.75" customHeight="1">
      <c r="B324" s="7"/>
      <c r="C324" s="33"/>
      <c r="D324" s="7"/>
      <c r="E324" s="7"/>
      <c r="F324" s="7"/>
      <c r="G324" s="7"/>
      <c r="H324" s="7"/>
      <c r="I324" s="7"/>
      <c r="K324" s="7"/>
      <c r="L324" s="7"/>
      <c r="M324" s="7"/>
      <c r="N324" s="7"/>
      <c r="O324" s="7"/>
      <c r="P324" s="7"/>
      <c r="Q324" s="7"/>
      <c r="R324" s="7"/>
      <c r="S324" s="7"/>
      <c r="T324" s="7"/>
      <c r="U324" s="7"/>
      <c r="V324" s="7"/>
      <c r="W324" s="7"/>
      <c r="X324" s="7"/>
    </row>
    <row r="325" spans="2:24" ht="15.75" customHeight="1">
      <c r="B325" s="7"/>
      <c r="C325" s="33"/>
      <c r="D325" s="7"/>
      <c r="E325" s="7"/>
      <c r="F325" s="7"/>
      <c r="G325" s="7"/>
      <c r="H325" s="7"/>
      <c r="I325" s="7"/>
      <c r="K325" s="7"/>
      <c r="L325" s="7"/>
      <c r="M325" s="7"/>
      <c r="N325" s="7"/>
      <c r="O325" s="7"/>
      <c r="P325" s="7"/>
      <c r="Q325" s="7"/>
      <c r="R325" s="7"/>
      <c r="S325" s="7"/>
      <c r="T325" s="7"/>
      <c r="U325" s="7"/>
      <c r="V325" s="7"/>
      <c r="W325" s="7"/>
      <c r="X325" s="7"/>
    </row>
    <row r="326" spans="2:24" ht="15.75" customHeight="1">
      <c r="B326" s="7"/>
      <c r="C326" s="33"/>
      <c r="D326" s="7"/>
      <c r="E326" s="7"/>
      <c r="F326" s="7"/>
      <c r="G326" s="7"/>
      <c r="H326" s="7"/>
      <c r="I326" s="7"/>
      <c r="K326" s="7"/>
      <c r="L326" s="7"/>
      <c r="M326" s="7"/>
      <c r="N326" s="7"/>
      <c r="O326" s="7"/>
      <c r="P326" s="7"/>
      <c r="Q326" s="7"/>
      <c r="R326" s="7"/>
      <c r="S326" s="7"/>
      <c r="T326" s="7"/>
      <c r="U326" s="7"/>
      <c r="V326" s="7"/>
      <c r="W326" s="7"/>
      <c r="X326" s="7"/>
    </row>
    <row r="327" spans="2:24" ht="15.75" customHeight="1">
      <c r="B327" s="7"/>
      <c r="C327" s="33"/>
      <c r="D327" s="7"/>
      <c r="E327" s="7"/>
      <c r="F327" s="7"/>
      <c r="G327" s="7"/>
      <c r="H327" s="7"/>
      <c r="I327" s="7"/>
      <c r="K327" s="7"/>
      <c r="L327" s="7"/>
      <c r="M327" s="7"/>
      <c r="N327" s="7"/>
      <c r="O327" s="7"/>
      <c r="P327" s="7"/>
      <c r="Q327" s="7"/>
      <c r="R327" s="7"/>
      <c r="S327" s="7"/>
      <c r="T327" s="7"/>
      <c r="U327" s="7"/>
      <c r="V327" s="7"/>
      <c r="W327" s="7"/>
      <c r="X327" s="7"/>
    </row>
    <row r="328" spans="2:24" ht="15.75" customHeight="1">
      <c r="B328" s="7"/>
      <c r="C328" s="33"/>
      <c r="D328" s="7"/>
      <c r="E328" s="7"/>
      <c r="F328" s="7"/>
      <c r="G328" s="7"/>
      <c r="H328" s="7"/>
      <c r="I328" s="7"/>
      <c r="K328" s="7"/>
      <c r="L328" s="7"/>
      <c r="M328" s="7"/>
      <c r="N328" s="7"/>
      <c r="O328" s="7"/>
      <c r="P328" s="7"/>
      <c r="Q328" s="7"/>
      <c r="R328" s="7"/>
      <c r="S328" s="7"/>
      <c r="T328" s="7"/>
      <c r="U328" s="7"/>
      <c r="V328" s="7"/>
      <c r="W328" s="7"/>
      <c r="X328" s="7"/>
    </row>
    <row r="329" spans="2:24" ht="15.75" customHeight="1">
      <c r="B329" s="7"/>
      <c r="C329" s="33"/>
      <c r="D329" s="7"/>
      <c r="E329" s="7"/>
      <c r="F329" s="7"/>
      <c r="G329" s="7"/>
      <c r="H329" s="7"/>
      <c r="I329" s="7"/>
      <c r="K329" s="7"/>
      <c r="L329" s="7"/>
      <c r="M329" s="7"/>
      <c r="N329" s="7"/>
      <c r="O329" s="7"/>
      <c r="P329" s="7"/>
      <c r="Q329" s="7"/>
      <c r="R329" s="7"/>
      <c r="S329" s="7"/>
      <c r="T329" s="7"/>
      <c r="U329" s="7"/>
      <c r="V329" s="7"/>
      <c r="W329" s="7"/>
      <c r="X329" s="7"/>
    </row>
    <row r="330" spans="2:24" ht="15.75" customHeight="1">
      <c r="B330" s="7"/>
      <c r="C330" s="33"/>
      <c r="D330" s="7"/>
      <c r="E330" s="7"/>
      <c r="F330" s="7"/>
      <c r="G330" s="7"/>
      <c r="H330" s="7"/>
      <c r="I330" s="7"/>
      <c r="K330" s="7"/>
      <c r="L330" s="7"/>
      <c r="M330" s="7"/>
      <c r="N330" s="7"/>
      <c r="O330" s="7"/>
      <c r="P330" s="7"/>
      <c r="Q330" s="7"/>
      <c r="R330" s="7"/>
      <c r="S330" s="7"/>
      <c r="T330" s="7"/>
      <c r="U330" s="7"/>
      <c r="V330" s="7"/>
      <c r="W330" s="7"/>
      <c r="X330" s="7"/>
    </row>
    <row r="331" spans="2:24" ht="15.75" customHeight="1">
      <c r="B331" s="7"/>
      <c r="C331" s="33"/>
      <c r="D331" s="7"/>
      <c r="E331" s="7"/>
      <c r="F331" s="7"/>
      <c r="G331" s="7"/>
      <c r="H331" s="7"/>
      <c r="I331" s="7"/>
      <c r="K331" s="7"/>
      <c r="L331" s="7"/>
      <c r="M331" s="7"/>
      <c r="N331" s="7"/>
      <c r="O331" s="7"/>
      <c r="P331" s="7"/>
      <c r="Q331" s="7"/>
      <c r="R331" s="7"/>
      <c r="S331" s="7"/>
      <c r="T331" s="7"/>
      <c r="U331" s="7"/>
      <c r="V331" s="7"/>
      <c r="W331" s="7"/>
      <c r="X331" s="7"/>
    </row>
    <row r="332" spans="2:24" ht="15.75" customHeight="1">
      <c r="B332" s="7"/>
      <c r="C332" s="33"/>
      <c r="D332" s="7"/>
      <c r="E332" s="7"/>
      <c r="F332" s="7"/>
      <c r="G332" s="7"/>
      <c r="H332" s="7"/>
      <c r="I332" s="7"/>
      <c r="K332" s="7"/>
      <c r="L332" s="7"/>
      <c r="M332" s="7"/>
      <c r="N332" s="7"/>
      <c r="O332" s="7"/>
      <c r="P332" s="7"/>
      <c r="Q332" s="7"/>
      <c r="R332" s="7"/>
      <c r="S332" s="7"/>
      <c r="T332" s="7"/>
      <c r="U332" s="7"/>
      <c r="V332" s="7"/>
      <c r="W332" s="7"/>
      <c r="X332" s="7"/>
    </row>
    <row r="333" spans="2:24" ht="15.75" customHeight="1">
      <c r="B333" s="7"/>
      <c r="C333" s="33"/>
      <c r="D333" s="7"/>
      <c r="E333" s="7"/>
      <c r="F333" s="7"/>
      <c r="G333" s="7"/>
      <c r="H333" s="7"/>
      <c r="I333" s="7"/>
      <c r="K333" s="7"/>
      <c r="L333" s="7"/>
      <c r="M333" s="7"/>
      <c r="N333" s="7"/>
      <c r="O333" s="7"/>
      <c r="P333" s="7"/>
      <c r="Q333" s="7"/>
      <c r="R333" s="7"/>
      <c r="S333" s="7"/>
      <c r="T333" s="7"/>
      <c r="U333" s="7"/>
      <c r="V333" s="7"/>
      <c r="W333" s="7"/>
      <c r="X333" s="7"/>
    </row>
    <row r="334" spans="2:24" ht="15.75" customHeight="1">
      <c r="B334" s="7"/>
      <c r="C334" s="33"/>
      <c r="D334" s="7"/>
      <c r="E334" s="7"/>
      <c r="F334" s="7"/>
      <c r="G334" s="7"/>
      <c r="H334" s="7"/>
      <c r="I334" s="7"/>
      <c r="K334" s="7"/>
      <c r="L334" s="7"/>
      <c r="M334" s="7"/>
      <c r="N334" s="7"/>
      <c r="O334" s="7"/>
      <c r="P334" s="7"/>
      <c r="Q334" s="7"/>
      <c r="R334" s="7"/>
      <c r="S334" s="7"/>
      <c r="T334" s="7"/>
      <c r="U334" s="7"/>
      <c r="V334" s="7"/>
      <c r="W334" s="7"/>
      <c r="X334" s="7"/>
    </row>
    <row r="335" spans="2:24" ht="15.75" customHeight="1">
      <c r="B335" s="7"/>
      <c r="C335" s="33"/>
      <c r="D335" s="7"/>
      <c r="E335" s="7"/>
      <c r="F335" s="7"/>
      <c r="G335" s="7"/>
      <c r="H335" s="7"/>
      <c r="I335" s="7"/>
      <c r="K335" s="7"/>
      <c r="L335" s="7"/>
      <c r="M335" s="7"/>
      <c r="N335" s="7"/>
      <c r="O335" s="7"/>
      <c r="P335" s="7"/>
      <c r="Q335" s="7"/>
      <c r="R335" s="7"/>
      <c r="S335" s="7"/>
      <c r="T335" s="7"/>
      <c r="U335" s="7"/>
      <c r="V335" s="7"/>
      <c r="W335" s="7"/>
      <c r="X335" s="7"/>
    </row>
    <row r="336" spans="2:24" ht="15.75" customHeight="1">
      <c r="B336" s="7"/>
      <c r="C336" s="33"/>
      <c r="D336" s="7"/>
      <c r="E336" s="7"/>
      <c r="F336" s="7"/>
      <c r="G336" s="7"/>
      <c r="H336" s="7"/>
      <c r="I336" s="7"/>
      <c r="K336" s="7"/>
      <c r="L336" s="7"/>
      <c r="M336" s="7"/>
      <c r="N336" s="7"/>
      <c r="O336" s="7"/>
      <c r="P336" s="7"/>
      <c r="Q336" s="7"/>
      <c r="R336" s="7"/>
      <c r="S336" s="7"/>
      <c r="T336" s="7"/>
      <c r="U336" s="7"/>
      <c r="V336" s="7"/>
      <c r="W336" s="7"/>
      <c r="X336" s="7"/>
    </row>
    <row r="337" spans="2:24" ht="15.75" customHeight="1">
      <c r="B337" s="7"/>
      <c r="C337" s="33"/>
      <c r="D337" s="7"/>
      <c r="E337" s="7"/>
      <c r="F337" s="7"/>
      <c r="G337" s="7"/>
      <c r="H337" s="7"/>
      <c r="I337" s="7"/>
      <c r="K337" s="7"/>
      <c r="L337" s="7"/>
      <c r="M337" s="7"/>
      <c r="N337" s="7"/>
      <c r="O337" s="7"/>
      <c r="P337" s="7"/>
      <c r="Q337" s="7"/>
      <c r="R337" s="7"/>
      <c r="S337" s="7"/>
      <c r="T337" s="7"/>
      <c r="U337" s="7"/>
      <c r="V337" s="7"/>
      <c r="W337" s="7"/>
      <c r="X337" s="7"/>
    </row>
    <row r="338" spans="2:24" ht="15.75" customHeight="1">
      <c r="B338" s="7"/>
      <c r="C338" s="33"/>
      <c r="D338" s="7"/>
      <c r="E338" s="7"/>
      <c r="F338" s="7"/>
      <c r="G338" s="7"/>
      <c r="H338" s="7"/>
      <c r="I338" s="7"/>
      <c r="K338" s="7"/>
      <c r="L338" s="7"/>
      <c r="M338" s="7"/>
      <c r="N338" s="7"/>
      <c r="O338" s="7"/>
      <c r="P338" s="7"/>
      <c r="Q338" s="7"/>
      <c r="R338" s="7"/>
      <c r="S338" s="7"/>
      <c r="T338" s="7"/>
      <c r="U338" s="7"/>
      <c r="V338" s="7"/>
      <c r="W338" s="7"/>
      <c r="X338" s="7"/>
    </row>
    <row r="339" spans="2:24" ht="15.75" customHeight="1">
      <c r="B339" s="7"/>
      <c r="C339" s="33"/>
      <c r="D339" s="7"/>
      <c r="E339" s="7"/>
      <c r="F339" s="7"/>
      <c r="G339" s="7"/>
      <c r="H339" s="7"/>
      <c r="I339" s="7"/>
      <c r="K339" s="7"/>
      <c r="L339" s="7"/>
      <c r="M339" s="7"/>
      <c r="N339" s="7"/>
      <c r="O339" s="7"/>
      <c r="P339" s="7"/>
      <c r="Q339" s="7"/>
      <c r="R339" s="7"/>
      <c r="S339" s="7"/>
      <c r="T339" s="7"/>
      <c r="U339" s="7"/>
      <c r="V339" s="7"/>
      <c r="W339" s="7"/>
      <c r="X339" s="7"/>
    </row>
    <row r="340" spans="2:24" ht="15.75" customHeight="1">
      <c r="B340" s="7"/>
      <c r="C340" s="33"/>
      <c r="D340" s="7"/>
      <c r="E340" s="7"/>
      <c r="F340" s="7"/>
      <c r="G340" s="7"/>
      <c r="H340" s="7"/>
      <c r="I340" s="7"/>
      <c r="K340" s="7"/>
      <c r="L340" s="7"/>
      <c r="M340" s="7"/>
      <c r="N340" s="7"/>
      <c r="O340" s="7"/>
      <c r="P340" s="7"/>
      <c r="Q340" s="7"/>
      <c r="R340" s="7"/>
      <c r="S340" s="7"/>
      <c r="T340" s="7"/>
      <c r="U340" s="7"/>
      <c r="V340" s="7"/>
      <c r="W340" s="7"/>
      <c r="X340" s="7"/>
    </row>
    <row r="341" spans="2:24" ht="15.75" customHeight="1">
      <c r="B341" s="7"/>
      <c r="C341" s="33"/>
      <c r="D341" s="7"/>
      <c r="E341" s="7"/>
      <c r="F341" s="7"/>
      <c r="G341" s="7"/>
      <c r="H341" s="7"/>
      <c r="I341" s="7"/>
      <c r="K341" s="7"/>
      <c r="L341" s="7"/>
      <c r="M341" s="7"/>
      <c r="N341" s="7"/>
      <c r="O341" s="7"/>
      <c r="P341" s="7"/>
      <c r="Q341" s="7"/>
      <c r="R341" s="7"/>
      <c r="S341" s="7"/>
      <c r="T341" s="7"/>
      <c r="U341" s="7"/>
      <c r="V341" s="7"/>
      <c r="W341" s="7"/>
      <c r="X341" s="7"/>
    </row>
    <row r="342" spans="2:24" ht="15.75" customHeight="1">
      <c r="B342" s="7"/>
      <c r="C342" s="33"/>
      <c r="D342" s="7"/>
      <c r="E342" s="7"/>
      <c r="F342" s="7"/>
      <c r="G342" s="7"/>
      <c r="H342" s="7"/>
      <c r="I342" s="7"/>
      <c r="K342" s="7"/>
      <c r="L342" s="7"/>
      <c r="M342" s="7"/>
      <c r="N342" s="7"/>
      <c r="O342" s="7"/>
      <c r="P342" s="7"/>
      <c r="Q342" s="7"/>
      <c r="R342" s="7"/>
      <c r="S342" s="7"/>
      <c r="T342" s="7"/>
      <c r="U342" s="7"/>
      <c r="V342" s="7"/>
      <c r="W342" s="7"/>
      <c r="X342" s="7"/>
    </row>
    <row r="343" spans="2:24" ht="15.75" customHeight="1">
      <c r="B343" s="7"/>
      <c r="C343" s="33"/>
      <c r="D343" s="7"/>
      <c r="E343" s="7"/>
      <c r="F343" s="7"/>
      <c r="G343" s="7"/>
      <c r="H343" s="7"/>
      <c r="I343" s="7"/>
      <c r="K343" s="7"/>
      <c r="L343" s="7"/>
      <c r="M343" s="7"/>
      <c r="N343" s="7"/>
      <c r="O343" s="7"/>
      <c r="P343" s="7"/>
      <c r="Q343" s="7"/>
      <c r="R343" s="7"/>
      <c r="S343" s="7"/>
      <c r="T343" s="7"/>
      <c r="U343" s="7"/>
      <c r="V343" s="7"/>
      <c r="W343" s="7"/>
      <c r="X343" s="7"/>
    </row>
    <row r="344" spans="2:24" ht="15.75" customHeight="1">
      <c r="B344" s="7"/>
      <c r="C344" s="33"/>
      <c r="D344" s="7"/>
      <c r="E344" s="7"/>
      <c r="F344" s="7"/>
      <c r="G344" s="7"/>
      <c r="H344" s="7"/>
      <c r="I344" s="7"/>
      <c r="K344" s="7"/>
      <c r="L344" s="7"/>
      <c r="M344" s="7"/>
      <c r="N344" s="7"/>
      <c r="O344" s="7"/>
      <c r="P344" s="7"/>
      <c r="Q344" s="7"/>
      <c r="R344" s="7"/>
      <c r="S344" s="7"/>
      <c r="T344" s="7"/>
      <c r="U344" s="7"/>
      <c r="V344" s="7"/>
      <c r="W344" s="7"/>
      <c r="X344" s="7"/>
    </row>
    <row r="345" spans="2:24" ht="15.75" customHeight="1">
      <c r="B345" s="7"/>
      <c r="C345" s="33"/>
      <c r="D345" s="7"/>
      <c r="E345" s="7"/>
      <c r="F345" s="7"/>
      <c r="G345" s="7"/>
      <c r="H345" s="7"/>
      <c r="I345" s="7"/>
      <c r="K345" s="7"/>
      <c r="L345" s="7"/>
      <c r="M345" s="7"/>
      <c r="N345" s="7"/>
      <c r="O345" s="7"/>
      <c r="P345" s="7"/>
      <c r="Q345" s="7"/>
      <c r="R345" s="7"/>
      <c r="S345" s="7"/>
      <c r="T345" s="7"/>
      <c r="U345" s="7"/>
      <c r="V345" s="7"/>
      <c r="W345" s="7"/>
      <c r="X345" s="7"/>
    </row>
    <row r="346" spans="2:24" ht="15.75" customHeight="1">
      <c r="B346" s="7"/>
      <c r="C346" s="33"/>
      <c r="D346" s="7"/>
      <c r="E346" s="7"/>
      <c r="F346" s="7"/>
      <c r="G346" s="7"/>
      <c r="H346" s="7"/>
      <c r="I346" s="7"/>
      <c r="K346" s="7"/>
      <c r="L346" s="7"/>
      <c r="M346" s="7"/>
      <c r="N346" s="7"/>
      <c r="O346" s="7"/>
      <c r="P346" s="7"/>
      <c r="Q346" s="7"/>
      <c r="R346" s="7"/>
      <c r="S346" s="7"/>
      <c r="T346" s="7"/>
      <c r="U346" s="7"/>
      <c r="V346" s="7"/>
      <c r="W346" s="7"/>
      <c r="X346" s="7"/>
    </row>
    <row r="347" spans="2:24" ht="15.75" customHeight="1">
      <c r="B347" s="7"/>
      <c r="C347" s="33"/>
      <c r="D347" s="7"/>
      <c r="E347" s="7"/>
      <c r="F347" s="7"/>
      <c r="G347" s="7"/>
      <c r="H347" s="7"/>
      <c r="I347" s="7"/>
      <c r="K347" s="7"/>
      <c r="L347" s="7"/>
      <c r="M347" s="7"/>
      <c r="N347" s="7"/>
      <c r="O347" s="7"/>
      <c r="P347" s="7"/>
      <c r="Q347" s="7"/>
      <c r="R347" s="7"/>
      <c r="S347" s="7"/>
      <c r="T347" s="7"/>
      <c r="U347" s="7"/>
      <c r="V347" s="7"/>
      <c r="W347" s="7"/>
      <c r="X347" s="7"/>
    </row>
    <row r="348" spans="2:24" ht="15.75" customHeight="1">
      <c r="B348" s="7"/>
      <c r="C348" s="33"/>
      <c r="D348" s="7"/>
      <c r="E348" s="7"/>
      <c r="F348" s="7"/>
      <c r="G348" s="7"/>
      <c r="H348" s="7"/>
      <c r="I348" s="7"/>
      <c r="K348" s="7"/>
      <c r="L348" s="7"/>
      <c r="M348" s="7"/>
      <c r="N348" s="7"/>
      <c r="O348" s="7"/>
      <c r="P348" s="7"/>
      <c r="Q348" s="7"/>
      <c r="R348" s="7"/>
      <c r="S348" s="7"/>
      <c r="T348" s="7"/>
      <c r="U348" s="7"/>
      <c r="V348" s="7"/>
      <c r="W348" s="7"/>
      <c r="X348" s="7"/>
    </row>
    <row r="349" spans="2:24" ht="15.75" customHeight="1">
      <c r="B349" s="7"/>
      <c r="C349" s="33"/>
      <c r="D349" s="7"/>
      <c r="E349" s="7"/>
      <c r="F349" s="7"/>
      <c r="G349" s="7"/>
      <c r="H349" s="7"/>
      <c r="I349" s="7"/>
      <c r="K349" s="7"/>
      <c r="L349" s="7"/>
      <c r="M349" s="7"/>
      <c r="N349" s="7"/>
      <c r="O349" s="7"/>
      <c r="P349" s="7"/>
      <c r="Q349" s="7"/>
      <c r="R349" s="7"/>
      <c r="S349" s="7"/>
      <c r="T349" s="7"/>
      <c r="U349" s="7"/>
      <c r="V349" s="7"/>
      <c r="W349" s="7"/>
      <c r="X349" s="7"/>
    </row>
    <row r="350" spans="2:24" ht="15.75" customHeight="1">
      <c r="B350" s="7"/>
      <c r="C350" s="33"/>
      <c r="D350" s="7"/>
      <c r="E350" s="7"/>
      <c r="F350" s="7"/>
      <c r="G350" s="7"/>
      <c r="H350" s="7"/>
      <c r="I350" s="7"/>
      <c r="K350" s="7"/>
      <c r="L350" s="7"/>
      <c r="M350" s="7"/>
      <c r="N350" s="7"/>
      <c r="O350" s="7"/>
      <c r="P350" s="7"/>
      <c r="Q350" s="7"/>
      <c r="R350" s="7"/>
      <c r="S350" s="7"/>
      <c r="T350" s="7"/>
      <c r="U350" s="7"/>
      <c r="V350" s="7"/>
      <c r="W350" s="7"/>
      <c r="X350" s="7"/>
    </row>
    <row r="351" spans="2:24" ht="15.75" customHeight="1">
      <c r="B351" s="7"/>
      <c r="C351" s="33"/>
      <c r="D351" s="7"/>
      <c r="E351" s="7"/>
      <c r="F351" s="7"/>
      <c r="G351" s="7"/>
      <c r="H351" s="7"/>
      <c r="I351" s="7"/>
      <c r="K351" s="7"/>
      <c r="L351" s="7"/>
      <c r="M351" s="7"/>
      <c r="N351" s="7"/>
      <c r="O351" s="7"/>
      <c r="P351" s="7"/>
      <c r="Q351" s="7"/>
      <c r="R351" s="7"/>
      <c r="S351" s="7"/>
      <c r="T351" s="7"/>
      <c r="U351" s="7"/>
      <c r="V351" s="7"/>
      <c r="W351" s="7"/>
      <c r="X351" s="7"/>
    </row>
    <row r="352" spans="2:24" ht="15.75" customHeight="1">
      <c r="B352" s="7"/>
      <c r="C352" s="33"/>
      <c r="D352" s="7"/>
      <c r="E352" s="7"/>
      <c r="F352" s="7"/>
      <c r="G352" s="7"/>
      <c r="H352" s="7"/>
      <c r="I352" s="7"/>
      <c r="K352" s="7"/>
      <c r="L352" s="7"/>
      <c r="M352" s="7"/>
      <c r="N352" s="7"/>
      <c r="O352" s="7"/>
      <c r="P352" s="7"/>
      <c r="Q352" s="7"/>
      <c r="R352" s="7"/>
      <c r="S352" s="7"/>
      <c r="T352" s="7"/>
      <c r="U352" s="7"/>
      <c r="V352" s="7"/>
      <c r="W352" s="7"/>
      <c r="X352" s="7"/>
    </row>
    <row r="353" spans="2:24" ht="15.75" customHeight="1">
      <c r="B353" s="7"/>
      <c r="C353" s="33"/>
      <c r="D353" s="7"/>
      <c r="E353" s="7"/>
      <c r="F353" s="7"/>
      <c r="G353" s="7"/>
      <c r="H353" s="7"/>
      <c r="I353" s="7"/>
      <c r="K353" s="7"/>
      <c r="L353" s="7"/>
      <c r="M353" s="7"/>
      <c r="N353" s="7"/>
      <c r="O353" s="7"/>
      <c r="P353" s="7"/>
      <c r="Q353" s="7"/>
      <c r="R353" s="7"/>
      <c r="S353" s="7"/>
      <c r="T353" s="7"/>
      <c r="U353" s="7"/>
      <c r="V353" s="7"/>
      <c r="W353" s="7"/>
      <c r="X353" s="7"/>
    </row>
    <row r="354" spans="2:24" ht="15.75" customHeight="1">
      <c r="B354" s="7"/>
      <c r="C354" s="33"/>
      <c r="D354" s="7"/>
      <c r="E354" s="7"/>
      <c r="F354" s="7"/>
      <c r="G354" s="7"/>
      <c r="H354" s="7"/>
      <c r="I354" s="7"/>
      <c r="K354" s="7"/>
      <c r="L354" s="7"/>
      <c r="M354" s="7"/>
      <c r="N354" s="7"/>
      <c r="O354" s="7"/>
      <c r="P354" s="7"/>
      <c r="Q354" s="7"/>
      <c r="R354" s="7"/>
      <c r="S354" s="7"/>
      <c r="T354" s="7"/>
      <c r="U354" s="7"/>
      <c r="V354" s="7"/>
      <c r="W354" s="7"/>
      <c r="X354" s="7"/>
    </row>
    <row r="355" spans="2:24" ht="15.75" customHeight="1">
      <c r="B355" s="7"/>
      <c r="C355" s="33"/>
      <c r="D355" s="7"/>
      <c r="E355" s="7"/>
      <c r="F355" s="7"/>
      <c r="G355" s="7"/>
      <c r="H355" s="7"/>
      <c r="I355" s="7"/>
      <c r="K355" s="7"/>
      <c r="L355" s="7"/>
      <c r="M355" s="7"/>
      <c r="N355" s="7"/>
      <c r="O355" s="7"/>
      <c r="P355" s="7"/>
      <c r="Q355" s="7"/>
      <c r="R355" s="7"/>
      <c r="S355" s="7"/>
      <c r="T355" s="7"/>
      <c r="U355" s="7"/>
      <c r="V355" s="7"/>
      <c r="W355" s="7"/>
      <c r="X355" s="7"/>
    </row>
    <row r="356" spans="2:24" ht="15.75" customHeight="1">
      <c r="B356" s="7"/>
      <c r="C356" s="33"/>
      <c r="D356" s="7"/>
      <c r="E356" s="7"/>
      <c r="F356" s="7"/>
      <c r="G356" s="7"/>
      <c r="H356" s="7"/>
      <c r="I356" s="7"/>
      <c r="K356" s="7"/>
      <c r="L356" s="7"/>
      <c r="M356" s="7"/>
      <c r="N356" s="7"/>
      <c r="O356" s="7"/>
      <c r="P356" s="7"/>
      <c r="Q356" s="7"/>
      <c r="R356" s="7"/>
      <c r="S356" s="7"/>
      <c r="T356" s="7"/>
      <c r="U356" s="7"/>
      <c r="V356" s="7"/>
      <c r="W356" s="7"/>
      <c r="X356" s="7"/>
    </row>
    <row r="357" spans="2:24" ht="15.75" customHeight="1">
      <c r="B357" s="7"/>
      <c r="C357" s="33"/>
      <c r="D357" s="7"/>
      <c r="E357" s="7"/>
      <c r="F357" s="7"/>
      <c r="G357" s="7"/>
      <c r="H357" s="7"/>
      <c r="I357" s="7"/>
      <c r="K357" s="7"/>
      <c r="L357" s="7"/>
      <c r="M357" s="7"/>
      <c r="N357" s="7"/>
      <c r="O357" s="7"/>
      <c r="P357" s="7"/>
      <c r="Q357" s="7"/>
      <c r="R357" s="7"/>
      <c r="S357" s="7"/>
      <c r="T357" s="7"/>
      <c r="U357" s="7"/>
      <c r="V357" s="7"/>
      <c r="W357" s="7"/>
      <c r="X357" s="7"/>
    </row>
    <row r="358" spans="2:24" ht="15.75" customHeight="1">
      <c r="B358" s="7"/>
      <c r="C358" s="33"/>
      <c r="D358" s="7"/>
      <c r="E358" s="7"/>
      <c r="F358" s="7"/>
      <c r="G358" s="7"/>
      <c r="H358" s="7"/>
      <c r="I358" s="7"/>
      <c r="K358" s="7"/>
      <c r="L358" s="7"/>
      <c r="M358" s="7"/>
      <c r="N358" s="7"/>
      <c r="O358" s="7"/>
      <c r="P358" s="7"/>
      <c r="Q358" s="7"/>
      <c r="R358" s="7"/>
      <c r="S358" s="7"/>
      <c r="T358" s="7"/>
      <c r="U358" s="7"/>
      <c r="V358" s="7"/>
      <c r="W358" s="7"/>
      <c r="X358" s="7"/>
    </row>
    <row r="359" spans="2:24" ht="15.75" customHeight="1">
      <c r="B359" s="7"/>
      <c r="C359" s="33"/>
      <c r="D359" s="7"/>
      <c r="E359" s="7"/>
      <c r="F359" s="7"/>
      <c r="G359" s="7"/>
      <c r="H359" s="7"/>
      <c r="I359" s="7"/>
      <c r="K359" s="7"/>
      <c r="L359" s="7"/>
      <c r="M359" s="7"/>
      <c r="N359" s="7"/>
      <c r="O359" s="7"/>
      <c r="P359" s="7"/>
      <c r="Q359" s="7"/>
      <c r="R359" s="7"/>
      <c r="S359" s="7"/>
      <c r="T359" s="7"/>
      <c r="U359" s="7"/>
      <c r="V359" s="7"/>
      <c r="W359" s="7"/>
      <c r="X359" s="7"/>
    </row>
    <row r="360" spans="2:24" ht="15.75" customHeight="1">
      <c r="B360" s="7"/>
      <c r="C360" s="33"/>
      <c r="D360" s="7"/>
      <c r="E360" s="7"/>
      <c r="F360" s="7"/>
      <c r="G360" s="7"/>
      <c r="H360" s="7"/>
      <c r="I360" s="7"/>
      <c r="K360" s="7"/>
      <c r="L360" s="7"/>
      <c r="M360" s="7"/>
      <c r="N360" s="7"/>
      <c r="O360" s="7"/>
      <c r="P360" s="7"/>
      <c r="Q360" s="7"/>
      <c r="R360" s="7"/>
      <c r="S360" s="7"/>
      <c r="T360" s="7"/>
      <c r="U360" s="7"/>
      <c r="V360" s="7"/>
      <c r="W360" s="7"/>
      <c r="X360" s="7"/>
    </row>
    <row r="361" spans="2:24" ht="15.75" customHeight="1">
      <c r="B361" s="7"/>
      <c r="C361" s="33"/>
      <c r="D361" s="7"/>
      <c r="E361" s="7"/>
      <c r="F361" s="7"/>
      <c r="G361" s="7"/>
      <c r="H361" s="7"/>
      <c r="I361" s="7"/>
      <c r="K361" s="7"/>
      <c r="L361" s="7"/>
      <c r="M361" s="7"/>
      <c r="N361" s="7"/>
      <c r="O361" s="7"/>
      <c r="P361" s="7"/>
      <c r="Q361" s="7"/>
      <c r="R361" s="7"/>
      <c r="S361" s="7"/>
      <c r="T361" s="7"/>
      <c r="U361" s="7"/>
      <c r="V361" s="7"/>
      <c r="W361" s="7"/>
      <c r="X361" s="7"/>
    </row>
    <row r="362" spans="2:24" ht="15.75" customHeight="1">
      <c r="B362" s="7"/>
      <c r="C362" s="33"/>
      <c r="D362" s="7"/>
      <c r="E362" s="7"/>
      <c r="F362" s="7"/>
      <c r="G362" s="7"/>
      <c r="H362" s="7"/>
      <c r="I362" s="7"/>
      <c r="K362" s="7"/>
      <c r="L362" s="7"/>
      <c r="M362" s="7"/>
      <c r="N362" s="7"/>
      <c r="O362" s="7"/>
      <c r="P362" s="7"/>
      <c r="Q362" s="7"/>
      <c r="R362" s="7"/>
      <c r="S362" s="7"/>
      <c r="T362" s="7"/>
      <c r="U362" s="7"/>
      <c r="V362" s="7"/>
      <c r="W362" s="7"/>
      <c r="X362" s="7"/>
    </row>
    <row r="363" spans="2:24" ht="15.75" customHeight="1">
      <c r="B363" s="7"/>
      <c r="C363" s="33"/>
      <c r="D363" s="7"/>
      <c r="E363" s="7"/>
      <c r="F363" s="7"/>
      <c r="G363" s="7"/>
      <c r="H363" s="7"/>
      <c r="I363" s="7"/>
      <c r="K363" s="7"/>
      <c r="L363" s="7"/>
      <c r="M363" s="7"/>
      <c r="N363" s="7"/>
      <c r="O363" s="7"/>
      <c r="P363" s="7"/>
      <c r="Q363" s="7"/>
      <c r="R363" s="7"/>
      <c r="S363" s="7"/>
      <c r="T363" s="7"/>
      <c r="U363" s="7"/>
      <c r="V363" s="7"/>
      <c r="W363" s="7"/>
      <c r="X363" s="7"/>
    </row>
    <row r="364" spans="2:24" ht="15.75" customHeight="1">
      <c r="B364" s="7"/>
      <c r="C364" s="33"/>
      <c r="D364" s="7"/>
      <c r="E364" s="7"/>
      <c r="F364" s="7"/>
      <c r="G364" s="7"/>
      <c r="H364" s="7"/>
      <c r="I364" s="7"/>
      <c r="K364" s="7"/>
      <c r="L364" s="7"/>
      <c r="M364" s="7"/>
      <c r="N364" s="7"/>
      <c r="O364" s="7"/>
      <c r="P364" s="7"/>
      <c r="Q364" s="7"/>
      <c r="R364" s="7"/>
      <c r="S364" s="7"/>
      <c r="T364" s="7"/>
      <c r="U364" s="7"/>
      <c r="V364" s="7"/>
      <c r="W364" s="7"/>
      <c r="X364" s="7"/>
    </row>
    <row r="365" spans="2:24" ht="15.75" customHeight="1">
      <c r="B365" s="7"/>
      <c r="C365" s="33"/>
      <c r="D365" s="7"/>
      <c r="E365" s="7"/>
      <c r="F365" s="7"/>
      <c r="G365" s="7"/>
      <c r="H365" s="7"/>
      <c r="I365" s="7"/>
      <c r="K365" s="7"/>
      <c r="L365" s="7"/>
      <c r="M365" s="7"/>
      <c r="N365" s="7"/>
      <c r="O365" s="7"/>
      <c r="P365" s="7"/>
      <c r="Q365" s="7"/>
      <c r="R365" s="7"/>
      <c r="S365" s="7"/>
      <c r="T365" s="7"/>
      <c r="U365" s="7"/>
      <c r="V365" s="7"/>
      <c r="W365" s="7"/>
      <c r="X365" s="7"/>
    </row>
    <row r="366" spans="2:24" ht="15.75" customHeight="1">
      <c r="B366" s="7"/>
      <c r="C366" s="33"/>
      <c r="D366" s="7"/>
      <c r="E366" s="7"/>
      <c r="F366" s="7"/>
      <c r="G366" s="7"/>
      <c r="H366" s="7"/>
      <c r="I366" s="7"/>
      <c r="K366" s="7"/>
      <c r="L366" s="7"/>
      <c r="M366" s="7"/>
      <c r="N366" s="7"/>
      <c r="O366" s="7"/>
      <c r="P366" s="7"/>
      <c r="Q366" s="7"/>
      <c r="R366" s="7"/>
      <c r="S366" s="7"/>
      <c r="T366" s="7"/>
      <c r="U366" s="7"/>
      <c r="V366" s="7"/>
      <c r="W366" s="7"/>
      <c r="X366" s="7"/>
    </row>
    <row r="367" spans="2:24" ht="15.75" customHeight="1">
      <c r="B367" s="7"/>
      <c r="C367" s="33"/>
      <c r="D367" s="7"/>
      <c r="E367" s="7"/>
      <c r="F367" s="7"/>
      <c r="G367" s="7"/>
      <c r="H367" s="7"/>
      <c r="I367" s="7"/>
      <c r="K367" s="7"/>
      <c r="L367" s="7"/>
      <c r="M367" s="7"/>
      <c r="N367" s="7"/>
      <c r="O367" s="7"/>
      <c r="P367" s="7"/>
      <c r="Q367" s="7"/>
      <c r="R367" s="7"/>
      <c r="S367" s="7"/>
      <c r="T367" s="7"/>
      <c r="U367" s="7"/>
      <c r="V367" s="7"/>
      <c r="W367" s="7"/>
      <c r="X367" s="7"/>
    </row>
    <row r="368" spans="2:24" ht="15.75" customHeight="1">
      <c r="B368" s="7"/>
      <c r="C368" s="33"/>
      <c r="D368" s="7"/>
      <c r="E368" s="7"/>
      <c r="F368" s="7"/>
      <c r="G368" s="7"/>
      <c r="H368" s="7"/>
      <c r="I368" s="7"/>
      <c r="K368" s="7"/>
      <c r="L368" s="7"/>
      <c r="M368" s="7"/>
      <c r="N368" s="7"/>
      <c r="O368" s="7"/>
      <c r="P368" s="7"/>
      <c r="Q368" s="7"/>
      <c r="R368" s="7"/>
      <c r="S368" s="7"/>
      <c r="T368" s="7"/>
      <c r="U368" s="7"/>
      <c r="V368" s="7"/>
      <c r="W368" s="7"/>
      <c r="X368" s="7"/>
    </row>
    <row r="369" spans="2:24" ht="15.75" customHeight="1">
      <c r="B369" s="7"/>
      <c r="C369" s="33"/>
      <c r="D369" s="7"/>
      <c r="E369" s="7"/>
      <c r="F369" s="7"/>
      <c r="G369" s="7"/>
      <c r="H369" s="7"/>
      <c r="I369" s="7"/>
      <c r="K369" s="7"/>
      <c r="L369" s="7"/>
      <c r="M369" s="7"/>
      <c r="N369" s="7"/>
      <c r="O369" s="7"/>
      <c r="P369" s="7"/>
      <c r="Q369" s="7"/>
      <c r="R369" s="7"/>
      <c r="S369" s="7"/>
      <c r="T369" s="7"/>
      <c r="U369" s="7"/>
      <c r="V369" s="7"/>
      <c r="W369" s="7"/>
      <c r="X369" s="7"/>
    </row>
    <row r="370" spans="2:24" ht="15.75" customHeight="1">
      <c r="B370" s="7"/>
      <c r="C370" s="33"/>
      <c r="D370" s="7"/>
      <c r="E370" s="7"/>
      <c r="F370" s="7"/>
      <c r="G370" s="7"/>
      <c r="H370" s="7"/>
      <c r="I370" s="7"/>
      <c r="K370" s="7"/>
      <c r="L370" s="7"/>
      <c r="M370" s="7"/>
      <c r="N370" s="7"/>
      <c r="O370" s="7"/>
      <c r="P370" s="7"/>
      <c r="Q370" s="7"/>
      <c r="R370" s="7"/>
      <c r="S370" s="7"/>
      <c r="T370" s="7"/>
      <c r="U370" s="7"/>
      <c r="V370" s="7"/>
      <c r="W370" s="7"/>
      <c r="X370" s="7"/>
    </row>
    <row r="371" spans="2:24" ht="15.75" customHeight="1">
      <c r="B371" s="7"/>
      <c r="C371" s="33"/>
      <c r="D371" s="7"/>
      <c r="E371" s="7"/>
      <c r="F371" s="7"/>
      <c r="G371" s="7"/>
      <c r="H371" s="7"/>
      <c r="I371" s="7"/>
      <c r="K371" s="7"/>
      <c r="L371" s="7"/>
      <c r="M371" s="7"/>
      <c r="N371" s="7"/>
      <c r="O371" s="7"/>
      <c r="P371" s="7"/>
      <c r="Q371" s="7"/>
      <c r="R371" s="7"/>
      <c r="S371" s="7"/>
      <c r="T371" s="7"/>
      <c r="U371" s="7"/>
      <c r="V371" s="7"/>
      <c r="W371" s="7"/>
      <c r="X371" s="7"/>
    </row>
    <row r="372" spans="2:24" ht="15.75" customHeight="1">
      <c r="B372" s="7"/>
      <c r="C372" s="33"/>
      <c r="D372" s="7"/>
      <c r="E372" s="7"/>
      <c r="F372" s="7"/>
      <c r="G372" s="7"/>
      <c r="H372" s="7"/>
      <c r="I372" s="7"/>
      <c r="K372" s="7"/>
      <c r="L372" s="7"/>
      <c r="M372" s="7"/>
      <c r="N372" s="7"/>
      <c r="O372" s="7"/>
      <c r="P372" s="7"/>
      <c r="Q372" s="7"/>
      <c r="R372" s="7"/>
      <c r="S372" s="7"/>
      <c r="T372" s="7"/>
      <c r="U372" s="7"/>
      <c r="V372" s="7"/>
      <c r="W372" s="7"/>
      <c r="X372" s="7"/>
    </row>
    <row r="373" spans="2:24" ht="15.75" customHeight="1">
      <c r="B373" s="7"/>
      <c r="C373" s="33"/>
      <c r="D373" s="7"/>
      <c r="E373" s="7"/>
      <c r="F373" s="7"/>
      <c r="G373" s="7"/>
      <c r="H373" s="7"/>
      <c r="I373" s="7"/>
      <c r="K373" s="7"/>
      <c r="L373" s="7"/>
      <c r="M373" s="7"/>
      <c r="N373" s="7"/>
      <c r="O373" s="7"/>
      <c r="P373" s="7"/>
      <c r="Q373" s="7"/>
      <c r="R373" s="7"/>
      <c r="S373" s="7"/>
      <c r="T373" s="7"/>
      <c r="U373" s="7"/>
      <c r="V373" s="7"/>
      <c r="W373" s="7"/>
      <c r="X373" s="7"/>
    </row>
    <row r="374" spans="2:24" ht="15.75" customHeight="1">
      <c r="B374" s="7"/>
      <c r="C374" s="33"/>
      <c r="D374" s="7"/>
      <c r="E374" s="7"/>
      <c r="F374" s="7"/>
      <c r="G374" s="7"/>
      <c r="H374" s="7"/>
      <c r="I374" s="7"/>
      <c r="K374" s="7"/>
      <c r="L374" s="7"/>
      <c r="M374" s="7"/>
      <c r="N374" s="7"/>
      <c r="O374" s="7"/>
      <c r="P374" s="7"/>
      <c r="Q374" s="7"/>
      <c r="R374" s="7"/>
      <c r="S374" s="7"/>
      <c r="T374" s="7"/>
      <c r="U374" s="7"/>
      <c r="V374" s="7"/>
      <c r="W374" s="7"/>
      <c r="X374" s="7"/>
    </row>
    <row r="375" spans="2:24" ht="15.75" customHeight="1">
      <c r="B375" s="7"/>
      <c r="C375" s="33"/>
      <c r="D375" s="7"/>
      <c r="E375" s="7"/>
      <c r="F375" s="7"/>
      <c r="G375" s="7"/>
      <c r="H375" s="7"/>
      <c r="I375" s="7"/>
      <c r="K375" s="7"/>
      <c r="L375" s="7"/>
      <c r="M375" s="7"/>
      <c r="N375" s="7"/>
      <c r="O375" s="7"/>
      <c r="P375" s="7"/>
      <c r="Q375" s="7"/>
      <c r="R375" s="7"/>
      <c r="S375" s="7"/>
      <c r="T375" s="7"/>
      <c r="U375" s="7"/>
      <c r="V375" s="7"/>
      <c r="W375" s="7"/>
      <c r="X375" s="7"/>
    </row>
    <row r="376" spans="2:24" ht="15.75" customHeight="1">
      <c r="B376" s="7"/>
      <c r="C376" s="33"/>
      <c r="D376" s="7"/>
      <c r="E376" s="7"/>
      <c r="F376" s="7"/>
      <c r="G376" s="7"/>
      <c r="H376" s="7"/>
      <c r="I376" s="7"/>
      <c r="K376" s="7"/>
      <c r="L376" s="7"/>
      <c r="M376" s="7"/>
      <c r="N376" s="7"/>
      <c r="O376" s="7"/>
      <c r="P376" s="7"/>
      <c r="Q376" s="7"/>
      <c r="R376" s="7"/>
      <c r="S376" s="7"/>
      <c r="T376" s="7"/>
      <c r="U376" s="7"/>
      <c r="V376" s="7"/>
      <c r="W376" s="7"/>
      <c r="X376" s="7"/>
    </row>
    <row r="377" spans="2:24" ht="15.75" customHeight="1">
      <c r="B377" s="7"/>
      <c r="C377" s="33"/>
      <c r="D377" s="7"/>
      <c r="E377" s="7"/>
      <c r="F377" s="7"/>
      <c r="G377" s="7"/>
      <c r="H377" s="7"/>
      <c r="I377" s="7"/>
      <c r="K377" s="7"/>
      <c r="L377" s="7"/>
      <c r="M377" s="7"/>
      <c r="N377" s="7"/>
      <c r="O377" s="7"/>
      <c r="P377" s="7"/>
      <c r="Q377" s="7"/>
      <c r="R377" s="7"/>
      <c r="S377" s="7"/>
      <c r="T377" s="7"/>
      <c r="U377" s="7"/>
      <c r="V377" s="7"/>
      <c r="W377" s="7"/>
      <c r="X377" s="7"/>
    </row>
    <row r="378" spans="2:24" ht="15.75" customHeight="1">
      <c r="B378" s="7"/>
      <c r="C378" s="33"/>
      <c r="D378" s="7"/>
      <c r="E378" s="7"/>
      <c r="F378" s="7"/>
      <c r="G378" s="7"/>
      <c r="H378" s="7"/>
      <c r="I378" s="7"/>
      <c r="K378" s="7"/>
      <c r="L378" s="7"/>
      <c r="M378" s="7"/>
      <c r="N378" s="7"/>
      <c r="O378" s="7"/>
      <c r="P378" s="7"/>
      <c r="Q378" s="7"/>
      <c r="R378" s="7"/>
      <c r="S378" s="7"/>
      <c r="T378" s="7"/>
      <c r="U378" s="7"/>
      <c r="V378" s="7"/>
      <c r="W378" s="7"/>
      <c r="X378" s="7"/>
    </row>
    <row r="379" spans="2:24" ht="15.75" customHeight="1">
      <c r="B379" s="7"/>
      <c r="C379" s="33"/>
      <c r="D379" s="7"/>
      <c r="E379" s="7"/>
      <c r="F379" s="7"/>
      <c r="G379" s="7"/>
      <c r="H379" s="7"/>
      <c r="I379" s="7"/>
      <c r="K379" s="7"/>
      <c r="L379" s="7"/>
      <c r="M379" s="7"/>
      <c r="N379" s="7"/>
      <c r="O379" s="7"/>
      <c r="P379" s="7"/>
      <c r="Q379" s="7"/>
      <c r="R379" s="7"/>
      <c r="S379" s="7"/>
      <c r="T379" s="7"/>
      <c r="U379" s="7"/>
      <c r="V379" s="7"/>
      <c r="W379" s="7"/>
      <c r="X379" s="7"/>
    </row>
    <row r="380" spans="2:24" ht="15.75" customHeight="1">
      <c r="B380" s="7"/>
      <c r="C380" s="33"/>
      <c r="D380" s="7"/>
      <c r="E380" s="7"/>
      <c r="F380" s="7"/>
      <c r="G380" s="7"/>
      <c r="H380" s="7"/>
      <c r="I380" s="7"/>
      <c r="K380" s="7"/>
      <c r="L380" s="7"/>
      <c r="M380" s="7"/>
      <c r="N380" s="7"/>
      <c r="O380" s="7"/>
      <c r="P380" s="7"/>
      <c r="Q380" s="7"/>
      <c r="R380" s="7"/>
      <c r="S380" s="7"/>
      <c r="T380" s="7"/>
      <c r="U380" s="7"/>
      <c r="V380" s="7"/>
      <c r="W380" s="7"/>
      <c r="X380" s="7"/>
    </row>
    <row r="381" spans="2:24" ht="15.75" customHeight="1">
      <c r="B381" s="7"/>
      <c r="C381" s="33"/>
      <c r="D381" s="7"/>
      <c r="E381" s="7"/>
      <c r="F381" s="7"/>
      <c r="G381" s="7"/>
      <c r="H381" s="7"/>
      <c r="I381" s="7"/>
      <c r="K381" s="7"/>
      <c r="L381" s="7"/>
      <c r="M381" s="7"/>
      <c r="N381" s="7"/>
      <c r="O381" s="7"/>
      <c r="P381" s="7"/>
      <c r="Q381" s="7"/>
      <c r="R381" s="7"/>
      <c r="S381" s="7"/>
      <c r="T381" s="7"/>
      <c r="U381" s="7"/>
      <c r="V381" s="7"/>
      <c r="W381" s="7"/>
      <c r="X381" s="7"/>
    </row>
    <row r="382" spans="2:24" ht="15.75" customHeight="1">
      <c r="B382" s="7"/>
      <c r="C382" s="33"/>
      <c r="D382" s="7"/>
      <c r="E382" s="7"/>
      <c r="F382" s="7"/>
      <c r="G382" s="7"/>
      <c r="H382" s="7"/>
      <c r="I382" s="7"/>
      <c r="K382" s="7"/>
      <c r="L382" s="7"/>
      <c r="M382" s="7"/>
      <c r="N382" s="7"/>
      <c r="O382" s="7"/>
      <c r="P382" s="7"/>
      <c r="Q382" s="7"/>
      <c r="R382" s="7"/>
      <c r="S382" s="7"/>
      <c r="T382" s="7"/>
      <c r="U382" s="7"/>
      <c r="V382" s="7"/>
      <c r="W382" s="7"/>
      <c r="X382" s="7"/>
    </row>
    <row r="383" spans="2:24" ht="15.75" customHeight="1">
      <c r="B383" s="7"/>
      <c r="C383" s="33"/>
      <c r="D383" s="7"/>
      <c r="E383" s="7"/>
      <c r="F383" s="7"/>
      <c r="G383" s="7"/>
      <c r="H383" s="7"/>
      <c r="I383" s="7"/>
      <c r="K383" s="7"/>
      <c r="L383" s="7"/>
      <c r="M383" s="7"/>
      <c r="N383" s="7"/>
      <c r="O383" s="7"/>
      <c r="P383" s="7"/>
      <c r="Q383" s="7"/>
      <c r="R383" s="7"/>
      <c r="S383" s="7"/>
      <c r="T383" s="7"/>
      <c r="U383" s="7"/>
      <c r="V383" s="7"/>
      <c r="W383" s="7"/>
      <c r="X383" s="7"/>
    </row>
    <row r="384" spans="2:24" ht="15.75" customHeight="1">
      <c r="B384" s="7"/>
      <c r="C384" s="33"/>
      <c r="D384" s="7"/>
      <c r="E384" s="7"/>
      <c r="F384" s="7"/>
      <c r="G384" s="7"/>
      <c r="H384" s="7"/>
      <c r="I384" s="7"/>
      <c r="K384" s="7"/>
      <c r="L384" s="7"/>
      <c r="M384" s="7"/>
      <c r="N384" s="7"/>
      <c r="O384" s="7"/>
      <c r="P384" s="7"/>
      <c r="Q384" s="7"/>
      <c r="R384" s="7"/>
      <c r="S384" s="7"/>
      <c r="T384" s="7"/>
      <c r="U384" s="7"/>
      <c r="V384" s="7"/>
      <c r="W384" s="7"/>
      <c r="X384" s="7"/>
    </row>
    <row r="385" spans="2:24" ht="15.75" customHeight="1">
      <c r="B385" s="7"/>
      <c r="C385" s="33"/>
      <c r="D385" s="7"/>
      <c r="E385" s="7"/>
      <c r="F385" s="7"/>
      <c r="G385" s="7"/>
      <c r="H385" s="7"/>
      <c r="I385" s="7"/>
      <c r="K385" s="7"/>
      <c r="L385" s="7"/>
      <c r="M385" s="7"/>
      <c r="N385" s="7"/>
      <c r="O385" s="7"/>
      <c r="P385" s="7"/>
      <c r="Q385" s="7"/>
      <c r="R385" s="7"/>
      <c r="S385" s="7"/>
      <c r="T385" s="7"/>
      <c r="U385" s="7"/>
      <c r="V385" s="7"/>
      <c r="W385" s="7"/>
      <c r="X385" s="7"/>
    </row>
    <row r="386" spans="2:24" ht="15.75" customHeight="1">
      <c r="B386" s="7"/>
      <c r="C386" s="33"/>
      <c r="D386" s="7"/>
      <c r="E386" s="7"/>
      <c r="F386" s="7"/>
      <c r="G386" s="7"/>
      <c r="H386" s="7"/>
      <c r="I386" s="7"/>
      <c r="K386" s="7"/>
      <c r="L386" s="7"/>
      <c r="M386" s="7"/>
      <c r="N386" s="7"/>
      <c r="O386" s="7"/>
      <c r="P386" s="7"/>
      <c r="Q386" s="7"/>
      <c r="R386" s="7"/>
      <c r="S386" s="7"/>
      <c r="T386" s="7"/>
      <c r="U386" s="7"/>
      <c r="V386" s="7"/>
      <c r="W386" s="7"/>
      <c r="X386" s="7"/>
    </row>
    <row r="387" spans="2:24" ht="15.75" customHeight="1">
      <c r="B387" s="7"/>
      <c r="C387" s="33"/>
      <c r="D387" s="7"/>
      <c r="E387" s="7"/>
      <c r="F387" s="7"/>
      <c r="G387" s="7"/>
      <c r="H387" s="7"/>
      <c r="I387" s="7"/>
      <c r="K387" s="7"/>
      <c r="L387" s="7"/>
      <c r="M387" s="7"/>
      <c r="N387" s="7"/>
      <c r="O387" s="7"/>
      <c r="P387" s="7"/>
      <c r="Q387" s="7"/>
      <c r="R387" s="7"/>
      <c r="S387" s="7"/>
      <c r="T387" s="7"/>
      <c r="U387" s="7"/>
      <c r="V387" s="7"/>
      <c r="W387" s="7"/>
      <c r="X387" s="7"/>
    </row>
    <row r="388" spans="2:24" ht="15.75" customHeight="1">
      <c r="B388" s="7"/>
      <c r="C388" s="33"/>
      <c r="D388" s="7"/>
      <c r="E388" s="7"/>
      <c r="F388" s="7"/>
      <c r="G388" s="7"/>
      <c r="H388" s="7"/>
      <c r="I388" s="7"/>
      <c r="K388" s="7"/>
      <c r="L388" s="7"/>
      <c r="M388" s="7"/>
      <c r="N388" s="7"/>
      <c r="O388" s="7"/>
      <c r="P388" s="7"/>
      <c r="Q388" s="7"/>
      <c r="R388" s="7"/>
      <c r="S388" s="7"/>
      <c r="T388" s="7"/>
      <c r="U388" s="7"/>
      <c r="V388" s="7"/>
      <c r="W388" s="7"/>
      <c r="X388" s="7"/>
    </row>
    <row r="389" spans="2:24" ht="15.75" customHeight="1">
      <c r="B389" s="7"/>
      <c r="C389" s="33"/>
      <c r="D389" s="7"/>
      <c r="E389" s="7"/>
      <c r="F389" s="7"/>
      <c r="G389" s="7"/>
      <c r="H389" s="7"/>
      <c r="I389" s="7"/>
      <c r="K389" s="7"/>
      <c r="L389" s="7"/>
      <c r="M389" s="7"/>
      <c r="N389" s="7"/>
      <c r="O389" s="7"/>
      <c r="P389" s="7"/>
      <c r="Q389" s="7"/>
      <c r="R389" s="7"/>
      <c r="S389" s="7"/>
      <c r="T389" s="7"/>
      <c r="U389" s="7"/>
      <c r="V389" s="7"/>
      <c r="W389" s="7"/>
      <c r="X389" s="7"/>
    </row>
    <row r="390" spans="2:24" ht="15.75" customHeight="1">
      <c r="B390" s="7"/>
      <c r="C390" s="33"/>
      <c r="D390" s="7"/>
      <c r="E390" s="7"/>
      <c r="F390" s="7"/>
      <c r="G390" s="7"/>
      <c r="H390" s="7"/>
      <c r="I390" s="7"/>
      <c r="K390" s="7"/>
      <c r="L390" s="7"/>
      <c r="M390" s="7"/>
      <c r="N390" s="7"/>
      <c r="O390" s="7"/>
      <c r="P390" s="7"/>
      <c r="Q390" s="7"/>
      <c r="R390" s="7"/>
      <c r="S390" s="7"/>
      <c r="T390" s="7"/>
      <c r="U390" s="7"/>
      <c r="V390" s="7"/>
      <c r="W390" s="7"/>
      <c r="X390" s="7"/>
    </row>
    <row r="391" spans="2:24" ht="15.75" customHeight="1">
      <c r="B391" s="7"/>
      <c r="C391" s="33"/>
      <c r="D391" s="7"/>
      <c r="E391" s="7"/>
      <c r="F391" s="7"/>
      <c r="G391" s="7"/>
      <c r="H391" s="7"/>
      <c r="I391" s="7"/>
      <c r="K391" s="7"/>
      <c r="L391" s="7"/>
      <c r="M391" s="7"/>
      <c r="N391" s="7"/>
      <c r="O391" s="7"/>
      <c r="P391" s="7"/>
      <c r="Q391" s="7"/>
      <c r="R391" s="7"/>
      <c r="S391" s="7"/>
      <c r="T391" s="7"/>
      <c r="U391" s="7"/>
      <c r="V391" s="7"/>
      <c r="W391" s="7"/>
      <c r="X391" s="7"/>
    </row>
    <row r="392" spans="2:24" ht="15.75" customHeight="1">
      <c r="B392" s="7"/>
      <c r="C392" s="33"/>
      <c r="D392" s="7"/>
      <c r="E392" s="7"/>
      <c r="F392" s="7"/>
      <c r="G392" s="7"/>
      <c r="H392" s="7"/>
      <c r="I392" s="7"/>
      <c r="K392" s="7"/>
      <c r="L392" s="7"/>
      <c r="M392" s="7"/>
      <c r="N392" s="7"/>
      <c r="O392" s="7"/>
      <c r="P392" s="7"/>
      <c r="Q392" s="7"/>
      <c r="R392" s="7"/>
      <c r="S392" s="7"/>
      <c r="T392" s="7"/>
      <c r="U392" s="7"/>
      <c r="V392" s="7"/>
      <c r="W392" s="7"/>
      <c r="X392" s="7"/>
    </row>
    <row r="393" spans="2:24" ht="15.75" customHeight="1">
      <c r="B393" s="7"/>
      <c r="C393" s="33"/>
      <c r="D393" s="7"/>
      <c r="E393" s="7"/>
      <c r="F393" s="7"/>
      <c r="G393" s="7"/>
      <c r="H393" s="7"/>
      <c r="I393" s="7"/>
      <c r="K393" s="7"/>
      <c r="L393" s="7"/>
      <c r="M393" s="7"/>
      <c r="N393" s="7"/>
      <c r="O393" s="7"/>
      <c r="P393" s="7"/>
      <c r="Q393" s="7"/>
      <c r="R393" s="7"/>
      <c r="S393" s="7"/>
      <c r="T393" s="7"/>
      <c r="U393" s="7"/>
      <c r="V393" s="7"/>
      <c r="W393" s="7"/>
      <c r="X393" s="7"/>
    </row>
    <row r="394" spans="2:24" ht="15.75" customHeight="1">
      <c r="B394" s="7"/>
      <c r="C394" s="33"/>
      <c r="D394" s="7"/>
      <c r="E394" s="7"/>
      <c r="F394" s="7"/>
      <c r="G394" s="7"/>
      <c r="H394" s="7"/>
      <c r="I394" s="7"/>
      <c r="K394" s="7"/>
      <c r="L394" s="7"/>
      <c r="M394" s="7"/>
      <c r="N394" s="7"/>
      <c r="O394" s="7"/>
      <c r="P394" s="7"/>
      <c r="Q394" s="7"/>
      <c r="R394" s="7"/>
      <c r="S394" s="7"/>
      <c r="T394" s="7"/>
      <c r="U394" s="7"/>
      <c r="V394" s="7"/>
      <c r="W394" s="7"/>
      <c r="X394" s="7"/>
    </row>
    <row r="395" spans="2:24" ht="15.75" customHeight="1">
      <c r="B395" s="7"/>
      <c r="C395" s="33"/>
      <c r="D395" s="7"/>
      <c r="E395" s="7"/>
      <c r="F395" s="7"/>
      <c r="G395" s="7"/>
      <c r="H395" s="7"/>
      <c r="I395" s="7"/>
      <c r="K395" s="7"/>
      <c r="L395" s="7"/>
      <c r="M395" s="7"/>
      <c r="N395" s="7"/>
      <c r="O395" s="7"/>
      <c r="P395" s="7"/>
      <c r="Q395" s="7"/>
      <c r="R395" s="7"/>
      <c r="S395" s="7"/>
      <c r="T395" s="7"/>
      <c r="U395" s="7"/>
      <c r="V395" s="7"/>
      <c r="W395" s="7"/>
      <c r="X395" s="7"/>
    </row>
    <row r="396" spans="2:24" ht="15.75" customHeight="1">
      <c r="B396" s="7"/>
      <c r="C396" s="33"/>
      <c r="D396" s="7"/>
      <c r="E396" s="7"/>
      <c r="F396" s="7"/>
      <c r="G396" s="7"/>
      <c r="H396" s="7"/>
      <c r="I396" s="7"/>
      <c r="K396" s="7"/>
      <c r="L396" s="7"/>
      <c r="M396" s="7"/>
      <c r="N396" s="7"/>
      <c r="O396" s="7"/>
      <c r="P396" s="7"/>
      <c r="Q396" s="7"/>
      <c r="R396" s="7"/>
      <c r="S396" s="7"/>
      <c r="T396" s="7"/>
      <c r="U396" s="7"/>
      <c r="V396" s="7"/>
      <c r="W396" s="7"/>
      <c r="X396" s="7"/>
    </row>
    <row r="397" spans="2:24" ht="15.75" customHeight="1">
      <c r="B397" s="7"/>
      <c r="C397" s="33"/>
      <c r="D397" s="7"/>
      <c r="E397" s="7"/>
      <c r="F397" s="7"/>
      <c r="G397" s="7"/>
      <c r="H397" s="7"/>
      <c r="I397" s="7"/>
      <c r="K397" s="7"/>
      <c r="L397" s="7"/>
      <c r="M397" s="7"/>
      <c r="N397" s="7"/>
      <c r="O397" s="7"/>
      <c r="P397" s="7"/>
      <c r="Q397" s="7"/>
      <c r="R397" s="7"/>
      <c r="S397" s="7"/>
      <c r="T397" s="7"/>
      <c r="U397" s="7"/>
      <c r="V397" s="7"/>
      <c r="W397" s="7"/>
      <c r="X397" s="7"/>
    </row>
    <row r="398" spans="2:24" ht="15.75" customHeight="1">
      <c r="B398" s="7"/>
      <c r="C398" s="33"/>
      <c r="D398" s="7"/>
      <c r="E398" s="7"/>
      <c r="F398" s="7"/>
      <c r="G398" s="7"/>
      <c r="H398" s="7"/>
      <c r="I398" s="7"/>
      <c r="K398" s="7"/>
      <c r="L398" s="7"/>
      <c r="M398" s="7"/>
      <c r="N398" s="7"/>
      <c r="O398" s="7"/>
      <c r="P398" s="7"/>
      <c r="Q398" s="7"/>
      <c r="R398" s="7"/>
      <c r="S398" s="7"/>
      <c r="T398" s="7"/>
      <c r="U398" s="7"/>
      <c r="V398" s="7"/>
      <c r="W398" s="7"/>
      <c r="X398" s="7"/>
    </row>
    <row r="399" spans="2:24" ht="15.75" customHeight="1">
      <c r="B399" s="7"/>
      <c r="C399" s="33"/>
      <c r="D399" s="7"/>
      <c r="E399" s="7"/>
      <c r="F399" s="7"/>
      <c r="G399" s="7"/>
      <c r="H399" s="7"/>
      <c r="I399" s="7"/>
      <c r="K399" s="7"/>
      <c r="L399" s="7"/>
      <c r="M399" s="7"/>
      <c r="N399" s="7"/>
      <c r="O399" s="7"/>
      <c r="P399" s="7"/>
      <c r="Q399" s="7"/>
      <c r="R399" s="7"/>
      <c r="S399" s="7"/>
      <c r="T399" s="7"/>
      <c r="U399" s="7"/>
      <c r="V399" s="7"/>
      <c r="W399" s="7"/>
      <c r="X399" s="7"/>
    </row>
    <row r="400" spans="2:24" ht="15.75" customHeight="1">
      <c r="B400" s="7"/>
      <c r="C400" s="33"/>
      <c r="D400" s="7"/>
      <c r="E400" s="7"/>
      <c r="F400" s="7"/>
      <c r="G400" s="7"/>
      <c r="H400" s="7"/>
      <c r="I400" s="7"/>
      <c r="K400" s="7"/>
      <c r="L400" s="7"/>
      <c r="M400" s="7"/>
      <c r="N400" s="7"/>
      <c r="O400" s="7"/>
      <c r="P400" s="7"/>
      <c r="Q400" s="7"/>
      <c r="R400" s="7"/>
      <c r="S400" s="7"/>
      <c r="T400" s="7"/>
      <c r="U400" s="7"/>
      <c r="V400" s="7"/>
      <c r="W400" s="7"/>
      <c r="X400" s="7"/>
    </row>
    <row r="401" spans="2:24" ht="15.75" customHeight="1">
      <c r="B401" s="7"/>
      <c r="C401" s="33"/>
      <c r="D401" s="7"/>
      <c r="E401" s="7"/>
      <c r="F401" s="7"/>
      <c r="G401" s="7"/>
      <c r="H401" s="7"/>
      <c r="I401" s="7"/>
      <c r="K401" s="7"/>
      <c r="L401" s="7"/>
      <c r="M401" s="7"/>
      <c r="N401" s="7"/>
      <c r="O401" s="7"/>
      <c r="P401" s="7"/>
      <c r="Q401" s="7"/>
      <c r="R401" s="7"/>
      <c r="S401" s="7"/>
      <c r="T401" s="7"/>
      <c r="U401" s="7"/>
      <c r="V401" s="7"/>
      <c r="W401" s="7"/>
      <c r="X401" s="7"/>
    </row>
    <row r="402" spans="2:24" ht="15.75" customHeight="1">
      <c r="B402" s="7"/>
      <c r="C402" s="33"/>
      <c r="D402" s="7"/>
      <c r="E402" s="7"/>
      <c r="F402" s="7"/>
      <c r="G402" s="7"/>
      <c r="H402" s="7"/>
      <c r="I402" s="7"/>
      <c r="K402" s="7"/>
      <c r="L402" s="7"/>
      <c r="M402" s="7"/>
      <c r="N402" s="7"/>
      <c r="O402" s="7"/>
      <c r="P402" s="7"/>
      <c r="Q402" s="7"/>
      <c r="R402" s="7"/>
      <c r="S402" s="7"/>
      <c r="T402" s="7"/>
      <c r="U402" s="7"/>
      <c r="V402" s="7"/>
      <c r="W402" s="7"/>
      <c r="X402" s="7"/>
    </row>
    <row r="403" spans="2:24" ht="15.75" customHeight="1">
      <c r="B403" s="7"/>
      <c r="C403" s="33"/>
      <c r="D403" s="7"/>
      <c r="E403" s="7"/>
      <c r="F403" s="7"/>
      <c r="G403" s="7"/>
      <c r="H403" s="7"/>
      <c r="I403" s="7"/>
      <c r="K403" s="7"/>
      <c r="L403" s="7"/>
      <c r="M403" s="7"/>
      <c r="N403" s="7"/>
      <c r="O403" s="7"/>
      <c r="P403" s="7"/>
      <c r="Q403" s="7"/>
      <c r="R403" s="7"/>
      <c r="S403" s="7"/>
      <c r="T403" s="7"/>
      <c r="U403" s="7"/>
      <c r="V403" s="7"/>
      <c r="W403" s="7"/>
      <c r="X403" s="7"/>
    </row>
    <row r="404" spans="2:24" ht="15.75" customHeight="1">
      <c r="B404" s="7"/>
      <c r="C404" s="33"/>
      <c r="D404" s="7"/>
      <c r="E404" s="7"/>
      <c r="F404" s="7"/>
      <c r="G404" s="7"/>
      <c r="H404" s="7"/>
      <c r="I404" s="7"/>
      <c r="K404" s="7"/>
      <c r="L404" s="7"/>
      <c r="M404" s="7"/>
      <c r="N404" s="7"/>
      <c r="O404" s="7"/>
      <c r="P404" s="7"/>
      <c r="Q404" s="7"/>
      <c r="R404" s="7"/>
      <c r="S404" s="7"/>
      <c r="T404" s="7"/>
      <c r="U404" s="7"/>
      <c r="V404" s="7"/>
      <c r="W404" s="7"/>
      <c r="X404" s="7"/>
    </row>
    <row r="405" spans="2:24" ht="15.75" customHeight="1">
      <c r="B405" s="7"/>
      <c r="C405" s="33"/>
      <c r="D405" s="7"/>
      <c r="E405" s="7"/>
      <c r="F405" s="7"/>
      <c r="G405" s="7"/>
      <c r="H405" s="7"/>
      <c r="I405" s="7"/>
      <c r="K405" s="7"/>
      <c r="L405" s="7"/>
      <c r="M405" s="7"/>
      <c r="N405" s="7"/>
      <c r="O405" s="7"/>
      <c r="P405" s="7"/>
      <c r="Q405" s="7"/>
      <c r="R405" s="7"/>
      <c r="S405" s="7"/>
      <c r="T405" s="7"/>
      <c r="U405" s="7"/>
      <c r="V405" s="7"/>
      <c r="W405" s="7"/>
      <c r="X405" s="7"/>
    </row>
    <row r="406" spans="2:24" ht="15.75" customHeight="1">
      <c r="B406" s="7"/>
      <c r="C406" s="33"/>
      <c r="D406" s="7"/>
      <c r="E406" s="7"/>
      <c r="F406" s="7"/>
      <c r="G406" s="7"/>
      <c r="H406" s="7"/>
      <c r="I406" s="7"/>
      <c r="K406" s="7"/>
      <c r="L406" s="7"/>
      <c r="M406" s="7"/>
      <c r="N406" s="7"/>
      <c r="O406" s="7"/>
      <c r="P406" s="7"/>
      <c r="Q406" s="7"/>
      <c r="R406" s="7"/>
      <c r="S406" s="7"/>
      <c r="T406" s="7"/>
      <c r="U406" s="7"/>
      <c r="V406" s="7"/>
      <c r="W406" s="7"/>
      <c r="X406" s="7"/>
    </row>
    <row r="407" spans="2:24" ht="15.75" customHeight="1">
      <c r="B407" s="7"/>
      <c r="C407" s="33"/>
      <c r="D407" s="7"/>
      <c r="E407" s="7"/>
      <c r="F407" s="7"/>
      <c r="G407" s="7"/>
      <c r="H407" s="7"/>
      <c r="I407" s="7"/>
      <c r="K407" s="7"/>
      <c r="L407" s="7"/>
      <c r="M407" s="7"/>
      <c r="N407" s="7"/>
      <c r="O407" s="7"/>
      <c r="P407" s="7"/>
      <c r="Q407" s="7"/>
      <c r="R407" s="7"/>
      <c r="S407" s="7"/>
      <c r="T407" s="7"/>
      <c r="U407" s="7"/>
      <c r="V407" s="7"/>
      <c r="W407" s="7"/>
      <c r="X407" s="7"/>
    </row>
    <row r="408" spans="2:24" ht="15.75" customHeight="1">
      <c r="B408" s="7"/>
      <c r="C408" s="33"/>
      <c r="D408" s="7"/>
      <c r="E408" s="7"/>
      <c r="F408" s="7"/>
      <c r="G408" s="7"/>
      <c r="H408" s="7"/>
      <c r="I408" s="7"/>
      <c r="K408" s="7"/>
      <c r="L408" s="7"/>
      <c r="M408" s="7"/>
      <c r="N408" s="7"/>
      <c r="O408" s="7"/>
      <c r="P408" s="7"/>
      <c r="Q408" s="7"/>
      <c r="R408" s="7"/>
      <c r="S408" s="7"/>
      <c r="T408" s="7"/>
      <c r="U408" s="7"/>
      <c r="V408" s="7"/>
      <c r="W408" s="7"/>
      <c r="X408" s="7"/>
    </row>
    <row r="409" spans="2:24" ht="15.75" customHeight="1">
      <c r="B409" s="7"/>
      <c r="C409" s="33"/>
      <c r="D409" s="7"/>
      <c r="E409" s="7"/>
      <c r="F409" s="7"/>
      <c r="G409" s="7"/>
      <c r="H409" s="7"/>
      <c r="I409" s="7"/>
      <c r="K409" s="7"/>
      <c r="L409" s="7"/>
      <c r="M409" s="7"/>
      <c r="N409" s="7"/>
      <c r="O409" s="7"/>
      <c r="P409" s="7"/>
      <c r="Q409" s="7"/>
      <c r="R409" s="7"/>
      <c r="S409" s="7"/>
      <c r="T409" s="7"/>
      <c r="U409" s="7"/>
      <c r="V409" s="7"/>
      <c r="W409" s="7"/>
      <c r="X409" s="7"/>
    </row>
    <row r="410" spans="2:24" ht="15.75" customHeight="1">
      <c r="B410" s="7"/>
      <c r="C410" s="33"/>
      <c r="D410" s="7"/>
      <c r="E410" s="7"/>
      <c r="F410" s="7"/>
      <c r="G410" s="7"/>
      <c r="H410" s="7"/>
      <c r="I410" s="7"/>
      <c r="K410" s="7"/>
      <c r="L410" s="7"/>
      <c r="M410" s="7"/>
      <c r="N410" s="7"/>
      <c r="O410" s="7"/>
      <c r="P410" s="7"/>
      <c r="Q410" s="7"/>
      <c r="R410" s="7"/>
      <c r="S410" s="7"/>
      <c r="T410" s="7"/>
      <c r="U410" s="7"/>
      <c r="V410" s="7"/>
      <c r="W410" s="7"/>
      <c r="X410" s="7"/>
    </row>
    <row r="411" spans="2:24" ht="15.75" customHeight="1">
      <c r="B411" s="7"/>
      <c r="C411" s="33"/>
      <c r="D411" s="7"/>
      <c r="E411" s="7"/>
      <c r="F411" s="7"/>
      <c r="G411" s="7"/>
      <c r="H411" s="7"/>
      <c r="I411" s="7"/>
      <c r="K411" s="7"/>
      <c r="L411" s="7"/>
      <c r="M411" s="7"/>
      <c r="N411" s="7"/>
      <c r="O411" s="7"/>
      <c r="P411" s="7"/>
      <c r="Q411" s="7"/>
      <c r="R411" s="7"/>
      <c r="S411" s="7"/>
      <c r="T411" s="7"/>
      <c r="U411" s="7"/>
      <c r="V411" s="7"/>
      <c r="W411" s="7"/>
      <c r="X411" s="7"/>
    </row>
    <row r="412" spans="2:24" ht="15.75" customHeight="1">
      <c r="B412" s="7"/>
      <c r="C412" s="33"/>
      <c r="D412" s="7"/>
      <c r="E412" s="7"/>
      <c r="F412" s="7"/>
      <c r="G412" s="7"/>
      <c r="H412" s="7"/>
      <c r="I412" s="7"/>
      <c r="K412" s="7"/>
      <c r="L412" s="7"/>
      <c r="M412" s="7"/>
      <c r="N412" s="7"/>
      <c r="O412" s="7"/>
      <c r="P412" s="7"/>
      <c r="Q412" s="7"/>
      <c r="R412" s="7"/>
      <c r="S412" s="7"/>
      <c r="T412" s="7"/>
      <c r="U412" s="7"/>
      <c r="V412" s="7"/>
      <c r="W412" s="7"/>
      <c r="X412" s="7"/>
    </row>
    <row r="413" spans="2:24" ht="15.75" customHeight="1">
      <c r="B413" s="7"/>
      <c r="C413" s="33"/>
      <c r="D413" s="7"/>
      <c r="E413" s="7"/>
      <c r="F413" s="7"/>
      <c r="G413" s="7"/>
      <c r="H413" s="7"/>
      <c r="I413" s="7"/>
      <c r="K413" s="7"/>
      <c r="L413" s="7"/>
      <c r="M413" s="7"/>
      <c r="N413" s="7"/>
      <c r="O413" s="7"/>
      <c r="P413" s="7"/>
      <c r="Q413" s="7"/>
      <c r="R413" s="7"/>
      <c r="S413" s="7"/>
      <c r="T413" s="7"/>
      <c r="U413" s="7"/>
      <c r="V413" s="7"/>
      <c r="W413" s="7"/>
      <c r="X413" s="7"/>
    </row>
    <row r="414" spans="2:24" ht="15.75" customHeight="1">
      <c r="B414" s="7"/>
      <c r="C414" s="33"/>
      <c r="D414" s="7"/>
      <c r="E414" s="7"/>
      <c r="F414" s="7"/>
      <c r="G414" s="7"/>
      <c r="H414" s="7"/>
      <c r="I414" s="7"/>
      <c r="K414" s="7"/>
      <c r="L414" s="7"/>
      <c r="M414" s="7"/>
      <c r="N414" s="7"/>
      <c r="O414" s="7"/>
      <c r="P414" s="7"/>
      <c r="Q414" s="7"/>
      <c r="R414" s="7"/>
      <c r="S414" s="7"/>
      <c r="T414" s="7"/>
      <c r="U414" s="7"/>
      <c r="V414" s="7"/>
      <c r="W414" s="7"/>
      <c r="X414" s="7"/>
    </row>
    <row r="415" spans="2:24" ht="15.75" customHeight="1">
      <c r="B415" s="7"/>
      <c r="C415" s="33"/>
      <c r="D415" s="7"/>
      <c r="E415" s="7"/>
      <c r="F415" s="7"/>
      <c r="G415" s="7"/>
      <c r="H415" s="7"/>
      <c r="I415" s="7"/>
      <c r="K415" s="7"/>
      <c r="L415" s="7"/>
      <c r="M415" s="7"/>
      <c r="N415" s="7"/>
      <c r="O415" s="7"/>
      <c r="P415" s="7"/>
      <c r="Q415" s="7"/>
      <c r="R415" s="7"/>
      <c r="S415" s="7"/>
      <c r="T415" s="7"/>
      <c r="U415" s="7"/>
      <c r="V415" s="7"/>
      <c r="W415" s="7"/>
      <c r="X415" s="7"/>
    </row>
    <row r="416" spans="2:24" ht="15.75" customHeight="1">
      <c r="B416" s="7"/>
      <c r="C416" s="33"/>
      <c r="D416" s="7"/>
      <c r="E416" s="7"/>
      <c r="F416" s="7"/>
      <c r="G416" s="7"/>
      <c r="H416" s="7"/>
      <c r="I416" s="7"/>
      <c r="K416" s="7"/>
      <c r="L416" s="7"/>
      <c r="M416" s="7"/>
      <c r="N416" s="7"/>
      <c r="O416" s="7"/>
      <c r="P416" s="7"/>
      <c r="Q416" s="7"/>
      <c r="R416" s="7"/>
      <c r="S416" s="7"/>
      <c r="T416" s="7"/>
      <c r="U416" s="7"/>
      <c r="V416" s="7"/>
      <c r="W416" s="7"/>
      <c r="X416" s="7"/>
    </row>
    <row r="417" spans="2:24" ht="15.75" customHeight="1">
      <c r="B417" s="7"/>
      <c r="C417" s="33"/>
      <c r="D417" s="7"/>
      <c r="E417" s="7"/>
      <c r="F417" s="7"/>
      <c r="G417" s="7"/>
      <c r="H417" s="7"/>
      <c r="I417" s="7"/>
      <c r="K417" s="7"/>
      <c r="L417" s="7"/>
      <c r="M417" s="7"/>
      <c r="N417" s="7"/>
      <c r="O417" s="7"/>
      <c r="P417" s="7"/>
      <c r="Q417" s="7"/>
      <c r="R417" s="7"/>
      <c r="S417" s="7"/>
      <c r="T417" s="7"/>
      <c r="U417" s="7"/>
      <c r="V417" s="7"/>
      <c r="W417" s="7"/>
      <c r="X417" s="7"/>
    </row>
    <row r="418" spans="2:24" ht="15.75" customHeight="1">
      <c r="B418" s="7"/>
      <c r="C418" s="33"/>
      <c r="D418" s="7"/>
      <c r="E418" s="7"/>
      <c r="F418" s="7"/>
      <c r="G418" s="7"/>
      <c r="H418" s="7"/>
      <c r="I418" s="7"/>
      <c r="K418" s="7"/>
      <c r="L418" s="7"/>
      <c r="M418" s="7"/>
      <c r="N418" s="7"/>
      <c r="O418" s="7"/>
      <c r="P418" s="7"/>
      <c r="Q418" s="7"/>
      <c r="R418" s="7"/>
      <c r="S418" s="7"/>
      <c r="T418" s="7"/>
      <c r="U418" s="7"/>
      <c r="V418" s="7"/>
      <c r="W418" s="7"/>
      <c r="X418" s="7"/>
    </row>
    <row r="419" spans="2:24" ht="15.75" customHeight="1">
      <c r="B419" s="7"/>
      <c r="C419" s="33"/>
      <c r="D419" s="7"/>
      <c r="E419" s="7"/>
      <c r="F419" s="7"/>
      <c r="G419" s="7"/>
      <c r="H419" s="7"/>
      <c r="I419" s="7"/>
      <c r="K419" s="7"/>
      <c r="L419" s="7"/>
      <c r="M419" s="7"/>
      <c r="N419" s="7"/>
      <c r="O419" s="7"/>
      <c r="P419" s="7"/>
      <c r="Q419" s="7"/>
      <c r="R419" s="7"/>
      <c r="S419" s="7"/>
      <c r="T419" s="7"/>
      <c r="U419" s="7"/>
      <c r="V419" s="7"/>
      <c r="W419" s="7"/>
      <c r="X419" s="7"/>
    </row>
    <row r="420" spans="2:24" ht="15.75" customHeight="1">
      <c r="B420" s="7"/>
      <c r="C420" s="33"/>
      <c r="D420" s="7"/>
      <c r="E420" s="7"/>
      <c r="F420" s="7"/>
      <c r="G420" s="7"/>
      <c r="H420" s="7"/>
      <c r="I420" s="7"/>
      <c r="K420" s="7"/>
      <c r="L420" s="7"/>
      <c r="M420" s="7"/>
      <c r="N420" s="7"/>
      <c r="O420" s="7"/>
      <c r="P420" s="7"/>
      <c r="Q420" s="7"/>
      <c r="R420" s="7"/>
      <c r="S420" s="7"/>
      <c r="T420" s="7"/>
      <c r="U420" s="7"/>
      <c r="V420" s="7"/>
      <c r="W420" s="7"/>
      <c r="X420" s="7"/>
    </row>
    <row r="421" spans="2:24" ht="15.75" customHeight="1">
      <c r="B421" s="7"/>
      <c r="C421" s="33"/>
      <c r="D421" s="7"/>
      <c r="E421" s="7"/>
      <c r="F421" s="7"/>
      <c r="G421" s="7"/>
      <c r="H421" s="7"/>
      <c r="I421" s="7"/>
      <c r="K421" s="7"/>
      <c r="L421" s="7"/>
      <c r="M421" s="7"/>
      <c r="N421" s="7"/>
      <c r="O421" s="7"/>
      <c r="P421" s="7"/>
      <c r="Q421" s="7"/>
      <c r="R421" s="7"/>
      <c r="S421" s="7"/>
      <c r="T421" s="7"/>
      <c r="U421" s="7"/>
      <c r="V421" s="7"/>
      <c r="W421" s="7"/>
      <c r="X421" s="7"/>
    </row>
    <row r="422" spans="2:24" ht="15.75" customHeight="1">
      <c r="B422" s="7"/>
      <c r="C422" s="33"/>
      <c r="D422" s="7"/>
      <c r="E422" s="7"/>
      <c r="F422" s="7"/>
      <c r="G422" s="7"/>
      <c r="H422" s="7"/>
      <c r="I422" s="7"/>
      <c r="K422" s="7"/>
      <c r="L422" s="7"/>
      <c r="M422" s="7"/>
      <c r="N422" s="7"/>
      <c r="O422" s="7"/>
      <c r="P422" s="7"/>
      <c r="Q422" s="7"/>
      <c r="R422" s="7"/>
      <c r="S422" s="7"/>
      <c r="T422" s="7"/>
      <c r="U422" s="7"/>
      <c r="V422" s="7"/>
      <c r="W422" s="7"/>
      <c r="X422" s="7"/>
    </row>
    <row r="423" spans="2:24" ht="15.75" customHeight="1">
      <c r="B423" s="7"/>
      <c r="C423" s="33"/>
      <c r="D423" s="7"/>
      <c r="E423" s="7"/>
      <c r="F423" s="7"/>
      <c r="G423" s="7"/>
      <c r="H423" s="7"/>
      <c r="I423" s="7"/>
      <c r="K423" s="7"/>
      <c r="L423" s="7"/>
      <c r="M423" s="7"/>
      <c r="N423" s="7"/>
      <c r="O423" s="7"/>
      <c r="P423" s="7"/>
      <c r="Q423" s="7"/>
      <c r="R423" s="7"/>
      <c r="S423" s="7"/>
      <c r="T423" s="7"/>
      <c r="U423" s="7"/>
      <c r="V423" s="7"/>
      <c r="W423" s="7"/>
      <c r="X423" s="7"/>
    </row>
    <row r="424" spans="2:24" ht="15.75" customHeight="1">
      <c r="B424" s="7"/>
      <c r="C424" s="33"/>
      <c r="D424" s="7"/>
      <c r="E424" s="7"/>
      <c r="F424" s="7"/>
      <c r="G424" s="7"/>
      <c r="H424" s="7"/>
      <c r="I424" s="7"/>
      <c r="K424" s="7"/>
      <c r="L424" s="7"/>
      <c r="M424" s="7"/>
      <c r="N424" s="7"/>
      <c r="O424" s="7"/>
      <c r="P424" s="7"/>
      <c r="Q424" s="7"/>
      <c r="R424" s="7"/>
      <c r="S424" s="7"/>
      <c r="T424" s="7"/>
      <c r="U424" s="7"/>
      <c r="V424" s="7"/>
      <c r="W424" s="7"/>
      <c r="X424" s="7"/>
    </row>
    <row r="425" spans="2:24" ht="15.75" customHeight="1">
      <c r="B425" s="7"/>
      <c r="C425" s="33"/>
      <c r="D425" s="7"/>
      <c r="E425" s="7"/>
      <c r="F425" s="7"/>
      <c r="G425" s="7"/>
      <c r="H425" s="7"/>
      <c r="I425" s="7"/>
      <c r="K425" s="7"/>
      <c r="L425" s="7"/>
      <c r="M425" s="7"/>
      <c r="N425" s="7"/>
      <c r="O425" s="7"/>
      <c r="P425" s="7"/>
      <c r="Q425" s="7"/>
      <c r="R425" s="7"/>
      <c r="S425" s="7"/>
      <c r="T425" s="7"/>
      <c r="U425" s="7"/>
      <c r="V425" s="7"/>
      <c r="W425" s="7"/>
      <c r="X425" s="7"/>
    </row>
    <row r="426" spans="2:24" ht="15.75" customHeight="1">
      <c r="B426" s="7"/>
      <c r="C426" s="33"/>
      <c r="D426" s="7"/>
      <c r="E426" s="7"/>
      <c r="F426" s="7"/>
      <c r="G426" s="7"/>
      <c r="H426" s="7"/>
      <c r="I426" s="7"/>
      <c r="K426" s="7"/>
      <c r="L426" s="7"/>
      <c r="M426" s="7"/>
      <c r="N426" s="7"/>
      <c r="O426" s="7"/>
      <c r="P426" s="7"/>
      <c r="Q426" s="7"/>
      <c r="R426" s="7"/>
      <c r="S426" s="7"/>
      <c r="T426" s="7"/>
      <c r="U426" s="7"/>
      <c r="V426" s="7"/>
      <c r="W426" s="7"/>
      <c r="X426" s="7"/>
    </row>
    <row r="427" spans="2:24" ht="15.75" customHeight="1">
      <c r="B427" s="7"/>
      <c r="C427" s="33"/>
      <c r="D427" s="7"/>
      <c r="E427" s="7"/>
      <c r="F427" s="7"/>
      <c r="G427" s="7"/>
      <c r="H427" s="7"/>
      <c r="I427" s="7"/>
      <c r="K427" s="7"/>
      <c r="L427" s="7"/>
      <c r="M427" s="7"/>
      <c r="N427" s="7"/>
      <c r="O427" s="7"/>
      <c r="P427" s="7"/>
      <c r="Q427" s="7"/>
      <c r="R427" s="7"/>
      <c r="S427" s="7"/>
      <c r="T427" s="7"/>
      <c r="U427" s="7"/>
      <c r="V427" s="7"/>
      <c r="W427" s="7"/>
      <c r="X427" s="7"/>
    </row>
    <row r="428" spans="2:24" ht="15.75" customHeight="1">
      <c r="B428" s="7"/>
      <c r="C428" s="33"/>
      <c r="D428" s="7"/>
      <c r="E428" s="7"/>
      <c r="F428" s="7"/>
      <c r="G428" s="7"/>
      <c r="H428" s="7"/>
      <c r="I428" s="7"/>
      <c r="K428" s="7"/>
      <c r="L428" s="7"/>
      <c r="M428" s="7"/>
      <c r="N428" s="7"/>
      <c r="O428" s="7"/>
      <c r="P428" s="7"/>
      <c r="Q428" s="7"/>
      <c r="R428" s="7"/>
      <c r="S428" s="7"/>
      <c r="T428" s="7"/>
      <c r="U428" s="7"/>
      <c r="V428" s="7"/>
      <c r="W428" s="7"/>
      <c r="X428" s="7"/>
    </row>
    <row r="429" spans="2:24" ht="15.75" customHeight="1">
      <c r="B429" s="7"/>
      <c r="C429" s="33"/>
      <c r="D429" s="7"/>
      <c r="E429" s="7"/>
      <c r="F429" s="7"/>
      <c r="G429" s="7"/>
      <c r="H429" s="7"/>
      <c r="I429" s="7"/>
      <c r="K429" s="7"/>
      <c r="L429" s="7"/>
      <c r="M429" s="7"/>
      <c r="N429" s="7"/>
      <c r="O429" s="7"/>
      <c r="P429" s="7"/>
      <c r="Q429" s="7"/>
      <c r="R429" s="7"/>
      <c r="S429" s="7"/>
      <c r="T429" s="7"/>
      <c r="U429" s="7"/>
      <c r="V429" s="7"/>
      <c r="W429" s="7"/>
      <c r="X429" s="7"/>
    </row>
    <row r="430" spans="2:24" ht="15.75" customHeight="1">
      <c r="B430" s="7"/>
      <c r="C430" s="33"/>
      <c r="D430" s="7"/>
      <c r="E430" s="7"/>
      <c r="F430" s="7"/>
      <c r="G430" s="7"/>
      <c r="H430" s="7"/>
      <c r="I430" s="7"/>
      <c r="K430" s="7"/>
      <c r="L430" s="7"/>
      <c r="M430" s="7"/>
      <c r="N430" s="7"/>
      <c r="O430" s="7"/>
      <c r="P430" s="7"/>
      <c r="Q430" s="7"/>
      <c r="R430" s="7"/>
      <c r="S430" s="7"/>
      <c r="T430" s="7"/>
      <c r="U430" s="7"/>
      <c r="V430" s="7"/>
      <c r="W430" s="7"/>
      <c r="X430" s="7"/>
    </row>
    <row r="431" spans="2:24" ht="15.75" customHeight="1">
      <c r="B431" s="7"/>
      <c r="C431" s="33"/>
      <c r="D431" s="7"/>
      <c r="E431" s="7"/>
      <c r="F431" s="7"/>
      <c r="G431" s="7"/>
      <c r="H431" s="7"/>
      <c r="I431" s="7"/>
      <c r="K431" s="7"/>
      <c r="L431" s="7"/>
      <c r="M431" s="7"/>
      <c r="N431" s="7"/>
      <c r="O431" s="7"/>
      <c r="P431" s="7"/>
      <c r="Q431" s="7"/>
      <c r="R431" s="7"/>
      <c r="S431" s="7"/>
      <c r="T431" s="7"/>
      <c r="U431" s="7"/>
      <c r="V431" s="7"/>
      <c r="W431" s="7"/>
      <c r="X431" s="7"/>
    </row>
    <row r="432" spans="2:24" ht="15.75" customHeight="1">
      <c r="B432" s="7"/>
      <c r="C432" s="33"/>
      <c r="D432" s="7"/>
      <c r="E432" s="7"/>
      <c r="F432" s="7"/>
      <c r="G432" s="7"/>
      <c r="H432" s="7"/>
      <c r="I432" s="7"/>
      <c r="K432" s="7"/>
      <c r="L432" s="7"/>
      <c r="M432" s="7"/>
      <c r="N432" s="7"/>
      <c r="O432" s="7"/>
      <c r="P432" s="7"/>
      <c r="Q432" s="7"/>
      <c r="R432" s="7"/>
      <c r="S432" s="7"/>
      <c r="T432" s="7"/>
      <c r="U432" s="7"/>
      <c r="V432" s="7"/>
      <c r="W432" s="7"/>
      <c r="X432" s="7"/>
    </row>
    <row r="433" spans="2:24" ht="15.75" customHeight="1">
      <c r="B433" s="7"/>
      <c r="C433" s="33"/>
      <c r="D433" s="7"/>
      <c r="E433" s="7"/>
      <c r="F433" s="7"/>
      <c r="G433" s="7"/>
      <c r="H433" s="7"/>
      <c r="I433" s="7"/>
      <c r="K433" s="7"/>
      <c r="L433" s="7"/>
      <c r="M433" s="7"/>
      <c r="N433" s="7"/>
      <c r="O433" s="7"/>
      <c r="P433" s="7"/>
      <c r="Q433" s="7"/>
      <c r="R433" s="7"/>
      <c r="S433" s="7"/>
      <c r="T433" s="7"/>
      <c r="U433" s="7"/>
      <c r="V433" s="7"/>
      <c r="W433" s="7"/>
      <c r="X433" s="7"/>
    </row>
    <row r="434" spans="2:24" ht="15.75" customHeight="1">
      <c r="B434" s="7"/>
      <c r="C434" s="33"/>
      <c r="D434" s="7"/>
      <c r="E434" s="7"/>
      <c r="F434" s="7"/>
      <c r="G434" s="7"/>
      <c r="H434" s="7"/>
      <c r="I434" s="7"/>
      <c r="K434" s="7"/>
      <c r="L434" s="7"/>
      <c r="M434" s="7"/>
      <c r="N434" s="7"/>
      <c r="O434" s="7"/>
      <c r="P434" s="7"/>
      <c r="Q434" s="7"/>
      <c r="R434" s="7"/>
      <c r="S434" s="7"/>
      <c r="T434" s="7"/>
      <c r="U434" s="7"/>
      <c r="V434" s="7"/>
      <c r="W434" s="7"/>
      <c r="X434" s="7"/>
    </row>
    <row r="435" spans="2:24" ht="15.75" customHeight="1">
      <c r="B435" s="7"/>
      <c r="C435" s="33"/>
      <c r="D435" s="7"/>
      <c r="E435" s="7"/>
      <c r="F435" s="7"/>
      <c r="G435" s="7"/>
      <c r="H435" s="7"/>
      <c r="I435" s="7"/>
      <c r="K435" s="7"/>
      <c r="L435" s="7"/>
      <c r="M435" s="7"/>
      <c r="N435" s="7"/>
      <c r="O435" s="7"/>
      <c r="P435" s="7"/>
      <c r="Q435" s="7"/>
      <c r="R435" s="7"/>
      <c r="S435" s="7"/>
      <c r="T435" s="7"/>
      <c r="U435" s="7"/>
      <c r="V435" s="7"/>
      <c r="W435" s="7"/>
      <c r="X435" s="7"/>
    </row>
    <row r="436" spans="2:24" ht="15.75" customHeight="1">
      <c r="B436" s="7"/>
      <c r="C436" s="33"/>
      <c r="D436" s="7"/>
      <c r="E436" s="7"/>
      <c r="F436" s="7"/>
      <c r="G436" s="7"/>
      <c r="H436" s="7"/>
      <c r="I436" s="7"/>
      <c r="K436" s="7"/>
      <c r="L436" s="7"/>
      <c r="M436" s="7"/>
      <c r="N436" s="7"/>
      <c r="O436" s="7"/>
      <c r="P436" s="7"/>
      <c r="Q436" s="7"/>
      <c r="R436" s="7"/>
      <c r="S436" s="7"/>
      <c r="T436" s="7"/>
      <c r="U436" s="7"/>
      <c r="V436" s="7"/>
      <c r="W436" s="7"/>
      <c r="X436" s="7"/>
    </row>
    <row r="437" spans="2:24" ht="15.75" customHeight="1">
      <c r="B437" s="7"/>
      <c r="C437" s="33"/>
      <c r="D437" s="7"/>
      <c r="E437" s="7"/>
      <c r="F437" s="7"/>
      <c r="G437" s="7"/>
      <c r="H437" s="7"/>
      <c r="I437" s="7"/>
      <c r="K437" s="7"/>
      <c r="L437" s="7"/>
      <c r="M437" s="7"/>
      <c r="N437" s="7"/>
      <c r="O437" s="7"/>
      <c r="P437" s="7"/>
      <c r="Q437" s="7"/>
      <c r="R437" s="7"/>
      <c r="S437" s="7"/>
      <c r="T437" s="7"/>
      <c r="U437" s="7"/>
      <c r="V437" s="7"/>
      <c r="W437" s="7"/>
      <c r="X437" s="7"/>
    </row>
    <row r="438" spans="2:24" ht="15.75" customHeight="1">
      <c r="B438" s="7"/>
      <c r="C438" s="33"/>
      <c r="D438" s="7"/>
      <c r="E438" s="7"/>
      <c r="F438" s="7"/>
      <c r="G438" s="7"/>
      <c r="H438" s="7"/>
      <c r="I438" s="7"/>
      <c r="K438" s="7"/>
      <c r="L438" s="7"/>
      <c r="M438" s="7"/>
      <c r="N438" s="7"/>
      <c r="O438" s="7"/>
      <c r="P438" s="7"/>
      <c r="Q438" s="7"/>
      <c r="R438" s="7"/>
      <c r="S438" s="7"/>
      <c r="T438" s="7"/>
      <c r="U438" s="7"/>
      <c r="V438" s="7"/>
      <c r="W438" s="7"/>
      <c r="X438" s="7"/>
    </row>
    <row r="439" spans="2:24" ht="15.75" customHeight="1">
      <c r="B439" s="7"/>
      <c r="C439" s="33"/>
      <c r="D439" s="7"/>
      <c r="E439" s="7"/>
      <c r="F439" s="7"/>
      <c r="G439" s="7"/>
      <c r="H439" s="7"/>
      <c r="I439" s="7"/>
      <c r="K439" s="7"/>
      <c r="L439" s="7"/>
      <c r="M439" s="7"/>
      <c r="N439" s="7"/>
      <c r="O439" s="7"/>
      <c r="P439" s="7"/>
      <c r="Q439" s="7"/>
      <c r="R439" s="7"/>
      <c r="S439" s="7"/>
      <c r="T439" s="7"/>
      <c r="U439" s="7"/>
      <c r="V439" s="7"/>
      <c r="W439" s="7"/>
      <c r="X439" s="7"/>
    </row>
    <row r="440" spans="2:24" ht="15.75" customHeight="1">
      <c r="B440" s="7"/>
      <c r="C440" s="33"/>
      <c r="D440" s="7"/>
      <c r="E440" s="7"/>
      <c r="F440" s="7"/>
      <c r="G440" s="7"/>
      <c r="H440" s="7"/>
      <c r="I440" s="7"/>
      <c r="K440" s="7"/>
      <c r="L440" s="7"/>
      <c r="M440" s="7"/>
      <c r="N440" s="7"/>
      <c r="O440" s="7"/>
      <c r="P440" s="7"/>
      <c r="Q440" s="7"/>
      <c r="R440" s="7"/>
      <c r="S440" s="7"/>
      <c r="T440" s="7"/>
      <c r="U440" s="7"/>
      <c r="V440" s="7"/>
      <c r="W440" s="7"/>
      <c r="X440" s="7"/>
    </row>
    <row r="441" spans="2:24" ht="15.75" customHeight="1">
      <c r="B441" s="7"/>
      <c r="C441" s="33"/>
      <c r="D441" s="7"/>
      <c r="E441" s="7"/>
      <c r="F441" s="7"/>
      <c r="G441" s="7"/>
      <c r="H441" s="7"/>
      <c r="I441" s="7"/>
      <c r="K441" s="7"/>
      <c r="L441" s="7"/>
      <c r="M441" s="7"/>
      <c r="N441" s="7"/>
      <c r="O441" s="7"/>
      <c r="P441" s="7"/>
      <c r="Q441" s="7"/>
      <c r="R441" s="7"/>
      <c r="S441" s="7"/>
      <c r="T441" s="7"/>
      <c r="U441" s="7"/>
      <c r="V441" s="7"/>
      <c r="W441" s="7"/>
      <c r="X441" s="7"/>
    </row>
    <row r="442" spans="2:24" ht="15.75" customHeight="1">
      <c r="B442" s="7"/>
      <c r="C442" s="33"/>
      <c r="D442" s="7"/>
      <c r="E442" s="7"/>
      <c r="F442" s="7"/>
      <c r="G442" s="7"/>
      <c r="H442" s="7"/>
      <c r="I442" s="7"/>
      <c r="K442" s="7"/>
      <c r="L442" s="7"/>
      <c r="M442" s="7"/>
      <c r="N442" s="7"/>
      <c r="O442" s="7"/>
      <c r="P442" s="7"/>
      <c r="Q442" s="7"/>
      <c r="R442" s="7"/>
      <c r="S442" s="7"/>
      <c r="T442" s="7"/>
      <c r="U442" s="7"/>
      <c r="V442" s="7"/>
      <c r="W442" s="7"/>
      <c r="X442" s="7"/>
    </row>
    <row r="443" spans="2:24" ht="15.75" customHeight="1">
      <c r="B443" s="7"/>
      <c r="C443" s="33"/>
      <c r="D443" s="7"/>
      <c r="E443" s="7"/>
      <c r="F443" s="7"/>
      <c r="G443" s="7"/>
      <c r="H443" s="7"/>
      <c r="I443" s="7"/>
      <c r="K443" s="7"/>
      <c r="L443" s="7"/>
      <c r="M443" s="7"/>
      <c r="N443" s="7"/>
      <c r="O443" s="7"/>
      <c r="P443" s="7"/>
      <c r="Q443" s="7"/>
      <c r="R443" s="7"/>
      <c r="S443" s="7"/>
      <c r="T443" s="7"/>
      <c r="U443" s="7"/>
      <c r="V443" s="7"/>
      <c r="W443" s="7"/>
      <c r="X443" s="7"/>
    </row>
    <row r="444" spans="2:24" ht="15.75" customHeight="1">
      <c r="B444" s="7"/>
      <c r="C444" s="33"/>
      <c r="D444" s="7"/>
      <c r="E444" s="7"/>
      <c r="F444" s="7"/>
      <c r="G444" s="7"/>
      <c r="H444" s="7"/>
      <c r="I444" s="7"/>
      <c r="K444" s="7"/>
      <c r="L444" s="7"/>
      <c r="M444" s="7"/>
      <c r="N444" s="7"/>
      <c r="O444" s="7"/>
      <c r="P444" s="7"/>
      <c r="Q444" s="7"/>
      <c r="R444" s="7"/>
      <c r="S444" s="7"/>
      <c r="T444" s="7"/>
      <c r="U444" s="7"/>
      <c r="V444" s="7"/>
      <c r="W444" s="7"/>
      <c r="X444" s="7"/>
    </row>
    <row r="445" spans="2:24" ht="15.75" customHeight="1">
      <c r="B445" s="7"/>
      <c r="C445" s="33"/>
      <c r="D445" s="7"/>
      <c r="E445" s="7"/>
      <c r="F445" s="7"/>
      <c r="G445" s="7"/>
      <c r="H445" s="7"/>
      <c r="I445" s="7"/>
      <c r="K445" s="7"/>
      <c r="L445" s="7"/>
      <c r="M445" s="7"/>
      <c r="N445" s="7"/>
      <c r="O445" s="7"/>
      <c r="P445" s="7"/>
      <c r="Q445" s="7"/>
      <c r="R445" s="7"/>
      <c r="S445" s="7"/>
      <c r="T445" s="7"/>
      <c r="U445" s="7"/>
      <c r="V445" s="7"/>
      <c r="W445" s="7"/>
      <c r="X445" s="7"/>
    </row>
    <row r="446" spans="2:24" ht="15.75" customHeight="1">
      <c r="B446" s="7"/>
      <c r="C446" s="33"/>
      <c r="D446" s="7"/>
      <c r="E446" s="7"/>
      <c r="F446" s="7"/>
      <c r="G446" s="7"/>
      <c r="H446" s="7"/>
      <c r="I446" s="7"/>
      <c r="K446" s="7"/>
      <c r="L446" s="7"/>
      <c r="M446" s="7"/>
      <c r="N446" s="7"/>
      <c r="O446" s="7"/>
      <c r="P446" s="7"/>
      <c r="Q446" s="7"/>
      <c r="R446" s="7"/>
      <c r="S446" s="7"/>
      <c r="T446" s="7"/>
      <c r="U446" s="7"/>
      <c r="V446" s="7"/>
      <c r="W446" s="7"/>
      <c r="X446" s="7"/>
    </row>
    <row r="447" spans="2:24" ht="15.75" customHeight="1">
      <c r="B447" s="7"/>
      <c r="C447" s="33"/>
      <c r="D447" s="7"/>
      <c r="E447" s="7"/>
      <c r="F447" s="7"/>
      <c r="G447" s="7"/>
      <c r="H447" s="7"/>
      <c r="I447" s="7"/>
      <c r="K447" s="7"/>
      <c r="L447" s="7"/>
      <c r="M447" s="7"/>
      <c r="N447" s="7"/>
      <c r="O447" s="7"/>
      <c r="P447" s="7"/>
      <c r="Q447" s="7"/>
      <c r="R447" s="7"/>
      <c r="S447" s="7"/>
      <c r="T447" s="7"/>
      <c r="U447" s="7"/>
      <c r="V447" s="7"/>
      <c r="W447" s="7"/>
      <c r="X447" s="7"/>
    </row>
    <row r="448" spans="2:24" ht="15.75" customHeight="1">
      <c r="B448" s="7"/>
      <c r="C448" s="33"/>
      <c r="D448" s="7"/>
      <c r="E448" s="7"/>
      <c r="F448" s="7"/>
      <c r="G448" s="7"/>
      <c r="H448" s="7"/>
      <c r="I448" s="7"/>
      <c r="K448" s="7"/>
      <c r="L448" s="7"/>
      <c r="M448" s="7"/>
      <c r="N448" s="7"/>
      <c r="O448" s="7"/>
      <c r="P448" s="7"/>
      <c r="Q448" s="7"/>
      <c r="R448" s="7"/>
      <c r="S448" s="7"/>
      <c r="T448" s="7"/>
      <c r="U448" s="7"/>
      <c r="V448" s="7"/>
      <c r="W448" s="7"/>
      <c r="X448" s="7"/>
    </row>
    <row r="449" spans="2:24" ht="15.75" customHeight="1">
      <c r="B449" s="7"/>
      <c r="C449" s="33"/>
      <c r="D449" s="7"/>
      <c r="E449" s="7"/>
      <c r="F449" s="7"/>
      <c r="G449" s="7"/>
      <c r="H449" s="7"/>
      <c r="I449" s="7"/>
      <c r="K449" s="7"/>
      <c r="L449" s="7"/>
      <c r="M449" s="7"/>
      <c r="N449" s="7"/>
      <c r="O449" s="7"/>
      <c r="P449" s="7"/>
      <c r="Q449" s="7"/>
      <c r="R449" s="7"/>
      <c r="S449" s="7"/>
      <c r="T449" s="7"/>
      <c r="U449" s="7"/>
      <c r="V449" s="7"/>
      <c r="W449" s="7"/>
      <c r="X449" s="7"/>
    </row>
    <row r="450" spans="2:24" ht="15.75" customHeight="1">
      <c r="B450" s="7"/>
      <c r="C450" s="33"/>
      <c r="D450" s="7"/>
      <c r="E450" s="7"/>
      <c r="F450" s="7"/>
      <c r="G450" s="7"/>
      <c r="H450" s="7"/>
      <c r="I450" s="7"/>
      <c r="K450" s="7"/>
      <c r="L450" s="7"/>
      <c r="M450" s="7"/>
      <c r="N450" s="7"/>
      <c r="O450" s="7"/>
      <c r="P450" s="7"/>
      <c r="Q450" s="7"/>
      <c r="R450" s="7"/>
      <c r="S450" s="7"/>
      <c r="T450" s="7"/>
      <c r="U450" s="7"/>
      <c r="V450" s="7"/>
      <c r="W450" s="7"/>
      <c r="X450" s="7"/>
    </row>
    <row r="451" spans="2:24" ht="15.75" customHeight="1">
      <c r="B451" s="7"/>
      <c r="C451" s="33"/>
      <c r="D451" s="7"/>
      <c r="E451" s="7"/>
      <c r="F451" s="7"/>
      <c r="G451" s="7"/>
      <c r="H451" s="7"/>
      <c r="I451" s="7"/>
      <c r="K451" s="7"/>
      <c r="L451" s="7"/>
      <c r="M451" s="7"/>
      <c r="N451" s="7"/>
      <c r="O451" s="7"/>
      <c r="P451" s="7"/>
      <c r="Q451" s="7"/>
      <c r="R451" s="7"/>
      <c r="S451" s="7"/>
      <c r="T451" s="7"/>
      <c r="U451" s="7"/>
      <c r="V451" s="7"/>
      <c r="W451" s="7"/>
      <c r="X451" s="7"/>
    </row>
    <row r="452" spans="2:24" ht="15.75" customHeight="1">
      <c r="B452" s="7"/>
      <c r="C452" s="33"/>
      <c r="D452" s="7"/>
      <c r="E452" s="7"/>
      <c r="F452" s="7"/>
      <c r="G452" s="7"/>
      <c r="H452" s="7"/>
      <c r="I452" s="7"/>
      <c r="K452" s="7"/>
      <c r="L452" s="7"/>
      <c r="M452" s="7"/>
      <c r="N452" s="7"/>
      <c r="O452" s="7"/>
      <c r="P452" s="7"/>
      <c r="Q452" s="7"/>
      <c r="R452" s="7"/>
      <c r="S452" s="7"/>
      <c r="T452" s="7"/>
      <c r="U452" s="7"/>
      <c r="V452" s="7"/>
      <c r="W452" s="7"/>
      <c r="X452" s="7"/>
    </row>
    <row r="453" spans="2:24" ht="15.75" customHeight="1">
      <c r="B453" s="7"/>
      <c r="C453" s="33"/>
      <c r="D453" s="7"/>
      <c r="E453" s="7"/>
      <c r="F453" s="7"/>
      <c r="G453" s="7"/>
      <c r="H453" s="7"/>
      <c r="I453" s="7"/>
      <c r="K453" s="7"/>
      <c r="L453" s="7"/>
      <c r="M453" s="7"/>
      <c r="N453" s="7"/>
      <c r="O453" s="7"/>
      <c r="P453" s="7"/>
      <c r="Q453" s="7"/>
      <c r="R453" s="7"/>
      <c r="S453" s="7"/>
      <c r="T453" s="7"/>
      <c r="U453" s="7"/>
      <c r="V453" s="7"/>
      <c r="W453" s="7"/>
      <c r="X453" s="7"/>
    </row>
    <row r="454" spans="2:24" ht="15.75" customHeight="1">
      <c r="B454" s="7"/>
      <c r="C454" s="33"/>
      <c r="D454" s="7"/>
      <c r="E454" s="7"/>
      <c r="F454" s="7"/>
      <c r="G454" s="7"/>
      <c r="H454" s="7"/>
      <c r="I454" s="7"/>
      <c r="K454" s="7"/>
      <c r="L454" s="7"/>
      <c r="M454" s="7"/>
      <c r="N454" s="7"/>
      <c r="O454" s="7"/>
      <c r="P454" s="7"/>
      <c r="Q454" s="7"/>
      <c r="R454" s="7"/>
      <c r="S454" s="7"/>
      <c r="T454" s="7"/>
      <c r="U454" s="7"/>
      <c r="V454" s="7"/>
      <c r="W454" s="7"/>
      <c r="X454" s="7"/>
    </row>
    <row r="455" spans="2:24" ht="15.75" customHeight="1">
      <c r="B455" s="7"/>
      <c r="C455" s="33"/>
      <c r="D455" s="7"/>
      <c r="E455" s="7"/>
      <c r="F455" s="7"/>
      <c r="G455" s="7"/>
      <c r="H455" s="7"/>
      <c r="I455" s="7"/>
      <c r="K455" s="7"/>
      <c r="L455" s="7"/>
      <c r="M455" s="7"/>
      <c r="N455" s="7"/>
      <c r="O455" s="7"/>
      <c r="P455" s="7"/>
      <c r="Q455" s="7"/>
      <c r="R455" s="7"/>
      <c r="S455" s="7"/>
      <c r="T455" s="7"/>
      <c r="U455" s="7"/>
      <c r="V455" s="7"/>
      <c r="W455" s="7"/>
      <c r="X455" s="7"/>
    </row>
    <row r="456" spans="2:24" ht="15.75" customHeight="1">
      <c r="B456" s="7"/>
      <c r="C456" s="33"/>
      <c r="D456" s="7"/>
      <c r="E456" s="7"/>
      <c r="F456" s="7"/>
      <c r="G456" s="7"/>
      <c r="H456" s="7"/>
      <c r="I456" s="7"/>
      <c r="K456" s="7"/>
      <c r="L456" s="7"/>
      <c r="M456" s="7"/>
      <c r="N456" s="7"/>
      <c r="O456" s="7"/>
      <c r="P456" s="7"/>
      <c r="Q456" s="7"/>
      <c r="R456" s="7"/>
      <c r="S456" s="7"/>
      <c r="T456" s="7"/>
      <c r="U456" s="7"/>
      <c r="V456" s="7"/>
      <c r="W456" s="7"/>
      <c r="X456" s="7"/>
    </row>
    <row r="457" spans="2:24" ht="15.75" customHeight="1">
      <c r="B457" s="7"/>
      <c r="C457" s="33"/>
      <c r="D457" s="7"/>
      <c r="E457" s="7"/>
      <c r="F457" s="7"/>
      <c r="G457" s="7"/>
      <c r="H457" s="7"/>
      <c r="I457" s="7"/>
      <c r="K457" s="7"/>
      <c r="L457" s="7"/>
      <c r="M457" s="7"/>
      <c r="N457" s="7"/>
      <c r="O457" s="7"/>
      <c r="P457" s="7"/>
      <c r="Q457" s="7"/>
      <c r="R457" s="7"/>
      <c r="S457" s="7"/>
      <c r="T457" s="7"/>
      <c r="U457" s="7"/>
      <c r="V457" s="7"/>
      <c r="W457" s="7"/>
      <c r="X457" s="7"/>
    </row>
    <row r="458" spans="2:24" ht="15.75" customHeight="1">
      <c r="B458" s="7"/>
      <c r="C458" s="33"/>
      <c r="D458" s="7"/>
      <c r="E458" s="7"/>
      <c r="F458" s="7"/>
      <c r="G458" s="7"/>
      <c r="H458" s="7"/>
      <c r="I458" s="7"/>
      <c r="K458" s="7"/>
      <c r="L458" s="7"/>
      <c r="M458" s="7"/>
      <c r="N458" s="7"/>
      <c r="O458" s="7"/>
      <c r="P458" s="7"/>
      <c r="Q458" s="7"/>
      <c r="R458" s="7"/>
      <c r="S458" s="7"/>
      <c r="T458" s="7"/>
      <c r="U458" s="7"/>
      <c r="V458" s="7"/>
      <c r="W458" s="7"/>
      <c r="X458" s="7"/>
    </row>
    <row r="459" spans="2:24" ht="15.75" customHeight="1">
      <c r="B459" s="7"/>
      <c r="C459" s="33"/>
      <c r="D459" s="7"/>
      <c r="E459" s="7"/>
      <c r="F459" s="7"/>
      <c r="G459" s="7"/>
      <c r="H459" s="7"/>
      <c r="I459" s="7"/>
      <c r="K459" s="7"/>
      <c r="L459" s="7"/>
      <c r="M459" s="7"/>
      <c r="N459" s="7"/>
      <c r="O459" s="7"/>
      <c r="P459" s="7"/>
      <c r="Q459" s="7"/>
      <c r="R459" s="7"/>
      <c r="S459" s="7"/>
      <c r="T459" s="7"/>
      <c r="U459" s="7"/>
      <c r="V459" s="7"/>
      <c r="W459" s="7"/>
      <c r="X459" s="7"/>
    </row>
    <row r="460" spans="2:24" ht="15.75" customHeight="1">
      <c r="B460" s="7"/>
      <c r="C460" s="33"/>
      <c r="D460" s="7"/>
      <c r="E460" s="7"/>
      <c r="F460" s="7"/>
      <c r="G460" s="7"/>
      <c r="H460" s="7"/>
      <c r="I460" s="7"/>
      <c r="K460" s="7"/>
      <c r="L460" s="7"/>
      <c r="M460" s="7"/>
      <c r="N460" s="7"/>
      <c r="O460" s="7"/>
      <c r="P460" s="7"/>
      <c r="Q460" s="7"/>
      <c r="R460" s="7"/>
      <c r="S460" s="7"/>
      <c r="T460" s="7"/>
      <c r="U460" s="7"/>
      <c r="V460" s="7"/>
      <c r="W460" s="7"/>
      <c r="X460" s="7"/>
    </row>
    <row r="461" spans="2:24" ht="15.75" customHeight="1">
      <c r="B461" s="7"/>
      <c r="C461" s="33"/>
      <c r="D461" s="7"/>
      <c r="E461" s="7"/>
      <c r="F461" s="7"/>
      <c r="G461" s="7"/>
      <c r="H461" s="7"/>
      <c r="I461" s="7"/>
      <c r="K461" s="7"/>
      <c r="L461" s="7"/>
      <c r="M461" s="7"/>
      <c r="N461" s="7"/>
      <c r="O461" s="7"/>
      <c r="P461" s="7"/>
      <c r="Q461" s="7"/>
      <c r="R461" s="7"/>
      <c r="S461" s="7"/>
      <c r="T461" s="7"/>
      <c r="U461" s="7"/>
      <c r="V461" s="7"/>
      <c r="W461" s="7"/>
      <c r="X461" s="7"/>
    </row>
    <row r="462" spans="2:24" ht="15.75" customHeight="1">
      <c r="B462" s="7"/>
      <c r="C462" s="33"/>
      <c r="D462" s="7"/>
      <c r="E462" s="7"/>
      <c r="F462" s="7"/>
      <c r="G462" s="7"/>
      <c r="H462" s="7"/>
      <c r="I462" s="7"/>
      <c r="K462" s="7"/>
      <c r="L462" s="7"/>
      <c r="M462" s="7"/>
      <c r="N462" s="7"/>
      <c r="O462" s="7"/>
      <c r="P462" s="7"/>
      <c r="Q462" s="7"/>
      <c r="R462" s="7"/>
      <c r="S462" s="7"/>
      <c r="T462" s="7"/>
      <c r="U462" s="7"/>
      <c r="V462" s="7"/>
      <c r="W462" s="7"/>
      <c r="X462" s="7"/>
    </row>
    <row r="463" spans="2:24" ht="15.75" customHeight="1">
      <c r="B463" s="7"/>
      <c r="C463" s="33"/>
      <c r="D463" s="7"/>
      <c r="E463" s="7"/>
      <c r="F463" s="7"/>
      <c r="G463" s="7"/>
      <c r="H463" s="7"/>
      <c r="I463" s="7"/>
      <c r="K463" s="7"/>
      <c r="L463" s="7"/>
      <c r="M463" s="7"/>
      <c r="N463" s="7"/>
      <c r="O463" s="7"/>
      <c r="P463" s="7"/>
      <c r="Q463" s="7"/>
      <c r="R463" s="7"/>
      <c r="S463" s="7"/>
      <c r="T463" s="7"/>
      <c r="U463" s="7"/>
      <c r="V463" s="7"/>
      <c r="W463" s="7"/>
      <c r="X463" s="7"/>
    </row>
    <row r="464" spans="2:24" ht="15.75" customHeight="1">
      <c r="B464" s="7"/>
      <c r="C464" s="33"/>
      <c r="D464" s="7"/>
      <c r="E464" s="7"/>
      <c r="F464" s="7"/>
      <c r="G464" s="7"/>
      <c r="H464" s="7"/>
      <c r="I464" s="7"/>
      <c r="K464" s="7"/>
      <c r="L464" s="7"/>
      <c r="M464" s="7"/>
      <c r="N464" s="7"/>
      <c r="O464" s="7"/>
      <c r="P464" s="7"/>
      <c r="Q464" s="7"/>
      <c r="R464" s="7"/>
      <c r="S464" s="7"/>
      <c r="T464" s="7"/>
      <c r="U464" s="7"/>
      <c r="V464" s="7"/>
      <c r="W464" s="7"/>
      <c r="X464" s="7"/>
    </row>
    <row r="465" spans="2:24" ht="15.75" customHeight="1">
      <c r="B465" s="7"/>
      <c r="C465" s="33"/>
      <c r="D465" s="7"/>
      <c r="E465" s="7"/>
      <c r="F465" s="7"/>
      <c r="G465" s="7"/>
      <c r="H465" s="7"/>
      <c r="I465" s="7"/>
      <c r="K465" s="7"/>
      <c r="L465" s="7"/>
      <c r="M465" s="7"/>
      <c r="N465" s="7"/>
      <c r="O465" s="7"/>
      <c r="P465" s="7"/>
      <c r="Q465" s="7"/>
      <c r="R465" s="7"/>
      <c r="S465" s="7"/>
      <c r="T465" s="7"/>
      <c r="U465" s="7"/>
      <c r="V465" s="7"/>
      <c r="W465" s="7"/>
      <c r="X465" s="7"/>
    </row>
    <row r="466" spans="2:24" ht="15.75" customHeight="1">
      <c r="B466" s="7"/>
      <c r="C466" s="33"/>
      <c r="D466" s="7"/>
      <c r="E466" s="7"/>
      <c r="F466" s="7"/>
      <c r="G466" s="7"/>
      <c r="H466" s="7"/>
      <c r="I466" s="7"/>
      <c r="K466" s="7"/>
      <c r="L466" s="7"/>
      <c r="M466" s="7"/>
      <c r="N466" s="7"/>
      <c r="O466" s="7"/>
      <c r="P466" s="7"/>
      <c r="Q466" s="7"/>
      <c r="R466" s="7"/>
      <c r="S466" s="7"/>
      <c r="T466" s="7"/>
      <c r="U466" s="7"/>
      <c r="V466" s="7"/>
      <c r="W466" s="7"/>
      <c r="X466" s="7"/>
    </row>
    <row r="467" spans="2:24" ht="15.75" customHeight="1">
      <c r="B467" s="7"/>
      <c r="C467" s="33"/>
      <c r="D467" s="7"/>
      <c r="E467" s="7"/>
      <c r="F467" s="7"/>
      <c r="G467" s="7"/>
      <c r="H467" s="7"/>
      <c r="I467" s="7"/>
      <c r="K467" s="7"/>
      <c r="L467" s="7"/>
      <c r="M467" s="7"/>
      <c r="N467" s="7"/>
      <c r="O467" s="7"/>
      <c r="P467" s="7"/>
      <c r="Q467" s="7"/>
      <c r="R467" s="7"/>
      <c r="S467" s="7"/>
      <c r="T467" s="7"/>
      <c r="U467" s="7"/>
      <c r="V467" s="7"/>
      <c r="W467" s="7"/>
      <c r="X467" s="7"/>
    </row>
    <row r="468" spans="2:24" ht="15.75" customHeight="1">
      <c r="B468" s="7"/>
      <c r="C468" s="33"/>
      <c r="D468" s="7"/>
      <c r="E468" s="7"/>
      <c r="F468" s="7"/>
      <c r="G468" s="7"/>
      <c r="H468" s="7"/>
      <c r="I468" s="7"/>
      <c r="K468" s="7"/>
      <c r="L468" s="7"/>
      <c r="M468" s="7"/>
      <c r="N468" s="7"/>
      <c r="O468" s="7"/>
      <c r="P468" s="7"/>
      <c r="Q468" s="7"/>
      <c r="R468" s="7"/>
      <c r="S468" s="7"/>
      <c r="T468" s="7"/>
      <c r="U468" s="7"/>
      <c r="V468" s="7"/>
      <c r="W468" s="7"/>
      <c r="X468" s="7"/>
    </row>
    <row r="469" spans="2:24" ht="15.75" customHeight="1">
      <c r="B469" s="7"/>
      <c r="C469" s="33"/>
      <c r="D469" s="7"/>
      <c r="E469" s="7"/>
      <c r="F469" s="7"/>
      <c r="G469" s="7"/>
      <c r="H469" s="7"/>
      <c r="I469" s="7"/>
      <c r="K469" s="7"/>
      <c r="L469" s="7"/>
      <c r="M469" s="7"/>
      <c r="N469" s="7"/>
      <c r="O469" s="7"/>
      <c r="P469" s="7"/>
      <c r="Q469" s="7"/>
      <c r="R469" s="7"/>
      <c r="S469" s="7"/>
      <c r="T469" s="7"/>
      <c r="U469" s="7"/>
      <c r="V469" s="7"/>
      <c r="W469" s="7"/>
      <c r="X469" s="7"/>
    </row>
    <row r="470" spans="2:24" ht="15.75" customHeight="1">
      <c r="B470" s="7"/>
      <c r="C470" s="33"/>
      <c r="D470" s="7"/>
      <c r="E470" s="7"/>
      <c r="F470" s="7"/>
      <c r="G470" s="7"/>
      <c r="H470" s="7"/>
      <c r="I470" s="7"/>
      <c r="K470" s="7"/>
      <c r="L470" s="7"/>
      <c r="M470" s="7"/>
      <c r="N470" s="7"/>
      <c r="O470" s="7"/>
      <c r="P470" s="7"/>
      <c r="Q470" s="7"/>
      <c r="R470" s="7"/>
      <c r="S470" s="7"/>
      <c r="T470" s="7"/>
      <c r="U470" s="7"/>
      <c r="V470" s="7"/>
      <c r="W470" s="7"/>
      <c r="X470" s="7"/>
    </row>
    <row r="471" spans="2:24" ht="15.75" customHeight="1">
      <c r="B471" s="7"/>
      <c r="C471" s="33"/>
      <c r="D471" s="7"/>
      <c r="E471" s="7"/>
      <c r="F471" s="7"/>
      <c r="G471" s="7"/>
      <c r="H471" s="7"/>
      <c r="I471" s="7"/>
      <c r="K471" s="7"/>
      <c r="L471" s="7"/>
      <c r="M471" s="7"/>
      <c r="N471" s="7"/>
      <c r="O471" s="7"/>
      <c r="P471" s="7"/>
      <c r="Q471" s="7"/>
      <c r="R471" s="7"/>
      <c r="S471" s="7"/>
      <c r="T471" s="7"/>
      <c r="U471" s="7"/>
      <c r="V471" s="7"/>
      <c r="W471" s="7"/>
      <c r="X471" s="7"/>
    </row>
    <row r="472" spans="2:24" ht="15.75" customHeight="1">
      <c r="B472" s="7"/>
      <c r="C472" s="33"/>
      <c r="D472" s="7"/>
      <c r="E472" s="7"/>
      <c r="F472" s="7"/>
      <c r="G472" s="7"/>
      <c r="H472" s="7"/>
      <c r="I472" s="7"/>
      <c r="K472" s="7"/>
      <c r="L472" s="7"/>
      <c r="M472" s="7"/>
      <c r="N472" s="7"/>
      <c r="O472" s="7"/>
      <c r="P472" s="7"/>
      <c r="Q472" s="7"/>
      <c r="R472" s="7"/>
      <c r="S472" s="7"/>
      <c r="T472" s="7"/>
      <c r="U472" s="7"/>
      <c r="V472" s="7"/>
      <c r="W472" s="7"/>
      <c r="X472" s="7"/>
    </row>
    <row r="473" spans="2:24" ht="15.75" customHeight="1">
      <c r="B473" s="7"/>
      <c r="C473" s="33"/>
      <c r="D473" s="7"/>
      <c r="E473" s="7"/>
      <c r="F473" s="7"/>
      <c r="G473" s="7"/>
      <c r="H473" s="7"/>
      <c r="I473" s="7"/>
      <c r="K473" s="7"/>
      <c r="L473" s="7"/>
      <c r="M473" s="7"/>
      <c r="N473" s="7"/>
      <c r="O473" s="7"/>
      <c r="P473" s="7"/>
      <c r="Q473" s="7"/>
      <c r="R473" s="7"/>
      <c r="S473" s="7"/>
      <c r="T473" s="7"/>
      <c r="U473" s="7"/>
      <c r="V473" s="7"/>
      <c r="W473" s="7"/>
      <c r="X473" s="7"/>
    </row>
    <row r="474" spans="2:24" ht="15.75" customHeight="1">
      <c r="B474" s="7"/>
      <c r="C474" s="33"/>
      <c r="D474" s="7"/>
      <c r="E474" s="7"/>
      <c r="F474" s="7"/>
      <c r="G474" s="7"/>
      <c r="H474" s="7"/>
      <c r="I474" s="7"/>
      <c r="K474" s="7"/>
      <c r="L474" s="7"/>
      <c r="M474" s="7"/>
      <c r="N474" s="7"/>
      <c r="O474" s="7"/>
      <c r="P474" s="7"/>
      <c r="Q474" s="7"/>
      <c r="R474" s="7"/>
      <c r="S474" s="7"/>
      <c r="T474" s="7"/>
      <c r="U474" s="7"/>
      <c r="V474" s="7"/>
      <c r="W474" s="7"/>
      <c r="X474" s="7"/>
    </row>
    <row r="475" spans="2:24" ht="15.75" customHeight="1">
      <c r="B475" s="7"/>
      <c r="C475" s="33"/>
      <c r="D475" s="7"/>
      <c r="E475" s="7"/>
      <c r="F475" s="7"/>
      <c r="G475" s="7"/>
      <c r="H475" s="7"/>
      <c r="I475" s="7"/>
      <c r="K475" s="7"/>
      <c r="L475" s="7"/>
      <c r="M475" s="7"/>
      <c r="N475" s="7"/>
      <c r="O475" s="7"/>
      <c r="P475" s="7"/>
      <c r="Q475" s="7"/>
      <c r="R475" s="7"/>
      <c r="S475" s="7"/>
      <c r="T475" s="7"/>
      <c r="U475" s="7"/>
      <c r="V475" s="7"/>
      <c r="W475" s="7"/>
      <c r="X475" s="7"/>
    </row>
    <row r="476" spans="2:24" ht="15.75" customHeight="1">
      <c r="B476" s="7"/>
      <c r="C476" s="33"/>
      <c r="D476" s="7"/>
      <c r="E476" s="7"/>
      <c r="F476" s="7"/>
      <c r="G476" s="7"/>
      <c r="H476" s="7"/>
      <c r="I476" s="7"/>
      <c r="K476" s="7"/>
      <c r="L476" s="7"/>
      <c r="M476" s="7"/>
      <c r="N476" s="7"/>
      <c r="O476" s="7"/>
      <c r="P476" s="7"/>
      <c r="Q476" s="7"/>
      <c r="R476" s="7"/>
      <c r="S476" s="7"/>
      <c r="T476" s="7"/>
      <c r="U476" s="7"/>
      <c r="V476" s="7"/>
      <c r="W476" s="7"/>
      <c r="X476" s="7"/>
    </row>
    <row r="477" spans="2:24" ht="15.75" customHeight="1">
      <c r="B477" s="7"/>
      <c r="C477" s="33"/>
      <c r="D477" s="7"/>
      <c r="E477" s="7"/>
      <c r="F477" s="7"/>
      <c r="G477" s="7"/>
      <c r="H477" s="7"/>
      <c r="I477" s="7"/>
      <c r="K477" s="7"/>
      <c r="L477" s="7"/>
      <c r="M477" s="7"/>
      <c r="N477" s="7"/>
      <c r="O477" s="7"/>
      <c r="P477" s="7"/>
      <c r="Q477" s="7"/>
      <c r="R477" s="7"/>
      <c r="S477" s="7"/>
      <c r="T477" s="7"/>
      <c r="U477" s="7"/>
      <c r="V477" s="7"/>
      <c r="W477" s="7"/>
      <c r="X477" s="7"/>
    </row>
    <row r="478" spans="2:24" ht="15.75" customHeight="1">
      <c r="B478" s="7"/>
      <c r="C478" s="33"/>
      <c r="D478" s="7"/>
      <c r="E478" s="7"/>
      <c r="F478" s="7"/>
      <c r="G478" s="7"/>
      <c r="H478" s="7"/>
      <c r="I478" s="7"/>
      <c r="K478" s="7"/>
      <c r="L478" s="7"/>
      <c r="M478" s="7"/>
      <c r="N478" s="7"/>
      <c r="O478" s="7"/>
      <c r="P478" s="7"/>
      <c r="Q478" s="7"/>
      <c r="R478" s="7"/>
      <c r="S478" s="7"/>
      <c r="T478" s="7"/>
      <c r="U478" s="7"/>
      <c r="V478" s="7"/>
      <c r="W478" s="7"/>
      <c r="X478" s="7"/>
    </row>
    <row r="479" spans="2:24" ht="15.75" customHeight="1">
      <c r="B479" s="7"/>
      <c r="C479" s="33"/>
      <c r="D479" s="7"/>
      <c r="E479" s="7"/>
      <c r="F479" s="7"/>
      <c r="G479" s="7"/>
      <c r="H479" s="7"/>
      <c r="I479" s="7"/>
      <c r="K479" s="7"/>
      <c r="L479" s="7"/>
      <c r="M479" s="7"/>
      <c r="N479" s="7"/>
      <c r="O479" s="7"/>
      <c r="P479" s="7"/>
      <c r="Q479" s="7"/>
      <c r="R479" s="7"/>
      <c r="S479" s="7"/>
      <c r="T479" s="7"/>
      <c r="U479" s="7"/>
      <c r="V479" s="7"/>
      <c r="W479" s="7"/>
      <c r="X479" s="7"/>
    </row>
    <row r="480" spans="2:24" ht="15.75" customHeight="1">
      <c r="B480" s="7"/>
      <c r="C480" s="33"/>
      <c r="D480" s="7"/>
      <c r="E480" s="7"/>
      <c r="F480" s="7"/>
      <c r="G480" s="7"/>
      <c r="H480" s="7"/>
      <c r="I480" s="7"/>
      <c r="K480" s="7"/>
      <c r="L480" s="7"/>
      <c r="M480" s="7"/>
      <c r="N480" s="7"/>
      <c r="O480" s="7"/>
      <c r="P480" s="7"/>
      <c r="Q480" s="7"/>
      <c r="R480" s="7"/>
      <c r="S480" s="7"/>
      <c r="T480" s="7"/>
      <c r="U480" s="7"/>
      <c r="V480" s="7"/>
      <c r="W480" s="7"/>
      <c r="X480" s="7"/>
    </row>
    <row r="481" spans="2:24" ht="15.75" customHeight="1">
      <c r="B481" s="7"/>
      <c r="C481" s="33"/>
      <c r="D481" s="7"/>
      <c r="E481" s="7"/>
      <c r="F481" s="7"/>
      <c r="G481" s="7"/>
      <c r="H481" s="7"/>
      <c r="I481" s="7"/>
      <c r="K481" s="7"/>
      <c r="L481" s="7"/>
      <c r="M481" s="7"/>
      <c r="N481" s="7"/>
      <c r="O481" s="7"/>
      <c r="P481" s="7"/>
      <c r="Q481" s="7"/>
      <c r="R481" s="7"/>
      <c r="S481" s="7"/>
      <c r="T481" s="7"/>
      <c r="U481" s="7"/>
      <c r="V481" s="7"/>
      <c r="W481" s="7"/>
      <c r="X481" s="7"/>
    </row>
    <row r="482" spans="2:24" ht="15.75" customHeight="1">
      <c r="B482" s="7"/>
      <c r="C482" s="33"/>
      <c r="D482" s="7"/>
      <c r="E482" s="7"/>
      <c r="F482" s="7"/>
      <c r="G482" s="7"/>
      <c r="H482" s="7"/>
      <c r="I482" s="7"/>
      <c r="K482" s="7"/>
      <c r="L482" s="7"/>
      <c r="M482" s="7"/>
      <c r="N482" s="7"/>
      <c r="O482" s="7"/>
      <c r="P482" s="7"/>
      <c r="Q482" s="7"/>
      <c r="R482" s="7"/>
      <c r="S482" s="7"/>
      <c r="T482" s="7"/>
      <c r="U482" s="7"/>
      <c r="V482" s="7"/>
      <c r="W482" s="7"/>
      <c r="X482" s="7"/>
    </row>
    <row r="483" spans="2:24" ht="15.75" customHeight="1">
      <c r="B483" s="7"/>
      <c r="C483" s="33"/>
      <c r="D483" s="7"/>
      <c r="E483" s="7"/>
      <c r="F483" s="7"/>
      <c r="G483" s="7"/>
      <c r="H483" s="7"/>
      <c r="I483" s="7"/>
      <c r="K483" s="7"/>
      <c r="L483" s="7"/>
      <c r="M483" s="7"/>
      <c r="N483" s="7"/>
      <c r="O483" s="7"/>
      <c r="P483" s="7"/>
      <c r="Q483" s="7"/>
      <c r="R483" s="7"/>
      <c r="S483" s="7"/>
      <c r="T483" s="7"/>
      <c r="U483" s="7"/>
      <c r="V483" s="7"/>
      <c r="W483" s="7"/>
      <c r="X483" s="7"/>
    </row>
    <row r="484" spans="2:24" ht="15.75" customHeight="1">
      <c r="B484" s="7"/>
      <c r="C484" s="33"/>
      <c r="D484" s="7"/>
      <c r="E484" s="7"/>
      <c r="F484" s="7"/>
      <c r="G484" s="7"/>
      <c r="H484" s="7"/>
      <c r="I484" s="7"/>
      <c r="K484" s="7"/>
      <c r="L484" s="7"/>
      <c r="M484" s="7"/>
      <c r="N484" s="7"/>
      <c r="O484" s="7"/>
      <c r="P484" s="7"/>
      <c r="Q484" s="7"/>
      <c r="R484" s="7"/>
      <c r="S484" s="7"/>
      <c r="T484" s="7"/>
      <c r="U484" s="7"/>
      <c r="V484" s="7"/>
      <c r="W484" s="7"/>
      <c r="X484" s="7"/>
    </row>
    <row r="485" spans="2:24" ht="15.75" customHeight="1">
      <c r="B485" s="7"/>
      <c r="C485" s="33"/>
      <c r="D485" s="7"/>
      <c r="E485" s="7"/>
      <c r="F485" s="7"/>
      <c r="G485" s="7"/>
      <c r="H485" s="7"/>
      <c r="I485" s="7"/>
      <c r="K485" s="7"/>
      <c r="L485" s="7"/>
      <c r="M485" s="7"/>
      <c r="N485" s="7"/>
      <c r="O485" s="7"/>
      <c r="P485" s="7"/>
      <c r="Q485" s="7"/>
      <c r="R485" s="7"/>
      <c r="S485" s="7"/>
      <c r="T485" s="7"/>
      <c r="U485" s="7"/>
      <c r="V485" s="7"/>
      <c r="W485" s="7"/>
      <c r="X485" s="7"/>
    </row>
    <row r="486" spans="2:24" ht="15.75" customHeight="1">
      <c r="B486" s="7"/>
      <c r="C486" s="33"/>
      <c r="D486" s="7"/>
      <c r="E486" s="7"/>
      <c r="F486" s="7"/>
      <c r="G486" s="7"/>
      <c r="H486" s="7"/>
      <c r="I486" s="7"/>
      <c r="K486" s="7"/>
      <c r="L486" s="7"/>
      <c r="M486" s="7"/>
      <c r="N486" s="7"/>
      <c r="O486" s="7"/>
      <c r="P486" s="7"/>
      <c r="Q486" s="7"/>
      <c r="R486" s="7"/>
      <c r="S486" s="7"/>
      <c r="T486" s="7"/>
      <c r="U486" s="7"/>
      <c r="V486" s="7"/>
      <c r="W486" s="7"/>
      <c r="X486" s="7"/>
    </row>
    <row r="487" spans="2:24" ht="15.75" customHeight="1">
      <c r="B487" s="7"/>
      <c r="C487" s="33"/>
      <c r="D487" s="7"/>
      <c r="E487" s="7"/>
      <c r="F487" s="7"/>
      <c r="G487" s="7"/>
      <c r="H487" s="7"/>
      <c r="I487" s="7"/>
      <c r="K487" s="7"/>
      <c r="L487" s="7"/>
      <c r="M487" s="7"/>
      <c r="N487" s="7"/>
      <c r="O487" s="7"/>
      <c r="P487" s="7"/>
      <c r="Q487" s="7"/>
      <c r="R487" s="7"/>
      <c r="S487" s="7"/>
      <c r="T487" s="7"/>
      <c r="U487" s="7"/>
      <c r="V487" s="7"/>
      <c r="W487" s="7"/>
      <c r="X487" s="7"/>
    </row>
    <row r="488" spans="2:24" ht="15.75" customHeight="1">
      <c r="B488" s="7"/>
      <c r="C488" s="33"/>
      <c r="D488" s="7"/>
      <c r="E488" s="7"/>
      <c r="F488" s="7"/>
      <c r="G488" s="7"/>
      <c r="H488" s="7"/>
      <c r="I488" s="7"/>
      <c r="K488" s="7"/>
      <c r="L488" s="7"/>
      <c r="M488" s="7"/>
      <c r="N488" s="7"/>
      <c r="O488" s="7"/>
      <c r="P488" s="7"/>
      <c r="Q488" s="7"/>
      <c r="R488" s="7"/>
      <c r="S488" s="7"/>
      <c r="T488" s="7"/>
      <c r="U488" s="7"/>
      <c r="V488" s="7"/>
      <c r="W488" s="7"/>
      <c r="X488" s="7"/>
    </row>
    <row r="489" spans="2:24" ht="15.75" customHeight="1">
      <c r="B489" s="7"/>
      <c r="C489" s="33"/>
      <c r="D489" s="7"/>
      <c r="E489" s="7"/>
      <c r="F489" s="7"/>
      <c r="G489" s="7"/>
      <c r="H489" s="7"/>
      <c r="I489" s="7"/>
      <c r="K489" s="7"/>
      <c r="L489" s="7"/>
      <c r="M489" s="7"/>
      <c r="N489" s="7"/>
      <c r="O489" s="7"/>
      <c r="P489" s="7"/>
      <c r="Q489" s="7"/>
      <c r="R489" s="7"/>
      <c r="S489" s="7"/>
      <c r="T489" s="7"/>
      <c r="U489" s="7"/>
      <c r="V489" s="7"/>
      <c r="W489" s="7"/>
      <c r="X489" s="7"/>
    </row>
    <row r="490" spans="2:24" ht="15.75" customHeight="1">
      <c r="B490" s="7"/>
      <c r="C490" s="33"/>
      <c r="D490" s="7"/>
      <c r="E490" s="7"/>
      <c r="F490" s="7"/>
      <c r="G490" s="7"/>
      <c r="H490" s="7"/>
      <c r="I490" s="7"/>
      <c r="K490" s="7"/>
      <c r="L490" s="7"/>
      <c r="M490" s="7"/>
      <c r="N490" s="7"/>
      <c r="O490" s="7"/>
      <c r="P490" s="7"/>
      <c r="Q490" s="7"/>
      <c r="R490" s="7"/>
      <c r="S490" s="7"/>
      <c r="T490" s="7"/>
      <c r="U490" s="7"/>
      <c r="V490" s="7"/>
      <c r="W490" s="7"/>
      <c r="X490" s="7"/>
    </row>
    <row r="491" spans="2:24" ht="15.75" customHeight="1">
      <c r="B491" s="7"/>
      <c r="C491" s="33"/>
      <c r="D491" s="7"/>
      <c r="E491" s="7"/>
      <c r="F491" s="7"/>
      <c r="G491" s="7"/>
      <c r="H491" s="7"/>
      <c r="I491" s="7"/>
      <c r="K491" s="7"/>
      <c r="L491" s="7"/>
      <c r="M491" s="7"/>
      <c r="N491" s="7"/>
      <c r="O491" s="7"/>
      <c r="P491" s="7"/>
      <c r="Q491" s="7"/>
      <c r="R491" s="7"/>
      <c r="S491" s="7"/>
      <c r="T491" s="7"/>
      <c r="U491" s="7"/>
      <c r="V491" s="7"/>
      <c r="W491" s="7"/>
      <c r="X491" s="7"/>
    </row>
    <row r="492" spans="2:24" ht="15.75" customHeight="1">
      <c r="B492" s="7"/>
      <c r="C492" s="33"/>
      <c r="D492" s="7"/>
      <c r="E492" s="7"/>
      <c r="F492" s="7"/>
      <c r="G492" s="7"/>
      <c r="H492" s="7"/>
      <c r="I492" s="7"/>
      <c r="K492" s="7"/>
      <c r="L492" s="7"/>
      <c r="M492" s="7"/>
      <c r="N492" s="7"/>
      <c r="O492" s="7"/>
      <c r="P492" s="7"/>
      <c r="Q492" s="7"/>
      <c r="R492" s="7"/>
      <c r="S492" s="7"/>
      <c r="T492" s="7"/>
      <c r="U492" s="7"/>
      <c r="V492" s="7"/>
      <c r="W492" s="7"/>
      <c r="X492" s="7"/>
    </row>
    <row r="493" spans="2:24" ht="15.75" customHeight="1">
      <c r="B493" s="7"/>
      <c r="C493" s="33"/>
      <c r="D493" s="7"/>
      <c r="E493" s="7"/>
      <c r="F493" s="7"/>
      <c r="G493" s="7"/>
      <c r="H493" s="7"/>
      <c r="I493" s="7"/>
      <c r="K493" s="7"/>
      <c r="L493" s="7"/>
      <c r="M493" s="7"/>
      <c r="N493" s="7"/>
      <c r="O493" s="7"/>
      <c r="P493" s="7"/>
      <c r="Q493" s="7"/>
      <c r="R493" s="7"/>
      <c r="S493" s="7"/>
      <c r="T493" s="7"/>
      <c r="U493" s="7"/>
      <c r="V493" s="7"/>
      <c r="W493" s="7"/>
      <c r="X493" s="7"/>
    </row>
    <row r="494" spans="2:24" ht="15.75" customHeight="1">
      <c r="B494" s="7"/>
      <c r="C494" s="33"/>
      <c r="D494" s="7"/>
      <c r="E494" s="7"/>
      <c r="F494" s="7"/>
      <c r="G494" s="7"/>
      <c r="H494" s="7"/>
      <c r="I494" s="7"/>
      <c r="K494" s="7"/>
      <c r="L494" s="7"/>
      <c r="M494" s="7"/>
      <c r="N494" s="7"/>
      <c r="O494" s="7"/>
      <c r="P494" s="7"/>
      <c r="Q494" s="7"/>
      <c r="R494" s="7"/>
      <c r="S494" s="7"/>
      <c r="T494" s="7"/>
      <c r="U494" s="7"/>
      <c r="V494" s="7"/>
      <c r="W494" s="7"/>
      <c r="X494" s="7"/>
    </row>
    <row r="495" spans="2:24" ht="15.75" customHeight="1">
      <c r="B495" s="7"/>
      <c r="C495" s="33"/>
      <c r="D495" s="7"/>
      <c r="E495" s="7"/>
      <c r="F495" s="7"/>
      <c r="G495" s="7"/>
      <c r="H495" s="7"/>
      <c r="I495" s="7"/>
      <c r="K495" s="7"/>
      <c r="L495" s="7"/>
      <c r="M495" s="7"/>
      <c r="N495" s="7"/>
      <c r="O495" s="7"/>
      <c r="P495" s="7"/>
      <c r="Q495" s="7"/>
      <c r="R495" s="7"/>
      <c r="S495" s="7"/>
      <c r="T495" s="7"/>
      <c r="U495" s="7"/>
      <c r="V495" s="7"/>
      <c r="W495" s="7"/>
      <c r="X495" s="7"/>
    </row>
    <row r="496" spans="2:24" ht="15.75" customHeight="1">
      <c r="B496" s="7"/>
      <c r="C496" s="33"/>
      <c r="D496" s="7"/>
      <c r="E496" s="7"/>
      <c r="F496" s="7"/>
      <c r="G496" s="7"/>
      <c r="H496" s="7"/>
      <c r="I496" s="7"/>
      <c r="K496" s="7"/>
      <c r="L496" s="7"/>
      <c r="M496" s="7"/>
      <c r="N496" s="7"/>
      <c r="O496" s="7"/>
      <c r="P496" s="7"/>
      <c r="Q496" s="7"/>
      <c r="R496" s="7"/>
      <c r="S496" s="7"/>
      <c r="T496" s="7"/>
      <c r="U496" s="7"/>
      <c r="V496" s="7"/>
      <c r="W496" s="7"/>
      <c r="X496" s="7"/>
    </row>
    <row r="497" spans="2:24" ht="15.75" customHeight="1">
      <c r="B497" s="7"/>
      <c r="C497" s="33"/>
      <c r="D497" s="7"/>
      <c r="E497" s="7"/>
      <c r="F497" s="7"/>
      <c r="G497" s="7"/>
      <c r="H497" s="7"/>
      <c r="I497" s="7"/>
      <c r="K497" s="7"/>
      <c r="L497" s="7"/>
      <c r="M497" s="7"/>
      <c r="N497" s="7"/>
      <c r="O497" s="7"/>
      <c r="P497" s="7"/>
      <c r="Q497" s="7"/>
      <c r="R497" s="7"/>
      <c r="S497" s="7"/>
      <c r="T497" s="7"/>
      <c r="U497" s="7"/>
      <c r="V497" s="7"/>
      <c r="W497" s="7"/>
      <c r="X497" s="7"/>
    </row>
    <row r="498" spans="2:24" ht="15.75" customHeight="1">
      <c r="B498" s="7"/>
      <c r="C498" s="33"/>
      <c r="D498" s="7"/>
      <c r="E498" s="7"/>
      <c r="F498" s="7"/>
      <c r="G498" s="7"/>
      <c r="H498" s="7"/>
      <c r="I498" s="7"/>
      <c r="K498" s="7"/>
      <c r="L498" s="7"/>
      <c r="M498" s="7"/>
      <c r="N498" s="7"/>
      <c r="O498" s="7"/>
      <c r="P498" s="7"/>
      <c r="Q498" s="7"/>
      <c r="R498" s="7"/>
      <c r="S498" s="7"/>
      <c r="T498" s="7"/>
      <c r="U498" s="7"/>
      <c r="V498" s="7"/>
      <c r="W498" s="7"/>
      <c r="X498" s="7"/>
    </row>
    <row r="499" spans="2:24" ht="15.75" customHeight="1">
      <c r="B499" s="7"/>
      <c r="C499" s="33"/>
      <c r="D499" s="7"/>
      <c r="E499" s="7"/>
      <c r="F499" s="7"/>
      <c r="G499" s="7"/>
      <c r="H499" s="7"/>
      <c r="I499" s="7"/>
      <c r="K499" s="7"/>
      <c r="L499" s="7"/>
      <c r="M499" s="7"/>
      <c r="N499" s="7"/>
      <c r="O499" s="7"/>
      <c r="P499" s="7"/>
      <c r="Q499" s="7"/>
      <c r="R499" s="7"/>
      <c r="S499" s="7"/>
      <c r="T499" s="7"/>
      <c r="U499" s="7"/>
      <c r="V499" s="7"/>
      <c r="W499" s="7"/>
      <c r="X499" s="7"/>
    </row>
    <row r="500" spans="2:24" ht="15.75" customHeight="1">
      <c r="B500" s="7"/>
      <c r="C500" s="33"/>
      <c r="D500" s="7"/>
      <c r="E500" s="7"/>
      <c r="F500" s="7"/>
      <c r="G500" s="7"/>
      <c r="H500" s="7"/>
      <c r="I500" s="7"/>
      <c r="K500" s="7"/>
      <c r="L500" s="7"/>
      <c r="M500" s="7"/>
      <c r="N500" s="7"/>
      <c r="O500" s="7"/>
      <c r="P500" s="7"/>
      <c r="Q500" s="7"/>
      <c r="R500" s="7"/>
      <c r="S500" s="7"/>
      <c r="T500" s="7"/>
      <c r="U500" s="7"/>
      <c r="V500" s="7"/>
      <c r="W500" s="7"/>
      <c r="X500" s="7"/>
    </row>
    <row r="501" spans="2:24" ht="15.75" customHeight="1">
      <c r="B501" s="7"/>
      <c r="C501" s="33"/>
      <c r="D501" s="7"/>
      <c r="E501" s="7"/>
      <c r="F501" s="7"/>
      <c r="G501" s="7"/>
      <c r="H501" s="7"/>
      <c r="I501" s="7"/>
      <c r="K501" s="7"/>
      <c r="L501" s="7"/>
      <c r="M501" s="7"/>
      <c r="N501" s="7"/>
      <c r="O501" s="7"/>
      <c r="P501" s="7"/>
      <c r="Q501" s="7"/>
      <c r="R501" s="7"/>
      <c r="S501" s="7"/>
      <c r="T501" s="7"/>
      <c r="U501" s="7"/>
      <c r="V501" s="7"/>
      <c r="W501" s="7"/>
      <c r="X501" s="7"/>
    </row>
    <row r="502" spans="2:24" ht="15.75" customHeight="1">
      <c r="B502" s="7"/>
      <c r="C502" s="33"/>
      <c r="D502" s="7"/>
      <c r="E502" s="7"/>
      <c r="F502" s="7"/>
      <c r="G502" s="7"/>
      <c r="H502" s="7"/>
      <c r="I502" s="7"/>
      <c r="K502" s="7"/>
      <c r="L502" s="7"/>
      <c r="M502" s="7"/>
      <c r="N502" s="7"/>
      <c r="O502" s="7"/>
      <c r="P502" s="7"/>
      <c r="Q502" s="7"/>
      <c r="R502" s="7"/>
      <c r="S502" s="7"/>
      <c r="T502" s="7"/>
      <c r="U502" s="7"/>
      <c r="V502" s="7"/>
      <c r="W502" s="7"/>
      <c r="X502" s="7"/>
    </row>
    <row r="503" spans="2:24" ht="15.75" customHeight="1">
      <c r="B503" s="7"/>
      <c r="C503" s="33"/>
      <c r="D503" s="7"/>
      <c r="E503" s="7"/>
      <c r="F503" s="7"/>
      <c r="G503" s="7"/>
      <c r="H503" s="7"/>
      <c r="I503" s="7"/>
      <c r="K503" s="7"/>
      <c r="L503" s="7"/>
      <c r="M503" s="7"/>
      <c r="N503" s="7"/>
      <c r="O503" s="7"/>
      <c r="P503" s="7"/>
      <c r="Q503" s="7"/>
      <c r="R503" s="7"/>
      <c r="S503" s="7"/>
      <c r="T503" s="7"/>
      <c r="U503" s="7"/>
      <c r="V503" s="7"/>
      <c r="W503" s="7"/>
      <c r="X503" s="7"/>
    </row>
    <row r="504" spans="2:24" ht="15.75" customHeight="1">
      <c r="B504" s="7"/>
      <c r="C504" s="33"/>
      <c r="D504" s="7"/>
      <c r="E504" s="7"/>
      <c r="F504" s="7"/>
      <c r="G504" s="7"/>
      <c r="H504" s="7"/>
      <c r="I504" s="7"/>
      <c r="K504" s="7"/>
      <c r="L504" s="7"/>
      <c r="M504" s="7"/>
      <c r="N504" s="7"/>
      <c r="O504" s="7"/>
      <c r="P504" s="7"/>
      <c r="Q504" s="7"/>
      <c r="R504" s="7"/>
      <c r="S504" s="7"/>
      <c r="T504" s="7"/>
      <c r="U504" s="7"/>
      <c r="V504" s="7"/>
      <c r="W504" s="7"/>
      <c r="X504" s="7"/>
    </row>
    <row r="505" spans="2:24" ht="15.75" customHeight="1">
      <c r="B505" s="7"/>
      <c r="C505" s="33"/>
      <c r="D505" s="7"/>
      <c r="E505" s="7"/>
      <c r="F505" s="7"/>
      <c r="G505" s="7"/>
      <c r="H505" s="7"/>
      <c r="I505" s="7"/>
      <c r="K505" s="7"/>
      <c r="L505" s="7"/>
      <c r="M505" s="7"/>
      <c r="N505" s="7"/>
      <c r="O505" s="7"/>
      <c r="P505" s="7"/>
      <c r="Q505" s="7"/>
      <c r="R505" s="7"/>
      <c r="S505" s="7"/>
      <c r="T505" s="7"/>
      <c r="U505" s="7"/>
      <c r="V505" s="7"/>
      <c r="W505" s="7"/>
      <c r="X505" s="7"/>
    </row>
    <row r="506" spans="2:24" ht="15.75" customHeight="1">
      <c r="B506" s="7"/>
      <c r="C506" s="33"/>
      <c r="D506" s="7"/>
      <c r="E506" s="7"/>
      <c r="F506" s="7"/>
      <c r="G506" s="7"/>
      <c r="H506" s="7"/>
      <c r="I506" s="7"/>
      <c r="K506" s="7"/>
      <c r="L506" s="7"/>
      <c r="M506" s="7"/>
      <c r="N506" s="7"/>
      <c r="O506" s="7"/>
      <c r="P506" s="7"/>
      <c r="Q506" s="7"/>
      <c r="R506" s="7"/>
      <c r="S506" s="7"/>
      <c r="T506" s="7"/>
      <c r="U506" s="7"/>
      <c r="V506" s="7"/>
      <c r="W506" s="7"/>
      <c r="X506" s="7"/>
    </row>
    <row r="507" spans="2:24" ht="15.75" customHeight="1">
      <c r="B507" s="7"/>
      <c r="C507" s="33"/>
      <c r="D507" s="7"/>
      <c r="E507" s="7"/>
      <c r="F507" s="7"/>
      <c r="G507" s="7"/>
      <c r="H507" s="7"/>
      <c r="I507" s="7"/>
      <c r="K507" s="7"/>
      <c r="L507" s="7"/>
      <c r="M507" s="7"/>
      <c r="N507" s="7"/>
      <c r="O507" s="7"/>
      <c r="P507" s="7"/>
      <c r="Q507" s="7"/>
      <c r="R507" s="7"/>
      <c r="S507" s="7"/>
      <c r="T507" s="7"/>
      <c r="U507" s="7"/>
      <c r="V507" s="7"/>
      <c r="W507" s="7"/>
      <c r="X507" s="7"/>
    </row>
    <row r="508" spans="2:24" ht="15.75" customHeight="1">
      <c r="B508" s="7"/>
      <c r="C508" s="33"/>
      <c r="D508" s="7"/>
      <c r="E508" s="7"/>
      <c r="F508" s="7"/>
      <c r="G508" s="7"/>
      <c r="H508" s="7"/>
      <c r="I508" s="7"/>
      <c r="K508" s="7"/>
      <c r="L508" s="7"/>
      <c r="M508" s="7"/>
      <c r="N508" s="7"/>
      <c r="O508" s="7"/>
      <c r="P508" s="7"/>
      <c r="Q508" s="7"/>
      <c r="R508" s="7"/>
      <c r="S508" s="7"/>
      <c r="T508" s="7"/>
      <c r="U508" s="7"/>
      <c r="V508" s="7"/>
      <c r="W508" s="7"/>
      <c r="X508" s="7"/>
    </row>
    <row r="509" spans="2:24" ht="15.75" customHeight="1">
      <c r="B509" s="7"/>
      <c r="C509" s="33"/>
      <c r="D509" s="7"/>
      <c r="E509" s="7"/>
      <c r="F509" s="7"/>
      <c r="G509" s="7"/>
      <c r="H509" s="7"/>
      <c r="I509" s="7"/>
      <c r="K509" s="7"/>
      <c r="L509" s="7"/>
      <c r="M509" s="7"/>
      <c r="N509" s="7"/>
      <c r="O509" s="7"/>
      <c r="P509" s="7"/>
      <c r="Q509" s="7"/>
      <c r="R509" s="7"/>
      <c r="S509" s="7"/>
      <c r="T509" s="7"/>
      <c r="U509" s="7"/>
      <c r="V509" s="7"/>
      <c r="W509" s="7"/>
      <c r="X509" s="7"/>
    </row>
    <row r="510" spans="2:24" ht="15.75" customHeight="1">
      <c r="B510" s="7"/>
      <c r="C510" s="33"/>
      <c r="D510" s="7"/>
      <c r="E510" s="7"/>
      <c r="F510" s="7"/>
      <c r="G510" s="7"/>
      <c r="H510" s="7"/>
      <c r="I510" s="7"/>
      <c r="K510" s="7"/>
      <c r="L510" s="7"/>
      <c r="M510" s="7"/>
      <c r="N510" s="7"/>
      <c r="O510" s="7"/>
      <c r="P510" s="7"/>
      <c r="Q510" s="7"/>
      <c r="R510" s="7"/>
      <c r="S510" s="7"/>
      <c r="T510" s="7"/>
      <c r="U510" s="7"/>
      <c r="V510" s="7"/>
      <c r="W510" s="7"/>
      <c r="X510" s="7"/>
    </row>
    <row r="511" spans="2:24" ht="15.75" customHeight="1">
      <c r="B511" s="7"/>
      <c r="C511" s="33"/>
      <c r="D511" s="7"/>
      <c r="E511" s="7"/>
      <c r="F511" s="7"/>
      <c r="G511" s="7"/>
      <c r="H511" s="7"/>
      <c r="I511" s="7"/>
      <c r="K511" s="7"/>
      <c r="L511" s="7"/>
      <c r="M511" s="7"/>
      <c r="N511" s="7"/>
      <c r="O511" s="7"/>
      <c r="P511" s="7"/>
      <c r="Q511" s="7"/>
      <c r="R511" s="7"/>
      <c r="S511" s="7"/>
      <c r="T511" s="7"/>
      <c r="U511" s="7"/>
      <c r="V511" s="7"/>
      <c r="W511" s="7"/>
      <c r="X511" s="7"/>
    </row>
    <row r="512" spans="2:24" ht="15.75" customHeight="1">
      <c r="B512" s="7"/>
      <c r="C512" s="33"/>
      <c r="D512" s="7"/>
      <c r="E512" s="7"/>
      <c r="F512" s="7"/>
      <c r="G512" s="7"/>
      <c r="H512" s="7"/>
      <c r="I512" s="7"/>
      <c r="K512" s="7"/>
      <c r="L512" s="7"/>
      <c r="M512" s="7"/>
      <c r="N512" s="7"/>
      <c r="O512" s="7"/>
      <c r="P512" s="7"/>
      <c r="Q512" s="7"/>
      <c r="R512" s="7"/>
      <c r="S512" s="7"/>
      <c r="T512" s="7"/>
      <c r="U512" s="7"/>
      <c r="V512" s="7"/>
      <c r="W512" s="7"/>
      <c r="X512" s="7"/>
    </row>
    <row r="513" spans="2:24" ht="15.75" customHeight="1">
      <c r="B513" s="7"/>
      <c r="C513" s="33"/>
      <c r="D513" s="7"/>
      <c r="E513" s="7"/>
      <c r="F513" s="7"/>
      <c r="G513" s="7"/>
      <c r="H513" s="7"/>
      <c r="I513" s="7"/>
      <c r="K513" s="7"/>
      <c r="L513" s="7"/>
      <c r="M513" s="7"/>
      <c r="N513" s="7"/>
      <c r="O513" s="7"/>
      <c r="P513" s="7"/>
      <c r="Q513" s="7"/>
      <c r="R513" s="7"/>
      <c r="S513" s="7"/>
      <c r="T513" s="7"/>
      <c r="U513" s="7"/>
      <c r="V513" s="7"/>
      <c r="W513" s="7"/>
      <c r="X513" s="7"/>
    </row>
    <row r="514" spans="2:24" ht="15.75" customHeight="1">
      <c r="B514" s="7"/>
      <c r="C514" s="33"/>
      <c r="D514" s="7"/>
      <c r="E514" s="7"/>
      <c r="F514" s="7"/>
      <c r="G514" s="7"/>
      <c r="H514" s="7"/>
      <c r="I514" s="7"/>
      <c r="K514" s="7"/>
      <c r="L514" s="7"/>
      <c r="M514" s="7"/>
      <c r="N514" s="7"/>
      <c r="O514" s="7"/>
      <c r="P514" s="7"/>
      <c r="Q514" s="7"/>
      <c r="R514" s="7"/>
      <c r="S514" s="7"/>
      <c r="T514" s="7"/>
      <c r="U514" s="7"/>
      <c r="V514" s="7"/>
      <c r="W514" s="7"/>
      <c r="X514" s="7"/>
    </row>
    <row r="515" spans="2:24" ht="15.75" customHeight="1">
      <c r="B515" s="7"/>
      <c r="C515" s="33"/>
      <c r="D515" s="7"/>
      <c r="E515" s="7"/>
      <c r="F515" s="7"/>
      <c r="G515" s="7"/>
      <c r="H515" s="7"/>
      <c r="I515" s="7"/>
      <c r="K515" s="7"/>
      <c r="L515" s="7"/>
      <c r="M515" s="7"/>
      <c r="N515" s="7"/>
      <c r="O515" s="7"/>
      <c r="P515" s="7"/>
      <c r="Q515" s="7"/>
      <c r="R515" s="7"/>
      <c r="S515" s="7"/>
      <c r="T515" s="7"/>
      <c r="U515" s="7"/>
      <c r="V515" s="7"/>
      <c r="W515" s="7"/>
      <c r="X515" s="7"/>
    </row>
    <row r="516" spans="2:24" ht="15.75" customHeight="1">
      <c r="B516" s="7"/>
      <c r="C516" s="33"/>
      <c r="D516" s="7"/>
      <c r="E516" s="7"/>
      <c r="F516" s="7"/>
      <c r="G516" s="7"/>
      <c r="H516" s="7"/>
      <c r="I516" s="7"/>
      <c r="K516" s="7"/>
      <c r="L516" s="7"/>
      <c r="M516" s="7"/>
      <c r="N516" s="7"/>
      <c r="O516" s="7"/>
      <c r="P516" s="7"/>
      <c r="Q516" s="7"/>
      <c r="R516" s="7"/>
      <c r="S516" s="7"/>
      <c r="T516" s="7"/>
      <c r="U516" s="7"/>
      <c r="V516" s="7"/>
      <c r="W516" s="7"/>
      <c r="X516" s="7"/>
    </row>
    <row r="517" spans="2:24" ht="15.75" customHeight="1">
      <c r="B517" s="7"/>
      <c r="C517" s="33"/>
      <c r="D517" s="7"/>
      <c r="E517" s="7"/>
      <c r="F517" s="7"/>
      <c r="G517" s="7"/>
      <c r="H517" s="7"/>
      <c r="I517" s="7"/>
      <c r="K517" s="7"/>
      <c r="L517" s="7"/>
      <c r="M517" s="7"/>
      <c r="N517" s="7"/>
      <c r="O517" s="7"/>
      <c r="P517" s="7"/>
      <c r="Q517" s="7"/>
      <c r="R517" s="7"/>
      <c r="S517" s="7"/>
      <c r="T517" s="7"/>
      <c r="U517" s="7"/>
      <c r="V517" s="7"/>
      <c r="W517" s="7"/>
      <c r="X517" s="7"/>
    </row>
    <row r="518" spans="2:24" ht="15.75" customHeight="1">
      <c r="B518" s="7"/>
      <c r="C518" s="33"/>
      <c r="D518" s="7"/>
      <c r="E518" s="7"/>
      <c r="F518" s="7"/>
      <c r="G518" s="7"/>
      <c r="H518" s="7"/>
      <c r="I518" s="7"/>
      <c r="K518" s="7"/>
      <c r="L518" s="7"/>
      <c r="M518" s="7"/>
      <c r="N518" s="7"/>
      <c r="O518" s="7"/>
      <c r="P518" s="7"/>
      <c r="Q518" s="7"/>
      <c r="R518" s="7"/>
      <c r="S518" s="7"/>
      <c r="T518" s="7"/>
      <c r="U518" s="7"/>
      <c r="V518" s="7"/>
      <c r="W518" s="7"/>
      <c r="X518" s="7"/>
    </row>
    <row r="519" spans="2:24" ht="15.75" customHeight="1">
      <c r="B519" s="7"/>
      <c r="C519" s="33"/>
      <c r="D519" s="7"/>
      <c r="E519" s="7"/>
      <c r="F519" s="7"/>
      <c r="G519" s="7"/>
      <c r="H519" s="7"/>
      <c r="I519" s="7"/>
      <c r="K519" s="7"/>
      <c r="L519" s="7"/>
      <c r="M519" s="7"/>
      <c r="N519" s="7"/>
      <c r="O519" s="7"/>
      <c r="P519" s="7"/>
      <c r="Q519" s="7"/>
      <c r="R519" s="7"/>
      <c r="S519" s="7"/>
      <c r="T519" s="7"/>
      <c r="U519" s="7"/>
      <c r="V519" s="7"/>
      <c r="W519" s="7"/>
      <c r="X519" s="7"/>
    </row>
    <row r="520" spans="2:24" ht="15.75" customHeight="1">
      <c r="B520" s="7"/>
      <c r="C520" s="33"/>
      <c r="D520" s="7"/>
      <c r="E520" s="7"/>
      <c r="F520" s="7"/>
      <c r="G520" s="7"/>
      <c r="H520" s="7"/>
      <c r="I520" s="7"/>
      <c r="K520" s="7"/>
      <c r="L520" s="7"/>
      <c r="M520" s="7"/>
      <c r="N520" s="7"/>
      <c r="O520" s="7"/>
      <c r="P520" s="7"/>
      <c r="Q520" s="7"/>
      <c r="R520" s="7"/>
      <c r="S520" s="7"/>
      <c r="T520" s="7"/>
      <c r="U520" s="7"/>
      <c r="V520" s="7"/>
      <c r="W520" s="7"/>
      <c r="X520" s="7"/>
    </row>
    <row r="521" spans="2:24" ht="15.75" customHeight="1">
      <c r="B521" s="7"/>
      <c r="C521" s="33"/>
      <c r="D521" s="7"/>
      <c r="E521" s="7"/>
      <c r="F521" s="7"/>
      <c r="G521" s="7"/>
      <c r="H521" s="7"/>
      <c r="I521" s="7"/>
      <c r="K521" s="7"/>
      <c r="L521" s="7"/>
      <c r="M521" s="7"/>
      <c r="N521" s="7"/>
      <c r="O521" s="7"/>
      <c r="P521" s="7"/>
      <c r="Q521" s="7"/>
      <c r="R521" s="7"/>
      <c r="S521" s="7"/>
      <c r="T521" s="7"/>
      <c r="U521" s="7"/>
      <c r="V521" s="7"/>
      <c r="W521" s="7"/>
      <c r="X521" s="7"/>
    </row>
    <row r="522" spans="2:24" ht="15.75" customHeight="1">
      <c r="B522" s="7"/>
      <c r="C522" s="33"/>
      <c r="D522" s="7"/>
      <c r="E522" s="7"/>
      <c r="F522" s="7"/>
      <c r="G522" s="7"/>
      <c r="H522" s="7"/>
      <c r="I522" s="7"/>
      <c r="K522" s="7"/>
      <c r="L522" s="7"/>
      <c r="M522" s="7"/>
      <c r="N522" s="7"/>
      <c r="O522" s="7"/>
      <c r="P522" s="7"/>
      <c r="Q522" s="7"/>
      <c r="R522" s="7"/>
      <c r="S522" s="7"/>
      <c r="T522" s="7"/>
      <c r="U522" s="7"/>
      <c r="V522" s="7"/>
      <c r="W522" s="7"/>
      <c r="X522" s="7"/>
    </row>
    <row r="523" spans="2:24" ht="15.75" customHeight="1">
      <c r="B523" s="7"/>
      <c r="C523" s="33"/>
      <c r="D523" s="7"/>
      <c r="E523" s="7"/>
      <c r="F523" s="7"/>
      <c r="G523" s="7"/>
      <c r="H523" s="7"/>
      <c r="I523" s="7"/>
      <c r="K523" s="7"/>
      <c r="L523" s="7"/>
      <c r="M523" s="7"/>
      <c r="N523" s="7"/>
      <c r="O523" s="7"/>
      <c r="P523" s="7"/>
      <c r="Q523" s="7"/>
      <c r="R523" s="7"/>
      <c r="S523" s="7"/>
      <c r="T523" s="7"/>
      <c r="U523" s="7"/>
      <c r="V523" s="7"/>
      <c r="W523" s="7"/>
      <c r="X523" s="7"/>
    </row>
    <row r="524" spans="2:24" ht="15.75" customHeight="1">
      <c r="B524" s="7"/>
      <c r="C524" s="33"/>
      <c r="D524" s="7"/>
      <c r="E524" s="7"/>
      <c r="F524" s="7"/>
      <c r="G524" s="7"/>
      <c r="H524" s="7"/>
      <c r="I524" s="7"/>
      <c r="K524" s="7"/>
      <c r="L524" s="7"/>
      <c r="M524" s="7"/>
      <c r="N524" s="7"/>
      <c r="O524" s="7"/>
      <c r="P524" s="7"/>
      <c r="Q524" s="7"/>
      <c r="R524" s="7"/>
      <c r="S524" s="7"/>
      <c r="T524" s="7"/>
      <c r="U524" s="7"/>
      <c r="V524" s="7"/>
      <c r="W524" s="7"/>
      <c r="X524" s="7"/>
    </row>
    <row r="525" spans="2:24" ht="15.75" customHeight="1">
      <c r="B525" s="7"/>
      <c r="C525" s="33"/>
      <c r="D525" s="7"/>
      <c r="E525" s="7"/>
      <c r="F525" s="7"/>
      <c r="G525" s="7"/>
      <c r="H525" s="7"/>
      <c r="I525" s="7"/>
      <c r="K525" s="7"/>
      <c r="L525" s="7"/>
      <c r="M525" s="7"/>
      <c r="N525" s="7"/>
      <c r="O525" s="7"/>
      <c r="P525" s="7"/>
      <c r="Q525" s="7"/>
      <c r="R525" s="7"/>
      <c r="S525" s="7"/>
      <c r="T525" s="7"/>
      <c r="U525" s="7"/>
      <c r="V525" s="7"/>
      <c r="W525" s="7"/>
      <c r="X525" s="7"/>
    </row>
    <row r="526" spans="2:24" ht="15.75" customHeight="1">
      <c r="B526" s="7"/>
      <c r="C526" s="33"/>
      <c r="D526" s="7"/>
      <c r="E526" s="7"/>
      <c r="F526" s="7"/>
      <c r="G526" s="7"/>
      <c r="H526" s="7"/>
      <c r="I526" s="7"/>
      <c r="K526" s="7"/>
      <c r="L526" s="7"/>
      <c r="M526" s="7"/>
      <c r="N526" s="7"/>
      <c r="O526" s="7"/>
      <c r="P526" s="7"/>
      <c r="Q526" s="7"/>
      <c r="R526" s="7"/>
      <c r="S526" s="7"/>
      <c r="T526" s="7"/>
      <c r="U526" s="7"/>
      <c r="V526" s="7"/>
      <c r="W526" s="7"/>
      <c r="X526" s="7"/>
    </row>
    <row r="527" spans="2:24" ht="15.75" customHeight="1">
      <c r="B527" s="7"/>
      <c r="C527" s="33"/>
      <c r="D527" s="7"/>
      <c r="E527" s="7"/>
      <c r="F527" s="7"/>
      <c r="G527" s="7"/>
      <c r="H527" s="7"/>
      <c r="I527" s="7"/>
      <c r="K527" s="7"/>
      <c r="L527" s="7"/>
      <c r="M527" s="7"/>
      <c r="N527" s="7"/>
      <c r="O527" s="7"/>
      <c r="P527" s="7"/>
      <c r="Q527" s="7"/>
      <c r="R527" s="7"/>
      <c r="S527" s="7"/>
      <c r="T527" s="7"/>
      <c r="U527" s="7"/>
      <c r="V527" s="7"/>
      <c r="W527" s="7"/>
      <c r="X527" s="7"/>
    </row>
    <row r="528" spans="2:24" ht="15.75" customHeight="1">
      <c r="B528" s="7"/>
      <c r="C528" s="33"/>
      <c r="D528" s="7"/>
      <c r="E528" s="7"/>
      <c r="F528" s="7"/>
      <c r="G528" s="7"/>
      <c r="H528" s="7"/>
      <c r="I528" s="7"/>
      <c r="K528" s="7"/>
      <c r="L528" s="7"/>
      <c r="M528" s="7"/>
      <c r="N528" s="7"/>
      <c r="O528" s="7"/>
      <c r="P528" s="7"/>
      <c r="Q528" s="7"/>
      <c r="R528" s="7"/>
      <c r="S528" s="7"/>
      <c r="T528" s="7"/>
      <c r="U528" s="7"/>
      <c r="V528" s="7"/>
      <c r="W528" s="7"/>
      <c r="X528" s="7"/>
    </row>
    <row r="529" spans="2:24" ht="15.75" customHeight="1">
      <c r="B529" s="7"/>
      <c r="C529" s="33"/>
      <c r="D529" s="7"/>
      <c r="E529" s="7"/>
      <c r="F529" s="7"/>
      <c r="G529" s="7"/>
      <c r="H529" s="7"/>
      <c r="I529" s="7"/>
      <c r="K529" s="7"/>
      <c r="L529" s="7"/>
      <c r="M529" s="7"/>
      <c r="N529" s="7"/>
      <c r="O529" s="7"/>
      <c r="P529" s="7"/>
      <c r="Q529" s="7"/>
      <c r="R529" s="7"/>
      <c r="S529" s="7"/>
      <c r="T529" s="7"/>
      <c r="U529" s="7"/>
      <c r="V529" s="7"/>
      <c r="W529" s="7"/>
      <c r="X529" s="7"/>
    </row>
    <row r="530" spans="2:24" ht="15.75" customHeight="1">
      <c r="B530" s="7"/>
      <c r="C530" s="33"/>
      <c r="D530" s="7"/>
      <c r="E530" s="7"/>
      <c r="F530" s="7"/>
      <c r="G530" s="7"/>
      <c r="H530" s="7"/>
      <c r="I530" s="7"/>
      <c r="K530" s="7"/>
      <c r="L530" s="7"/>
      <c r="M530" s="7"/>
      <c r="N530" s="7"/>
      <c r="O530" s="7"/>
      <c r="P530" s="7"/>
      <c r="Q530" s="7"/>
      <c r="R530" s="7"/>
      <c r="S530" s="7"/>
      <c r="T530" s="7"/>
      <c r="U530" s="7"/>
      <c r="V530" s="7"/>
      <c r="W530" s="7"/>
      <c r="X530" s="7"/>
    </row>
    <row r="531" spans="2:24" ht="15.75" customHeight="1">
      <c r="B531" s="7"/>
      <c r="C531" s="33"/>
      <c r="D531" s="7"/>
      <c r="E531" s="7"/>
      <c r="F531" s="7"/>
      <c r="G531" s="7"/>
      <c r="H531" s="7"/>
      <c r="I531" s="7"/>
      <c r="K531" s="7"/>
      <c r="L531" s="7"/>
      <c r="M531" s="7"/>
      <c r="N531" s="7"/>
      <c r="O531" s="7"/>
      <c r="P531" s="7"/>
      <c r="Q531" s="7"/>
      <c r="R531" s="7"/>
      <c r="S531" s="7"/>
      <c r="T531" s="7"/>
      <c r="U531" s="7"/>
      <c r="V531" s="7"/>
      <c r="W531" s="7"/>
      <c r="X531" s="7"/>
    </row>
    <row r="532" spans="2:24" ht="15.75" customHeight="1">
      <c r="B532" s="7"/>
      <c r="C532" s="33"/>
      <c r="D532" s="7"/>
      <c r="E532" s="7"/>
      <c r="F532" s="7"/>
      <c r="G532" s="7"/>
      <c r="H532" s="7"/>
      <c r="I532" s="7"/>
      <c r="K532" s="7"/>
      <c r="L532" s="7"/>
      <c r="M532" s="7"/>
      <c r="N532" s="7"/>
      <c r="O532" s="7"/>
      <c r="P532" s="7"/>
      <c r="Q532" s="7"/>
      <c r="R532" s="7"/>
      <c r="S532" s="7"/>
      <c r="T532" s="7"/>
      <c r="U532" s="7"/>
      <c r="V532" s="7"/>
      <c r="W532" s="7"/>
      <c r="X532" s="7"/>
    </row>
    <row r="533" spans="2:24" ht="15.75" customHeight="1">
      <c r="B533" s="7"/>
      <c r="C533" s="33"/>
      <c r="D533" s="7"/>
      <c r="E533" s="7"/>
      <c r="F533" s="7"/>
      <c r="G533" s="7"/>
      <c r="H533" s="7"/>
      <c r="I533" s="7"/>
      <c r="K533" s="7"/>
      <c r="L533" s="7"/>
      <c r="M533" s="7"/>
      <c r="N533" s="7"/>
      <c r="O533" s="7"/>
      <c r="P533" s="7"/>
      <c r="Q533" s="7"/>
      <c r="R533" s="7"/>
      <c r="S533" s="7"/>
      <c r="T533" s="7"/>
      <c r="U533" s="7"/>
      <c r="V533" s="7"/>
      <c r="W533" s="7"/>
      <c r="X533" s="7"/>
    </row>
    <row r="534" spans="2:24" ht="15.75" customHeight="1">
      <c r="B534" s="7"/>
      <c r="C534" s="33"/>
      <c r="D534" s="7"/>
      <c r="E534" s="7"/>
      <c r="F534" s="7"/>
      <c r="G534" s="7"/>
      <c r="H534" s="7"/>
      <c r="I534" s="7"/>
      <c r="K534" s="7"/>
      <c r="L534" s="7"/>
      <c r="M534" s="7"/>
      <c r="N534" s="7"/>
      <c r="O534" s="7"/>
      <c r="P534" s="7"/>
      <c r="Q534" s="7"/>
      <c r="R534" s="7"/>
      <c r="S534" s="7"/>
      <c r="T534" s="7"/>
      <c r="U534" s="7"/>
      <c r="V534" s="7"/>
      <c r="W534" s="7"/>
      <c r="X534" s="7"/>
    </row>
    <row r="535" spans="2:24" ht="15.75" customHeight="1">
      <c r="B535" s="7"/>
      <c r="C535" s="33"/>
      <c r="D535" s="7"/>
      <c r="E535" s="7"/>
      <c r="F535" s="7"/>
      <c r="G535" s="7"/>
      <c r="H535" s="7"/>
      <c r="I535" s="7"/>
      <c r="K535" s="7"/>
      <c r="L535" s="7"/>
      <c r="M535" s="7"/>
      <c r="N535" s="7"/>
      <c r="O535" s="7"/>
      <c r="P535" s="7"/>
      <c r="Q535" s="7"/>
      <c r="R535" s="7"/>
      <c r="S535" s="7"/>
      <c r="T535" s="7"/>
      <c r="U535" s="7"/>
      <c r="V535" s="7"/>
      <c r="W535" s="7"/>
      <c r="X535" s="7"/>
    </row>
    <row r="536" spans="2:24" ht="15.75" customHeight="1">
      <c r="B536" s="7"/>
      <c r="C536" s="33"/>
      <c r="D536" s="7"/>
      <c r="E536" s="7"/>
      <c r="F536" s="7"/>
      <c r="G536" s="7"/>
      <c r="H536" s="7"/>
      <c r="I536" s="7"/>
      <c r="K536" s="7"/>
      <c r="L536" s="7"/>
      <c r="M536" s="7"/>
      <c r="N536" s="7"/>
      <c r="O536" s="7"/>
      <c r="P536" s="7"/>
      <c r="Q536" s="7"/>
      <c r="R536" s="7"/>
      <c r="S536" s="7"/>
      <c r="T536" s="7"/>
      <c r="U536" s="7"/>
      <c r="V536" s="7"/>
      <c r="W536" s="7"/>
      <c r="X536" s="7"/>
    </row>
    <row r="537" spans="2:24" ht="15.75" customHeight="1">
      <c r="B537" s="7"/>
      <c r="C537" s="33"/>
      <c r="D537" s="7"/>
      <c r="E537" s="7"/>
      <c r="F537" s="7"/>
      <c r="G537" s="7"/>
      <c r="H537" s="7"/>
      <c r="I537" s="7"/>
      <c r="K537" s="7"/>
      <c r="L537" s="7"/>
      <c r="M537" s="7"/>
      <c r="N537" s="7"/>
      <c r="O537" s="7"/>
      <c r="P537" s="7"/>
      <c r="Q537" s="7"/>
      <c r="R537" s="7"/>
      <c r="S537" s="7"/>
      <c r="T537" s="7"/>
      <c r="U537" s="7"/>
      <c r="V537" s="7"/>
      <c r="W537" s="7"/>
      <c r="X537" s="7"/>
    </row>
    <row r="538" spans="2:24" ht="15.75" customHeight="1">
      <c r="B538" s="7"/>
      <c r="C538" s="33"/>
      <c r="D538" s="7"/>
      <c r="E538" s="7"/>
      <c r="F538" s="7"/>
      <c r="G538" s="7"/>
      <c r="H538" s="7"/>
      <c r="I538" s="7"/>
      <c r="K538" s="7"/>
      <c r="L538" s="7"/>
      <c r="M538" s="7"/>
      <c r="N538" s="7"/>
      <c r="O538" s="7"/>
      <c r="P538" s="7"/>
      <c r="Q538" s="7"/>
      <c r="R538" s="7"/>
      <c r="S538" s="7"/>
      <c r="T538" s="7"/>
      <c r="U538" s="7"/>
      <c r="V538" s="7"/>
      <c r="W538" s="7"/>
      <c r="X538" s="7"/>
    </row>
    <row r="539" spans="2:24" ht="15.75" customHeight="1">
      <c r="B539" s="7"/>
      <c r="C539" s="33"/>
      <c r="D539" s="7"/>
      <c r="E539" s="7"/>
      <c r="F539" s="7"/>
      <c r="G539" s="7"/>
      <c r="H539" s="7"/>
      <c r="I539" s="7"/>
      <c r="K539" s="7"/>
      <c r="L539" s="7"/>
      <c r="M539" s="7"/>
      <c r="N539" s="7"/>
      <c r="O539" s="7"/>
      <c r="P539" s="7"/>
      <c r="Q539" s="7"/>
      <c r="R539" s="7"/>
      <c r="S539" s="7"/>
      <c r="T539" s="7"/>
      <c r="U539" s="7"/>
      <c r="V539" s="7"/>
      <c r="W539" s="7"/>
      <c r="X539" s="7"/>
    </row>
    <row r="540" spans="2:24" ht="15.75" customHeight="1">
      <c r="B540" s="7"/>
      <c r="C540" s="33"/>
      <c r="D540" s="7"/>
      <c r="E540" s="7"/>
      <c r="F540" s="7"/>
      <c r="G540" s="7"/>
      <c r="H540" s="7"/>
      <c r="I540" s="7"/>
      <c r="K540" s="7"/>
      <c r="L540" s="7"/>
      <c r="M540" s="7"/>
      <c r="N540" s="7"/>
      <c r="O540" s="7"/>
      <c r="P540" s="7"/>
      <c r="Q540" s="7"/>
      <c r="R540" s="7"/>
      <c r="S540" s="7"/>
      <c r="T540" s="7"/>
      <c r="U540" s="7"/>
      <c r="V540" s="7"/>
      <c r="W540" s="7"/>
      <c r="X540" s="7"/>
    </row>
    <row r="541" spans="2:24" ht="15.75" customHeight="1">
      <c r="B541" s="7"/>
      <c r="C541" s="33"/>
      <c r="D541" s="7"/>
      <c r="E541" s="7"/>
      <c r="F541" s="7"/>
      <c r="G541" s="7"/>
      <c r="H541" s="7"/>
      <c r="I541" s="7"/>
      <c r="K541" s="7"/>
      <c r="L541" s="7"/>
      <c r="M541" s="7"/>
      <c r="N541" s="7"/>
      <c r="O541" s="7"/>
      <c r="P541" s="7"/>
      <c r="Q541" s="7"/>
      <c r="R541" s="7"/>
      <c r="S541" s="7"/>
      <c r="T541" s="7"/>
      <c r="U541" s="7"/>
      <c r="V541" s="7"/>
      <c r="W541" s="7"/>
      <c r="X541" s="7"/>
    </row>
    <row r="542" spans="2:24" ht="15.75" customHeight="1">
      <c r="B542" s="7"/>
      <c r="C542" s="33"/>
      <c r="D542" s="7"/>
      <c r="E542" s="7"/>
      <c r="F542" s="7"/>
      <c r="G542" s="7"/>
      <c r="H542" s="7"/>
      <c r="I542" s="7"/>
      <c r="K542" s="7"/>
      <c r="L542" s="7"/>
      <c r="M542" s="7"/>
      <c r="N542" s="7"/>
      <c r="O542" s="7"/>
      <c r="P542" s="7"/>
      <c r="Q542" s="7"/>
      <c r="R542" s="7"/>
      <c r="S542" s="7"/>
      <c r="T542" s="7"/>
      <c r="U542" s="7"/>
      <c r="V542" s="7"/>
      <c r="W542" s="7"/>
      <c r="X542" s="7"/>
    </row>
    <row r="543" spans="2:24" ht="15.75" customHeight="1">
      <c r="B543" s="7"/>
      <c r="C543" s="33"/>
      <c r="D543" s="7"/>
      <c r="E543" s="7"/>
      <c r="F543" s="7"/>
      <c r="G543" s="7"/>
      <c r="H543" s="7"/>
      <c r="I543" s="7"/>
      <c r="K543" s="7"/>
      <c r="L543" s="7"/>
      <c r="M543" s="7"/>
      <c r="N543" s="7"/>
      <c r="O543" s="7"/>
      <c r="P543" s="7"/>
      <c r="Q543" s="7"/>
      <c r="R543" s="7"/>
      <c r="S543" s="7"/>
      <c r="T543" s="7"/>
      <c r="U543" s="7"/>
      <c r="V543" s="7"/>
      <c r="W543" s="7"/>
      <c r="X543" s="7"/>
    </row>
    <row r="544" spans="2:24" ht="15.75" customHeight="1">
      <c r="B544" s="7"/>
      <c r="C544" s="33"/>
      <c r="D544" s="7"/>
      <c r="E544" s="7"/>
      <c r="F544" s="7"/>
      <c r="G544" s="7"/>
      <c r="H544" s="7"/>
      <c r="I544" s="7"/>
      <c r="K544" s="7"/>
      <c r="L544" s="7"/>
      <c r="M544" s="7"/>
      <c r="N544" s="7"/>
      <c r="O544" s="7"/>
      <c r="P544" s="7"/>
      <c r="Q544" s="7"/>
      <c r="R544" s="7"/>
      <c r="S544" s="7"/>
      <c r="T544" s="7"/>
      <c r="U544" s="7"/>
      <c r="V544" s="7"/>
      <c r="W544" s="7"/>
      <c r="X544" s="7"/>
    </row>
    <row r="545" spans="2:24" ht="15.75" customHeight="1">
      <c r="B545" s="7"/>
      <c r="C545" s="33"/>
      <c r="D545" s="7"/>
      <c r="E545" s="7"/>
      <c r="F545" s="7"/>
      <c r="G545" s="7"/>
      <c r="H545" s="7"/>
      <c r="I545" s="7"/>
      <c r="K545" s="7"/>
      <c r="L545" s="7"/>
      <c r="M545" s="7"/>
      <c r="N545" s="7"/>
      <c r="O545" s="7"/>
      <c r="P545" s="7"/>
      <c r="Q545" s="7"/>
      <c r="R545" s="7"/>
      <c r="S545" s="7"/>
      <c r="T545" s="7"/>
      <c r="U545" s="7"/>
      <c r="V545" s="7"/>
      <c r="W545" s="7"/>
      <c r="X545" s="7"/>
    </row>
    <row r="546" spans="2:24" ht="15.75" customHeight="1">
      <c r="B546" s="7"/>
      <c r="C546" s="33"/>
      <c r="D546" s="7"/>
      <c r="E546" s="7"/>
      <c r="F546" s="7"/>
      <c r="G546" s="7"/>
      <c r="H546" s="7"/>
      <c r="I546" s="7"/>
      <c r="K546" s="7"/>
      <c r="L546" s="7"/>
      <c r="M546" s="7"/>
      <c r="N546" s="7"/>
      <c r="O546" s="7"/>
      <c r="P546" s="7"/>
      <c r="Q546" s="7"/>
      <c r="R546" s="7"/>
      <c r="S546" s="7"/>
      <c r="T546" s="7"/>
      <c r="U546" s="7"/>
      <c r="V546" s="7"/>
      <c r="W546" s="7"/>
      <c r="X546" s="7"/>
    </row>
    <row r="547" spans="2:24" ht="15.75" customHeight="1">
      <c r="B547" s="7"/>
      <c r="C547" s="33"/>
      <c r="D547" s="7"/>
      <c r="E547" s="7"/>
      <c r="F547" s="7"/>
      <c r="G547" s="7"/>
      <c r="H547" s="7"/>
      <c r="I547" s="7"/>
      <c r="K547" s="7"/>
      <c r="L547" s="7"/>
      <c r="M547" s="7"/>
      <c r="N547" s="7"/>
      <c r="O547" s="7"/>
      <c r="P547" s="7"/>
      <c r="Q547" s="7"/>
      <c r="R547" s="7"/>
      <c r="S547" s="7"/>
      <c r="T547" s="7"/>
      <c r="U547" s="7"/>
      <c r="V547" s="7"/>
      <c r="W547" s="7"/>
      <c r="X547" s="7"/>
    </row>
    <row r="548" spans="2:24" ht="15.75" customHeight="1">
      <c r="B548" s="7"/>
      <c r="C548" s="33"/>
      <c r="D548" s="7"/>
      <c r="E548" s="7"/>
      <c r="F548" s="7"/>
      <c r="G548" s="7"/>
      <c r="H548" s="7"/>
      <c r="I548" s="7"/>
      <c r="K548" s="7"/>
      <c r="L548" s="7"/>
      <c r="M548" s="7"/>
      <c r="N548" s="7"/>
      <c r="O548" s="7"/>
      <c r="P548" s="7"/>
      <c r="Q548" s="7"/>
      <c r="R548" s="7"/>
      <c r="S548" s="7"/>
      <c r="T548" s="7"/>
      <c r="U548" s="7"/>
      <c r="V548" s="7"/>
      <c r="W548" s="7"/>
      <c r="X548" s="7"/>
    </row>
    <row r="549" spans="2:24" ht="15.75" customHeight="1">
      <c r="B549" s="7"/>
      <c r="C549" s="33"/>
      <c r="D549" s="7"/>
      <c r="E549" s="7"/>
      <c r="F549" s="7"/>
      <c r="G549" s="7"/>
      <c r="H549" s="7"/>
      <c r="I549" s="7"/>
      <c r="K549" s="7"/>
      <c r="L549" s="7"/>
      <c r="M549" s="7"/>
      <c r="N549" s="7"/>
      <c r="O549" s="7"/>
      <c r="P549" s="7"/>
      <c r="Q549" s="7"/>
      <c r="R549" s="7"/>
      <c r="S549" s="7"/>
      <c r="T549" s="7"/>
      <c r="U549" s="7"/>
      <c r="V549" s="7"/>
      <c r="W549" s="7"/>
      <c r="X549" s="7"/>
    </row>
    <row r="550" spans="2:24" ht="15.75" customHeight="1">
      <c r="B550" s="7"/>
      <c r="C550" s="33"/>
      <c r="D550" s="7"/>
      <c r="E550" s="7"/>
      <c r="F550" s="7"/>
      <c r="G550" s="7"/>
      <c r="H550" s="7"/>
      <c r="I550" s="7"/>
      <c r="K550" s="7"/>
      <c r="L550" s="7"/>
      <c r="M550" s="7"/>
      <c r="N550" s="7"/>
      <c r="O550" s="7"/>
      <c r="P550" s="7"/>
      <c r="Q550" s="7"/>
      <c r="R550" s="7"/>
      <c r="S550" s="7"/>
      <c r="T550" s="7"/>
      <c r="U550" s="7"/>
      <c r="V550" s="7"/>
      <c r="W550" s="7"/>
      <c r="X550" s="7"/>
    </row>
    <row r="551" spans="2:24" ht="15.75" customHeight="1">
      <c r="B551" s="7"/>
      <c r="C551" s="33"/>
      <c r="D551" s="7"/>
      <c r="E551" s="7"/>
      <c r="F551" s="7"/>
      <c r="G551" s="7"/>
      <c r="H551" s="7"/>
      <c r="I551" s="7"/>
      <c r="K551" s="7"/>
      <c r="L551" s="7"/>
      <c r="M551" s="7"/>
      <c r="N551" s="7"/>
      <c r="O551" s="7"/>
      <c r="P551" s="7"/>
      <c r="Q551" s="7"/>
      <c r="R551" s="7"/>
      <c r="S551" s="7"/>
      <c r="T551" s="7"/>
      <c r="U551" s="7"/>
      <c r="V551" s="7"/>
      <c r="W551" s="7"/>
      <c r="X551" s="7"/>
    </row>
    <row r="552" spans="2:24" ht="15.75" customHeight="1">
      <c r="B552" s="7"/>
      <c r="C552" s="33"/>
      <c r="D552" s="7"/>
      <c r="E552" s="7"/>
      <c r="F552" s="7"/>
      <c r="G552" s="7"/>
      <c r="H552" s="7"/>
      <c r="I552" s="7"/>
      <c r="K552" s="7"/>
      <c r="L552" s="7"/>
      <c r="M552" s="7"/>
      <c r="N552" s="7"/>
      <c r="O552" s="7"/>
      <c r="P552" s="7"/>
      <c r="Q552" s="7"/>
      <c r="R552" s="7"/>
      <c r="S552" s="7"/>
      <c r="T552" s="7"/>
      <c r="U552" s="7"/>
      <c r="V552" s="7"/>
      <c r="W552" s="7"/>
      <c r="X552" s="7"/>
    </row>
    <row r="553" spans="2:24" ht="15.75" customHeight="1">
      <c r="B553" s="7"/>
      <c r="C553" s="33"/>
      <c r="D553" s="7"/>
      <c r="E553" s="7"/>
      <c r="F553" s="7"/>
      <c r="G553" s="7"/>
      <c r="H553" s="7"/>
      <c r="I553" s="7"/>
      <c r="K553" s="7"/>
      <c r="L553" s="7"/>
      <c r="M553" s="7"/>
      <c r="N553" s="7"/>
      <c r="O553" s="7"/>
      <c r="P553" s="7"/>
      <c r="Q553" s="7"/>
      <c r="R553" s="7"/>
      <c r="S553" s="7"/>
      <c r="T553" s="7"/>
      <c r="U553" s="7"/>
      <c r="V553" s="7"/>
      <c r="W553" s="7"/>
      <c r="X553" s="7"/>
    </row>
    <row r="554" spans="2:24" ht="15.75" customHeight="1">
      <c r="B554" s="7"/>
      <c r="C554" s="33"/>
      <c r="D554" s="7"/>
      <c r="E554" s="7"/>
      <c r="F554" s="7"/>
      <c r="G554" s="7"/>
      <c r="H554" s="7"/>
      <c r="I554" s="7"/>
      <c r="K554" s="7"/>
      <c r="L554" s="7"/>
      <c r="M554" s="7"/>
      <c r="N554" s="7"/>
      <c r="O554" s="7"/>
      <c r="P554" s="7"/>
      <c r="Q554" s="7"/>
      <c r="R554" s="7"/>
      <c r="S554" s="7"/>
      <c r="T554" s="7"/>
      <c r="U554" s="7"/>
      <c r="V554" s="7"/>
      <c r="W554" s="7"/>
      <c r="X554" s="7"/>
    </row>
    <row r="555" spans="2:24" ht="15.75" customHeight="1">
      <c r="B555" s="7"/>
      <c r="C555" s="33"/>
      <c r="D555" s="7"/>
      <c r="E555" s="7"/>
      <c r="F555" s="7"/>
      <c r="G555" s="7"/>
      <c r="H555" s="7"/>
      <c r="I555" s="7"/>
      <c r="K555" s="7"/>
      <c r="L555" s="7"/>
      <c r="M555" s="7"/>
      <c r="N555" s="7"/>
      <c r="O555" s="7"/>
      <c r="P555" s="7"/>
      <c r="Q555" s="7"/>
      <c r="R555" s="7"/>
      <c r="S555" s="7"/>
      <c r="T555" s="7"/>
      <c r="U555" s="7"/>
      <c r="V555" s="7"/>
      <c r="W555" s="7"/>
      <c r="X555" s="7"/>
    </row>
    <row r="556" spans="2:24" ht="15.75" customHeight="1">
      <c r="B556" s="7"/>
      <c r="C556" s="33"/>
      <c r="D556" s="7"/>
      <c r="E556" s="7"/>
      <c r="F556" s="7"/>
      <c r="G556" s="7"/>
      <c r="H556" s="7"/>
      <c r="I556" s="7"/>
      <c r="K556" s="7"/>
      <c r="L556" s="7"/>
      <c r="M556" s="7"/>
      <c r="N556" s="7"/>
      <c r="O556" s="7"/>
      <c r="P556" s="7"/>
      <c r="Q556" s="7"/>
      <c r="R556" s="7"/>
      <c r="S556" s="7"/>
      <c r="T556" s="7"/>
      <c r="U556" s="7"/>
      <c r="V556" s="7"/>
      <c r="W556" s="7"/>
      <c r="X556" s="7"/>
    </row>
    <row r="557" spans="2:24" ht="15.75" customHeight="1">
      <c r="B557" s="7"/>
      <c r="C557" s="33"/>
      <c r="D557" s="7"/>
      <c r="E557" s="7"/>
      <c r="F557" s="7"/>
      <c r="G557" s="7"/>
      <c r="H557" s="7"/>
      <c r="I557" s="7"/>
      <c r="K557" s="7"/>
      <c r="L557" s="7"/>
      <c r="M557" s="7"/>
      <c r="N557" s="7"/>
      <c r="O557" s="7"/>
      <c r="P557" s="7"/>
      <c r="Q557" s="7"/>
      <c r="R557" s="7"/>
      <c r="S557" s="7"/>
      <c r="T557" s="7"/>
      <c r="U557" s="7"/>
      <c r="V557" s="7"/>
      <c r="W557" s="7"/>
      <c r="X557" s="7"/>
    </row>
    <row r="558" spans="2:24" ht="15.75" customHeight="1">
      <c r="B558" s="7"/>
      <c r="C558" s="33"/>
      <c r="D558" s="7"/>
      <c r="E558" s="7"/>
      <c r="F558" s="7"/>
      <c r="G558" s="7"/>
      <c r="H558" s="7"/>
      <c r="I558" s="7"/>
      <c r="K558" s="7"/>
      <c r="L558" s="7"/>
      <c r="M558" s="7"/>
      <c r="N558" s="7"/>
      <c r="O558" s="7"/>
      <c r="P558" s="7"/>
      <c r="Q558" s="7"/>
      <c r="R558" s="7"/>
      <c r="S558" s="7"/>
      <c r="T558" s="7"/>
      <c r="U558" s="7"/>
      <c r="V558" s="7"/>
      <c r="W558" s="7"/>
      <c r="X558" s="7"/>
    </row>
    <row r="559" spans="2:24" ht="15.75" customHeight="1">
      <c r="B559" s="7"/>
      <c r="C559" s="33"/>
      <c r="D559" s="7"/>
      <c r="E559" s="7"/>
      <c r="F559" s="7"/>
      <c r="G559" s="7"/>
      <c r="H559" s="7"/>
      <c r="I559" s="7"/>
      <c r="K559" s="7"/>
      <c r="L559" s="7"/>
      <c r="M559" s="7"/>
      <c r="N559" s="7"/>
      <c r="O559" s="7"/>
      <c r="P559" s="7"/>
      <c r="Q559" s="7"/>
      <c r="R559" s="7"/>
      <c r="S559" s="7"/>
      <c r="T559" s="7"/>
      <c r="U559" s="7"/>
      <c r="V559" s="7"/>
      <c r="W559" s="7"/>
      <c r="X559" s="7"/>
    </row>
    <row r="560" spans="2:24" ht="15.75" customHeight="1">
      <c r="B560" s="7"/>
      <c r="C560" s="33"/>
      <c r="D560" s="7"/>
      <c r="E560" s="7"/>
      <c r="F560" s="7"/>
      <c r="G560" s="7"/>
      <c r="H560" s="7"/>
      <c r="I560" s="7"/>
      <c r="K560" s="7"/>
      <c r="L560" s="7"/>
      <c r="M560" s="7"/>
      <c r="N560" s="7"/>
      <c r="O560" s="7"/>
      <c r="P560" s="7"/>
      <c r="Q560" s="7"/>
      <c r="R560" s="7"/>
      <c r="S560" s="7"/>
      <c r="T560" s="7"/>
      <c r="U560" s="7"/>
      <c r="V560" s="7"/>
      <c r="W560" s="7"/>
      <c r="X560" s="7"/>
    </row>
    <row r="561" spans="2:24" ht="15.75" customHeight="1">
      <c r="B561" s="7"/>
      <c r="C561" s="33"/>
      <c r="D561" s="7"/>
      <c r="E561" s="7"/>
      <c r="F561" s="7"/>
      <c r="G561" s="7"/>
      <c r="H561" s="7"/>
      <c r="I561" s="7"/>
      <c r="K561" s="7"/>
      <c r="L561" s="7"/>
      <c r="M561" s="7"/>
      <c r="N561" s="7"/>
      <c r="O561" s="7"/>
      <c r="P561" s="7"/>
      <c r="Q561" s="7"/>
      <c r="R561" s="7"/>
      <c r="S561" s="7"/>
      <c r="T561" s="7"/>
      <c r="U561" s="7"/>
      <c r="V561" s="7"/>
      <c r="W561" s="7"/>
      <c r="X561" s="7"/>
    </row>
    <row r="562" spans="2:24" ht="15.75" customHeight="1">
      <c r="B562" s="7"/>
      <c r="C562" s="33"/>
      <c r="D562" s="7"/>
      <c r="E562" s="7"/>
      <c r="F562" s="7"/>
      <c r="G562" s="7"/>
      <c r="H562" s="7"/>
      <c r="I562" s="7"/>
      <c r="K562" s="7"/>
      <c r="L562" s="7"/>
      <c r="M562" s="7"/>
      <c r="N562" s="7"/>
      <c r="O562" s="7"/>
      <c r="P562" s="7"/>
      <c r="Q562" s="7"/>
      <c r="R562" s="7"/>
      <c r="S562" s="7"/>
      <c r="T562" s="7"/>
      <c r="U562" s="7"/>
      <c r="V562" s="7"/>
      <c r="W562" s="7"/>
      <c r="X562" s="7"/>
    </row>
    <row r="563" spans="2:24" ht="15.75" customHeight="1">
      <c r="B563" s="7"/>
      <c r="C563" s="33"/>
      <c r="D563" s="7"/>
      <c r="E563" s="7"/>
      <c r="F563" s="7"/>
      <c r="G563" s="7"/>
      <c r="H563" s="7"/>
      <c r="I563" s="7"/>
      <c r="K563" s="7"/>
      <c r="L563" s="7"/>
      <c r="M563" s="7"/>
      <c r="N563" s="7"/>
      <c r="O563" s="7"/>
      <c r="P563" s="7"/>
      <c r="Q563" s="7"/>
      <c r="R563" s="7"/>
      <c r="S563" s="7"/>
      <c r="T563" s="7"/>
      <c r="U563" s="7"/>
      <c r="V563" s="7"/>
      <c r="W563" s="7"/>
      <c r="X563" s="7"/>
    </row>
    <row r="564" spans="2:24" ht="15.75" customHeight="1">
      <c r="B564" s="7"/>
      <c r="C564" s="33"/>
      <c r="D564" s="7"/>
      <c r="E564" s="7"/>
      <c r="F564" s="7"/>
      <c r="G564" s="7"/>
      <c r="H564" s="7"/>
      <c r="I564" s="7"/>
      <c r="K564" s="7"/>
      <c r="L564" s="7"/>
      <c r="M564" s="7"/>
      <c r="N564" s="7"/>
      <c r="O564" s="7"/>
      <c r="P564" s="7"/>
      <c r="Q564" s="7"/>
      <c r="R564" s="7"/>
      <c r="S564" s="7"/>
      <c r="T564" s="7"/>
      <c r="U564" s="7"/>
      <c r="V564" s="7"/>
      <c r="W564" s="7"/>
      <c r="X564" s="7"/>
    </row>
    <row r="565" spans="2:24" ht="15.75" customHeight="1">
      <c r="B565" s="7"/>
      <c r="C565" s="33"/>
      <c r="D565" s="7"/>
      <c r="E565" s="7"/>
      <c r="F565" s="7"/>
      <c r="G565" s="7"/>
      <c r="H565" s="7"/>
      <c r="I565" s="7"/>
      <c r="K565" s="7"/>
      <c r="L565" s="7"/>
      <c r="M565" s="7"/>
      <c r="N565" s="7"/>
      <c r="O565" s="7"/>
      <c r="P565" s="7"/>
      <c r="Q565" s="7"/>
      <c r="R565" s="7"/>
      <c r="S565" s="7"/>
      <c r="T565" s="7"/>
      <c r="U565" s="7"/>
      <c r="V565" s="7"/>
      <c r="W565" s="7"/>
      <c r="X565" s="7"/>
    </row>
    <row r="566" spans="2:24" ht="15.75" customHeight="1">
      <c r="B566" s="7"/>
      <c r="C566" s="33"/>
      <c r="D566" s="7"/>
      <c r="E566" s="7"/>
      <c r="F566" s="7"/>
      <c r="G566" s="7"/>
      <c r="H566" s="7"/>
      <c r="I566" s="7"/>
      <c r="K566" s="7"/>
      <c r="L566" s="7"/>
      <c r="M566" s="7"/>
      <c r="N566" s="7"/>
      <c r="O566" s="7"/>
      <c r="P566" s="7"/>
      <c r="Q566" s="7"/>
      <c r="R566" s="7"/>
      <c r="S566" s="7"/>
      <c r="T566" s="7"/>
      <c r="U566" s="7"/>
      <c r="V566" s="7"/>
      <c r="W566" s="7"/>
      <c r="X566" s="7"/>
    </row>
    <row r="567" spans="2:24" ht="15.75" customHeight="1">
      <c r="B567" s="7"/>
      <c r="C567" s="33"/>
      <c r="D567" s="7"/>
      <c r="E567" s="7"/>
      <c r="F567" s="7"/>
      <c r="G567" s="7"/>
      <c r="H567" s="7"/>
      <c r="I567" s="7"/>
      <c r="K567" s="7"/>
      <c r="L567" s="7"/>
      <c r="M567" s="7"/>
      <c r="N567" s="7"/>
      <c r="O567" s="7"/>
      <c r="P567" s="7"/>
      <c r="Q567" s="7"/>
      <c r="R567" s="7"/>
      <c r="S567" s="7"/>
      <c r="T567" s="7"/>
      <c r="U567" s="7"/>
      <c r="V567" s="7"/>
      <c r="W567" s="7"/>
      <c r="X567" s="7"/>
    </row>
    <row r="568" spans="2:24" ht="15.75" customHeight="1">
      <c r="B568" s="7"/>
      <c r="C568" s="33"/>
      <c r="D568" s="7"/>
      <c r="E568" s="7"/>
      <c r="F568" s="7"/>
      <c r="G568" s="7"/>
      <c r="H568" s="7"/>
      <c r="I568" s="7"/>
      <c r="K568" s="7"/>
      <c r="L568" s="7"/>
      <c r="M568" s="7"/>
      <c r="N568" s="7"/>
      <c r="O568" s="7"/>
      <c r="P568" s="7"/>
      <c r="Q568" s="7"/>
      <c r="R568" s="7"/>
      <c r="S568" s="7"/>
      <c r="T568" s="7"/>
      <c r="U568" s="7"/>
      <c r="V568" s="7"/>
      <c r="W568" s="7"/>
      <c r="X568" s="7"/>
    </row>
    <row r="569" spans="2:24" ht="15.75" customHeight="1">
      <c r="B569" s="7"/>
      <c r="C569" s="33"/>
      <c r="D569" s="7"/>
      <c r="E569" s="7"/>
      <c r="F569" s="7"/>
      <c r="G569" s="7"/>
      <c r="H569" s="7"/>
      <c r="I569" s="7"/>
      <c r="K569" s="7"/>
      <c r="L569" s="7"/>
      <c r="M569" s="7"/>
      <c r="N569" s="7"/>
      <c r="O569" s="7"/>
      <c r="P569" s="7"/>
      <c r="Q569" s="7"/>
      <c r="R569" s="7"/>
      <c r="S569" s="7"/>
      <c r="T569" s="7"/>
      <c r="U569" s="7"/>
      <c r="V569" s="7"/>
      <c r="W569" s="7"/>
      <c r="X569" s="7"/>
    </row>
    <row r="570" spans="2:24" ht="15.75" customHeight="1">
      <c r="B570" s="7"/>
      <c r="C570" s="33"/>
      <c r="D570" s="7"/>
      <c r="E570" s="7"/>
      <c r="F570" s="7"/>
      <c r="G570" s="7"/>
      <c r="H570" s="7"/>
      <c r="I570" s="7"/>
      <c r="K570" s="7"/>
      <c r="L570" s="7"/>
      <c r="M570" s="7"/>
      <c r="N570" s="7"/>
      <c r="O570" s="7"/>
      <c r="P570" s="7"/>
      <c r="Q570" s="7"/>
      <c r="R570" s="7"/>
      <c r="S570" s="7"/>
      <c r="T570" s="7"/>
      <c r="U570" s="7"/>
      <c r="V570" s="7"/>
      <c r="W570" s="7"/>
      <c r="X570" s="7"/>
    </row>
    <row r="571" spans="2:24" ht="15.75" customHeight="1">
      <c r="B571" s="7"/>
      <c r="C571" s="33"/>
      <c r="D571" s="7"/>
      <c r="E571" s="7"/>
      <c r="F571" s="7"/>
      <c r="G571" s="7"/>
      <c r="H571" s="7"/>
      <c r="I571" s="7"/>
      <c r="K571" s="7"/>
      <c r="L571" s="7"/>
      <c r="M571" s="7"/>
      <c r="N571" s="7"/>
      <c r="O571" s="7"/>
      <c r="P571" s="7"/>
      <c r="Q571" s="7"/>
      <c r="R571" s="7"/>
      <c r="S571" s="7"/>
      <c r="T571" s="7"/>
      <c r="U571" s="7"/>
      <c r="V571" s="7"/>
      <c r="W571" s="7"/>
      <c r="X571" s="7"/>
    </row>
    <row r="572" spans="2:24" ht="15.75" customHeight="1">
      <c r="B572" s="7"/>
      <c r="C572" s="33"/>
      <c r="D572" s="7"/>
      <c r="E572" s="7"/>
      <c r="F572" s="7"/>
      <c r="G572" s="7"/>
      <c r="H572" s="7"/>
      <c r="I572" s="7"/>
      <c r="K572" s="7"/>
      <c r="L572" s="7"/>
      <c r="M572" s="7"/>
      <c r="N572" s="7"/>
      <c r="O572" s="7"/>
      <c r="P572" s="7"/>
      <c r="Q572" s="7"/>
      <c r="R572" s="7"/>
      <c r="S572" s="7"/>
      <c r="T572" s="7"/>
      <c r="U572" s="7"/>
      <c r="V572" s="7"/>
      <c r="W572" s="7"/>
      <c r="X572" s="7"/>
    </row>
    <row r="573" spans="2:24" ht="15.75" customHeight="1">
      <c r="B573" s="7"/>
      <c r="C573" s="33"/>
      <c r="D573" s="7"/>
      <c r="E573" s="7"/>
      <c r="F573" s="7"/>
      <c r="G573" s="7"/>
      <c r="H573" s="7"/>
      <c r="I573" s="7"/>
      <c r="K573" s="7"/>
      <c r="L573" s="7"/>
      <c r="M573" s="7"/>
      <c r="N573" s="7"/>
      <c r="O573" s="7"/>
      <c r="P573" s="7"/>
      <c r="Q573" s="7"/>
      <c r="R573" s="7"/>
      <c r="S573" s="7"/>
      <c r="T573" s="7"/>
      <c r="U573" s="7"/>
      <c r="V573" s="7"/>
      <c r="W573" s="7"/>
      <c r="X573" s="7"/>
    </row>
    <row r="574" spans="2:24" ht="15.75" customHeight="1">
      <c r="B574" s="7"/>
      <c r="C574" s="33"/>
      <c r="D574" s="7"/>
      <c r="E574" s="7"/>
      <c r="F574" s="7"/>
      <c r="G574" s="7"/>
      <c r="H574" s="7"/>
      <c r="I574" s="7"/>
      <c r="K574" s="7"/>
      <c r="L574" s="7"/>
      <c r="M574" s="7"/>
      <c r="N574" s="7"/>
      <c r="O574" s="7"/>
      <c r="P574" s="7"/>
      <c r="Q574" s="7"/>
      <c r="R574" s="7"/>
      <c r="S574" s="7"/>
      <c r="T574" s="7"/>
      <c r="U574" s="7"/>
      <c r="V574" s="7"/>
      <c r="W574" s="7"/>
      <c r="X574" s="7"/>
    </row>
    <row r="575" spans="2:24" ht="15.75" customHeight="1">
      <c r="B575" s="7"/>
      <c r="C575" s="33"/>
      <c r="D575" s="7"/>
      <c r="E575" s="7"/>
      <c r="F575" s="7"/>
      <c r="G575" s="7"/>
      <c r="H575" s="7"/>
      <c r="I575" s="7"/>
      <c r="K575" s="7"/>
      <c r="L575" s="7"/>
      <c r="M575" s="7"/>
      <c r="N575" s="7"/>
      <c r="O575" s="7"/>
      <c r="P575" s="7"/>
      <c r="Q575" s="7"/>
      <c r="R575" s="7"/>
      <c r="S575" s="7"/>
      <c r="T575" s="7"/>
      <c r="U575" s="7"/>
      <c r="V575" s="7"/>
      <c r="W575" s="7"/>
      <c r="X575" s="7"/>
    </row>
    <row r="576" spans="2:24" ht="15.75" customHeight="1">
      <c r="B576" s="7"/>
      <c r="C576" s="33"/>
      <c r="D576" s="7"/>
      <c r="E576" s="7"/>
      <c r="F576" s="7"/>
      <c r="G576" s="7"/>
      <c r="H576" s="7"/>
      <c r="I576" s="7"/>
      <c r="K576" s="7"/>
      <c r="L576" s="7"/>
      <c r="M576" s="7"/>
      <c r="N576" s="7"/>
      <c r="O576" s="7"/>
      <c r="P576" s="7"/>
      <c r="Q576" s="7"/>
      <c r="R576" s="7"/>
      <c r="S576" s="7"/>
      <c r="T576" s="7"/>
      <c r="U576" s="7"/>
      <c r="V576" s="7"/>
      <c r="W576" s="7"/>
      <c r="X576" s="7"/>
    </row>
    <row r="577" spans="2:24" ht="15.75" customHeight="1">
      <c r="B577" s="7"/>
      <c r="C577" s="33"/>
      <c r="D577" s="7"/>
      <c r="E577" s="7"/>
      <c r="F577" s="7"/>
      <c r="G577" s="7"/>
      <c r="H577" s="7"/>
      <c r="I577" s="7"/>
      <c r="K577" s="7"/>
      <c r="L577" s="7"/>
      <c r="M577" s="7"/>
      <c r="N577" s="7"/>
      <c r="O577" s="7"/>
      <c r="P577" s="7"/>
      <c r="Q577" s="7"/>
      <c r="R577" s="7"/>
      <c r="S577" s="7"/>
      <c r="T577" s="7"/>
      <c r="U577" s="7"/>
      <c r="V577" s="7"/>
      <c r="W577" s="7"/>
      <c r="X577" s="7"/>
    </row>
    <row r="578" spans="2:24" ht="15.75" customHeight="1">
      <c r="B578" s="7"/>
      <c r="C578" s="33"/>
      <c r="D578" s="7"/>
      <c r="E578" s="7"/>
      <c r="F578" s="7"/>
      <c r="G578" s="7"/>
      <c r="H578" s="7"/>
      <c r="I578" s="7"/>
      <c r="K578" s="7"/>
      <c r="L578" s="7"/>
      <c r="M578" s="7"/>
      <c r="N578" s="7"/>
      <c r="O578" s="7"/>
      <c r="P578" s="7"/>
      <c r="Q578" s="7"/>
      <c r="R578" s="7"/>
      <c r="S578" s="7"/>
      <c r="T578" s="7"/>
      <c r="U578" s="7"/>
      <c r="V578" s="7"/>
      <c r="W578" s="7"/>
      <c r="X578" s="7"/>
    </row>
    <row r="579" spans="2:24" ht="15.75" customHeight="1">
      <c r="B579" s="7"/>
      <c r="C579" s="33"/>
      <c r="D579" s="7"/>
      <c r="E579" s="7"/>
      <c r="F579" s="7"/>
      <c r="G579" s="7"/>
      <c r="H579" s="7"/>
      <c r="I579" s="7"/>
      <c r="K579" s="7"/>
      <c r="L579" s="7"/>
      <c r="M579" s="7"/>
      <c r="N579" s="7"/>
      <c r="O579" s="7"/>
      <c r="P579" s="7"/>
      <c r="Q579" s="7"/>
      <c r="R579" s="7"/>
      <c r="S579" s="7"/>
      <c r="T579" s="7"/>
      <c r="U579" s="7"/>
      <c r="V579" s="7"/>
      <c r="W579" s="7"/>
      <c r="X579" s="7"/>
    </row>
    <row r="580" spans="2:24" ht="15.75" customHeight="1">
      <c r="B580" s="7"/>
      <c r="C580" s="33"/>
      <c r="D580" s="7"/>
      <c r="E580" s="7"/>
      <c r="F580" s="7"/>
      <c r="G580" s="7"/>
      <c r="H580" s="7"/>
      <c r="I580" s="7"/>
      <c r="K580" s="7"/>
      <c r="L580" s="7"/>
      <c r="M580" s="7"/>
      <c r="N580" s="7"/>
      <c r="O580" s="7"/>
      <c r="P580" s="7"/>
      <c r="Q580" s="7"/>
      <c r="R580" s="7"/>
      <c r="S580" s="7"/>
      <c r="T580" s="7"/>
      <c r="U580" s="7"/>
      <c r="V580" s="7"/>
      <c r="W580" s="7"/>
      <c r="X580" s="7"/>
    </row>
    <row r="581" spans="2:24" ht="15.75" customHeight="1">
      <c r="B581" s="7"/>
      <c r="C581" s="33"/>
      <c r="D581" s="7"/>
      <c r="E581" s="7"/>
      <c r="F581" s="7"/>
      <c r="G581" s="7"/>
      <c r="H581" s="7"/>
      <c r="I581" s="7"/>
      <c r="K581" s="7"/>
      <c r="L581" s="7"/>
      <c r="M581" s="7"/>
      <c r="N581" s="7"/>
      <c r="O581" s="7"/>
      <c r="P581" s="7"/>
      <c r="Q581" s="7"/>
      <c r="R581" s="7"/>
      <c r="S581" s="7"/>
      <c r="T581" s="7"/>
      <c r="U581" s="7"/>
      <c r="V581" s="7"/>
      <c r="W581" s="7"/>
      <c r="X581" s="7"/>
    </row>
    <row r="582" spans="2:24" ht="15.75" customHeight="1">
      <c r="B582" s="7"/>
      <c r="C582" s="33"/>
      <c r="D582" s="7"/>
      <c r="E582" s="7"/>
      <c r="F582" s="7"/>
      <c r="G582" s="7"/>
      <c r="H582" s="7"/>
      <c r="I582" s="7"/>
      <c r="K582" s="7"/>
      <c r="L582" s="7"/>
      <c r="M582" s="7"/>
      <c r="N582" s="7"/>
      <c r="O582" s="7"/>
      <c r="P582" s="7"/>
      <c r="Q582" s="7"/>
      <c r="R582" s="7"/>
      <c r="S582" s="7"/>
      <c r="T582" s="7"/>
      <c r="U582" s="7"/>
      <c r="V582" s="7"/>
      <c r="W582" s="7"/>
      <c r="X582" s="7"/>
    </row>
    <row r="583" spans="2:24" ht="15.75" customHeight="1">
      <c r="B583" s="7"/>
      <c r="C583" s="33"/>
      <c r="D583" s="7"/>
      <c r="E583" s="7"/>
      <c r="F583" s="7"/>
      <c r="G583" s="7"/>
      <c r="H583" s="7"/>
      <c r="I583" s="7"/>
      <c r="K583" s="7"/>
      <c r="L583" s="7"/>
      <c r="M583" s="7"/>
      <c r="N583" s="7"/>
      <c r="O583" s="7"/>
      <c r="P583" s="7"/>
      <c r="Q583" s="7"/>
      <c r="R583" s="7"/>
      <c r="S583" s="7"/>
      <c r="T583" s="7"/>
      <c r="U583" s="7"/>
      <c r="V583" s="7"/>
      <c r="W583" s="7"/>
      <c r="X583" s="7"/>
    </row>
    <row r="584" spans="2:24" ht="15.75" customHeight="1">
      <c r="B584" s="7"/>
      <c r="C584" s="33"/>
      <c r="D584" s="7"/>
      <c r="E584" s="7"/>
      <c r="F584" s="7"/>
      <c r="G584" s="7"/>
      <c r="H584" s="7"/>
      <c r="I584" s="7"/>
      <c r="K584" s="7"/>
      <c r="L584" s="7"/>
      <c r="M584" s="7"/>
      <c r="N584" s="7"/>
      <c r="O584" s="7"/>
      <c r="P584" s="7"/>
      <c r="Q584" s="7"/>
      <c r="R584" s="7"/>
      <c r="S584" s="7"/>
      <c r="T584" s="7"/>
      <c r="U584" s="7"/>
      <c r="V584" s="7"/>
      <c r="W584" s="7"/>
      <c r="X584" s="7"/>
    </row>
    <row r="585" spans="2:24" ht="15.75" customHeight="1">
      <c r="B585" s="7"/>
      <c r="C585" s="33"/>
      <c r="D585" s="7"/>
      <c r="E585" s="7"/>
      <c r="F585" s="7"/>
      <c r="G585" s="7"/>
      <c r="H585" s="7"/>
      <c r="I585" s="7"/>
      <c r="K585" s="7"/>
      <c r="L585" s="7"/>
      <c r="M585" s="7"/>
      <c r="N585" s="7"/>
      <c r="O585" s="7"/>
      <c r="P585" s="7"/>
      <c r="Q585" s="7"/>
      <c r="R585" s="7"/>
      <c r="S585" s="7"/>
      <c r="T585" s="7"/>
      <c r="U585" s="7"/>
      <c r="V585" s="7"/>
      <c r="W585" s="7"/>
      <c r="X585" s="7"/>
    </row>
    <row r="586" spans="2:24" ht="15.75" customHeight="1">
      <c r="B586" s="7"/>
      <c r="C586" s="33"/>
      <c r="D586" s="7"/>
      <c r="E586" s="7"/>
      <c r="F586" s="7"/>
      <c r="G586" s="7"/>
      <c r="H586" s="7"/>
      <c r="I586" s="7"/>
      <c r="K586" s="7"/>
      <c r="L586" s="7"/>
      <c r="M586" s="7"/>
      <c r="N586" s="7"/>
      <c r="O586" s="7"/>
      <c r="P586" s="7"/>
      <c r="Q586" s="7"/>
      <c r="R586" s="7"/>
      <c r="S586" s="7"/>
      <c r="T586" s="7"/>
      <c r="U586" s="7"/>
      <c r="V586" s="7"/>
      <c r="W586" s="7"/>
      <c r="X586" s="7"/>
    </row>
    <row r="587" spans="2:24" ht="15.75" customHeight="1">
      <c r="B587" s="7"/>
      <c r="C587" s="33"/>
      <c r="D587" s="7"/>
      <c r="E587" s="7"/>
      <c r="F587" s="7"/>
      <c r="G587" s="7"/>
      <c r="H587" s="7"/>
      <c r="I587" s="7"/>
      <c r="K587" s="7"/>
      <c r="L587" s="7"/>
      <c r="M587" s="7"/>
      <c r="N587" s="7"/>
      <c r="O587" s="7"/>
      <c r="P587" s="7"/>
      <c r="Q587" s="7"/>
      <c r="R587" s="7"/>
      <c r="S587" s="7"/>
      <c r="T587" s="7"/>
      <c r="U587" s="7"/>
      <c r="V587" s="7"/>
      <c r="W587" s="7"/>
      <c r="X587" s="7"/>
    </row>
    <row r="588" spans="2:24" ht="15.75" customHeight="1">
      <c r="B588" s="7"/>
      <c r="C588" s="33"/>
      <c r="D588" s="7"/>
      <c r="E588" s="7"/>
      <c r="F588" s="7"/>
      <c r="G588" s="7"/>
      <c r="H588" s="7"/>
      <c r="I588" s="7"/>
      <c r="K588" s="7"/>
      <c r="L588" s="7"/>
      <c r="M588" s="7"/>
      <c r="N588" s="7"/>
      <c r="O588" s="7"/>
      <c r="P588" s="7"/>
      <c r="Q588" s="7"/>
      <c r="R588" s="7"/>
      <c r="S588" s="7"/>
      <c r="T588" s="7"/>
      <c r="U588" s="7"/>
      <c r="V588" s="7"/>
      <c r="W588" s="7"/>
      <c r="X588" s="7"/>
    </row>
    <row r="589" spans="2:24" ht="15.75" customHeight="1">
      <c r="B589" s="7"/>
      <c r="C589" s="33"/>
      <c r="D589" s="7"/>
      <c r="E589" s="7"/>
      <c r="F589" s="7"/>
      <c r="G589" s="7"/>
      <c r="H589" s="7"/>
      <c r="I589" s="7"/>
      <c r="K589" s="7"/>
      <c r="L589" s="7"/>
      <c r="M589" s="7"/>
      <c r="N589" s="7"/>
      <c r="O589" s="7"/>
      <c r="P589" s="7"/>
      <c r="Q589" s="7"/>
      <c r="R589" s="7"/>
      <c r="S589" s="7"/>
      <c r="T589" s="7"/>
      <c r="U589" s="7"/>
      <c r="V589" s="7"/>
      <c r="W589" s="7"/>
      <c r="X589" s="7"/>
    </row>
    <row r="590" spans="2:24" ht="15.75" customHeight="1">
      <c r="B590" s="7"/>
      <c r="C590" s="33"/>
      <c r="D590" s="7"/>
      <c r="E590" s="7"/>
      <c r="F590" s="7"/>
      <c r="G590" s="7"/>
      <c r="H590" s="7"/>
      <c r="I590" s="7"/>
      <c r="K590" s="7"/>
      <c r="L590" s="7"/>
      <c r="M590" s="7"/>
      <c r="N590" s="7"/>
      <c r="O590" s="7"/>
      <c r="P590" s="7"/>
      <c r="Q590" s="7"/>
      <c r="R590" s="7"/>
      <c r="S590" s="7"/>
      <c r="T590" s="7"/>
      <c r="U590" s="7"/>
      <c r="V590" s="7"/>
      <c r="W590" s="7"/>
      <c r="X590" s="7"/>
    </row>
    <row r="591" spans="2:24" ht="15.75" customHeight="1">
      <c r="B591" s="7"/>
      <c r="C591" s="33"/>
      <c r="D591" s="7"/>
      <c r="E591" s="7"/>
      <c r="F591" s="7"/>
      <c r="G591" s="7"/>
      <c r="H591" s="7"/>
      <c r="I591" s="7"/>
      <c r="K591" s="7"/>
      <c r="L591" s="7"/>
      <c r="M591" s="7"/>
      <c r="N591" s="7"/>
      <c r="O591" s="7"/>
      <c r="P591" s="7"/>
      <c r="Q591" s="7"/>
      <c r="R591" s="7"/>
      <c r="S591" s="7"/>
      <c r="T591" s="7"/>
      <c r="U591" s="7"/>
      <c r="V591" s="7"/>
      <c r="W591" s="7"/>
      <c r="X591" s="7"/>
    </row>
    <row r="592" spans="2:24" ht="15.75" customHeight="1">
      <c r="B592" s="7"/>
      <c r="C592" s="33"/>
      <c r="D592" s="7"/>
      <c r="E592" s="7"/>
      <c r="F592" s="7"/>
      <c r="G592" s="7"/>
      <c r="H592" s="7"/>
      <c r="I592" s="7"/>
      <c r="K592" s="7"/>
      <c r="L592" s="7"/>
      <c r="M592" s="7"/>
      <c r="N592" s="7"/>
      <c r="O592" s="7"/>
      <c r="P592" s="7"/>
      <c r="Q592" s="7"/>
      <c r="R592" s="7"/>
      <c r="S592" s="7"/>
      <c r="T592" s="7"/>
      <c r="U592" s="7"/>
      <c r="V592" s="7"/>
      <c r="W592" s="7"/>
      <c r="X592" s="7"/>
    </row>
    <row r="593" spans="2:24" ht="15.75" customHeight="1">
      <c r="B593" s="7"/>
      <c r="C593" s="33"/>
      <c r="D593" s="7"/>
      <c r="E593" s="7"/>
      <c r="F593" s="7"/>
      <c r="G593" s="7"/>
      <c r="H593" s="7"/>
      <c r="I593" s="7"/>
      <c r="K593" s="7"/>
      <c r="L593" s="7"/>
      <c r="M593" s="7"/>
      <c r="N593" s="7"/>
      <c r="O593" s="7"/>
      <c r="P593" s="7"/>
      <c r="Q593" s="7"/>
      <c r="R593" s="7"/>
      <c r="S593" s="7"/>
      <c r="T593" s="7"/>
      <c r="U593" s="7"/>
      <c r="V593" s="7"/>
      <c r="W593" s="7"/>
      <c r="X593" s="7"/>
    </row>
    <row r="594" spans="2:24" ht="15.75" customHeight="1">
      <c r="B594" s="7"/>
      <c r="C594" s="33"/>
      <c r="D594" s="7"/>
      <c r="E594" s="7"/>
      <c r="F594" s="7"/>
      <c r="G594" s="7"/>
      <c r="H594" s="7"/>
      <c r="I594" s="7"/>
      <c r="K594" s="7"/>
      <c r="L594" s="7"/>
      <c r="M594" s="7"/>
      <c r="N594" s="7"/>
      <c r="O594" s="7"/>
      <c r="P594" s="7"/>
      <c r="Q594" s="7"/>
      <c r="R594" s="7"/>
      <c r="S594" s="7"/>
      <c r="T594" s="7"/>
      <c r="U594" s="7"/>
      <c r="V594" s="7"/>
      <c r="W594" s="7"/>
      <c r="X594" s="7"/>
    </row>
    <row r="595" spans="2:24" ht="15.75" customHeight="1">
      <c r="B595" s="7"/>
      <c r="C595" s="33"/>
      <c r="D595" s="7"/>
      <c r="E595" s="7"/>
      <c r="F595" s="7"/>
      <c r="G595" s="7"/>
      <c r="H595" s="7"/>
      <c r="I595" s="7"/>
      <c r="K595" s="7"/>
      <c r="L595" s="7"/>
      <c r="M595" s="7"/>
      <c r="N595" s="7"/>
      <c r="O595" s="7"/>
      <c r="P595" s="7"/>
      <c r="Q595" s="7"/>
      <c r="R595" s="7"/>
      <c r="S595" s="7"/>
      <c r="T595" s="7"/>
      <c r="U595" s="7"/>
      <c r="V595" s="7"/>
      <c r="W595" s="7"/>
      <c r="X595" s="7"/>
    </row>
    <row r="596" spans="2:24" ht="15.75" customHeight="1">
      <c r="B596" s="7"/>
      <c r="C596" s="33"/>
      <c r="D596" s="7"/>
      <c r="E596" s="7"/>
      <c r="F596" s="7"/>
      <c r="G596" s="7"/>
      <c r="H596" s="7"/>
      <c r="I596" s="7"/>
      <c r="K596" s="7"/>
      <c r="L596" s="7"/>
      <c r="M596" s="7"/>
      <c r="N596" s="7"/>
      <c r="O596" s="7"/>
      <c r="P596" s="7"/>
      <c r="Q596" s="7"/>
      <c r="R596" s="7"/>
      <c r="S596" s="7"/>
      <c r="T596" s="7"/>
      <c r="U596" s="7"/>
      <c r="V596" s="7"/>
      <c r="W596" s="7"/>
      <c r="X596" s="7"/>
    </row>
    <row r="597" spans="2:24" ht="15.75" customHeight="1">
      <c r="B597" s="7"/>
      <c r="C597" s="33"/>
      <c r="D597" s="7"/>
      <c r="E597" s="7"/>
      <c r="F597" s="7"/>
      <c r="G597" s="7"/>
      <c r="H597" s="7"/>
      <c r="I597" s="7"/>
      <c r="K597" s="7"/>
      <c r="L597" s="7"/>
      <c r="M597" s="7"/>
      <c r="N597" s="7"/>
      <c r="O597" s="7"/>
      <c r="P597" s="7"/>
      <c r="Q597" s="7"/>
      <c r="R597" s="7"/>
      <c r="S597" s="7"/>
      <c r="T597" s="7"/>
      <c r="U597" s="7"/>
      <c r="V597" s="7"/>
      <c r="W597" s="7"/>
      <c r="X597" s="7"/>
    </row>
    <row r="598" spans="2:24" ht="15.75" customHeight="1">
      <c r="B598" s="7"/>
      <c r="C598" s="33"/>
      <c r="D598" s="7"/>
      <c r="E598" s="7"/>
      <c r="F598" s="7"/>
      <c r="G598" s="7"/>
      <c r="H598" s="7"/>
      <c r="I598" s="7"/>
      <c r="K598" s="7"/>
      <c r="L598" s="7"/>
      <c r="M598" s="7"/>
      <c r="N598" s="7"/>
      <c r="O598" s="7"/>
      <c r="P598" s="7"/>
      <c r="Q598" s="7"/>
      <c r="R598" s="7"/>
      <c r="S598" s="7"/>
      <c r="T598" s="7"/>
      <c r="U598" s="7"/>
      <c r="V598" s="7"/>
      <c r="W598" s="7"/>
      <c r="X598" s="7"/>
    </row>
    <row r="599" spans="2:24" ht="15.75" customHeight="1">
      <c r="B599" s="7"/>
      <c r="C599" s="33"/>
      <c r="D599" s="7"/>
      <c r="E599" s="7"/>
      <c r="F599" s="7"/>
      <c r="G599" s="7"/>
      <c r="H599" s="7"/>
      <c r="I599" s="7"/>
      <c r="K599" s="7"/>
      <c r="L599" s="7"/>
      <c r="M599" s="7"/>
      <c r="N599" s="7"/>
      <c r="O599" s="7"/>
      <c r="P599" s="7"/>
      <c r="Q599" s="7"/>
      <c r="R599" s="7"/>
      <c r="S599" s="7"/>
      <c r="T599" s="7"/>
      <c r="U599" s="7"/>
      <c r="V599" s="7"/>
      <c r="W599" s="7"/>
      <c r="X599" s="7"/>
    </row>
    <row r="600" spans="2:24" ht="15.75" customHeight="1">
      <c r="B600" s="7"/>
      <c r="C600" s="33"/>
      <c r="D600" s="7"/>
      <c r="E600" s="7"/>
      <c r="F600" s="7"/>
      <c r="G600" s="7"/>
      <c r="H600" s="7"/>
      <c r="I600" s="7"/>
      <c r="K600" s="7"/>
      <c r="L600" s="7"/>
      <c r="M600" s="7"/>
      <c r="N600" s="7"/>
      <c r="O600" s="7"/>
      <c r="P600" s="7"/>
      <c r="Q600" s="7"/>
      <c r="R600" s="7"/>
      <c r="S600" s="7"/>
      <c r="T600" s="7"/>
      <c r="U600" s="7"/>
      <c r="V600" s="7"/>
      <c r="W600" s="7"/>
      <c r="X600" s="7"/>
    </row>
    <row r="601" spans="2:24" ht="15.75" customHeight="1">
      <c r="B601" s="7"/>
      <c r="C601" s="33"/>
      <c r="D601" s="7"/>
      <c r="E601" s="7"/>
      <c r="F601" s="7"/>
      <c r="G601" s="7"/>
      <c r="H601" s="7"/>
      <c r="I601" s="7"/>
      <c r="K601" s="7"/>
      <c r="L601" s="7"/>
      <c r="M601" s="7"/>
      <c r="N601" s="7"/>
      <c r="O601" s="7"/>
      <c r="P601" s="7"/>
      <c r="Q601" s="7"/>
      <c r="R601" s="7"/>
      <c r="S601" s="7"/>
      <c r="T601" s="7"/>
      <c r="U601" s="7"/>
      <c r="V601" s="7"/>
      <c r="W601" s="7"/>
      <c r="X601" s="7"/>
    </row>
    <row r="602" spans="2:24" ht="15.75" customHeight="1">
      <c r="B602" s="7"/>
      <c r="C602" s="33"/>
      <c r="D602" s="7"/>
      <c r="E602" s="7"/>
      <c r="F602" s="7"/>
      <c r="G602" s="7"/>
      <c r="H602" s="7"/>
      <c r="I602" s="7"/>
      <c r="K602" s="7"/>
      <c r="L602" s="7"/>
      <c r="M602" s="7"/>
      <c r="N602" s="7"/>
      <c r="O602" s="7"/>
      <c r="P602" s="7"/>
      <c r="Q602" s="7"/>
      <c r="R602" s="7"/>
      <c r="S602" s="7"/>
      <c r="T602" s="7"/>
      <c r="U602" s="7"/>
      <c r="V602" s="7"/>
      <c r="W602" s="7"/>
      <c r="X602" s="7"/>
    </row>
    <row r="603" spans="2:24" ht="15.75" customHeight="1">
      <c r="B603" s="7"/>
      <c r="C603" s="33"/>
      <c r="D603" s="7"/>
      <c r="E603" s="7"/>
      <c r="F603" s="7"/>
      <c r="G603" s="7"/>
      <c r="H603" s="7"/>
      <c r="I603" s="7"/>
      <c r="K603" s="7"/>
      <c r="L603" s="7"/>
      <c r="M603" s="7"/>
      <c r="N603" s="7"/>
      <c r="O603" s="7"/>
      <c r="P603" s="7"/>
      <c r="Q603" s="7"/>
      <c r="R603" s="7"/>
      <c r="S603" s="7"/>
      <c r="T603" s="7"/>
      <c r="U603" s="7"/>
      <c r="V603" s="7"/>
      <c r="W603" s="7"/>
      <c r="X603" s="7"/>
    </row>
    <row r="604" spans="2:24" ht="15.75" customHeight="1">
      <c r="B604" s="7"/>
      <c r="C604" s="33"/>
      <c r="D604" s="7"/>
      <c r="E604" s="7"/>
      <c r="F604" s="7"/>
      <c r="G604" s="7"/>
      <c r="H604" s="7"/>
      <c r="I604" s="7"/>
      <c r="K604" s="7"/>
      <c r="L604" s="7"/>
      <c r="M604" s="7"/>
      <c r="N604" s="7"/>
      <c r="O604" s="7"/>
      <c r="P604" s="7"/>
      <c r="Q604" s="7"/>
      <c r="R604" s="7"/>
      <c r="S604" s="7"/>
      <c r="T604" s="7"/>
      <c r="U604" s="7"/>
      <c r="V604" s="7"/>
      <c r="W604" s="7"/>
      <c r="X604" s="7"/>
    </row>
    <row r="605" spans="2:24" ht="15.75" customHeight="1">
      <c r="B605" s="7"/>
      <c r="C605" s="33"/>
      <c r="D605" s="7"/>
      <c r="E605" s="7"/>
      <c r="F605" s="7"/>
      <c r="G605" s="7"/>
      <c r="H605" s="7"/>
      <c r="I605" s="7"/>
      <c r="K605" s="7"/>
      <c r="L605" s="7"/>
      <c r="M605" s="7"/>
      <c r="N605" s="7"/>
      <c r="O605" s="7"/>
      <c r="P605" s="7"/>
      <c r="Q605" s="7"/>
      <c r="R605" s="7"/>
      <c r="S605" s="7"/>
      <c r="T605" s="7"/>
      <c r="U605" s="7"/>
      <c r="V605" s="7"/>
      <c r="W605" s="7"/>
      <c r="X605" s="7"/>
    </row>
    <row r="606" spans="2:24" ht="15.75" customHeight="1">
      <c r="B606" s="7"/>
      <c r="C606" s="33"/>
      <c r="D606" s="7"/>
      <c r="E606" s="7"/>
      <c r="F606" s="7"/>
      <c r="G606" s="7"/>
      <c r="H606" s="7"/>
      <c r="I606" s="7"/>
      <c r="K606" s="7"/>
      <c r="L606" s="7"/>
      <c r="M606" s="7"/>
      <c r="N606" s="7"/>
      <c r="O606" s="7"/>
      <c r="P606" s="7"/>
      <c r="Q606" s="7"/>
      <c r="R606" s="7"/>
      <c r="S606" s="7"/>
      <c r="T606" s="7"/>
      <c r="U606" s="7"/>
      <c r="V606" s="7"/>
      <c r="W606" s="7"/>
      <c r="X606" s="7"/>
    </row>
    <row r="607" spans="2:24" ht="15.75" customHeight="1">
      <c r="B607" s="7"/>
      <c r="C607" s="33"/>
      <c r="D607" s="7"/>
      <c r="E607" s="7"/>
      <c r="F607" s="7"/>
      <c r="G607" s="7"/>
      <c r="H607" s="7"/>
      <c r="I607" s="7"/>
      <c r="K607" s="7"/>
      <c r="L607" s="7"/>
      <c r="M607" s="7"/>
      <c r="N607" s="7"/>
      <c r="O607" s="7"/>
      <c r="P607" s="7"/>
      <c r="Q607" s="7"/>
      <c r="R607" s="7"/>
      <c r="S607" s="7"/>
      <c r="T607" s="7"/>
      <c r="U607" s="7"/>
      <c r="V607" s="7"/>
      <c r="W607" s="7"/>
      <c r="X607" s="7"/>
    </row>
    <row r="608" spans="2:24" ht="15.75" customHeight="1">
      <c r="B608" s="7"/>
      <c r="C608" s="33"/>
      <c r="D608" s="7"/>
      <c r="E608" s="7"/>
      <c r="F608" s="7"/>
      <c r="G608" s="7"/>
      <c r="H608" s="7"/>
      <c r="I608" s="7"/>
      <c r="K608" s="7"/>
      <c r="L608" s="7"/>
      <c r="M608" s="7"/>
      <c r="N608" s="7"/>
      <c r="O608" s="7"/>
      <c r="P608" s="7"/>
      <c r="Q608" s="7"/>
      <c r="R608" s="7"/>
      <c r="S608" s="7"/>
      <c r="T608" s="7"/>
      <c r="U608" s="7"/>
      <c r="V608" s="7"/>
      <c r="W608" s="7"/>
      <c r="X608" s="7"/>
    </row>
    <row r="609" spans="2:24" ht="15.75" customHeight="1">
      <c r="B609" s="7"/>
      <c r="C609" s="33"/>
      <c r="D609" s="7"/>
      <c r="E609" s="7"/>
      <c r="F609" s="7"/>
      <c r="G609" s="7"/>
      <c r="H609" s="7"/>
      <c r="I609" s="7"/>
      <c r="K609" s="7"/>
      <c r="L609" s="7"/>
      <c r="M609" s="7"/>
      <c r="N609" s="7"/>
      <c r="O609" s="7"/>
      <c r="P609" s="7"/>
      <c r="Q609" s="7"/>
      <c r="R609" s="7"/>
      <c r="S609" s="7"/>
      <c r="T609" s="7"/>
      <c r="U609" s="7"/>
      <c r="V609" s="7"/>
      <c r="W609" s="7"/>
      <c r="X609" s="7"/>
    </row>
    <row r="610" spans="2:24" ht="15.75" customHeight="1">
      <c r="B610" s="7"/>
      <c r="C610" s="33"/>
      <c r="D610" s="7"/>
      <c r="E610" s="7"/>
      <c r="F610" s="7"/>
      <c r="G610" s="7"/>
      <c r="H610" s="7"/>
      <c r="I610" s="7"/>
      <c r="K610" s="7"/>
      <c r="L610" s="7"/>
      <c r="M610" s="7"/>
      <c r="N610" s="7"/>
      <c r="O610" s="7"/>
      <c r="P610" s="7"/>
      <c r="Q610" s="7"/>
      <c r="R610" s="7"/>
      <c r="S610" s="7"/>
      <c r="T610" s="7"/>
      <c r="U610" s="7"/>
      <c r="V610" s="7"/>
      <c r="W610" s="7"/>
      <c r="X610" s="7"/>
    </row>
    <row r="611" spans="2:24" ht="15.75" customHeight="1">
      <c r="B611" s="7"/>
      <c r="C611" s="33"/>
      <c r="D611" s="7"/>
      <c r="E611" s="7"/>
      <c r="F611" s="7"/>
      <c r="G611" s="7"/>
      <c r="H611" s="7"/>
      <c r="I611" s="7"/>
      <c r="K611" s="7"/>
      <c r="L611" s="7"/>
      <c r="M611" s="7"/>
      <c r="N611" s="7"/>
      <c r="O611" s="7"/>
      <c r="P611" s="7"/>
      <c r="Q611" s="7"/>
      <c r="R611" s="7"/>
      <c r="S611" s="7"/>
      <c r="T611" s="7"/>
      <c r="U611" s="7"/>
      <c r="V611" s="7"/>
      <c r="W611" s="7"/>
      <c r="X611" s="7"/>
    </row>
    <row r="612" spans="2:24" ht="15.75" customHeight="1">
      <c r="B612" s="7"/>
      <c r="C612" s="33"/>
      <c r="D612" s="7"/>
      <c r="E612" s="7"/>
      <c r="F612" s="7"/>
      <c r="G612" s="7"/>
      <c r="H612" s="7"/>
      <c r="I612" s="7"/>
      <c r="K612" s="7"/>
      <c r="L612" s="7"/>
      <c r="M612" s="7"/>
      <c r="N612" s="7"/>
      <c r="O612" s="7"/>
      <c r="P612" s="7"/>
      <c r="Q612" s="7"/>
      <c r="R612" s="7"/>
      <c r="S612" s="7"/>
      <c r="T612" s="7"/>
      <c r="U612" s="7"/>
      <c r="V612" s="7"/>
      <c r="W612" s="7"/>
      <c r="X612" s="7"/>
    </row>
    <row r="613" spans="2:24" ht="15.75" customHeight="1">
      <c r="B613" s="7"/>
      <c r="C613" s="33"/>
      <c r="D613" s="7"/>
      <c r="E613" s="7"/>
      <c r="F613" s="7"/>
      <c r="G613" s="7"/>
      <c r="H613" s="7"/>
      <c r="I613" s="7"/>
      <c r="K613" s="7"/>
      <c r="L613" s="7"/>
      <c r="M613" s="7"/>
      <c r="N613" s="7"/>
      <c r="O613" s="7"/>
      <c r="P613" s="7"/>
      <c r="Q613" s="7"/>
      <c r="R613" s="7"/>
      <c r="S613" s="7"/>
      <c r="T613" s="7"/>
      <c r="U613" s="7"/>
      <c r="V613" s="7"/>
      <c r="W613" s="7"/>
      <c r="X613" s="7"/>
    </row>
    <row r="614" spans="2:24" ht="15.75" customHeight="1">
      <c r="B614" s="7"/>
      <c r="C614" s="33"/>
      <c r="D614" s="7"/>
      <c r="E614" s="7"/>
      <c r="F614" s="7"/>
      <c r="G614" s="7"/>
      <c r="H614" s="7"/>
      <c r="I614" s="7"/>
      <c r="K614" s="7"/>
      <c r="L614" s="7"/>
      <c r="M614" s="7"/>
      <c r="N614" s="7"/>
      <c r="O614" s="7"/>
      <c r="P614" s="7"/>
      <c r="Q614" s="7"/>
      <c r="R614" s="7"/>
      <c r="S614" s="7"/>
      <c r="T614" s="7"/>
      <c r="U614" s="7"/>
      <c r="V614" s="7"/>
      <c r="W614" s="7"/>
      <c r="X614" s="7"/>
    </row>
    <row r="615" spans="2:24" ht="15.75" customHeight="1">
      <c r="B615" s="7"/>
      <c r="C615" s="33"/>
      <c r="D615" s="7"/>
      <c r="E615" s="7"/>
      <c r="F615" s="7"/>
      <c r="G615" s="7"/>
      <c r="H615" s="7"/>
      <c r="I615" s="7"/>
      <c r="K615" s="7"/>
      <c r="L615" s="7"/>
      <c r="M615" s="7"/>
      <c r="N615" s="7"/>
      <c r="O615" s="7"/>
      <c r="P615" s="7"/>
      <c r="Q615" s="7"/>
      <c r="R615" s="7"/>
      <c r="S615" s="7"/>
      <c r="T615" s="7"/>
      <c r="U615" s="7"/>
      <c r="V615" s="7"/>
      <c r="W615" s="7"/>
      <c r="X615" s="7"/>
    </row>
    <row r="616" spans="2:24" ht="15.75" customHeight="1">
      <c r="B616" s="7"/>
      <c r="C616" s="33"/>
      <c r="D616" s="7"/>
      <c r="E616" s="7"/>
      <c r="F616" s="7"/>
      <c r="G616" s="7"/>
      <c r="H616" s="7"/>
      <c r="I616" s="7"/>
      <c r="K616" s="7"/>
      <c r="L616" s="7"/>
      <c r="M616" s="7"/>
      <c r="N616" s="7"/>
      <c r="O616" s="7"/>
      <c r="P616" s="7"/>
      <c r="Q616" s="7"/>
      <c r="R616" s="7"/>
      <c r="S616" s="7"/>
      <c r="T616" s="7"/>
      <c r="U616" s="7"/>
      <c r="V616" s="7"/>
      <c r="W616" s="7"/>
      <c r="X616" s="7"/>
    </row>
    <row r="617" spans="2:24" ht="15.75" customHeight="1">
      <c r="B617" s="7"/>
      <c r="C617" s="33"/>
      <c r="D617" s="7"/>
      <c r="E617" s="7"/>
      <c r="F617" s="7"/>
      <c r="G617" s="7"/>
      <c r="H617" s="7"/>
      <c r="I617" s="7"/>
      <c r="K617" s="7"/>
      <c r="L617" s="7"/>
      <c r="M617" s="7"/>
      <c r="N617" s="7"/>
      <c r="O617" s="7"/>
      <c r="P617" s="7"/>
      <c r="Q617" s="7"/>
      <c r="R617" s="7"/>
      <c r="S617" s="7"/>
      <c r="T617" s="7"/>
      <c r="U617" s="7"/>
      <c r="V617" s="7"/>
      <c r="W617" s="7"/>
      <c r="X617" s="7"/>
    </row>
    <row r="618" spans="2:24" ht="15.75" customHeight="1">
      <c r="B618" s="7"/>
      <c r="C618" s="33"/>
      <c r="D618" s="7"/>
      <c r="E618" s="7"/>
      <c r="F618" s="7"/>
      <c r="G618" s="7"/>
      <c r="H618" s="7"/>
      <c r="I618" s="7"/>
      <c r="K618" s="7"/>
      <c r="L618" s="7"/>
      <c r="M618" s="7"/>
      <c r="N618" s="7"/>
      <c r="O618" s="7"/>
      <c r="P618" s="7"/>
      <c r="Q618" s="7"/>
      <c r="R618" s="7"/>
      <c r="S618" s="7"/>
      <c r="T618" s="7"/>
      <c r="U618" s="7"/>
      <c r="V618" s="7"/>
      <c r="W618" s="7"/>
      <c r="X618" s="7"/>
    </row>
    <row r="619" spans="2:24" ht="15.75" customHeight="1">
      <c r="B619" s="7"/>
      <c r="C619" s="33"/>
      <c r="D619" s="7"/>
      <c r="E619" s="7"/>
      <c r="F619" s="7"/>
      <c r="G619" s="7"/>
      <c r="H619" s="7"/>
      <c r="I619" s="7"/>
      <c r="K619" s="7"/>
      <c r="L619" s="7"/>
      <c r="M619" s="7"/>
      <c r="N619" s="7"/>
      <c r="O619" s="7"/>
      <c r="P619" s="7"/>
      <c r="Q619" s="7"/>
      <c r="R619" s="7"/>
      <c r="S619" s="7"/>
      <c r="T619" s="7"/>
      <c r="U619" s="7"/>
      <c r="V619" s="7"/>
      <c r="W619" s="7"/>
      <c r="X619" s="7"/>
    </row>
    <row r="620" spans="2:24" ht="15.75" customHeight="1">
      <c r="B620" s="7"/>
      <c r="C620" s="33"/>
      <c r="D620" s="7"/>
      <c r="E620" s="7"/>
      <c r="F620" s="7"/>
      <c r="G620" s="7"/>
      <c r="H620" s="7"/>
      <c r="I620" s="7"/>
      <c r="K620" s="7"/>
      <c r="L620" s="7"/>
      <c r="M620" s="7"/>
      <c r="N620" s="7"/>
      <c r="O620" s="7"/>
      <c r="P620" s="7"/>
      <c r="Q620" s="7"/>
      <c r="R620" s="7"/>
      <c r="S620" s="7"/>
      <c r="T620" s="7"/>
      <c r="U620" s="7"/>
      <c r="V620" s="7"/>
      <c r="W620" s="7"/>
      <c r="X620" s="7"/>
    </row>
    <row r="621" spans="2:24" ht="15.75" customHeight="1">
      <c r="B621" s="7"/>
      <c r="C621" s="33"/>
      <c r="D621" s="7"/>
      <c r="E621" s="7"/>
      <c r="F621" s="7"/>
      <c r="G621" s="7"/>
      <c r="H621" s="7"/>
      <c r="I621" s="7"/>
      <c r="K621" s="7"/>
      <c r="L621" s="7"/>
      <c r="M621" s="7"/>
      <c r="N621" s="7"/>
      <c r="O621" s="7"/>
      <c r="P621" s="7"/>
      <c r="Q621" s="7"/>
      <c r="R621" s="7"/>
      <c r="S621" s="7"/>
      <c r="T621" s="7"/>
      <c r="U621" s="7"/>
      <c r="V621" s="7"/>
      <c r="W621" s="7"/>
      <c r="X621" s="7"/>
    </row>
    <row r="622" spans="2:24" ht="15.75" customHeight="1">
      <c r="B622" s="7"/>
      <c r="C622" s="33"/>
      <c r="D622" s="7"/>
      <c r="E622" s="7"/>
      <c r="F622" s="7"/>
      <c r="G622" s="7"/>
      <c r="H622" s="7"/>
      <c r="I622" s="7"/>
      <c r="K622" s="7"/>
      <c r="L622" s="7"/>
      <c r="M622" s="7"/>
      <c r="N622" s="7"/>
      <c r="O622" s="7"/>
      <c r="P622" s="7"/>
      <c r="Q622" s="7"/>
      <c r="R622" s="7"/>
      <c r="S622" s="7"/>
      <c r="T622" s="7"/>
      <c r="U622" s="7"/>
      <c r="V622" s="7"/>
      <c r="W622" s="7"/>
      <c r="X622" s="7"/>
    </row>
    <row r="623" spans="2:24" ht="15.75" customHeight="1">
      <c r="B623" s="7"/>
      <c r="C623" s="33"/>
      <c r="D623" s="7"/>
      <c r="E623" s="7"/>
      <c r="F623" s="7"/>
      <c r="G623" s="7"/>
      <c r="H623" s="7"/>
      <c r="I623" s="7"/>
      <c r="K623" s="7"/>
      <c r="L623" s="7"/>
      <c r="M623" s="7"/>
      <c r="N623" s="7"/>
      <c r="O623" s="7"/>
      <c r="P623" s="7"/>
      <c r="Q623" s="7"/>
      <c r="R623" s="7"/>
      <c r="S623" s="7"/>
      <c r="T623" s="7"/>
      <c r="U623" s="7"/>
      <c r="V623" s="7"/>
      <c r="W623" s="7"/>
      <c r="X623" s="7"/>
    </row>
    <row r="624" spans="2:24" ht="15.75" customHeight="1">
      <c r="B624" s="7"/>
      <c r="C624" s="33"/>
      <c r="D624" s="7"/>
      <c r="E624" s="7"/>
      <c r="F624" s="7"/>
      <c r="G624" s="7"/>
      <c r="H624" s="7"/>
      <c r="I624" s="7"/>
      <c r="K624" s="7"/>
      <c r="L624" s="7"/>
      <c r="M624" s="7"/>
      <c r="N624" s="7"/>
      <c r="O624" s="7"/>
      <c r="P624" s="7"/>
      <c r="Q624" s="7"/>
      <c r="R624" s="7"/>
      <c r="S624" s="7"/>
      <c r="T624" s="7"/>
      <c r="U624" s="7"/>
      <c r="V624" s="7"/>
      <c r="W624" s="7"/>
      <c r="X624" s="7"/>
    </row>
    <row r="625" spans="2:24" ht="15.75" customHeight="1">
      <c r="B625" s="7"/>
      <c r="C625" s="33"/>
      <c r="D625" s="7"/>
      <c r="E625" s="7"/>
      <c r="F625" s="7"/>
      <c r="G625" s="7"/>
      <c r="H625" s="7"/>
      <c r="I625" s="7"/>
      <c r="K625" s="7"/>
      <c r="L625" s="7"/>
      <c r="M625" s="7"/>
      <c r="N625" s="7"/>
      <c r="O625" s="7"/>
      <c r="P625" s="7"/>
      <c r="Q625" s="7"/>
      <c r="R625" s="7"/>
      <c r="S625" s="7"/>
      <c r="T625" s="7"/>
      <c r="U625" s="7"/>
      <c r="V625" s="7"/>
      <c r="W625" s="7"/>
      <c r="X625" s="7"/>
    </row>
    <row r="626" spans="2:24" ht="15.75" customHeight="1">
      <c r="B626" s="7"/>
      <c r="C626" s="33"/>
      <c r="D626" s="7"/>
      <c r="E626" s="7"/>
      <c r="F626" s="7"/>
      <c r="G626" s="7"/>
      <c r="H626" s="7"/>
      <c r="I626" s="7"/>
      <c r="K626" s="7"/>
      <c r="L626" s="7"/>
      <c r="M626" s="7"/>
      <c r="N626" s="7"/>
      <c r="O626" s="7"/>
      <c r="P626" s="7"/>
      <c r="Q626" s="7"/>
      <c r="R626" s="7"/>
      <c r="S626" s="7"/>
      <c r="T626" s="7"/>
      <c r="U626" s="7"/>
      <c r="V626" s="7"/>
      <c r="W626" s="7"/>
      <c r="X626" s="7"/>
    </row>
    <row r="627" spans="2:24" ht="15.75" customHeight="1">
      <c r="B627" s="7"/>
      <c r="C627" s="33"/>
      <c r="D627" s="7"/>
      <c r="E627" s="7"/>
      <c r="F627" s="7"/>
      <c r="G627" s="7"/>
      <c r="H627" s="7"/>
      <c r="I627" s="7"/>
      <c r="K627" s="7"/>
      <c r="L627" s="7"/>
      <c r="M627" s="7"/>
      <c r="N627" s="7"/>
      <c r="O627" s="7"/>
      <c r="P627" s="7"/>
      <c r="Q627" s="7"/>
      <c r="R627" s="7"/>
      <c r="S627" s="7"/>
      <c r="T627" s="7"/>
      <c r="U627" s="7"/>
      <c r="V627" s="7"/>
      <c r="W627" s="7"/>
      <c r="X627" s="7"/>
    </row>
    <row r="628" spans="2:24" ht="15.75" customHeight="1">
      <c r="B628" s="7"/>
      <c r="C628" s="33"/>
      <c r="D628" s="7"/>
      <c r="E628" s="7"/>
      <c r="F628" s="7"/>
      <c r="G628" s="7"/>
      <c r="H628" s="7"/>
      <c r="I628" s="7"/>
      <c r="K628" s="7"/>
      <c r="L628" s="7"/>
      <c r="M628" s="7"/>
      <c r="N628" s="7"/>
      <c r="O628" s="7"/>
      <c r="P628" s="7"/>
      <c r="Q628" s="7"/>
      <c r="R628" s="7"/>
      <c r="S628" s="7"/>
      <c r="T628" s="7"/>
      <c r="U628" s="7"/>
      <c r="V628" s="7"/>
      <c r="W628" s="7"/>
      <c r="X628" s="7"/>
    </row>
    <row r="629" spans="2:24" ht="15.75" customHeight="1">
      <c r="B629" s="7"/>
      <c r="C629" s="33"/>
      <c r="D629" s="7"/>
      <c r="E629" s="7"/>
      <c r="F629" s="7"/>
      <c r="G629" s="7"/>
      <c r="H629" s="7"/>
      <c r="I629" s="7"/>
      <c r="K629" s="7"/>
      <c r="L629" s="7"/>
      <c r="M629" s="7"/>
      <c r="N629" s="7"/>
      <c r="O629" s="7"/>
      <c r="P629" s="7"/>
      <c r="Q629" s="7"/>
      <c r="R629" s="7"/>
      <c r="S629" s="7"/>
      <c r="T629" s="7"/>
      <c r="U629" s="7"/>
      <c r="V629" s="7"/>
      <c r="W629" s="7"/>
      <c r="X629" s="7"/>
    </row>
    <row r="630" spans="2:24" ht="15.75" customHeight="1">
      <c r="B630" s="7"/>
      <c r="C630" s="33"/>
      <c r="D630" s="7"/>
      <c r="E630" s="7"/>
      <c r="F630" s="7"/>
      <c r="G630" s="7"/>
      <c r="H630" s="7"/>
      <c r="I630" s="7"/>
      <c r="K630" s="7"/>
      <c r="L630" s="7"/>
      <c r="M630" s="7"/>
      <c r="N630" s="7"/>
      <c r="O630" s="7"/>
      <c r="P630" s="7"/>
      <c r="Q630" s="7"/>
      <c r="R630" s="7"/>
      <c r="S630" s="7"/>
      <c r="T630" s="7"/>
      <c r="U630" s="7"/>
      <c r="V630" s="7"/>
      <c r="W630" s="7"/>
      <c r="X630" s="7"/>
    </row>
    <row r="631" spans="2:24" ht="15.75" customHeight="1">
      <c r="B631" s="7"/>
      <c r="C631" s="33"/>
      <c r="D631" s="7"/>
      <c r="E631" s="7"/>
      <c r="F631" s="7"/>
      <c r="G631" s="7"/>
      <c r="H631" s="7"/>
      <c r="I631" s="7"/>
      <c r="K631" s="7"/>
      <c r="L631" s="7"/>
      <c r="M631" s="7"/>
      <c r="N631" s="7"/>
      <c r="O631" s="7"/>
      <c r="P631" s="7"/>
      <c r="Q631" s="7"/>
      <c r="R631" s="7"/>
      <c r="S631" s="7"/>
      <c r="T631" s="7"/>
      <c r="U631" s="7"/>
      <c r="V631" s="7"/>
      <c r="W631" s="7"/>
      <c r="X631" s="7"/>
    </row>
    <row r="632" spans="2:24" ht="15.75" customHeight="1">
      <c r="B632" s="7"/>
      <c r="C632" s="33"/>
      <c r="D632" s="7"/>
      <c r="E632" s="7"/>
      <c r="F632" s="7"/>
      <c r="G632" s="7"/>
      <c r="H632" s="7"/>
      <c r="I632" s="7"/>
      <c r="K632" s="7"/>
      <c r="L632" s="7"/>
      <c r="M632" s="7"/>
      <c r="N632" s="7"/>
      <c r="O632" s="7"/>
      <c r="P632" s="7"/>
      <c r="Q632" s="7"/>
      <c r="R632" s="7"/>
      <c r="S632" s="7"/>
      <c r="T632" s="7"/>
      <c r="U632" s="7"/>
      <c r="V632" s="7"/>
      <c r="W632" s="7"/>
      <c r="X632" s="7"/>
    </row>
    <row r="633" spans="2:24" ht="15.75" customHeight="1">
      <c r="B633" s="7"/>
      <c r="C633" s="33"/>
      <c r="D633" s="7"/>
      <c r="E633" s="7"/>
      <c r="F633" s="7"/>
      <c r="G633" s="7"/>
      <c r="H633" s="7"/>
      <c r="I633" s="7"/>
      <c r="K633" s="7"/>
      <c r="L633" s="7"/>
      <c r="M633" s="7"/>
      <c r="N633" s="7"/>
      <c r="O633" s="7"/>
      <c r="P633" s="7"/>
      <c r="Q633" s="7"/>
      <c r="R633" s="7"/>
      <c r="S633" s="7"/>
      <c r="T633" s="7"/>
      <c r="U633" s="7"/>
      <c r="V633" s="7"/>
      <c r="W633" s="7"/>
      <c r="X633" s="7"/>
    </row>
    <row r="634" spans="2:24" ht="15.75" customHeight="1">
      <c r="B634" s="7"/>
      <c r="C634" s="33"/>
      <c r="D634" s="7"/>
      <c r="E634" s="7"/>
      <c r="F634" s="7"/>
      <c r="G634" s="7"/>
      <c r="H634" s="7"/>
      <c r="I634" s="7"/>
      <c r="K634" s="7"/>
      <c r="L634" s="7"/>
      <c r="M634" s="7"/>
      <c r="N634" s="7"/>
      <c r="O634" s="7"/>
      <c r="P634" s="7"/>
      <c r="Q634" s="7"/>
      <c r="R634" s="7"/>
      <c r="S634" s="7"/>
      <c r="T634" s="7"/>
      <c r="U634" s="7"/>
      <c r="V634" s="7"/>
      <c r="W634" s="7"/>
      <c r="X634" s="7"/>
    </row>
    <row r="635" spans="2:24" ht="15.75" customHeight="1">
      <c r="B635" s="7"/>
      <c r="C635" s="33"/>
      <c r="D635" s="7"/>
      <c r="E635" s="7"/>
      <c r="F635" s="7"/>
      <c r="G635" s="7"/>
      <c r="H635" s="7"/>
      <c r="I635" s="7"/>
      <c r="K635" s="7"/>
      <c r="L635" s="7"/>
      <c r="M635" s="7"/>
      <c r="N635" s="7"/>
      <c r="O635" s="7"/>
      <c r="P635" s="7"/>
      <c r="Q635" s="7"/>
      <c r="R635" s="7"/>
      <c r="S635" s="7"/>
      <c r="T635" s="7"/>
      <c r="U635" s="7"/>
      <c r="V635" s="7"/>
      <c r="W635" s="7"/>
      <c r="X635" s="7"/>
    </row>
    <row r="636" spans="2:24" ht="15.75" customHeight="1">
      <c r="B636" s="7"/>
      <c r="C636" s="33"/>
      <c r="D636" s="7"/>
      <c r="E636" s="7"/>
      <c r="F636" s="7"/>
      <c r="G636" s="7"/>
      <c r="H636" s="7"/>
      <c r="I636" s="7"/>
      <c r="K636" s="7"/>
      <c r="L636" s="7"/>
      <c r="M636" s="7"/>
      <c r="N636" s="7"/>
      <c r="O636" s="7"/>
      <c r="P636" s="7"/>
      <c r="Q636" s="7"/>
      <c r="R636" s="7"/>
      <c r="S636" s="7"/>
      <c r="T636" s="7"/>
      <c r="U636" s="7"/>
      <c r="V636" s="7"/>
      <c r="W636" s="7"/>
      <c r="X636" s="7"/>
    </row>
    <row r="637" spans="2:24" ht="15.75" customHeight="1">
      <c r="B637" s="7"/>
      <c r="C637" s="33"/>
      <c r="D637" s="7"/>
      <c r="E637" s="7"/>
      <c r="F637" s="7"/>
      <c r="G637" s="7"/>
      <c r="H637" s="7"/>
      <c r="I637" s="7"/>
      <c r="K637" s="7"/>
      <c r="L637" s="7"/>
      <c r="M637" s="7"/>
      <c r="N637" s="7"/>
      <c r="O637" s="7"/>
      <c r="P637" s="7"/>
      <c r="Q637" s="7"/>
      <c r="R637" s="7"/>
      <c r="S637" s="7"/>
      <c r="T637" s="7"/>
      <c r="U637" s="7"/>
      <c r="V637" s="7"/>
      <c r="W637" s="7"/>
      <c r="X637" s="7"/>
    </row>
    <row r="638" spans="2:24" ht="15.75" customHeight="1">
      <c r="B638" s="7"/>
      <c r="C638" s="33"/>
      <c r="D638" s="7"/>
      <c r="E638" s="7"/>
      <c r="F638" s="7"/>
      <c r="G638" s="7"/>
      <c r="H638" s="7"/>
      <c r="I638" s="7"/>
      <c r="K638" s="7"/>
      <c r="L638" s="7"/>
      <c r="M638" s="7"/>
      <c r="N638" s="7"/>
      <c r="O638" s="7"/>
      <c r="P638" s="7"/>
      <c r="Q638" s="7"/>
      <c r="R638" s="7"/>
      <c r="S638" s="7"/>
      <c r="T638" s="7"/>
      <c r="U638" s="7"/>
      <c r="V638" s="7"/>
      <c r="W638" s="7"/>
      <c r="X638" s="7"/>
    </row>
    <row r="639" spans="2:24" ht="15.75" customHeight="1">
      <c r="B639" s="7"/>
      <c r="C639" s="33"/>
      <c r="D639" s="7"/>
      <c r="E639" s="7"/>
      <c r="F639" s="7"/>
      <c r="G639" s="7"/>
      <c r="H639" s="7"/>
      <c r="I639" s="7"/>
      <c r="K639" s="7"/>
      <c r="L639" s="7"/>
      <c r="M639" s="7"/>
      <c r="N639" s="7"/>
      <c r="O639" s="7"/>
      <c r="P639" s="7"/>
      <c r="Q639" s="7"/>
      <c r="R639" s="7"/>
      <c r="S639" s="7"/>
      <c r="T639" s="7"/>
      <c r="U639" s="7"/>
      <c r="V639" s="7"/>
      <c r="W639" s="7"/>
      <c r="X639" s="7"/>
    </row>
    <row r="640" spans="2:24" ht="15.75" customHeight="1">
      <c r="B640" s="7"/>
      <c r="C640" s="33"/>
      <c r="D640" s="7"/>
      <c r="E640" s="7"/>
      <c r="F640" s="7"/>
      <c r="G640" s="7"/>
      <c r="H640" s="7"/>
      <c r="I640" s="7"/>
      <c r="K640" s="7"/>
      <c r="L640" s="7"/>
      <c r="M640" s="7"/>
      <c r="N640" s="7"/>
      <c r="O640" s="7"/>
      <c r="P640" s="7"/>
      <c r="Q640" s="7"/>
      <c r="R640" s="7"/>
      <c r="S640" s="7"/>
      <c r="T640" s="7"/>
      <c r="U640" s="7"/>
      <c r="V640" s="7"/>
      <c r="W640" s="7"/>
      <c r="X640" s="7"/>
    </row>
    <row r="641" spans="2:24" ht="15.75" customHeight="1">
      <c r="B641" s="7"/>
      <c r="C641" s="33"/>
      <c r="D641" s="7"/>
      <c r="E641" s="7"/>
      <c r="F641" s="7"/>
      <c r="G641" s="7"/>
      <c r="H641" s="7"/>
      <c r="I641" s="7"/>
      <c r="K641" s="7"/>
      <c r="L641" s="7"/>
      <c r="M641" s="7"/>
      <c r="N641" s="7"/>
      <c r="O641" s="7"/>
      <c r="P641" s="7"/>
      <c r="Q641" s="7"/>
      <c r="R641" s="7"/>
      <c r="S641" s="7"/>
      <c r="T641" s="7"/>
      <c r="U641" s="7"/>
      <c r="V641" s="7"/>
      <c r="W641" s="7"/>
      <c r="X641" s="7"/>
    </row>
    <row r="642" spans="2:24" ht="15.75" customHeight="1">
      <c r="B642" s="7"/>
      <c r="C642" s="33"/>
      <c r="D642" s="7"/>
      <c r="E642" s="7"/>
      <c r="F642" s="7"/>
      <c r="G642" s="7"/>
      <c r="H642" s="7"/>
      <c r="I642" s="7"/>
      <c r="K642" s="7"/>
      <c r="L642" s="7"/>
      <c r="M642" s="7"/>
      <c r="N642" s="7"/>
      <c r="O642" s="7"/>
      <c r="P642" s="7"/>
      <c r="Q642" s="7"/>
      <c r="R642" s="7"/>
      <c r="S642" s="7"/>
      <c r="T642" s="7"/>
      <c r="U642" s="7"/>
      <c r="V642" s="7"/>
      <c r="W642" s="7"/>
      <c r="X642" s="7"/>
    </row>
    <row r="643" spans="2:24" ht="15.75" customHeight="1">
      <c r="B643" s="7"/>
      <c r="C643" s="33"/>
      <c r="D643" s="7"/>
      <c r="E643" s="7"/>
      <c r="F643" s="7"/>
      <c r="G643" s="7"/>
      <c r="H643" s="7"/>
      <c r="I643" s="7"/>
      <c r="K643" s="7"/>
      <c r="L643" s="7"/>
      <c r="M643" s="7"/>
      <c r="N643" s="7"/>
      <c r="O643" s="7"/>
      <c r="P643" s="7"/>
      <c r="Q643" s="7"/>
      <c r="R643" s="7"/>
      <c r="S643" s="7"/>
      <c r="T643" s="7"/>
      <c r="U643" s="7"/>
      <c r="V643" s="7"/>
      <c r="W643" s="7"/>
      <c r="X643" s="7"/>
    </row>
    <row r="644" spans="2:24" ht="15.75" customHeight="1">
      <c r="B644" s="7"/>
      <c r="C644" s="33"/>
      <c r="D644" s="7"/>
      <c r="E644" s="7"/>
      <c r="F644" s="7"/>
      <c r="G644" s="7"/>
      <c r="H644" s="7"/>
      <c r="I644" s="7"/>
      <c r="K644" s="7"/>
      <c r="L644" s="7"/>
      <c r="M644" s="7"/>
      <c r="N644" s="7"/>
      <c r="O644" s="7"/>
      <c r="P644" s="7"/>
      <c r="Q644" s="7"/>
      <c r="R644" s="7"/>
      <c r="S644" s="7"/>
      <c r="T644" s="7"/>
      <c r="U644" s="7"/>
      <c r="V644" s="7"/>
      <c r="W644" s="7"/>
      <c r="X644" s="7"/>
    </row>
    <row r="645" spans="2:24" ht="15.75" customHeight="1">
      <c r="B645" s="7"/>
      <c r="C645" s="33"/>
      <c r="D645" s="7"/>
      <c r="E645" s="7"/>
      <c r="F645" s="7"/>
      <c r="G645" s="7"/>
      <c r="H645" s="7"/>
      <c r="I645" s="7"/>
      <c r="K645" s="7"/>
      <c r="L645" s="7"/>
      <c r="M645" s="7"/>
      <c r="N645" s="7"/>
      <c r="O645" s="7"/>
      <c r="P645" s="7"/>
      <c r="Q645" s="7"/>
      <c r="R645" s="7"/>
      <c r="S645" s="7"/>
      <c r="T645" s="7"/>
      <c r="U645" s="7"/>
      <c r="V645" s="7"/>
      <c r="W645" s="7"/>
      <c r="X645" s="7"/>
    </row>
    <row r="646" spans="2:24" ht="15.75" customHeight="1">
      <c r="B646" s="7"/>
      <c r="C646" s="33"/>
      <c r="D646" s="7"/>
      <c r="E646" s="7"/>
      <c r="F646" s="7"/>
      <c r="G646" s="7"/>
      <c r="H646" s="7"/>
      <c r="I646" s="7"/>
      <c r="K646" s="7"/>
      <c r="L646" s="7"/>
      <c r="M646" s="7"/>
      <c r="N646" s="7"/>
      <c r="O646" s="7"/>
      <c r="P646" s="7"/>
      <c r="Q646" s="7"/>
      <c r="R646" s="7"/>
      <c r="S646" s="7"/>
      <c r="T646" s="7"/>
      <c r="U646" s="7"/>
      <c r="V646" s="7"/>
      <c r="W646" s="7"/>
      <c r="X646" s="7"/>
    </row>
    <row r="647" spans="2:24" ht="15.75" customHeight="1">
      <c r="B647" s="7"/>
      <c r="C647" s="33"/>
      <c r="D647" s="7"/>
      <c r="E647" s="7"/>
      <c r="F647" s="7"/>
      <c r="G647" s="7"/>
      <c r="H647" s="7"/>
      <c r="I647" s="7"/>
      <c r="K647" s="7"/>
      <c r="L647" s="7"/>
      <c r="M647" s="7"/>
      <c r="N647" s="7"/>
      <c r="O647" s="7"/>
      <c r="P647" s="7"/>
      <c r="Q647" s="7"/>
      <c r="R647" s="7"/>
      <c r="S647" s="7"/>
      <c r="T647" s="7"/>
      <c r="U647" s="7"/>
      <c r="V647" s="7"/>
      <c r="W647" s="7"/>
      <c r="X647" s="7"/>
    </row>
    <row r="648" spans="2:24" ht="15.75" customHeight="1">
      <c r="B648" s="7"/>
      <c r="C648" s="33"/>
      <c r="D648" s="7"/>
      <c r="E648" s="7"/>
      <c r="F648" s="7"/>
      <c r="G648" s="7"/>
      <c r="H648" s="7"/>
      <c r="I648" s="7"/>
      <c r="K648" s="7"/>
      <c r="L648" s="7"/>
      <c r="M648" s="7"/>
      <c r="N648" s="7"/>
      <c r="O648" s="7"/>
      <c r="P648" s="7"/>
      <c r="Q648" s="7"/>
      <c r="R648" s="7"/>
      <c r="S648" s="7"/>
      <c r="T648" s="7"/>
      <c r="U648" s="7"/>
      <c r="V648" s="7"/>
      <c r="W648" s="7"/>
      <c r="X648" s="7"/>
    </row>
    <row r="649" spans="2:24" ht="15.75" customHeight="1">
      <c r="B649" s="7"/>
      <c r="C649" s="33"/>
      <c r="D649" s="7"/>
      <c r="E649" s="7"/>
      <c r="F649" s="7"/>
      <c r="G649" s="7"/>
      <c r="H649" s="7"/>
      <c r="I649" s="7"/>
      <c r="K649" s="7"/>
      <c r="L649" s="7"/>
      <c r="M649" s="7"/>
      <c r="N649" s="7"/>
      <c r="O649" s="7"/>
      <c r="P649" s="7"/>
      <c r="Q649" s="7"/>
      <c r="R649" s="7"/>
      <c r="S649" s="7"/>
      <c r="T649" s="7"/>
      <c r="U649" s="7"/>
      <c r="V649" s="7"/>
      <c r="W649" s="7"/>
      <c r="X649" s="7"/>
    </row>
    <row r="650" spans="2:24" ht="15.75" customHeight="1">
      <c r="B650" s="7"/>
      <c r="C650" s="33"/>
      <c r="D650" s="7"/>
      <c r="E650" s="7"/>
      <c r="F650" s="7"/>
      <c r="G650" s="7"/>
      <c r="H650" s="7"/>
      <c r="I650" s="7"/>
      <c r="K650" s="7"/>
      <c r="L650" s="7"/>
      <c r="M650" s="7"/>
      <c r="N650" s="7"/>
      <c r="O650" s="7"/>
      <c r="P650" s="7"/>
      <c r="Q650" s="7"/>
      <c r="R650" s="7"/>
      <c r="S650" s="7"/>
      <c r="T650" s="7"/>
      <c r="U650" s="7"/>
      <c r="V650" s="7"/>
      <c r="W650" s="7"/>
      <c r="X650" s="7"/>
    </row>
    <row r="651" spans="2:24" ht="15.75" customHeight="1">
      <c r="B651" s="7"/>
      <c r="C651" s="33"/>
      <c r="D651" s="7"/>
      <c r="E651" s="7"/>
      <c r="F651" s="7"/>
      <c r="G651" s="7"/>
      <c r="H651" s="7"/>
      <c r="I651" s="7"/>
      <c r="K651" s="7"/>
      <c r="L651" s="7"/>
      <c r="M651" s="7"/>
      <c r="N651" s="7"/>
      <c r="O651" s="7"/>
      <c r="P651" s="7"/>
      <c r="Q651" s="7"/>
      <c r="R651" s="7"/>
      <c r="S651" s="7"/>
      <c r="T651" s="7"/>
      <c r="U651" s="7"/>
      <c r="V651" s="7"/>
      <c r="W651" s="7"/>
      <c r="X651" s="7"/>
    </row>
    <row r="652" spans="2:24" ht="15.75" customHeight="1">
      <c r="B652" s="7"/>
      <c r="C652" s="33"/>
      <c r="D652" s="7"/>
      <c r="E652" s="7"/>
      <c r="F652" s="7"/>
      <c r="G652" s="7"/>
      <c r="H652" s="7"/>
      <c r="I652" s="7"/>
      <c r="K652" s="7"/>
      <c r="L652" s="7"/>
      <c r="M652" s="7"/>
      <c r="N652" s="7"/>
      <c r="O652" s="7"/>
      <c r="P652" s="7"/>
      <c r="Q652" s="7"/>
      <c r="R652" s="7"/>
      <c r="S652" s="7"/>
      <c r="T652" s="7"/>
      <c r="U652" s="7"/>
      <c r="V652" s="7"/>
      <c r="W652" s="7"/>
      <c r="X652" s="7"/>
    </row>
    <row r="653" spans="2:24" ht="15.75" customHeight="1">
      <c r="B653" s="7"/>
      <c r="C653" s="33"/>
      <c r="D653" s="7"/>
      <c r="E653" s="7"/>
      <c r="F653" s="7"/>
      <c r="G653" s="7"/>
      <c r="H653" s="7"/>
      <c r="I653" s="7"/>
      <c r="K653" s="7"/>
      <c r="L653" s="7"/>
      <c r="M653" s="7"/>
      <c r="N653" s="7"/>
      <c r="O653" s="7"/>
      <c r="P653" s="7"/>
      <c r="Q653" s="7"/>
      <c r="R653" s="7"/>
      <c r="S653" s="7"/>
      <c r="T653" s="7"/>
      <c r="U653" s="7"/>
      <c r="V653" s="7"/>
      <c r="W653" s="7"/>
      <c r="X653" s="7"/>
    </row>
    <row r="654" spans="2:24" ht="15.75" customHeight="1">
      <c r="B654" s="7"/>
      <c r="C654" s="33"/>
      <c r="D654" s="7"/>
      <c r="E654" s="7"/>
      <c r="F654" s="7"/>
      <c r="G654" s="7"/>
      <c r="H654" s="7"/>
      <c r="I654" s="7"/>
      <c r="K654" s="7"/>
      <c r="L654" s="7"/>
      <c r="M654" s="7"/>
      <c r="N654" s="7"/>
      <c r="O654" s="7"/>
      <c r="P654" s="7"/>
      <c r="Q654" s="7"/>
      <c r="R654" s="7"/>
      <c r="S654" s="7"/>
      <c r="T654" s="7"/>
      <c r="U654" s="7"/>
      <c r="V654" s="7"/>
      <c r="W654" s="7"/>
      <c r="X654" s="7"/>
    </row>
    <row r="655" spans="2:24" ht="15.75" customHeight="1">
      <c r="B655" s="7"/>
      <c r="C655" s="33"/>
      <c r="D655" s="7"/>
      <c r="E655" s="7"/>
      <c r="F655" s="7"/>
      <c r="G655" s="7"/>
      <c r="H655" s="7"/>
      <c r="I655" s="7"/>
      <c r="K655" s="7"/>
      <c r="L655" s="7"/>
      <c r="M655" s="7"/>
      <c r="N655" s="7"/>
      <c r="O655" s="7"/>
      <c r="P655" s="7"/>
      <c r="Q655" s="7"/>
      <c r="R655" s="7"/>
      <c r="S655" s="7"/>
      <c r="T655" s="7"/>
      <c r="U655" s="7"/>
      <c r="V655" s="7"/>
      <c r="W655" s="7"/>
      <c r="X655" s="7"/>
    </row>
    <row r="656" spans="2:24" ht="15.75" customHeight="1">
      <c r="B656" s="7"/>
      <c r="C656" s="33"/>
      <c r="D656" s="7"/>
      <c r="E656" s="7"/>
      <c r="F656" s="7"/>
      <c r="G656" s="7"/>
      <c r="H656" s="7"/>
      <c r="I656" s="7"/>
      <c r="K656" s="7"/>
      <c r="L656" s="7"/>
      <c r="M656" s="7"/>
      <c r="N656" s="7"/>
      <c r="O656" s="7"/>
      <c r="P656" s="7"/>
      <c r="Q656" s="7"/>
      <c r="R656" s="7"/>
      <c r="S656" s="7"/>
      <c r="T656" s="7"/>
      <c r="U656" s="7"/>
      <c r="V656" s="7"/>
      <c r="W656" s="7"/>
      <c r="X656" s="7"/>
    </row>
    <row r="657" spans="2:24" ht="15.75" customHeight="1">
      <c r="B657" s="7"/>
      <c r="C657" s="33"/>
      <c r="D657" s="7"/>
      <c r="E657" s="7"/>
      <c r="F657" s="7"/>
      <c r="G657" s="7"/>
      <c r="H657" s="7"/>
      <c r="I657" s="7"/>
      <c r="K657" s="7"/>
      <c r="L657" s="7"/>
      <c r="M657" s="7"/>
      <c r="N657" s="7"/>
      <c r="O657" s="7"/>
      <c r="P657" s="7"/>
      <c r="Q657" s="7"/>
      <c r="R657" s="7"/>
      <c r="S657" s="7"/>
      <c r="T657" s="7"/>
      <c r="U657" s="7"/>
      <c r="V657" s="7"/>
      <c r="W657" s="7"/>
      <c r="X657" s="7"/>
    </row>
    <row r="658" spans="2:24" ht="15.75" customHeight="1">
      <c r="B658" s="7"/>
      <c r="C658" s="33"/>
      <c r="D658" s="7"/>
      <c r="E658" s="7"/>
      <c r="F658" s="7"/>
      <c r="G658" s="7"/>
      <c r="H658" s="7"/>
      <c r="I658" s="7"/>
      <c r="K658" s="7"/>
      <c r="L658" s="7"/>
      <c r="M658" s="7"/>
      <c r="N658" s="7"/>
      <c r="O658" s="7"/>
      <c r="P658" s="7"/>
      <c r="Q658" s="7"/>
      <c r="R658" s="7"/>
      <c r="S658" s="7"/>
      <c r="T658" s="7"/>
      <c r="U658" s="7"/>
      <c r="V658" s="7"/>
      <c r="W658" s="7"/>
      <c r="X658" s="7"/>
    </row>
    <row r="659" spans="2:24" ht="15.75" customHeight="1">
      <c r="B659" s="7"/>
      <c r="C659" s="33"/>
      <c r="D659" s="7"/>
      <c r="E659" s="7"/>
      <c r="F659" s="7"/>
      <c r="G659" s="7"/>
      <c r="H659" s="7"/>
      <c r="I659" s="7"/>
      <c r="K659" s="7"/>
      <c r="L659" s="7"/>
      <c r="M659" s="7"/>
      <c r="N659" s="7"/>
      <c r="O659" s="7"/>
      <c r="P659" s="7"/>
      <c r="Q659" s="7"/>
      <c r="R659" s="7"/>
      <c r="S659" s="7"/>
      <c r="T659" s="7"/>
      <c r="U659" s="7"/>
      <c r="V659" s="7"/>
      <c r="W659" s="7"/>
      <c r="X659" s="7"/>
    </row>
    <row r="660" spans="2:24" ht="15.75" customHeight="1">
      <c r="B660" s="7"/>
      <c r="C660" s="33"/>
      <c r="D660" s="7"/>
      <c r="E660" s="7"/>
      <c r="F660" s="7"/>
      <c r="G660" s="7"/>
      <c r="H660" s="7"/>
      <c r="I660" s="7"/>
      <c r="K660" s="7"/>
      <c r="L660" s="7"/>
      <c r="M660" s="7"/>
      <c r="N660" s="7"/>
      <c r="O660" s="7"/>
      <c r="P660" s="7"/>
      <c r="Q660" s="7"/>
      <c r="R660" s="7"/>
      <c r="S660" s="7"/>
      <c r="T660" s="7"/>
      <c r="U660" s="7"/>
      <c r="V660" s="7"/>
      <c r="W660" s="7"/>
      <c r="X660" s="7"/>
    </row>
    <row r="661" spans="2:24" ht="15.75" customHeight="1">
      <c r="B661" s="7"/>
      <c r="C661" s="33"/>
      <c r="D661" s="7"/>
      <c r="E661" s="7"/>
      <c r="F661" s="7"/>
      <c r="G661" s="7"/>
      <c r="H661" s="7"/>
      <c r="I661" s="7"/>
      <c r="K661" s="7"/>
      <c r="L661" s="7"/>
      <c r="M661" s="7"/>
      <c r="N661" s="7"/>
      <c r="O661" s="7"/>
      <c r="P661" s="7"/>
      <c r="Q661" s="7"/>
      <c r="R661" s="7"/>
      <c r="S661" s="7"/>
      <c r="T661" s="7"/>
      <c r="U661" s="7"/>
      <c r="V661" s="7"/>
      <c r="W661" s="7"/>
      <c r="X661" s="7"/>
    </row>
    <row r="662" spans="2:24" ht="15.75" customHeight="1">
      <c r="B662" s="7"/>
      <c r="C662" s="33"/>
      <c r="D662" s="7"/>
      <c r="E662" s="7"/>
      <c r="F662" s="7"/>
      <c r="G662" s="7"/>
      <c r="H662" s="7"/>
      <c r="I662" s="7"/>
      <c r="K662" s="7"/>
      <c r="L662" s="7"/>
      <c r="M662" s="7"/>
      <c r="N662" s="7"/>
      <c r="O662" s="7"/>
      <c r="P662" s="7"/>
      <c r="Q662" s="7"/>
      <c r="R662" s="7"/>
      <c r="S662" s="7"/>
      <c r="T662" s="7"/>
      <c r="U662" s="7"/>
      <c r="V662" s="7"/>
      <c r="W662" s="7"/>
      <c r="X662" s="7"/>
    </row>
    <row r="663" spans="2:24" ht="15.75" customHeight="1">
      <c r="B663" s="7"/>
      <c r="C663" s="33"/>
      <c r="D663" s="7"/>
      <c r="E663" s="7"/>
      <c r="F663" s="7"/>
      <c r="G663" s="7"/>
      <c r="H663" s="7"/>
      <c r="I663" s="7"/>
      <c r="K663" s="7"/>
      <c r="L663" s="7"/>
      <c r="M663" s="7"/>
      <c r="N663" s="7"/>
      <c r="O663" s="7"/>
      <c r="P663" s="7"/>
      <c r="Q663" s="7"/>
      <c r="R663" s="7"/>
      <c r="S663" s="7"/>
      <c r="T663" s="7"/>
      <c r="U663" s="7"/>
      <c r="V663" s="7"/>
      <c r="W663" s="7"/>
      <c r="X663" s="7"/>
    </row>
    <row r="664" spans="2:24" ht="15.75" customHeight="1">
      <c r="B664" s="7"/>
      <c r="C664" s="33"/>
      <c r="D664" s="7"/>
      <c r="E664" s="7"/>
      <c r="F664" s="7"/>
      <c r="G664" s="7"/>
      <c r="H664" s="7"/>
      <c r="I664" s="7"/>
      <c r="K664" s="7"/>
      <c r="L664" s="7"/>
      <c r="M664" s="7"/>
      <c r="N664" s="7"/>
      <c r="O664" s="7"/>
      <c r="P664" s="7"/>
      <c r="Q664" s="7"/>
      <c r="R664" s="7"/>
      <c r="S664" s="7"/>
      <c r="T664" s="7"/>
      <c r="U664" s="7"/>
      <c r="V664" s="7"/>
      <c r="W664" s="7"/>
      <c r="X664" s="7"/>
    </row>
    <row r="665" spans="2:24" ht="15.75" customHeight="1">
      <c r="B665" s="7"/>
      <c r="C665" s="33"/>
      <c r="D665" s="7"/>
      <c r="E665" s="7"/>
      <c r="F665" s="7"/>
      <c r="G665" s="7"/>
      <c r="H665" s="7"/>
      <c r="I665" s="7"/>
      <c r="K665" s="7"/>
      <c r="L665" s="7"/>
      <c r="M665" s="7"/>
      <c r="N665" s="7"/>
      <c r="O665" s="7"/>
      <c r="P665" s="7"/>
      <c r="Q665" s="7"/>
      <c r="R665" s="7"/>
      <c r="S665" s="7"/>
      <c r="T665" s="7"/>
      <c r="U665" s="7"/>
      <c r="V665" s="7"/>
      <c r="W665" s="7"/>
      <c r="X665" s="7"/>
    </row>
    <row r="666" spans="2:24" ht="15.75" customHeight="1">
      <c r="B666" s="7"/>
      <c r="C666" s="33"/>
      <c r="D666" s="7"/>
      <c r="E666" s="7"/>
      <c r="F666" s="7"/>
      <c r="G666" s="7"/>
      <c r="H666" s="7"/>
      <c r="I666" s="7"/>
      <c r="K666" s="7"/>
      <c r="L666" s="7"/>
      <c r="M666" s="7"/>
      <c r="N666" s="7"/>
      <c r="O666" s="7"/>
      <c r="P666" s="7"/>
      <c r="Q666" s="7"/>
      <c r="R666" s="7"/>
      <c r="S666" s="7"/>
      <c r="T666" s="7"/>
      <c r="U666" s="7"/>
      <c r="V666" s="7"/>
      <c r="W666" s="7"/>
      <c r="X666" s="7"/>
    </row>
    <row r="667" spans="2:24" ht="15.75" customHeight="1">
      <c r="B667" s="7"/>
      <c r="C667" s="33"/>
      <c r="D667" s="7"/>
      <c r="E667" s="7"/>
      <c r="F667" s="7"/>
      <c r="G667" s="7"/>
      <c r="H667" s="7"/>
      <c r="I667" s="7"/>
      <c r="K667" s="7"/>
      <c r="L667" s="7"/>
      <c r="M667" s="7"/>
      <c r="N667" s="7"/>
      <c r="O667" s="7"/>
      <c r="P667" s="7"/>
      <c r="Q667" s="7"/>
      <c r="R667" s="7"/>
      <c r="S667" s="7"/>
      <c r="T667" s="7"/>
      <c r="U667" s="7"/>
      <c r="V667" s="7"/>
      <c r="W667" s="7"/>
      <c r="X667" s="7"/>
    </row>
    <row r="668" spans="2:24" ht="15.75" customHeight="1">
      <c r="B668" s="7"/>
      <c r="C668" s="33"/>
      <c r="D668" s="7"/>
      <c r="E668" s="7"/>
      <c r="F668" s="7"/>
      <c r="G668" s="7"/>
      <c r="H668" s="7"/>
      <c r="I668" s="7"/>
      <c r="K668" s="7"/>
      <c r="L668" s="7"/>
      <c r="M668" s="7"/>
      <c r="N668" s="7"/>
      <c r="O668" s="7"/>
      <c r="P668" s="7"/>
      <c r="Q668" s="7"/>
      <c r="R668" s="7"/>
      <c r="S668" s="7"/>
      <c r="T668" s="7"/>
      <c r="U668" s="7"/>
      <c r="V668" s="7"/>
      <c r="W668" s="7"/>
      <c r="X668" s="7"/>
    </row>
    <row r="669" spans="2:24" ht="15.75" customHeight="1">
      <c r="B669" s="7"/>
      <c r="C669" s="33"/>
      <c r="D669" s="7"/>
      <c r="E669" s="7"/>
      <c r="F669" s="7"/>
      <c r="G669" s="7"/>
      <c r="H669" s="7"/>
      <c r="I669" s="7"/>
      <c r="K669" s="7"/>
      <c r="L669" s="7"/>
      <c r="M669" s="7"/>
      <c r="N669" s="7"/>
      <c r="O669" s="7"/>
      <c r="P669" s="7"/>
      <c r="Q669" s="7"/>
      <c r="R669" s="7"/>
      <c r="S669" s="7"/>
      <c r="T669" s="7"/>
      <c r="U669" s="7"/>
      <c r="V669" s="7"/>
      <c r="W669" s="7"/>
      <c r="X669" s="7"/>
    </row>
    <row r="670" spans="2:24" ht="15.75" customHeight="1">
      <c r="B670" s="7"/>
      <c r="C670" s="33"/>
      <c r="D670" s="7"/>
      <c r="E670" s="7"/>
      <c r="F670" s="7"/>
      <c r="G670" s="7"/>
      <c r="H670" s="7"/>
      <c r="I670" s="7"/>
      <c r="K670" s="7"/>
      <c r="L670" s="7"/>
      <c r="M670" s="7"/>
      <c r="N670" s="7"/>
      <c r="O670" s="7"/>
      <c r="P670" s="7"/>
      <c r="Q670" s="7"/>
      <c r="R670" s="7"/>
      <c r="S670" s="7"/>
      <c r="T670" s="7"/>
      <c r="U670" s="7"/>
      <c r="V670" s="7"/>
      <c r="W670" s="7"/>
      <c r="X670" s="7"/>
    </row>
    <row r="671" spans="2:24" ht="15.75" customHeight="1">
      <c r="B671" s="7"/>
      <c r="C671" s="33"/>
      <c r="D671" s="7"/>
      <c r="E671" s="7"/>
      <c r="F671" s="7"/>
      <c r="G671" s="7"/>
      <c r="H671" s="7"/>
      <c r="I671" s="7"/>
      <c r="K671" s="7"/>
      <c r="L671" s="7"/>
      <c r="M671" s="7"/>
      <c r="N671" s="7"/>
      <c r="O671" s="7"/>
      <c r="P671" s="7"/>
      <c r="Q671" s="7"/>
      <c r="R671" s="7"/>
      <c r="S671" s="7"/>
      <c r="T671" s="7"/>
      <c r="U671" s="7"/>
      <c r="V671" s="7"/>
      <c r="W671" s="7"/>
      <c r="X671" s="7"/>
    </row>
    <row r="672" spans="2:24" ht="15.75" customHeight="1">
      <c r="B672" s="7"/>
      <c r="C672" s="33"/>
      <c r="D672" s="7"/>
      <c r="E672" s="7"/>
      <c r="F672" s="7"/>
      <c r="G672" s="7"/>
      <c r="H672" s="7"/>
      <c r="I672" s="7"/>
      <c r="K672" s="7"/>
      <c r="L672" s="7"/>
      <c r="M672" s="7"/>
      <c r="N672" s="7"/>
      <c r="O672" s="7"/>
      <c r="P672" s="7"/>
      <c r="Q672" s="7"/>
      <c r="R672" s="7"/>
      <c r="S672" s="7"/>
      <c r="T672" s="7"/>
      <c r="U672" s="7"/>
      <c r="V672" s="7"/>
      <c r="W672" s="7"/>
      <c r="X672" s="7"/>
    </row>
    <row r="673" spans="2:24" ht="15.75" customHeight="1">
      <c r="B673" s="7"/>
      <c r="C673" s="33"/>
      <c r="D673" s="7"/>
      <c r="E673" s="7"/>
      <c r="F673" s="7"/>
      <c r="G673" s="7"/>
      <c r="H673" s="7"/>
      <c r="I673" s="7"/>
      <c r="K673" s="7"/>
      <c r="L673" s="7"/>
      <c r="M673" s="7"/>
      <c r="N673" s="7"/>
      <c r="O673" s="7"/>
      <c r="P673" s="7"/>
      <c r="Q673" s="7"/>
      <c r="R673" s="7"/>
      <c r="S673" s="7"/>
      <c r="T673" s="7"/>
      <c r="U673" s="7"/>
      <c r="V673" s="7"/>
      <c r="W673" s="7"/>
      <c r="X673" s="7"/>
    </row>
    <row r="674" spans="2:24" ht="15.75" customHeight="1">
      <c r="B674" s="7"/>
      <c r="C674" s="33"/>
      <c r="D674" s="7"/>
      <c r="E674" s="7"/>
      <c r="F674" s="7"/>
      <c r="G674" s="7"/>
      <c r="H674" s="7"/>
      <c r="I674" s="7"/>
      <c r="K674" s="7"/>
      <c r="L674" s="7"/>
      <c r="M674" s="7"/>
      <c r="N674" s="7"/>
      <c r="O674" s="7"/>
      <c r="P674" s="7"/>
      <c r="Q674" s="7"/>
      <c r="R674" s="7"/>
      <c r="S674" s="7"/>
      <c r="T674" s="7"/>
      <c r="U674" s="7"/>
      <c r="V674" s="7"/>
      <c r="W674" s="7"/>
      <c r="X674" s="7"/>
    </row>
    <row r="675" spans="2:24" ht="15.75" customHeight="1">
      <c r="B675" s="7"/>
      <c r="C675" s="33"/>
      <c r="D675" s="7"/>
      <c r="E675" s="7"/>
      <c r="F675" s="7"/>
      <c r="G675" s="7"/>
      <c r="H675" s="7"/>
      <c r="I675" s="7"/>
      <c r="K675" s="7"/>
      <c r="L675" s="7"/>
      <c r="M675" s="7"/>
      <c r="N675" s="7"/>
      <c r="O675" s="7"/>
      <c r="P675" s="7"/>
      <c r="Q675" s="7"/>
      <c r="R675" s="7"/>
      <c r="S675" s="7"/>
      <c r="T675" s="7"/>
      <c r="U675" s="7"/>
      <c r="V675" s="7"/>
      <c r="W675" s="7"/>
      <c r="X675" s="7"/>
    </row>
    <row r="676" spans="2:24" ht="15.75" customHeight="1">
      <c r="B676" s="7"/>
      <c r="C676" s="33"/>
      <c r="D676" s="7"/>
      <c r="E676" s="7"/>
      <c r="F676" s="7"/>
      <c r="G676" s="7"/>
      <c r="H676" s="7"/>
      <c r="I676" s="7"/>
      <c r="K676" s="7"/>
      <c r="L676" s="7"/>
      <c r="M676" s="7"/>
      <c r="N676" s="7"/>
      <c r="O676" s="7"/>
      <c r="P676" s="7"/>
      <c r="Q676" s="7"/>
      <c r="R676" s="7"/>
      <c r="S676" s="7"/>
      <c r="T676" s="7"/>
      <c r="U676" s="7"/>
      <c r="V676" s="7"/>
      <c r="W676" s="7"/>
      <c r="X676" s="7"/>
    </row>
    <row r="677" spans="2:24" ht="15.75" customHeight="1">
      <c r="B677" s="7"/>
      <c r="C677" s="33"/>
      <c r="D677" s="7"/>
      <c r="E677" s="7"/>
      <c r="F677" s="7"/>
      <c r="G677" s="7"/>
      <c r="H677" s="7"/>
      <c r="I677" s="7"/>
      <c r="K677" s="7"/>
      <c r="L677" s="7"/>
      <c r="M677" s="7"/>
      <c r="N677" s="7"/>
      <c r="O677" s="7"/>
      <c r="P677" s="7"/>
      <c r="Q677" s="7"/>
      <c r="R677" s="7"/>
      <c r="S677" s="7"/>
      <c r="T677" s="7"/>
      <c r="U677" s="7"/>
      <c r="V677" s="7"/>
      <c r="W677" s="7"/>
      <c r="X677" s="7"/>
    </row>
    <row r="678" spans="2:24" ht="15.75" customHeight="1">
      <c r="B678" s="7"/>
      <c r="C678" s="33"/>
      <c r="D678" s="7"/>
      <c r="E678" s="7"/>
      <c r="F678" s="7"/>
      <c r="G678" s="7"/>
      <c r="H678" s="7"/>
      <c r="I678" s="7"/>
      <c r="K678" s="7"/>
      <c r="L678" s="7"/>
      <c r="M678" s="7"/>
      <c r="N678" s="7"/>
      <c r="O678" s="7"/>
      <c r="P678" s="7"/>
      <c r="Q678" s="7"/>
      <c r="R678" s="7"/>
      <c r="S678" s="7"/>
      <c r="T678" s="7"/>
      <c r="U678" s="7"/>
      <c r="V678" s="7"/>
      <c r="W678" s="7"/>
      <c r="X678" s="7"/>
    </row>
    <row r="679" spans="2:24" ht="15.75" customHeight="1">
      <c r="B679" s="7"/>
      <c r="C679" s="33"/>
      <c r="D679" s="7"/>
      <c r="E679" s="7"/>
      <c r="F679" s="7"/>
      <c r="G679" s="7"/>
      <c r="H679" s="7"/>
      <c r="I679" s="7"/>
      <c r="K679" s="7"/>
      <c r="L679" s="7"/>
      <c r="M679" s="7"/>
      <c r="N679" s="7"/>
      <c r="O679" s="7"/>
      <c r="P679" s="7"/>
      <c r="Q679" s="7"/>
      <c r="R679" s="7"/>
      <c r="S679" s="7"/>
      <c r="T679" s="7"/>
      <c r="U679" s="7"/>
      <c r="V679" s="7"/>
      <c r="W679" s="7"/>
      <c r="X679" s="7"/>
    </row>
    <row r="680" spans="2:24" ht="15.75" customHeight="1">
      <c r="B680" s="7"/>
      <c r="C680" s="33"/>
      <c r="D680" s="7"/>
      <c r="E680" s="7"/>
      <c r="F680" s="7"/>
      <c r="G680" s="7"/>
      <c r="H680" s="7"/>
      <c r="I680" s="7"/>
      <c r="K680" s="7"/>
      <c r="L680" s="7"/>
      <c r="M680" s="7"/>
      <c r="N680" s="7"/>
      <c r="O680" s="7"/>
      <c r="P680" s="7"/>
      <c r="Q680" s="7"/>
      <c r="R680" s="7"/>
      <c r="S680" s="7"/>
      <c r="T680" s="7"/>
      <c r="U680" s="7"/>
      <c r="V680" s="7"/>
      <c r="W680" s="7"/>
      <c r="X680" s="7"/>
    </row>
    <row r="681" spans="2:24" ht="15.75" customHeight="1">
      <c r="B681" s="7"/>
      <c r="C681" s="33"/>
      <c r="D681" s="7"/>
      <c r="E681" s="7"/>
      <c r="F681" s="7"/>
      <c r="G681" s="7"/>
      <c r="H681" s="7"/>
      <c r="I681" s="7"/>
      <c r="K681" s="7"/>
      <c r="L681" s="7"/>
      <c r="M681" s="7"/>
      <c r="N681" s="7"/>
      <c r="O681" s="7"/>
      <c r="P681" s="7"/>
      <c r="Q681" s="7"/>
      <c r="R681" s="7"/>
      <c r="S681" s="7"/>
      <c r="T681" s="7"/>
      <c r="U681" s="7"/>
      <c r="V681" s="7"/>
      <c r="W681" s="7"/>
      <c r="X681" s="7"/>
    </row>
    <row r="682" spans="2:24" ht="15.75" customHeight="1">
      <c r="B682" s="7"/>
      <c r="C682" s="33"/>
      <c r="D682" s="7"/>
      <c r="E682" s="7"/>
      <c r="F682" s="7"/>
      <c r="G682" s="7"/>
      <c r="H682" s="7"/>
      <c r="I682" s="7"/>
      <c r="K682" s="7"/>
      <c r="L682" s="7"/>
      <c r="M682" s="7"/>
      <c r="N682" s="7"/>
      <c r="O682" s="7"/>
      <c r="P682" s="7"/>
      <c r="Q682" s="7"/>
      <c r="R682" s="7"/>
      <c r="S682" s="7"/>
      <c r="T682" s="7"/>
      <c r="U682" s="7"/>
      <c r="V682" s="7"/>
      <c r="W682" s="7"/>
      <c r="X682" s="7"/>
    </row>
    <row r="683" spans="2:24" ht="15.75" customHeight="1">
      <c r="B683" s="7"/>
      <c r="C683" s="33"/>
      <c r="D683" s="7"/>
      <c r="E683" s="7"/>
      <c r="F683" s="7"/>
      <c r="G683" s="7"/>
      <c r="H683" s="7"/>
      <c r="I683" s="7"/>
      <c r="K683" s="7"/>
      <c r="L683" s="7"/>
      <c r="M683" s="7"/>
      <c r="N683" s="7"/>
      <c r="O683" s="7"/>
      <c r="P683" s="7"/>
      <c r="Q683" s="7"/>
      <c r="R683" s="7"/>
      <c r="S683" s="7"/>
      <c r="T683" s="7"/>
      <c r="U683" s="7"/>
      <c r="V683" s="7"/>
      <c r="W683" s="7"/>
      <c r="X683" s="7"/>
    </row>
    <row r="684" spans="2:24" ht="15.75" customHeight="1">
      <c r="B684" s="7"/>
      <c r="C684" s="33"/>
      <c r="D684" s="7"/>
      <c r="E684" s="7"/>
      <c r="F684" s="7"/>
      <c r="G684" s="7"/>
      <c r="H684" s="7"/>
      <c r="I684" s="7"/>
      <c r="K684" s="7"/>
      <c r="L684" s="7"/>
      <c r="M684" s="7"/>
      <c r="N684" s="7"/>
      <c r="O684" s="7"/>
      <c r="P684" s="7"/>
      <c r="Q684" s="7"/>
      <c r="R684" s="7"/>
      <c r="S684" s="7"/>
      <c r="T684" s="7"/>
      <c r="U684" s="7"/>
      <c r="V684" s="7"/>
      <c r="W684" s="7"/>
      <c r="X684" s="7"/>
    </row>
    <row r="685" spans="2:24" ht="15.75" customHeight="1">
      <c r="B685" s="7"/>
      <c r="C685" s="33"/>
      <c r="D685" s="7"/>
      <c r="E685" s="7"/>
      <c r="F685" s="7"/>
      <c r="G685" s="7"/>
      <c r="H685" s="7"/>
      <c r="I685" s="7"/>
      <c r="K685" s="7"/>
      <c r="L685" s="7"/>
      <c r="M685" s="7"/>
      <c r="N685" s="7"/>
      <c r="O685" s="7"/>
      <c r="P685" s="7"/>
      <c r="Q685" s="7"/>
      <c r="R685" s="7"/>
      <c r="S685" s="7"/>
      <c r="T685" s="7"/>
      <c r="U685" s="7"/>
      <c r="V685" s="7"/>
      <c r="W685" s="7"/>
      <c r="X685" s="7"/>
    </row>
    <row r="686" spans="2:24" ht="15.75" customHeight="1">
      <c r="B686" s="7"/>
      <c r="C686" s="33"/>
      <c r="D686" s="7"/>
      <c r="E686" s="7"/>
      <c r="F686" s="7"/>
      <c r="G686" s="7"/>
      <c r="H686" s="7"/>
      <c r="I686" s="7"/>
      <c r="K686" s="7"/>
      <c r="L686" s="7"/>
      <c r="M686" s="7"/>
      <c r="N686" s="7"/>
      <c r="O686" s="7"/>
      <c r="P686" s="7"/>
      <c r="Q686" s="7"/>
      <c r="R686" s="7"/>
      <c r="S686" s="7"/>
      <c r="T686" s="7"/>
      <c r="U686" s="7"/>
      <c r="V686" s="7"/>
      <c r="W686" s="7"/>
      <c r="X686" s="7"/>
    </row>
    <row r="687" spans="2:24" ht="15.75" customHeight="1">
      <c r="B687" s="7"/>
      <c r="C687" s="33"/>
      <c r="D687" s="7"/>
      <c r="E687" s="7"/>
      <c r="F687" s="7"/>
      <c r="G687" s="7"/>
      <c r="H687" s="7"/>
      <c r="I687" s="7"/>
      <c r="K687" s="7"/>
      <c r="L687" s="7"/>
      <c r="M687" s="7"/>
      <c r="N687" s="7"/>
      <c r="O687" s="7"/>
      <c r="P687" s="7"/>
      <c r="Q687" s="7"/>
      <c r="R687" s="7"/>
      <c r="S687" s="7"/>
      <c r="T687" s="7"/>
      <c r="U687" s="7"/>
      <c r="V687" s="7"/>
      <c r="W687" s="7"/>
      <c r="X687" s="7"/>
    </row>
    <row r="688" spans="2:24" ht="15.75" customHeight="1">
      <c r="B688" s="7"/>
      <c r="C688" s="33"/>
      <c r="D688" s="7"/>
      <c r="E688" s="7"/>
      <c r="F688" s="7"/>
      <c r="G688" s="7"/>
      <c r="H688" s="7"/>
      <c r="I688" s="7"/>
      <c r="K688" s="7"/>
      <c r="L688" s="7"/>
      <c r="M688" s="7"/>
      <c r="N688" s="7"/>
      <c r="O688" s="7"/>
      <c r="P688" s="7"/>
      <c r="Q688" s="7"/>
      <c r="R688" s="7"/>
      <c r="S688" s="7"/>
      <c r="T688" s="7"/>
      <c r="U688" s="7"/>
      <c r="V688" s="7"/>
      <c r="W688" s="7"/>
      <c r="X688" s="7"/>
    </row>
    <row r="689" spans="2:24" ht="15.75" customHeight="1">
      <c r="B689" s="7"/>
      <c r="C689" s="33"/>
      <c r="D689" s="7"/>
      <c r="E689" s="7"/>
      <c r="F689" s="7"/>
      <c r="G689" s="7"/>
      <c r="H689" s="7"/>
      <c r="I689" s="7"/>
      <c r="K689" s="7"/>
      <c r="L689" s="7"/>
      <c r="M689" s="7"/>
      <c r="N689" s="7"/>
      <c r="O689" s="7"/>
      <c r="P689" s="7"/>
      <c r="Q689" s="7"/>
      <c r="R689" s="7"/>
      <c r="S689" s="7"/>
      <c r="T689" s="7"/>
      <c r="U689" s="7"/>
      <c r="V689" s="7"/>
      <c r="W689" s="7"/>
      <c r="X689" s="7"/>
    </row>
    <row r="690" spans="2:24" ht="15.75" customHeight="1">
      <c r="B690" s="7"/>
      <c r="C690" s="33"/>
      <c r="D690" s="7"/>
      <c r="E690" s="7"/>
      <c r="F690" s="7"/>
      <c r="G690" s="7"/>
      <c r="H690" s="7"/>
      <c r="I690" s="7"/>
      <c r="K690" s="7"/>
      <c r="L690" s="7"/>
      <c r="M690" s="7"/>
      <c r="N690" s="7"/>
      <c r="O690" s="7"/>
      <c r="P690" s="7"/>
      <c r="Q690" s="7"/>
      <c r="R690" s="7"/>
      <c r="S690" s="7"/>
      <c r="T690" s="7"/>
      <c r="U690" s="7"/>
      <c r="V690" s="7"/>
      <c r="W690" s="7"/>
      <c r="X690" s="7"/>
    </row>
    <row r="691" spans="2:24" ht="15.75" customHeight="1">
      <c r="B691" s="7"/>
      <c r="C691" s="33"/>
      <c r="D691" s="7"/>
      <c r="E691" s="7"/>
      <c r="F691" s="7"/>
      <c r="G691" s="7"/>
      <c r="H691" s="7"/>
      <c r="I691" s="7"/>
      <c r="K691" s="7"/>
      <c r="L691" s="7"/>
      <c r="M691" s="7"/>
      <c r="N691" s="7"/>
      <c r="O691" s="7"/>
      <c r="P691" s="7"/>
      <c r="Q691" s="7"/>
      <c r="R691" s="7"/>
      <c r="S691" s="7"/>
      <c r="T691" s="7"/>
      <c r="U691" s="7"/>
      <c r="V691" s="7"/>
      <c r="W691" s="7"/>
      <c r="X691" s="7"/>
    </row>
    <row r="692" spans="2:24" ht="15.75" customHeight="1">
      <c r="B692" s="7"/>
      <c r="C692" s="33"/>
      <c r="D692" s="7"/>
      <c r="E692" s="7"/>
      <c r="F692" s="7"/>
      <c r="G692" s="7"/>
      <c r="H692" s="7"/>
      <c r="I692" s="7"/>
      <c r="K692" s="7"/>
      <c r="L692" s="7"/>
      <c r="M692" s="7"/>
      <c r="N692" s="7"/>
      <c r="O692" s="7"/>
      <c r="P692" s="7"/>
      <c r="Q692" s="7"/>
      <c r="R692" s="7"/>
      <c r="S692" s="7"/>
      <c r="T692" s="7"/>
      <c r="U692" s="7"/>
      <c r="V692" s="7"/>
      <c r="W692" s="7"/>
      <c r="X692" s="7"/>
    </row>
    <row r="693" spans="2:24" ht="15.75" customHeight="1">
      <c r="B693" s="7"/>
      <c r="C693" s="33"/>
      <c r="D693" s="7"/>
      <c r="E693" s="7"/>
      <c r="F693" s="7"/>
      <c r="G693" s="7"/>
      <c r="H693" s="7"/>
      <c r="I693" s="7"/>
      <c r="K693" s="7"/>
      <c r="L693" s="7"/>
      <c r="M693" s="7"/>
      <c r="N693" s="7"/>
      <c r="O693" s="7"/>
      <c r="P693" s="7"/>
      <c r="Q693" s="7"/>
      <c r="R693" s="7"/>
      <c r="S693" s="7"/>
      <c r="T693" s="7"/>
      <c r="U693" s="7"/>
      <c r="V693" s="7"/>
      <c r="W693" s="7"/>
      <c r="X693" s="7"/>
    </row>
    <row r="694" spans="2:24" ht="15.75" customHeight="1">
      <c r="B694" s="7"/>
      <c r="C694" s="33"/>
      <c r="D694" s="7"/>
      <c r="E694" s="7"/>
      <c r="F694" s="7"/>
      <c r="G694" s="7"/>
      <c r="H694" s="7"/>
      <c r="I694" s="7"/>
      <c r="K694" s="7"/>
      <c r="L694" s="7"/>
      <c r="M694" s="7"/>
      <c r="N694" s="7"/>
      <c r="O694" s="7"/>
      <c r="P694" s="7"/>
      <c r="Q694" s="7"/>
      <c r="R694" s="7"/>
      <c r="S694" s="7"/>
      <c r="T694" s="7"/>
      <c r="U694" s="7"/>
      <c r="V694" s="7"/>
      <c r="W694" s="7"/>
      <c r="X694" s="7"/>
    </row>
    <row r="695" spans="2:24" ht="15.75" customHeight="1">
      <c r="B695" s="7"/>
      <c r="C695" s="33"/>
      <c r="D695" s="7"/>
      <c r="E695" s="7"/>
      <c r="F695" s="7"/>
      <c r="G695" s="7"/>
      <c r="H695" s="7"/>
      <c r="I695" s="7"/>
      <c r="K695" s="7"/>
      <c r="L695" s="7"/>
      <c r="M695" s="7"/>
      <c r="N695" s="7"/>
      <c r="O695" s="7"/>
      <c r="P695" s="7"/>
      <c r="Q695" s="7"/>
      <c r="R695" s="7"/>
      <c r="S695" s="7"/>
      <c r="T695" s="7"/>
      <c r="U695" s="7"/>
      <c r="V695" s="7"/>
      <c r="W695" s="7"/>
      <c r="X695" s="7"/>
    </row>
    <row r="696" spans="2:24" ht="15.75" customHeight="1">
      <c r="B696" s="7"/>
      <c r="C696" s="33"/>
      <c r="D696" s="7"/>
      <c r="E696" s="7"/>
      <c r="F696" s="7"/>
      <c r="G696" s="7"/>
      <c r="H696" s="7"/>
      <c r="I696" s="7"/>
      <c r="K696" s="7"/>
      <c r="L696" s="7"/>
      <c r="M696" s="7"/>
      <c r="N696" s="7"/>
      <c r="O696" s="7"/>
      <c r="P696" s="7"/>
      <c r="Q696" s="7"/>
      <c r="R696" s="7"/>
      <c r="S696" s="7"/>
      <c r="T696" s="7"/>
      <c r="U696" s="7"/>
      <c r="V696" s="7"/>
      <c r="W696" s="7"/>
      <c r="X696" s="7"/>
    </row>
    <row r="697" spans="2:24" ht="15.75" customHeight="1">
      <c r="B697" s="7"/>
      <c r="C697" s="33"/>
      <c r="D697" s="7"/>
      <c r="E697" s="7"/>
      <c r="F697" s="7"/>
      <c r="G697" s="7"/>
      <c r="H697" s="7"/>
      <c r="I697" s="7"/>
      <c r="K697" s="7"/>
      <c r="L697" s="7"/>
      <c r="M697" s="7"/>
      <c r="N697" s="7"/>
      <c r="O697" s="7"/>
      <c r="P697" s="7"/>
      <c r="Q697" s="7"/>
      <c r="R697" s="7"/>
      <c r="S697" s="7"/>
      <c r="T697" s="7"/>
      <c r="U697" s="7"/>
      <c r="V697" s="7"/>
      <c r="W697" s="7"/>
      <c r="X697" s="7"/>
    </row>
    <row r="698" spans="2:24" ht="15.75" customHeight="1">
      <c r="B698" s="7"/>
      <c r="C698" s="33"/>
      <c r="D698" s="7"/>
      <c r="E698" s="7"/>
      <c r="F698" s="7"/>
      <c r="G698" s="7"/>
      <c r="H698" s="7"/>
      <c r="I698" s="7"/>
      <c r="K698" s="7"/>
      <c r="L698" s="7"/>
      <c r="M698" s="7"/>
      <c r="N698" s="7"/>
      <c r="O698" s="7"/>
      <c r="P698" s="7"/>
      <c r="Q698" s="7"/>
      <c r="R698" s="7"/>
      <c r="S698" s="7"/>
      <c r="T698" s="7"/>
      <c r="U698" s="7"/>
      <c r="V698" s="7"/>
      <c r="W698" s="7"/>
      <c r="X698" s="7"/>
    </row>
    <row r="699" spans="2:24" ht="15.75" customHeight="1">
      <c r="B699" s="7"/>
      <c r="C699" s="33"/>
      <c r="D699" s="7"/>
      <c r="E699" s="7"/>
      <c r="F699" s="7"/>
      <c r="G699" s="7"/>
      <c r="H699" s="7"/>
      <c r="I699" s="7"/>
      <c r="K699" s="7"/>
      <c r="L699" s="7"/>
      <c r="M699" s="7"/>
      <c r="N699" s="7"/>
      <c r="O699" s="7"/>
      <c r="P699" s="7"/>
      <c r="Q699" s="7"/>
      <c r="R699" s="7"/>
      <c r="S699" s="7"/>
      <c r="T699" s="7"/>
      <c r="U699" s="7"/>
      <c r="V699" s="7"/>
      <c r="W699" s="7"/>
      <c r="X699" s="7"/>
    </row>
    <row r="700" spans="2:24" ht="15.75" customHeight="1">
      <c r="B700" s="7"/>
      <c r="C700" s="33"/>
      <c r="D700" s="7"/>
      <c r="E700" s="7"/>
      <c r="F700" s="7"/>
      <c r="G700" s="7"/>
      <c r="H700" s="7"/>
      <c r="I700" s="7"/>
      <c r="K700" s="7"/>
      <c r="L700" s="7"/>
      <c r="M700" s="7"/>
      <c r="N700" s="7"/>
      <c r="O700" s="7"/>
      <c r="P700" s="7"/>
      <c r="Q700" s="7"/>
      <c r="R700" s="7"/>
      <c r="S700" s="7"/>
      <c r="T700" s="7"/>
      <c r="U700" s="7"/>
      <c r="V700" s="7"/>
      <c r="W700" s="7"/>
      <c r="X700" s="7"/>
    </row>
    <row r="701" spans="2:24" ht="15.75" customHeight="1">
      <c r="B701" s="7"/>
      <c r="C701" s="33"/>
      <c r="D701" s="7"/>
      <c r="E701" s="7"/>
      <c r="F701" s="7"/>
      <c r="G701" s="7"/>
      <c r="H701" s="7"/>
      <c r="I701" s="7"/>
      <c r="K701" s="7"/>
      <c r="L701" s="7"/>
      <c r="M701" s="7"/>
      <c r="N701" s="7"/>
      <c r="O701" s="7"/>
      <c r="P701" s="7"/>
      <c r="Q701" s="7"/>
      <c r="R701" s="7"/>
      <c r="S701" s="7"/>
      <c r="T701" s="7"/>
      <c r="U701" s="7"/>
      <c r="V701" s="7"/>
      <c r="W701" s="7"/>
      <c r="X701" s="7"/>
    </row>
    <row r="702" spans="2:24" ht="15.75" customHeight="1">
      <c r="B702" s="7"/>
      <c r="C702" s="33"/>
      <c r="D702" s="7"/>
      <c r="E702" s="7"/>
      <c r="F702" s="7"/>
      <c r="G702" s="7"/>
      <c r="H702" s="7"/>
      <c r="I702" s="7"/>
      <c r="K702" s="7"/>
      <c r="L702" s="7"/>
      <c r="M702" s="7"/>
      <c r="N702" s="7"/>
      <c r="O702" s="7"/>
      <c r="P702" s="7"/>
      <c r="Q702" s="7"/>
      <c r="R702" s="7"/>
      <c r="S702" s="7"/>
      <c r="T702" s="7"/>
      <c r="U702" s="7"/>
      <c r="V702" s="7"/>
      <c r="W702" s="7"/>
      <c r="X702" s="7"/>
    </row>
    <row r="703" spans="2:24" ht="15.75" customHeight="1">
      <c r="B703" s="7"/>
      <c r="C703" s="33"/>
      <c r="D703" s="7"/>
      <c r="E703" s="7"/>
      <c r="F703" s="7"/>
      <c r="G703" s="7"/>
      <c r="H703" s="7"/>
      <c r="I703" s="7"/>
      <c r="K703" s="7"/>
      <c r="L703" s="7"/>
      <c r="M703" s="7"/>
      <c r="N703" s="7"/>
      <c r="O703" s="7"/>
      <c r="P703" s="7"/>
      <c r="Q703" s="7"/>
      <c r="R703" s="7"/>
      <c r="S703" s="7"/>
      <c r="T703" s="7"/>
      <c r="U703" s="7"/>
      <c r="V703" s="7"/>
      <c r="W703" s="7"/>
      <c r="X703" s="7"/>
    </row>
    <row r="704" spans="2:24" ht="15.75" customHeight="1">
      <c r="B704" s="7"/>
      <c r="C704" s="33"/>
      <c r="D704" s="7"/>
      <c r="E704" s="7"/>
      <c r="F704" s="7"/>
      <c r="G704" s="7"/>
      <c r="H704" s="7"/>
      <c r="I704" s="7"/>
      <c r="K704" s="7"/>
      <c r="L704" s="7"/>
      <c r="M704" s="7"/>
      <c r="N704" s="7"/>
      <c r="O704" s="7"/>
      <c r="P704" s="7"/>
      <c r="Q704" s="7"/>
      <c r="R704" s="7"/>
      <c r="S704" s="7"/>
      <c r="T704" s="7"/>
      <c r="U704" s="7"/>
      <c r="V704" s="7"/>
      <c r="W704" s="7"/>
      <c r="X704" s="7"/>
    </row>
    <row r="705" spans="2:24" ht="15.75" customHeight="1">
      <c r="B705" s="7"/>
      <c r="C705" s="33"/>
      <c r="D705" s="7"/>
      <c r="E705" s="7"/>
      <c r="F705" s="7"/>
      <c r="G705" s="7"/>
      <c r="H705" s="7"/>
      <c r="I705" s="7"/>
      <c r="K705" s="7"/>
      <c r="L705" s="7"/>
      <c r="M705" s="7"/>
      <c r="N705" s="7"/>
      <c r="O705" s="7"/>
      <c r="P705" s="7"/>
      <c r="Q705" s="7"/>
      <c r="R705" s="7"/>
      <c r="S705" s="7"/>
      <c r="T705" s="7"/>
      <c r="U705" s="7"/>
      <c r="V705" s="7"/>
      <c r="W705" s="7"/>
      <c r="X705" s="7"/>
    </row>
    <row r="706" spans="2:24" ht="15.75" customHeight="1">
      <c r="B706" s="7"/>
      <c r="C706" s="33"/>
      <c r="D706" s="7"/>
      <c r="E706" s="7"/>
      <c r="F706" s="7"/>
      <c r="G706" s="7"/>
      <c r="H706" s="7"/>
      <c r="I706" s="7"/>
      <c r="K706" s="7"/>
      <c r="L706" s="7"/>
      <c r="M706" s="7"/>
      <c r="N706" s="7"/>
      <c r="O706" s="7"/>
      <c r="P706" s="7"/>
      <c r="Q706" s="7"/>
      <c r="R706" s="7"/>
      <c r="S706" s="7"/>
      <c r="T706" s="7"/>
      <c r="U706" s="7"/>
      <c r="V706" s="7"/>
      <c r="W706" s="7"/>
      <c r="X706" s="7"/>
    </row>
    <row r="707" spans="2:24" ht="15.75" customHeight="1">
      <c r="B707" s="7"/>
      <c r="C707" s="33"/>
      <c r="D707" s="7"/>
      <c r="E707" s="7"/>
      <c r="F707" s="7"/>
      <c r="G707" s="7"/>
      <c r="H707" s="7"/>
      <c r="I707" s="7"/>
      <c r="K707" s="7"/>
      <c r="L707" s="7"/>
      <c r="M707" s="7"/>
      <c r="N707" s="7"/>
      <c r="O707" s="7"/>
      <c r="P707" s="7"/>
      <c r="Q707" s="7"/>
      <c r="R707" s="7"/>
      <c r="S707" s="7"/>
      <c r="T707" s="7"/>
      <c r="U707" s="7"/>
      <c r="V707" s="7"/>
      <c r="W707" s="7"/>
      <c r="X707" s="7"/>
    </row>
    <row r="708" spans="2:24" ht="15.75" customHeight="1">
      <c r="B708" s="7"/>
      <c r="C708" s="33"/>
      <c r="D708" s="7"/>
      <c r="E708" s="7"/>
      <c r="F708" s="7"/>
      <c r="G708" s="7"/>
      <c r="H708" s="7"/>
      <c r="I708" s="7"/>
      <c r="K708" s="7"/>
      <c r="L708" s="7"/>
      <c r="M708" s="7"/>
      <c r="N708" s="7"/>
      <c r="O708" s="7"/>
      <c r="P708" s="7"/>
      <c r="Q708" s="7"/>
      <c r="R708" s="7"/>
      <c r="S708" s="7"/>
      <c r="T708" s="7"/>
      <c r="U708" s="7"/>
      <c r="V708" s="7"/>
      <c r="W708" s="7"/>
      <c r="X708" s="7"/>
    </row>
    <row r="709" spans="2:24" ht="15.75" customHeight="1">
      <c r="B709" s="7"/>
      <c r="C709" s="33"/>
      <c r="D709" s="7"/>
      <c r="E709" s="7"/>
      <c r="F709" s="7"/>
      <c r="G709" s="7"/>
      <c r="H709" s="7"/>
      <c r="I709" s="7"/>
      <c r="K709" s="7"/>
      <c r="L709" s="7"/>
      <c r="M709" s="7"/>
      <c r="N709" s="7"/>
      <c r="O709" s="7"/>
      <c r="P709" s="7"/>
      <c r="Q709" s="7"/>
      <c r="R709" s="7"/>
      <c r="S709" s="7"/>
      <c r="T709" s="7"/>
      <c r="U709" s="7"/>
      <c r="V709" s="7"/>
      <c r="W709" s="7"/>
      <c r="X709" s="7"/>
    </row>
    <row r="710" spans="2:24" ht="15.75" customHeight="1">
      <c r="B710" s="7"/>
      <c r="C710" s="33"/>
      <c r="D710" s="7"/>
      <c r="E710" s="7"/>
      <c r="F710" s="7"/>
      <c r="G710" s="7"/>
      <c r="H710" s="7"/>
      <c r="I710" s="7"/>
      <c r="K710" s="7"/>
      <c r="L710" s="7"/>
      <c r="M710" s="7"/>
      <c r="N710" s="7"/>
      <c r="O710" s="7"/>
      <c r="P710" s="7"/>
      <c r="Q710" s="7"/>
      <c r="R710" s="7"/>
      <c r="S710" s="7"/>
      <c r="T710" s="7"/>
      <c r="U710" s="7"/>
      <c r="V710" s="7"/>
      <c r="W710" s="7"/>
      <c r="X710" s="7"/>
    </row>
    <row r="711" spans="2:24" ht="15.75" customHeight="1">
      <c r="B711" s="7"/>
      <c r="C711" s="33"/>
      <c r="D711" s="7"/>
      <c r="E711" s="7"/>
      <c r="F711" s="7"/>
      <c r="G711" s="7"/>
      <c r="H711" s="7"/>
      <c r="I711" s="7"/>
      <c r="K711" s="7"/>
      <c r="L711" s="7"/>
      <c r="M711" s="7"/>
      <c r="N711" s="7"/>
      <c r="O711" s="7"/>
      <c r="P711" s="7"/>
      <c r="Q711" s="7"/>
      <c r="R711" s="7"/>
      <c r="S711" s="7"/>
      <c r="T711" s="7"/>
      <c r="U711" s="7"/>
      <c r="V711" s="7"/>
      <c r="W711" s="7"/>
      <c r="X711" s="7"/>
    </row>
    <row r="712" spans="2:24" ht="15.75" customHeight="1">
      <c r="B712" s="7"/>
      <c r="C712" s="33"/>
      <c r="D712" s="7"/>
      <c r="E712" s="7"/>
      <c r="F712" s="7"/>
      <c r="G712" s="7"/>
      <c r="H712" s="7"/>
      <c r="I712" s="7"/>
      <c r="K712" s="7"/>
      <c r="L712" s="7"/>
      <c r="M712" s="7"/>
      <c r="N712" s="7"/>
      <c r="O712" s="7"/>
      <c r="P712" s="7"/>
      <c r="Q712" s="7"/>
      <c r="R712" s="7"/>
      <c r="S712" s="7"/>
      <c r="T712" s="7"/>
      <c r="U712" s="7"/>
      <c r="V712" s="7"/>
      <c r="W712" s="7"/>
      <c r="X712" s="7"/>
    </row>
    <row r="713" spans="2:24" ht="15.75" customHeight="1">
      <c r="B713" s="7"/>
      <c r="C713" s="33"/>
      <c r="D713" s="7"/>
      <c r="E713" s="7"/>
      <c r="F713" s="7"/>
      <c r="G713" s="7"/>
      <c r="H713" s="7"/>
      <c r="I713" s="7"/>
      <c r="K713" s="7"/>
      <c r="L713" s="7"/>
      <c r="M713" s="7"/>
      <c r="N713" s="7"/>
      <c r="O713" s="7"/>
      <c r="P713" s="7"/>
      <c r="Q713" s="7"/>
      <c r="R713" s="7"/>
      <c r="S713" s="7"/>
      <c r="T713" s="7"/>
      <c r="U713" s="7"/>
      <c r="V713" s="7"/>
      <c r="W713" s="7"/>
      <c r="X713" s="7"/>
    </row>
    <row r="714" spans="2:24" ht="15.75" customHeight="1">
      <c r="B714" s="7"/>
      <c r="C714" s="33"/>
      <c r="D714" s="7"/>
      <c r="E714" s="7"/>
      <c r="F714" s="7"/>
      <c r="G714" s="7"/>
      <c r="H714" s="7"/>
      <c r="I714" s="7"/>
      <c r="K714" s="7"/>
      <c r="L714" s="7"/>
      <c r="M714" s="7"/>
      <c r="N714" s="7"/>
      <c r="O714" s="7"/>
      <c r="P714" s="7"/>
      <c r="Q714" s="7"/>
      <c r="R714" s="7"/>
      <c r="S714" s="7"/>
      <c r="T714" s="7"/>
      <c r="U714" s="7"/>
      <c r="V714" s="7"/>
      <c r="W714" s="7"/>
      <c r="X714" s="7"/>
    </row>
    <row r="715" spans="2:24" ht="15.75" customHeight="1">
      <c r="B715" s="7"/>
      <c r="C715" s="33"/>
      <c r="D715" s="7"/>
      <c r="E715" s="7"/>
      <c r="F715" s="7"/>
      <c r="G715" s="7"/>
      <c r="H715" s="7"/>
      <c r="I715" s="7"/>
      <c r="K715" s="7"/>
      <c r="L715" s="7"/>
      <c r="M715" s="7"/>
      <c r="N715" s="7"/>
      <c r="O715" s="7"/>
      <c r="P715" s="7"/>
      <c r="Q715" s="7"/>
      <c r="R715" s="7"/>
      <c r="S715" s="7"/>
      <c r="T715" s="7"/>
      <c r="U715" s="7"/>
      <c r="V715" s="7"/>
      <c r="W715" s="7"/>
      <c r="X715" s="7"/>
    </row>
    <row r="716" spans="2:24" ht="15.75" customHeight="1">
      <c r="B716" s="7"/>
      <c r="C716" s="33"/>
      <c r="D716" s="7"/>
      <c r="E716" s="7"/>
      <c r="F716" s="7"/>
      <c r="G716" s="7"/>
      <c r="H716" s="7"/>
      <c r="I716" s="7"/>
      <c r="K716" s="7"/>
      <c r="L716" s="7"/>
      <c r="M716" s="7"/>
      <c r="N716" s="7"/>
      <c r="O716" s="7"/>
      <c r="P716" s="7"/>
      <c r="Q716" s="7"/>
      <c r="R716" s="7"/>
      <c r="S716" s="7"/>
      <c r="T716" s="7"/>
      <c r="U716" s="7"/>
      <c r="V716" s="7"/>
      <c r="W716" s="7"/>
      <c r="X716" s="7"/>
    </row>
    <row r="717" spans="2:24" ht="15.75" customHeight="1">
      <c r="B717" s="7"/>
      <c r="C717" s="33"/>
      <c r="D717" s="7"/>
      <c r="E717" s="7"/>
      <c r="F717" s="7"/>
      <c r="G717" s="7"/>
      <c r="H717" s="7"/>
      <c r="I717" s="7"/>
      <c r="K717" s="7"/>
      <c r="L717" s="7"/>
      <c r="M717" s="7"/>
      <c r="N717" s="7"/>
      <c r="O717" s="7"/>
      <c r="P717" s="7"/>
      <c r="Q717" s="7"/>
      <c r="R717" s="7"/>
      <c r="S717" s="7"/>
      <c r="T717" s="7"/>
      <c r="U717" s="7"/>
      <c r="V717" s="7"/>
      <c r="W717" s="7"/>
      <c r="X717" s="7"/>
    </row>
    <row r="718" spans="2:24" ht="15.75" customHeight="1">
      <c r="B718" s="7"/>
      <c r="C718" s="33"/>
      <c r="D718" s="7"/>
      <c r="E718" s="7"/>
      <c r="F718" s="7"/>
      <c r="G718" s="7"/>
      <c r="H718" s="7"/>
      <c r="I718" s="7"/>
      <c r="K718" s="7"/>
      <c r="L718" s="7"/>
      <c r="M718" s="7"/>
      <c r="N718" s="7"/>
      <c r="O718" s="7"/>
      <c r="P718" s="7"/>
      <c r="Q718" s="7"/>
      <c r="R718" s="7"/>
      <c r="S718" s="7"/>
      <c r="T718" s="7"/>
      <c r="U718" s="7"/>
      <c r="V718" s="7"/>
      <c r="W718" s="7"/>
      <c r="X718" s="7"/>
    </row>
    <row r="719" spans="2:24" ht="15.75" customHeight="1">
      <c r="B719" s="7"/>
      <c r="C719" s="33"/>
      <c r="D719" s="7"/>
      <c r="E719" s="7"/>
      <c r="F719" s="7"/>
      <c r="G719" s="7"/>
      <c r="H719" s="7"/>
      <c r="I719" s="7"/>
      <c r="K719" s="7"/>
      <c r="L719" s="7"/>
      <c r="M719" s="7"/>
      <c r="N719" s="7"/>
      <c r="O719" s="7"/>
      <c r="P719" s="7"/>
      <c r="Q719" s="7"/>
      <c r="R719" s="7"/>
      <c r="S719" s="7"/>
      <c r="T719" s="7"/>
      <c r="U719" s="7"/>
      <c r="V719" s="7"/>
      <c r="W719" s="7"/>
      <c r="X719" s="7"/>
    </row>
    <row r="720" spans="2:24" ht="15.75" customHeight="1">
      <c r="B720" s="7"/>
      <c r="C720" s="33"/>
      <c r="D720" s="7"/>
      <c r="E720" s="7"/>
      <c r="F720" s="7"/>
      <c r="G720" s="7"/>
      <c r="H720" s="7"/>
      <c r="I720" s="7"/>
      <c r="K720" s="7"/>
      <c r="L720" s="7"/>
      <c r="M720" s="7"/>
      <c r="N720" s="7"/>
      <c r="O720" s="7"/>
      <c r="P720" s="7"/>
      <c r="Q720" s="7"/>
      <c r="R720" s="7"/>
      <c r="S720" s="7"/>
      <c r="T720" s="7"/>
      <c r="U720" s="7"/>
      <c r="V720" s="7"/>
      <c r="W720" s="7"/>
      <c r="X720" s="7"/>
    </row>
    <row r="721" spans="2:24" ht="15.75" customHeight="1">
      <c r="B721" s="7"/>
      <c r="C721" s="33"/>
      <c r="D721" s="7"/>
      <c r="E721" s="7"/>
      <c r="F721" s="7"/>
      <c r="G721" s="7"/>
      <c r="H721" s="7"/>
      <c r="I721" s="7"/>
      <c r="K721" s="7"/>
      <c r="L721" s="7"/>
      <c r="M721" s="7"/>
      <c r="N721" s="7"/>
      <c r="O721" s="7"/>
      <c r="P721" s="7"/>
      <c r="Q721" s="7"/>
      <c r="R721" s="7"/>
      <c r="S721" s="7"/>
      <c r="T721" s="7"/>
      <c r="U721" s="7"/>
      <c r="V721" s="7"/>
      <c r="W721" s="7"/>
      <c r="X721" s="7"/>
    </row>
    <row r="722" spans="2:24" ht="15.75" customHeight="1">
      <c r="B722" s="7"/>
      <c r="C722" s="33"/>
      <c r="D722" s="7"/>
      <c r="E722" s="7"/>
      <c r="F722" s="7"/>
      <c r="G722" s="7"/>
      <c r="H722" s="7"/>
      <c r="I722" s="7"/>
      <c r="K722" s="7"/>
      <c r="L722" s="7"/>
      <c r="M722" s="7"/>
      <c r="N722" s="7"/>
      <c r="O722" s="7"/>
      <c r="P722" s="7"/>
      <c r="Q722" s="7"/>
      <c r="R722" s="7"/>
      <c r="S722" s="7"/>
      <c r="T722" s="7"/>
      <c r="U722" s="7"/>
      <c r="V722" s="7"/>
      <c r="W722" s="7"/>
      <c r="X722" s="7"/>
    </row>
    <row r="723" spans="2:24" ht="15.75" customHeight="1">
      <c r="B723" s="7"/>
      <c r="C723" s="33"/>
      <c r="D723" s="7"/>
      <c r="E723" s="7"/>
      <c r="F723" s="7"/>
      <c r="G723" s="7"/>
      <c r="H723" s="7"/>
      <c r="I723" s="7"/>
      <c r="K723" s="7"/>
      <c r="L723" s="7"/>
      <c r="M723" s="7"/>
      <c r="N723" s="7"/>
      <c r="O723" s="7"/>
      <c r="P723" s="7"/>
      <c r="Q723" s="7"/>
      <c r="R723" s="7"/>
      <c r="S723" s="7"/>
      <c r="T723" s="7"/>
      <c r="U723" s="7"/>
      <c r="V723" s="7"/>
      <c r="W723" s="7"/>
      <c r="X723" s="7"/>
    </row>
    <row r="724" spans="2:24" ht="15.75" customHeight="1">
      <c r="B724" s="7"/>
      <c r="C724" s="33"/>
      <c r="D724" s="7"/>
      <c r="E724" s="7"/>
      <c r="F724" s="7"/>
      <c r="G724" s="7"/>
      <c r="H724" s="7"/>
      <c r="I724" s="7"/>
      <c r="K724" s="7"/>
      <c r="L724" s="7"/>
      <c r="M724" s="7"/>
      <c r="N724" s="7"/>
      <c r="O724" s="7"/>
      <c r="P724" s="7"/>
      <c r="Q724" s="7"/>
      <c r="R724" s="7"/>
      <c r="S724" s="7"/>
      <c r="T724" s="7"/>
      <c r="U724" s="7"/>
      <c r="V724" s="7"/>
      <c r="W724" s="7"/>
      <c r="X724" s="7"/>
    </row>
    <row r="725" spans="2:24" ht="15.75" customHeight="1">
      <c r="B725" s="7"/>
      <c r="C725" s="33"/>
      <c r="D725" s="7"/>
      <c r="E725" s="7"/>
      <c r="F725" s="7"/>
      <c r="G725" s="7"/>
      <c r="H725" s="7"/>
      <c r="I725" s="7"/>
      <c r="K725" s="7"/>
      <c r="L725" s="7"/>
      <c r="M725" s="7"/>
      <c r="N725" s="7"/>
      <c r="O725" s="7"/>
      <c r="P725" s="7"/>
      <c r="Q725" s="7"/>
      <c r="R725" s="7"/>
      <c r="S725" s="7"/>
      <c r="T725" s="7"/>
      <c r="U725" s="7"/>
      <c r="V725" s="7"/>
      <c r="W725" s="7"/>
      <c r="X725" s="7"/>
    </row>
    <row r="726" spans="2:24" ht="15.75" customHeight="1">
      <c r="B726" s="7"/>
      <c r="C726" s="33"/>
      <c r="D726" s="7"/>
      <c r="E726" s="7"/>
      <c r="F726" s="7"/>
      <c r="G726" s="7"/>
      <c r="H726" s="7"/>
      <c r="I726" s="7"/>
      <c r="K726" s="7"/>
      <c r="L726" s="7"/>
      <c r="M726" s="7"/>
      <c r="N726" s="7"/>
      <c r="O726" s="7"/>
      <c r="P726" s="7"/>
      <c r="Q726" s="7"/>
      <c r="R726" s="7"/>
      <c r="S726" s="7"/>
      <c r="T726" s="7"/>
      <c r="U726" s="7"/>
      <c r="V726" s="7"/>
      <c r="W726" s="7"/>
      <c r="X726" s="7"/>
    </row>
    <row r="727" spans="2:24" ht="15.75" customHeight="1">
      <c r="B727" s="7"/>
      <c r="C727" s="33"/>
      <c r="D727" s="7"/>
      <c r="E727" s="7"/>
      <c r="F727" s="7"/>
      <c r="G727" s="7"/>
      <c r="H727" s="7"/>
      <c r="I727" s="7"/>
      <c r="K727" s="7"/>
      <c r="L727" s="7"/>
      <c r="M727" s="7"/>
      <c r="N727" s="7"/>
      <c r="O727" s="7"/>
      <c r="P727" s="7"/>
      <c r="Q727" s="7"/>
      <c r="R727" s="7"/>
      <c r="S727" s="7"/>
      <c r="T727" s="7"/>
      <c r="U727" s="7"/>
      <c r="V727" s="7"/>
      <c r="W727" s="7"/>
      <c r="X727" s="7"/>
    </row>
    <row r="728" spans="2:24" ht="15.75" customHeight="1">
      <c r="B728" s="7"/>
      <c r="C728" s="33"/>
      <c r="D728" s="7"/>
      <c r="E728" s="7"/>
      <c r="F728" s="7"/>
      <c r="G728" s="7"/>
      <c r="H728" s="7"/>
      <c r="I728" s="7"/>
      <c r="K728" s="7"/>
      <c r="L728" s="7"/>
      <c r="M728" s="7"/>
      <c r="N728" s="7"/>
      <c r="O728" s="7"/>
      <c r="P728" s="7"/>
      <c r="Q728" s="7"/>
      <c r="R728" s="7"/>
      <c r="S728" s="7"/>
      <c r="T728" s="7"/>
      <c r="U728" s="7"/>
      <c r="V728" s="7"/>
      <c r="W728" s="7"/>
      <c r="X728" s="7"/>
    </row>
    <row r="729" spans="2:24" ht="15.75" customHeight="1">
      <c r="B729" s="7"/>
      <c r="C729" s="33"/>
      <c r="D729" s="7"/>
      <c r="E729" s="7"/>
      <c r="F729" s="7"/>
      <c r="G729" s="7"/>
      <c r="H729" s="7"/>
      <c r="I729" s="7"/>
      <c r="K729" s="7"/>
      <c r="L729" s="7"/>
      <c r="M729" s="7"/>
      <c r="N729" s="7"/>
      <c r="O729" s="7"/>
      <c r="P729" s="7"/>
      <c r="Q729" s="7"/>
      <c r="R729" s="7"/>
      <c r="S729" s="7"/>
      <c r="T729" s="7"/>
      <c r="U729" s="7"/>
      <c r="V729" s="7"/>
      <c r="W729" s="7"/>
      <c r="X729" s="7"/>
    </row>
    <row r="730" spans="2:24" ht="15.75" customHeight="1">
      <c r="B730" s="7"/>
      <c r="C730" s="33"/>
      <c r="D730" s="7"/>
      <c r="E730" s="7"/>
      <c r="F730" s="7"/>
      <c r="G730" s="7"/>
      <c r="H730" s="7"/>
      <c r="I730" s="7"/>
      <c r="K730" s="7"/>
      <c r="L730" s="7"/>
      <c r="M730" s="7"/>
      <c r="N730" s="7"/>
      <c r="O730" s="7"/>
      <c r="P730" s="7"/>
      <c r="Q730" s="7"/>
      <c r="R730" s="7"/>
      <c r="S730" s="7"/>
      <c r="T730" s="7"/>
      <c r="U730" s="7"/>
      <c r="V730" s="7"/>
      <c r="W730" s="7"/>
      <c r="X730" s="7"/>
    </row>
    <row r="731" spans="2:24" ht="15.75" customHeight="1">
      <c r="B731" s="7"/>
      <c r="C731" s="33"/>
      <c r="D731" s="7"/>
      <c r="E731" s="7"/>
      <c r="F731" s="7"/>
      <c r="G731" s="7"/>
      <c r="H731" s="7"/>
      <c r="I731" s="7"/>
      <c r="K731" s="7"/>
      <c r="L731" s="7"/>
      <c r="M731" s="7"/>
      <c r="N731" s="7"/>
      <c r="O731" s="7"/>
      <c r="P731" s="7"/>
      <c r="Q731" s="7"/>
      <c r="R731" s="7"/>
      <c r="S731" s="7"/>
      <c r="T731" s="7"/>
      <c r="U731" s="7"/>
      <c r="V731" s="7"/>
      <c r="W731" s="7"/>
      <c r="X731" s="7"/>
    </row>
    <row r="732" spans="2:24" ht="15.75" customHeight="1">
      <c r="B732" s="7"/>
      <c r="C732" s="33"/>
      <c r="D732" s="7"/>
      <c r="E732" s="7"/>
      <c r="F732" s="7"/>
      <c r="G732" s="7"/>
      <c r="H732" s="7"/>
      <c r="I732" s="7"/>
      <c r="K732" s="7"/>
      <c r="L732" s="7"/>
      <c r="M732" s="7"/>
      <c r="N732" s="7"/>
      <c r="O732" s="7"/>
      <c r="P732" s="7"/>
      <c r="Q732" s="7"/>
      <c r="R732" s="7"/>
      <c r="S732" s="7"/>
      <c r="T732" s="7"/>
      <c r="U732" s="7"/>
      <c r="V732" s="7"/>
      <c r="W732" s="7"/>
      <c r="X732" s="7"/>
    </row>
    <row r="733" spans="2:24" ht="15.75" customHeight="1">
      <c r="B733" s="7"/>
      <c r="C733" s="33"/>
      <c r="D733" s="7"/>
      <c r="E733" s="7"/>
      <c r="F733" s="7"/>
      <c r="G733" s="7"/>
      <c r="H733" s="7"/>
      <c r="I733" s="7"/>
      <c r="K733" s="7"/>
      <c r="L733" s="7"/>
      <c r="M733" s="7"/>
      <c r="N733" s="7"/>
      <c r="O733" s="7"/>
      <c r="P733" s="7"/>
      <c r="Q733" s="7"/>
      <c r="R733" s="7"/>
      <c r="S733" s="7"/>
      <c r="T733" s="7"/>
      <c r="U733" s="7"/>
      <c r="V733" s="7"/>
      <c r="W733" s="7"/>
      <c r="X733" s="7"/>
    </row>
    <row r="734" spans="2:24" ht="15.75" customHeight="1">
      <c r="B734" s="7"/>
      <c r="C734" s="33"/>
      <c r="D734" s="7"/>
      <c r="E734" s="7"/>
      <c r="F734" s="7"/>
      <c r="G734" s="7"/>
      <c r="H734" s="7"/>
      <c r="I734" s="7"/>
      <c r="K734" s="7"/>
      <c r="L734" s="7"/>
      <c r="M734" s="7"/>
      <c r="N734" s="7"/>
      <c r="O734" s="7"/>
      <c r="P734" s="7"/>
      <c r="Q734" s="7"/>
      <c r="R734" s="7"/>
      <c r="S734" s="7"/>
      <c r="T734" s="7"/>
      <c r="U734" s="7"/>
      <c r="V734" s="7"/>
      <c r="W734" s="7"/>
      <c r="X734" s="7"/>
    </row>
    <row r="735" spans="2:24" ht="15.75" customHeight="1">
      <c r="B735" s="7"/>
      <c r="C735" s="33"/>
      <c r="D735" s="7"/>
      <c r="E735" s="7"/>
      <c r="F735" s="7"/>
      <c r="G735" s="7"/>
      <c r="H735" s="7"/>
      <c r="I735" s="7"/>
      <c r="K735" s="7"/>
      <c r="L735" s="7"/>
      <c r="M735" s="7"/>
      <c r="N735" s="7"/>
      <c r="O735" s="7"/>
      <c r="P735" s="7"/>
      <c r="Q735" s="7"/>
      <c r="R735" s="7"/>
      <c r="S735" s="7"/>
      <c r="T735" s="7"/>
      <c r="U735" s="7"/>
      <c r="V735" s="7"/>
      <c r="W735" s="7"/>
      <c r="X735" s="7"/>
    </row>
    <row r="736" spans="2:24" ht="15.75" customHeight="1">
      <c r="B736" s="7"/>
      <c r="C736" s="33"/>
      <c r="D736" s="7"/>
      <c r="E736" s="7"/>
      <c r="F736" s="7"/>
      <c r="G736" s="7"/>
      <c r="H736" s="7"/>
      <c r="I736" s="7"/>
      <c r="K736" s="7"/>
      <c r="L736" s="7"/>
      <c r="M736" s="7"/>
      <c r="N736" s="7"/>
      <c r="O736" s="7"/>
      <c r="P736" s="7"/>
      <c r="Q736" s="7"/>
      <c r="R736" s="7"/>
      <c r="S736" s="7"/>
      <c r="T736" s="7"/>
      <c r="U736" s="7"/>
      <c r="V736" s="7"/>
      <c r="W736" s="7"/>
      <c r="X736" s="7"/>
    </row>
    <row r="737" spans="2:24" ht="15.75" customHeight="1">
      <c r="B737" s="7"/>
      <c r="C737" s="33"/>
      <c r="D737" s="7"/>
      <c r="E737" s="7"/>
      <c r="F737" s="7"/>
      <c r="G737" s="7"/>
      <c r="H737" s="7"/>
      <c r="I737" s="7"/>
      <c r="K737" s="7"/>
      <c r="L737" s="7"/>
      <c r="M737" s="7"/>
      <c r="N737" s="7"/>
      <c r="O737" s="7"/>
      <c r="P737" s="7"/>
      <c r="Q737" s="7"/>
      <c r="R737" s="7"/>
      <c r="S737" s="7"/>
      <c r="T737" s="7"/>
      <c r="U737" s="7"/>
      <c r="V737" s="7"/>
      <c r="W737" s="7"/>
      <c r="X737" s="7"/>
    </row>
    <row r="738" spans="2:24" ht="15.75" customHeight="1">
      <c r="B738" s="7"/>
      <c r="C738" s="33"/>
      <c r="D738" s="7"/>
      <c r="E738" s="7"/>
      <c r="F738" s="7"/>
      <c r="G738" s="7"/>
      <c r="H738" s="7"/>
      <c r="I738" s="7"/>
      <c r="K738" s="7"/>
      <c r="L738" s="7"/>
      <c r="M738" s="7"/>
      <c r="N738" s="7"/>
      <c r="O738" s="7"/>
      <c r="P738" s="7"/>
      <c r="Q738" s="7"/>
      <c r="R738" s="7"/>
      <c r="S738" s="7"/>
      <c r="T738" s="7"/>
      <c r="U738" s="7"/>
      <c r="V738" s="7"/>
      <c r="W738" s="7"/>
      <c r="X738" s="7"/>
    </row>
    <row r="739" spans="2:24" ht="15.75" customHeight="1">
      <c r="B739" s="7"/>
      <c r="C739" s="33"/>
      <c r="D739" s="7"/>
      <c r="E739" s="7"/>
      <c r="F739" s="7"/>
      <c r="G739" s="7"/>
      <c r="H739" s="7"/>
      <c r="I739" s="7"/>
      <c r="K739" s="7"/>
      <c r="L739" s="7"/>
      <c r="M739" s="7"/>
      <c r="N739" s="7"/>
      <c r="O739" s="7"/>
      <c r="P739" s="7"/>
      <c r="Q739" s="7"/>
      <c r="R739" s="7"/>
      <c r="S739" s="7"/>
      <c r="T739" s="7"/>
      <c r="U739" s="7"/>
      <c r="V739" s="7"/>
      <c r="W739" s="7"/>
      <c r="X739" s="7"/>
    </row>
    <row r="740" spans="2:24" ht="15.75" customHeight="1">
      <c r="B740" s="7"/>
      <c r="C740" s="33"/>
      <c r="D740" s="7"/>
      <c r="E740" s="7"/>
      <c r="F740" s="7"/>
      <c r="G740" s="7"/>
      <c r="H740" s="7"/>
      <c r="I740" s="7"/>
      <c r="K740" s="7"/>
      <c r="L740" s="7"/>
      <c r="M740" s="7"/>
      <c r="N740" s="7"/>
      <c r="O740" s="7"/>
      <c r="P740" s="7"/>
      <c r="Q740" s="7"/>
      <c r="R740" s="7"/>
      <c r="S740" s="7"/>
      <c r="T740" s="7"/>
      <c r="U740" s="7"/>
      <c r="V740" s="7"/>
      <c r="W740" s="7"/>
      <c r="X740" s="7"/>
    </row>
    <row r="741" spans="2:24" ht="15.75" customHeight="1">
      <c r="B741" s="7"/>
      <c r="C741" s="33"/>
      <c r="D741" s="7"/>
      <c r="E741" s="7"/>
      <c r="F741" s="7"/>
      <c r="G741" s="7"/>
      <c r="H741" s="7"/>
      <c r="I741" s="7"/>
      <c r="K741" s="7"/>
      <c r="L741" s="7"/>
      <c r="M741" s="7"/>
      <c r="N741" s="7"/>
      <c r="O741" s="7"/>
      <c r="P741" s="7"/>
      <c r="Q741" s="7"/>
      <c r="R741" s="7"/>
      <c r="S741" s="7"/>
      <c r="T741" s="7"/>
      <c r="U741" s="7"/>
      <c r="V741" s="7"/>
      <c r="W741" s="7"/>
      <c r="X741" s="7"/>
    </row>
    <row r="742" spans="2:24" ht="15.75" customHeight="1">
      <c r="B742" s="7"/>
      <c r="C742" s="33"/>
      <c r="D742" s="7"/>
      <c r="E742" s="7"/>
      <c r="F742" s="7"/>
      <c r="G742" s="7"/>
      <c r="H742" s="7"/>
      <c r="I742" s="7"/>
      <c r="K742" s="7"/>
      <c r="L742" s="7"/>
      <c r="M742" s="7"/>
      <c r="N742" s="7"/>
      <c r="O742" s="7"/>
      <c r="P742" s="7"/>
      <c r="Q742" s="7"/>
      <c r="R742" s="7"/>
      <c r="S742" s="7"/>
      <c r="T742" s="7"/>
      <c r="U742" s="7"/>
      <c r="V742" s="7"/>
      <c r="W742" s="7"/>
      <c r="X742" s="7"/>
    </row>
    <row r="743" spans="2:24" ht="15.75" customHeight="1">
      <c r="B743" s="7"/>
      <c r="C743" s="33"/>
      <c r="D743" s="7"/>
      <c r="E743" s="7"/>
      <c r="F743" s="7"/>
      <c r="G743" s="7"/>
      <c r="H743" s="7"/>
      <c r="I743" s="7"/>
      <c r="K743" s="7"/>
      <c r="L743" s="7"/>
      <c r="M743" s="7"/>
      <c r="N743" s="7"/>
      <c r="O743" s="7"/>
      <c r="P743" s="7"/>
      <c r="Q743" s="7"/>
      <c r="R743" s="7"/>
      <c r="S743" s="7"/>
      <c r="T743" s="7"/>
      <c r="U743" s="7"/>
      <c r="V743" s="7"/>
      <c r="W743" s="7"/>
      <c r="X743" s="7"/>
    </row>
    <row r="744" spans="2:24" ht="15.75" customHeight="1">
      <c r="B744" s="7"/>
      <c r="C744" s="33"/>
      <c r="D744" s="7"/>
      <c r="E744" s="7"/>
      <c r="F744" s="7"/>
      <c r="G744" s="7"/>
      <c r="H744" s="7"/>
      <c r="I744" s="7"/>
      <c r="K744" s="7"/>
      <c r="L744" s="7"/>
      <c r="M744" s="7"/>
      <c r="N744" s="7"/>
      <c r="O744" s="7"/>
      <c r="P744" s="7"/>
      <c r="Q744" s="7"/>
      <c r="R744" s="7"/>
      <c r="S744" s="7"/>
      <c r="T744" s="7"/>
      <c r="U744" s="7"/>
      <c r="V744" s="7"/>
      <c r="W744" s="7"/>
      <c r="X744" s="7"/>
    </row>
    <row r="745" spans="2:24" ht="15.75" customHeight="1">
      <c r="B745" s="7"/>
      <c r="C745" s="33"/>
      <c r="D745" s="7"/>
      <c r="E745" s="7"/>
      <c r="F745" s="7"/>
      <c r="G745" s="7"/>
      <c r="H745" s="7"/>
      <c r="I745" s="7"/>
      <c r="K745" s="7"/>
      <c r="L745" s="7"/>
      <c r="M745" s="7"/>
      <c r="N745" s="7"/>
      <c r="O745" s="7"/>
      <c r="P745" s="7"/>
      <c r="Q745" s="7"/>
      <c r="R745" s="7"/>
      <c r="S745" s="7"/>
      <c r="T745" s="7"/>
      <c r="U745" s="7"/>
      <c r="V745" s="7"/>
      <c r="W745" s="7"/>
      <c r="X745" s="7"/>
    </row>
    <row r="746" spans="2:24" ht="15.75" customHeight="1">
      <c r="B746" s="7"/>
      <c r="C746" s="33"/>
      <c r="D746" s="7"/>
      <c r="E746" s="7"/>
      <c r="F746" s="7"/>
      <c r="G746" s="7"/>
      <c r="H746" s="7"/>
      <c r="I746" s="7"/>
      <c r="K746" s="7"/>
      <c r="L746" s="7"/>
      <c r="M746" s="7"/>
      <c r="N746" s="7"/>
      <c r="O746" s="7"/>
      <c r="P746" s="7"/>
      <c r="Q746" s="7"/>
      <c r="R746" s="7"/>
      <c r="S746" s="7"/>
      <c r="T746" s="7"/>
      <c r="U746" s="7"/>
      <c r="V746" s="7"/>
      <c r="W746" s="7"/>
      <c r="X746" s="7"/>
    </row>
    <row r="747" spans="2:24" ht="15.75" customHeight="1">
      <c r="B747" s="7"/>
      <c r="C747" s="33"/>
      <c r="D747" s="7"/>
      <c r="E747" s="7"/>
      <c r="F747" s="7"/>
      <c r="G747" s="7"/>
      <c r="H747" s="7"/>
      <c r="I747" s="7"/>
      <c r="K747" s="7"/>
      <c r="L747" s="7"/>
      <c r="M747" s="7"/>
      <c r="N747" s="7"/>
      <c r="O747" s="7"/>
      <c r="P747" s="7"/>
      <c r="Q747" s="7"/>
      <c r="R747" s="7"/>
      <c r="S747" s="7"/>
      <c r="T747" s="7"/>
      <c r="U747" s="7"/>
      <c r="V747" s="7"/>
      <c r="W747" s="7"/>
      <c r="X747" s="7"/>
    </row>
    <row r="748" spans="2:24" ht="15.75" customHeight="1">
      <c r="B748" s="7"/>
      <c r="C748" s="33"/>
      <c r="D748" s="7"/>
      <c r="E748" s="7"/>
      <c r="F748" s="7"/>
      <c r="G748" s="7"/>
      <c r="H748" s="7"/>
      <c r="I748" s="7"/>
      <c r="K748" s="7"/>
      <c r="L748" s="7"/>
      <c r="M748" s="7"/>
      <c r="N748" s="7"/>
      <c r="O748" s="7"/>
      <c r="P748" s="7"/>
      <c r="Q748" s="7"/>
      <c r="R748" s="7"/>
      <c r="S748" s="7"/>
      <c r="T748" s="7"/>
      <c r="U748" s="7"/>
      <c r="V748" s="7"/>
      <c r="W748" s="7"/>
      <c r="X748" s="7"/>
    </row>
    <row r="749" spans="2:24" ht="15.75" customHeight="1">
      <c r="B749" s="7"/>
      <c r="C749" s="33"/>
      <c r="D749" s="7"/>
      <c r="E749" s="7"/>
      <c r="F749" s="7"/>
      <c r="G749" s="7"/>
      <c r="H749" s="7"/>
      <c r="I749" s="7"/>
      <c r="K749" s="7"/>
      <c r="L749" s="7"/>
      <c r="M749" s="7"/>
      <c r="N749" s="7"/>
      <c r="O749" s="7"/>
      <c r="P749" s="7"/>
      <c r="Q749" s="7"/>
      <c r="R749" s="7"/>
      <c r="S749" s="7"/>
      <c r="T749" s="7"/>
      <c r="U749" s="7"/>
      <c r="V749" s="7"/>
      <c r="W749" s="7"/>
      <c r="X749" s="7"/>
    </row>
    <row r="750" spans="2:24" ht="15.75" customHeight="1">
      <c r="B750" s="7"/>
      <c r="C750" s="33"/>
      <c r="D750" s="7"/>
      <c r="E750" s="7"/>
      <c r="F750" s="7"/>
      <c r="G750" s="7"/>
      <c r="H750" s="7"/>
      <c r="I750" s="7"/>
      <c r="K750" s="7"/>
      <c r="L750" s="7"/>
      <c r="M750" s="7"/>
      <c r="N750" s="7"/>
      <c r="O750" s="7"/>
      <c r="P750" s="7"/>
      <c r="Q750" s="7"/>
      <c r="R750" s="7"/>
      <c r="S750" s="7"/>
      <c r="T750" s="7"/>
      <c r="U750" s="7"/>
      <c r="V750" s="7"/>
      <c r="W750" s="7"/>
      <c r="X750" s="7"/>
    </row>
    <row r="751" spans="2:24" ht="15.75" customHeight="1">
      <c r="B751" s="7"/>
      <c r="C751" s="33"/>
      <c r="D751" s="7"/>
      <c r="E751" s="7"/>
      <c r="F751" s="7"/>
      <c r="G751" s="7"/>
      <c r="H751" s="7"/>
      <c r="I751" s="7"/>
      <c r="K751" s="7"/>
      <c r="L751" s="7"/>
      <c r="M751" s="7"/>
      <c r="N751" s="7"/>
      <c r="O751" s="7"/>
      <c r="P751" s="7"/>
      <c r="Q751" s="7"/>
      <c r="R751" s="7"/>
      <c r="S751" s="7"/>
      <c r="T751" s="7"/>
      <c r="U751" s="7"/>
      <c r="V751" s="7"/>
      <c r="W751" s="7"/>
      <c r="X751" s="7"/>
    </row>
    <row r="752" spans="2:24" ht="15.75" customHeight="1">
      <c r="B752" s="7"/>
      <c r="C752" s="33"/>
      <c r="D752" s="7"/>
      <c r="E752" s="7"/>
      <c r="F752" s="7"/>
      <c r="G752" s="7"/>
      <c r="H752" s="7"/>
      <c r="I752" s="7"/>
      <c r="K752" s="7"/>
      <c r="L752" s="7"/>
      <c r="M752" s="7"/>
      <c r="N752" s="7"/>
      <c r="O752" s="7"/>
      <c r="P752" s="7"/>
      <c r="Q752" s="7"/>
      <c r="R752" s="7"/>
      <c r="S752" s="7"/>
      <c r="T752" s="7"/>
      <c r="U752" s="7"/>
      <c r="V752" s="7"/>
      <c r="W752" s="7"/>
      <c r="X752" s="7"/>
    </row>
    <row r="753" spans="2:24" ht="15.75" customHeight="1">
      <c r="B753" s="7"/>
      <c r="C753" s="33"/>
      <c r="D753" s="7"/>
      <c r="E753" s="7"/>
      <c r="F753" s="7"/>
      <c r="G753" s="7"/>
      <c r="H753" s="7"/>
      <c r="I753" s="7"/>
      <c r="K753" s="7"/>
      <c r="L753" s="7"/>
      <c r="M753" s="7"/>
      <c r="N753" s="7"/>
      <c r="O753" s="7"/>
      <c r="P753" s="7"/>
      <c r="Q753" s="7"/>
      <c r="R753" s="7"/>
      <c r="S753" s="7"/>
      <c r="T753" s="7"/>
      <c r="U753" s="7"/>
      <c r="V753" s="7"/>
      <c r="W753" s="7"/>
      <c r="X753" s="7"/>
    </row>
    <row r="754" spans="2:24" ht="15.75" customHeight="1">
      <c r="B754" s="7"/>
      <c r="C754" s="33"/>
      <c r="D754" s="7"/>
      <c r="E754" s="7"/>
      <c r="F754" s="7"/>
      <c r="G754" s="7"/>
      <c r="H754" s="7"/>
      <c r="I754" s="7"/>
      <c r="K754" s="7"/>
      <c r="L754" s="7"/>
      <c r="M754" s="7"/>
      <c r="N754" s="7"/>
      <c r="O754" s="7"/>
      <c r="P754" s="7"/>
      <c r="Q754" s="7"/>
      <c r="R754" s="7"/>
      <c r="S754" s="7"/>
      <c r="T754" s="7"/>
      <c r="U754" s="7"/>
      <c r="V754" s="7"/>
      <c r="W754" s="7"/>
      <c r="X754" s="7"/>
    </row>
    <row r="755" spans="2:24" ht="15.75" customHeight="1">
      <c r="B755" s="7"/>
      <c r="C755" s="33"/>
      <c r="D755" s="7"/>
      <c r="E755" s="7"/>
      <c r="F755" s="7"/>
      <c r="G755" s="7"/>
      <c r="H755" s="7"/>
      <c r="I755" s="7"/>
      <c r="K755" s="7"/>
      <c r="L755" s="7"/>
      <c r="M755" s="7"/>
      <c r="N755" s="7"/>
      <c r="O755" s="7"/>
      <c r="P755" s="7"/>
      <c r="Q755" s="7"/>
      <c r="R755" s="7"/>
      <c r="S755" s="7"/>
      <c r="T755" s="7"/>
      <c r="U755" s="7"/>
      <c r="V755" s="7"/>
      <c r="W755" s="7"/>
      <c r="X755" s="7"/>
    </row>
    <row r="756" spans="2:24" ht="15.75" customHeight="1">
      <c r="B756" s="7"/>
      <c r="C756" s="33"/>
      <c r="D756" s="7"/>
      <c r="E756" s="7"/>
      <c r="F756" s="7"/>
      <c r="G756" s="7"/>
      <c r="H756" s="7"/>
      <c r="I756" s="7"/>
      <c r="K756" s="7"/>
      <c r="L756" s="7"/>
      <c r="M756" s="7"/>
      <c r="N756" s="7"/>
      <c r="O756" s="7"/>
      <c r="P756" s="7"/>
      <c r="Q756" s="7"/>
      <c r="R756" s="7"/>
      <c r="S756" s="7"/>
      <c r="T756" s="7"/>
      <c r="U756" s="7"/>
      <c r="V756" s="7"/>
      <c r="W756" s="7"/>
      <c r="X756" s="7"/>
    </row>
    <row r="757" spans="2:24" ht="15.75" customHeight="1">
      <c r="B757" s="7"/>
      <c r="C757" s="33"/>
      <c r="D757" s="7"/>
      <c r="E757" s="7"/>
      <c r="F757" s="7"/>
      <c r="G757" s="7"/>
      <c r="H757" s="7"/>
      <c r="I757" s="7"/>
      <c r="K757" s="7"/>
      <c r="L757" s="7"/>
      <c r="M757" s="7"/>
      <c r="N757" s="7"/>
      <c r="O757" s="7"/>
      <c r="P757" s="7"/>
      <c r="Q757" s="7"/>
      <c r="R757" s="7"/>
      <c r="S757" s="7"/>
      <c r="T757" s="7"/>
      <c r="U757" s="7"/>
      <c r="V757" s="7"/>
      <c r="W757" s="7"/>
      <c r="X757" s="7"/>
    </row>
    <row r="758" spans="2:24" ht="15.75" customHeight="1">
      <c r="B758" s="7"/>
      <c r="C758" s="33"/>
      <c r="D758" s="7"/>
      <c r="E758" s="7"/>
      <c r="F758" s="7"/>
      <c r="G758" s="7"/>
      <c r="H758" s="7"/>
      <c r="I758" s="7"/>
      <c r="K758" s="7"/>
      <c r="L758" s="7"/>
      <c r="M758" s="7"/>
      <c r="N758" s="7"/>
      <c r="O758" s="7"/>
      <c r="P758" s="7"/>
      <c r="Q758" s="7"/>
      <c r="R758" s="7"/>
      <c r="S758" s="7"/>
      <c r="T758" s="7"/>
      <c r="U758" s="7"/>
      <c r="V758" s="7"/>
      <c r="W758" s="7"/>
      <c r="X758" s="7"/>
    </row>
    <row r="759" spans="2:24" ht="35.1" customHeight="1">
      <c r="B759" s="7"/>
      <c r="C759" s="33"/>
      <c r="D759" s="7"/>
      <c r="E759" s="7"/>
      <c r="F759" s="7"/>
      <c r="G759" s="7"/>
      <c r="H759" s="7"/>
      <c r="I759" s="7"/>
      <c r="K759" s="7"/>
      <c r="L759" s="7"/>
      <c r="M759" s="7"/>
      <c r="N759" s="7"/>
      <c r="O759" s="7"/>
      <c r="P759" s="7"/>
      <c r="Q759" s="7"/>
      <c r="R759" s="7"/>
      <c r="S759" s="7"/>
      <c r="T759" s="7"/>
      <c r="U759" s="7"/>
      <c r="V759" s="7"/>
      <c r="W759" s="7"/>
      <c r="X759" s="7"/>
    </row>
    <row r="760" spans="2:24" ht="35.1" customHeight="1">
      <c r="B760" s="7"/>
      <c r="C760" s="33"/>
      <c r="D760" s="7"/>
      <c r="E760" s="7"/>
      <c r="F760" s="7"/>
      <c r="G760" s="7"/>
      <c r="H760" s="7"/>
      <c r="I760" s="7"/>
      <c r="K760" s="7"/>
      <c r="L760" s="7"/>
      <c r="M760" s="7"/>
      <c r="N760" s="7"/>
      <c r="O760" s="7"/>
      <c r="P760" s="7"/>
      <c r="Q760" s="7"/>
      <c r="R760" s="7"/>
      <c r="S760" s="7"/>
      <c r="T760" s="7"/>
      <c r="U760" s="7"/>
      <c r="V760" s="7"/>
      <c r="W760" s="7"/>
      <c r="X760" s="7"/>
    </row>
    <row r="761" spans="2:24" ht="35.1" customHeight="1">
      <c r="B761" s="7"/>
      <c r="C761" s="33"/>
      <c r="D761" s="7"/>
      <c r="E761" s="7"/>
      <c r="F761" s="7"/>
      <c r="G761" s="7"/>
      <c r="H761" s="7"/>
      <c r="I761" s="7"/>
      <c r="K761" s="7"/>
      <c r="L761" s="7"/>
      <c r="M761" s="7"/>
      <c r="N761" s="7"/>
      <c r="O761" s="7"/>
      <c r="P761" s="7"/>
      <c r="Q761" s="7"/>
      <c r="R761" s="7"/>
      <c r="S761" s="7"/>
      <c r="T761" s="7"/>
      <c r="U761" s="7"/>
      <c r="V761" s="7"/>
      <c r="W761" s="7"/>
      <c r="X761" s="7"/>
    </row>
    <row r="762" spans="2:24" ht="35.1" customHeight="1">
      <c r="B762" s="7"/>
      <c r="C762" s="33"/>
      <c r="D762" s="7"/>
      <c r="E762" s="7"/>
      <c r="F762" s="7"/>
      <c r="G762" s="7"/>
      <c r="H762" s="7"/>
      <c r="I762" s="7"/>
      <c r="K762" s="7"/>
      <c r="L762" s="7"/>
      <c r="M762" s="7"/>
      <c r="N762" s="7"/>
      <c r="O762" s="7"/>
      <c r="P762" s="7"/>
      <c r="Q762" s="7"/>
      <c r="R762" s="7"/>
      <c r="S762" s="7"/>
      <c r="T762" s="7"/>
      <c r="U762" s="7"/>
      <c r="V762" s="7"/>
      <c r="W762" s="7"/>
      <c r="X762" s="7"/>
    </row>
    <row r="763" spans="2:24" ht="35.1" customHeight="1">
      <c r="B763" s="7"/>
      <c r="C763" s="33"/>
      <c r="D763" s="7"/>
      <c r="E763" s="7"/>
      <c r="F763" s="7"/>
      <c r="G763" s="7"/>
      <c r="H763" s="7"/>
      <c r="I763" s="7"/>
      <c r="K763" s="7"/>
      <c r="L763" s="7"/>
      <c r="M763" s="7"/>
      <c r="N763" s="7"/>
      <c r="O763" s="7"/>
      <c r="P763" s="7"/>
      <c r="Q763" s="7"/>
      <c r="R763" s="7"/>
      <c r="S763" s="7"/>
      <c r="T763" s="7"/>
      <c r="U763" s="7"/>
      <c r="V763" s="7"/>
      <c r="W763" s="7"/>
      <c r="X763" s="7"/>
    </row>
    <row r="764" spans="2:24" ht="35.1" customHeight="1">
      <c r="B764" s="7"/>
      <c r="C764" s="33"/>
      <c r="D764" s="7"/>
      <c r="E764" s="7"/>
      <c r="F764" s="7"/>
      <c r="G764" s="7"/>
      <c r="H764" s="7"/>
      <c r="I764" s="7"/>
      <c r="K764" s="7"/>
      <c r="L764" s="7"/>
      <c r="M764" s="7"/>
      <c r="N764" s="7"/>
      <c r="O764" s="7"/>
      <c r="P764" s="7"/>
      <c r="Q764" s="7"/>
      <c r="R764" s="7"/>
      <c r="S764" s="7"/>
      <c r="T764" s="7"/>
      <c r="U764" s="7"/>
      <c r="V764" s="7"/>
      <c r="W764" s="7"/>
      <c r="X764" s="7"/>
    </row>
    <row r="765" spans="2:24" ht="35.1" customHeight="1">
      <c r="B765" s="7"/>
      <c r="C765" s="33"/>
      <c r="D765" s="7"/>
      <c r="E765" s="7"/>
      <c r="F765" s="7"/>
      <c r="G765" s="7"/>
      <c r="H765" s="7"/>
      <c r="I765" s="7"/>
      <c r="K765" s="7"/>
      <c r="L765" s="7"/>
      <c r="M765" s="7"/>
      <c r="N765" s="7"/>
      <c r="O765" s="7"/>
      <c r="P765" s="7"/>
      <c r="Q765" s="7"/>
      <c r="R765" s="7"/>
      <c r="S765" s="7"/>
      <c r="T765" s="7"/>
      <c r="U765" s="7"/>
      <c r="V765" s="7"/>
      <c r="W765" s="7"/>
      <c r="X765" s="7"/>
    </row>
    <row r="766" spans="2:24" ht="35.1" customHeight="1">
      <c r="B766" s="7"/>
      <c r="C766" s="33"/>
      <c r="D766" s="7"/>
      <c r="E766" s="7"/>
      <c r="F766" s="7"/>
      <c r="G766" s="7"/>
      <c r="H766" s="7"/>
      <c r="I766" s="7"/>
      <c r="K766" s="7"/>
      <c r="L766" s="7"/>
      <c r="M766" s="7"/>
      <c r="N766" s="7"/>
      <c r="O766" s="7"/>
      <c r="P766" s="7"/>
      <c r="Q766" s="7"/>
      <c r="R766" s="7"/>
      <c r="S766" s="7"/>
      <c r="T766" s="7"/>
      <c r="U766" s="7"/>
      <c r="V766" s="7"/>
      <c r="W766" s="7"/>
      <c r="X766" s="7"/>
    </row>
    <row r="767" spans="2:24" ht="35.1" customHeight="1">
      <c r="B767" s="7"/>
      <c r="C767" s="33"/>
      <c r="D767" s="7"/>
      <c r="E767" s="7"/>
      <c r="F767" s="7"/>
      <c r="G767" s="7"/>
      <c r="H767" s="7"/>
      <c r="I767" s="7"/>
      <c r="K767" s="7"/>
      <c r="L767" s="7"/>
      <c r="M767" s="7"/>
      <c r="N767" s="7"/>
      <c r="O767" s="7"/>
      <c r="P767" s="7"/>
      <c r="Q767" s="7"/>
      <c r="R767" s="7"/>
      <c r="S767" s="7"/>
      <c r="T767" s="7"/>
      <c r="U767" s="7"/>
      <c r="V767" s="7"/>
      <c r="W767" s="7"/>
      <c r="X767" s="7"/>
    </row>
    <row r="768" spans="2:24" ht="35.1" customHeight="1">
      <c r="B768" s="7"/>
      <c r="C768" s="33"/>
      <c r="D768" s="7"/>
      <c r="E768" s="7"/>
      <c r="F768" s="7"/>
      <c r="G768" s="7"/>
      <c r="H768" s="7"/>
      <c r="I768" s="7"/>
      <c r="K768" s="7"/>
      <c r="L768" s="7"/>
      <c r="M768" s="7"/>
      <c r="N768" s="7"/>
      <c r="O768" s="7"/>
      <c r="P768" s="7"/>
      <c r="Q768" s="7"/>
      <c r="R768" s="7"/>
      <c r="S768" s="7"/>
      <c r="T768" s="7"/>
      <c r="U768" s="7"/>
      <c r="V768" s="7"/>
      <c r="W768" s="7"/>
      <c r="X768" s="7"/>
    </row>
    <row r="769" spans="2:24" ht="35.1" customHeight="1">
      <c r="B769" s="7"/>
      <c r="C769" s="33"/>
      <c r="D769" s="7"/>
      <c r="E769" s="7"/>
      <c r="F769" s="7"/>
      <c r="G769" s="7"/>
      <c r="H769" s="7"/>
      <c r="I769" s="7"/>
      <c r="K769" s="7"/>
      <c r="L769" s="7"/>
      <c r="M769" s="7"/>
      <c r="N769" s="7"/>
      <c r="O769" s="7"/>
      <c r="P769" s="7"/>
      <c r="Q769" s="7"/>
      <c r="R769" s="7"/>
      <c r="S769" s="7"/>
      <c r="T769" s="7"/>
      <c r="U769" s="7"/>
      <c r="V769" s="7"/>
      <c r="W769" s="7"/>
      <c r="X769" s="7"/>
    </row>
    <row r="770" spans="2:24" ht="35.1" customHeight="1">
      <c r="B770" s="7"/>
      <c r="C770" s="33"/>
      <c r="D770" s="7"/>
      <c r="E770" s="7"/>
      <c r="F770" s="7"/>
      <c r="G770" s="7"/>
      <c r="H770" s="7"/>
      <c r="I770" s="7"/>
      <c r="K770" s="7"/>
      <c r="L770" s="7"/>
      <c r="M770" s="7"/>
      <c r="N770" s="7"/>
      <c r="O770" s="7"/>
      <c r="P770" s="7"/>
      <c r="Q770" s="7"/>
      <c r="R770" s="7"/>
      <c r="S770" s="7"/>
      <c r="T770" s="7"/>
      <c r="U770" s="7"/>
      <c r="V770" s="7"/>
      <c r="W770" s="7"/>
      <c r="X770" s="7"/>
    </row>
    <row r="771" spans="2:24" ht="35.1" customHeight="1">
      <c r="B771" s="7"/>
      <c r="C771" s="33"/>
      <c r="D771" s="7"/>
      <c r="E771" s="7"/>
      <c r="F771" s="7"/>
      <c r="G771" s="7"/>
      <c r="H771" s="7"/>
      <c r="I771" s="7"/>
      <c r="K771" s="7"/>
      <c r="L771" s="7"/>
      <c r="M771" s="7"/>
      <c r="N771" s="7"/>
      <c r="O771" s="7"/>
      <c r="P771" s="7"/>
      <c r="Q771" s="7"/>
      <c r="R771" s="7"/>
      <c r="S771" s="7"/>
      <c r="T771" s="7"/>
      <c r="U771" s="7"/>
      <c r="V771" s="7"/>
      <c r="W771" s="7"/>
      <c r="X771" s="7"/>
    </row>
    <row r="772" spans="2:24" ht="35.1" customHeight="1">
      <c r="B772" s="7"/>
      <c r="C772" s="33"/>
      <c r="D772" s="7"/>
      <c r="E772" s="7"/>
      <c r="F772" s="7"/>
      <c r="G772" s="7"/>
      <c r="H772" s="7"/>
      <c r="I772" s="7"/>
      <c r="K772" s="7"/>
      <c r="L772" s="7"/>
      <c r="M772" s="7"/>
      <c r="N772" s="7"/>
      <c r="O772" s="7"/>
      <c r="P772" s="7"/>
      <c r="Q772" s="7"/>
      <c r="R772" s="7"/>
      <c r="S772" s="7"/>
      <c r="T772" s="7"/>
      <c r="U772" s="7"/>
      <c r="V772" s="7"/>
      <c r="W772" s="7"/>
      <c r="X772" s="7"/>
    </row>
    <row r="773" spans="2:24" ht="35.1" customHeight="1">
      <c r="B773" s="7"/>
      <c r="C773" s="33"/>
      <c r="D773" s="7"/>
      <c r="E773" s="7"/>
      <c r="F773" s="7"/>
      <c r="G773" s="7"/>
      <c r="H773" s="7"/>
      <c r="I773" s="7"/>
      <c r="K773" s="7"/>
      <c r="L773" s="7"/>
      <c r="M773" s="7"/>
      <c r="N773" s="7"/>
      <c r="O773" s="7"/>
      <c r="P773" s="7"/>
      <c r="Q773" s="7"/>
      <c r="R773" s="7"/>
      <c r="S773" s="7"/>
      <c r="T773" s="7"/>
      <c r="U773" s="7"/>
      <c r="V773" s="7"/>
      <c r="W773" s="7"/>
      <c r="X773" s="7"/>
    </row>
    <row r="774" spans="2:24" ht="35.1" customHeight="1">
      <c r="B774" s="7"/>
      <c r="C774" s="33"/>
      <c r="D774" s="7"/>
      <c r="E774" s="7"/>
      <c r="F774" s="7"/>
      <c r="G774" s="7"/>
      <c r="H774" s="7"/>
      <c r="I774" s="7"/>
      <c r="K774" s="7"/>
      <c r="L774" s="7"/>
      <c r="M774" s="7"/>
      <c r="N774" s="7"/>
      <c r="O774" s="7"/>
      <c r="P774" s="7"/>
      <c r="Q774" s="7"/>
      <c r="R774" s="7"/>
      <c r="S774" s="7"/>
      <c r="T774" s="7"/>
      <c r="U774" s="7"/>
      <c r="V774" s="7"/>
      <c r="W774" s="7"/>
      <c r="X774" s="7"/>
    </row>
    <row r="775" spans="2:24" ht="35.1" customHeight="1">
      <c r="B775" s="7"/>
      <c r="C775" s="33"/>
      <c r="D775" s="7"/>
      <c r="E775" s="7"/>
      <c r="F775" s="7"/>
      <c r="G775" s="7"/>
      <c r="H775" s="7"/>
      <c r="I775" s="7"/>
      <c r="K775" s="7"/>
      <c r="L775" s="7"/>
      <c r="M775" s="7"/>
      <c r="N775" s="7"/>
      <c r="O775" s="7"/>
      <c r="P775" s="7"/>
      <c r="Q775" s="7"/>
      <c r="R775" s="7"/>
      <c r="S775" s="7"/>
      <c r="T775" s="7"/>
      <c r="U775" s="7"/>
      <c r="V775" s="7"/>
      <c r="W775" s="7"/>
      <c r="X775" s="7"/>
    </row>
    <row r="776" spans="2:24" ht="35.1" customHeight="1">
      <c r="B776" s="7"/>
      <c r="C776" s="33"/>
      <c r="D776" s="7"/>
      <c r="E776" s="7"/>
      <c r="F776" s="7"/>
      <c r="G776" s="7"/>
      <c r="H776" s="7"/>
      <c r="I776" s="7"/>
      <c r="K776" s="7"/>
      <c r="L776" s="7"/>
      <c r="M776" s="7"/>
      <c r="N776" s="7"/>
      <c r="O776" s="7"/>
      <c r="P776" s="7"/>
      <c r="Q776" s="7"/>
      <c r="R776" s="7"/>
      <c r="S776" s="7"/>
      <c r="T776" s="7"/>
      <c r="U776" s="7"/>
      <c r="V776" s="7"/>
      <c r="W776" s="7"/>
      <c r="X776" s="7"/>
    </row>
    <row r="777" spans="2:24" ht="35.1" customHeight="1">
      <c r="B777" s="7"/>
      <c r="C777" s="33"/>
      <c r="D777" s="7"/>
      <c r="E777" s="7"/>
      <c r="F777" s="7"/>
      <c r="G777" s="7"/>
      <c r="H777" s="7"/>
      <c r="I777" s="7"/>
      <c r="K777" s="7"/>
      <c r="L777" s="7"/>
      <c r="M777" s="7"/>
      <c r="N777" s="7"/>
      <c r="O777" s="7"/>
      <c r="P777" s="7"/>
      <c r="Q777" s="7"/>
      <c r="R777" s="7"/>
      <c r="S777" s="7"/>
      <c r="T777" s="7"/>
      <c r="U777" s="7"/>
      <c r="V777" s="7"/>
      <c r="W777" s="7"/>
      <c r="X777" s="7"/>
    </row>
    <row r="778" spans="2:24" ht="35.1" customHeight="1">
      <c r="B778" s="7"/>
      <c r="C778" s="33"/>
      <c r="D778" s="7"/>
      <c r="E778" s="7"/>
      <c r="F778" s="7"/>
      <c r="G778" s="7"/>
      <c r="H778" s="7"/>
      <c r="I778" s="7"/>
      <c r="K778" s="7"/>
      <c r="L778" s="7"/>
      <c r="M778" s="7"/>
      <c r="N778" s="7"/>
      <c r="O778" s="7"/>
      <c r="P778" s="7"/>
      <c r="Q778" s="7"/>
      <c r="R778" s="7"/>
      <c r="S778" s="7"/>
      <c r="T778" s="7"/>
      <c r="U778" s="7"/>
      <c r="V778" s="7"/>
      <c r="W778" s="7"/>
      <c r="X778" s="7"/>
    </row>
    <row r="779" spans="2:24" ht="35.1" customHeight="1">
      <c r="B779" s="7"/>
      <c r="C779" s="33"/>
      <c r="D779" s="7"/>
      <c r="E779" s="7"/>
      <c r="F779" s="7"/>
      <c r="G779" s="7"/>
      <c r="H779" s="7"/>
      <c r="I779" s="7"/>
      <c r="K779" s="7"/>
      <c r="L779" s="7"/>
      <c r="M779" s="7"/>
      <c r="N779" s="7"/>
      <c r="O779" s="7"/>
      <c r="P779" s="7"/>
      <c r="Q779" s="7"/>
      <c r="R779" s="7"/>
      <c r="S779" s="7"/>
      <c r="T779" s="7"/>
      <c r="U779" s="7"/>
      <c r="V779" s="7"/>
      <c r="W779" s="7"/>
      <c r="X779" s="7"/>
    </row>
    <row r="780" spans="2:24" ht="35.1" customHeight="1">
      <c r="B780" s="7"/>
      <c r="C780" s="33"/>
      <c r="D780" s="7"/>
      <c r="E780" s="7"/>
      <c r="F780" s="7"/>
      <c r="G780" s="7"/>
      <c r="H780" s="7"/>
      <c r="I780" s="7"/>
      <c r="K780" s="7"/>
      <c r="L780" s="7"/>
      <c r="M780" s="7"/>
      <c r="N780" s="7"/>
      <c r="O780" s="7"/>
      <c r="P780" s="7"/>
      <c r="Q780" s="7"/>
      <c r="R780" s="7"/>
      <c r="S780" s="7"/>
      <c r="T780" s="7"/>
      <c r="U780" s="7"/>
      <c r="V780" s="7"/>
      <c r="W780" s="7"/>
      <c r="X780" s="7"/>
    </row>
    <row r="781" spans="2:24" ht="35.1" customHeight="1">
      <c r="B781" s="7"/>
      <c r="C781" s="33"/>
      <c r="D781" s="7"/>
      <c r="E781" s="7"/>
      <c r="F781" s="7"/>
      <c r="G781" s="7"/>
      <c r="H781" s="7"/>
      <c r="I781" s="7"/>
      <c r="K781" s="7"/>
      <c r="L781" s="7"/>
      <c r="M781" s="7"/>
      <c r="N781" s="7"/>
      <c r="O781" s="7"/>
      <c r="P781" s="7"/>
      <c r="Q781" s="7"/>
      <c r="R781" s="7"/>
      <c r="S781" s="7"/>
      <c r="T781" s="7"/>
      <c r="U781" s="7"/>
      <c r="V781" s="7"/>
      <c r="W781" s="7"/>
      <c r="X781" s="7"/>
    </row>
    <row r="782" spans="2:24" ht="35.1" customHeight="1">
      <c r="B782" s="7"/>
      <c r="C782" s="33"/>
      <c r="D782" s="7"/>
      <c r="E782" s="7"/>
      <c r="F782" s="7"/>
      <c r="G782" s="7"/>
      <c r="H782" s="7"/>
      <c r="I782" s="7"/>
      <c r="K782" s="7"/>
      <c r="L782" s="7"/>
      <c r="M782" s="7"/>
      <c r="N782" s="7"/>
      <c r="O782" s="7"/>
      <c r="P782" s="7"/>
      <c r="Q782" s="7"/>
      <c r="R782" s="7"/>
      <c r="S782" s="7"/>
      <c r="T782" s="7"/>
      <c r="U782" s="7"/>
      <c r="V782" s="7"/>
      <c r="W782" s="7"/>
      <c r="X782" s="7"/>
    </row>
    <row r="783" spans="2:24" ht="35.1" customHeight="1">
      <c r="B783" s="7"/>
      <c r="C783" s="33"/>
      <c r="D783" s="7"/>
      <c r="E783" s="7"/>
      <c r="F783" s="7"/>
      <c r="G783" s="7"/>
      <c r="H783" s="7"/>
      <c r="I783" s="7"/>
      <c r="K783" s="7"/>
      <c r="L783" s="7"/>
      <c r="M783" s="7"/>
      <c r="N783" s="7"/>
      <c r="O783" s="7"/>
      <c r="P783" s="7"/>
      <c r="Q783" s="7"/>
      <c r="R783" s="7"/>
      <c r="S783" s="7"/>
      <c r="T783" s="7"/>
      <c r="U783" s="7"/>
      <c r="V783" s="7"/>
      <c r="W783" s="7"/>
      <c r="X783" s="7"/>
    </row>
    <row r="784" spans="2:24" ht="35.1" customHeight="1">
      <c r="B784" s="7"/>
      <c r="C784" s="33"/>
      <c r="D784" s="7"/>
      <c r="E784" s="7"/>
      <c r="F784" s="7"/>
      <c r="G784" s="7"/>
      <c r="H784" s="7"/>
      <c r="I784" s="7"/>
      <c r="K784" s="7"/>
      <c r="L784" s="7"/>
      <c r="M784" s="7"/>
      <c r="N784" s="7"/>
      <c r="O784" s="7"/>
      <c r="P784" s="7"/>
      <c r="Q784" s="7"/>
      <c r="R784" s="7"/>
      <c r="S784" s="7"/>
      <c r="T784" s="7"/>
      <c r="U784" s="7"/>
      <c r="V784" s="7"/>
      <c r="W784" s="7"/>
      <c r="X784" s="7"/>
    </row>
    <row r="785" spans="2:24" ht="35.1" customHeight="1">
      <c r="B785" s="7"/>
      <c r="C785" s="33"/>
      <c r="D785" s="7"/>
      <c r="E785" s="7"/>
      <c r="F785" s="7"/>
      <c r="G785" s="7"/>
      <c r="H785" s="7"/>
      <c r="I785" s="7"/>
      <c r="K785" s="7"/>
      <c r="L785" s="7"/>
      <c r="M785" s="7"/>
      <c r="N785" s="7"/>
      <c r="O785" s="7"/>
      <c r="P785" s="7"/>
      <c r="Q785" s="7"/>
      <c r="R785" s="7"/>
      <c r="S785" s="7"/>
      <c r="T785" s="7"/>
      <c r="U785" s="7"/>
      <c r="V785" s="7"/>
      <c r="W785" s="7"/>
      <c r="X785" s="7"/>
    </row>
    <row r="786" spans="2:24" ht="35.1" customHeight="1">
      <c r="B786" s="7"/>
      <c r="C786" s="33"/>
      <c r="D786" s="7"/>
      <c r="E786" s="7"/>
      <c r="F786" s="7"/>
      <c r="G786" s="7"/>
      <c r="H786" s="7"/>
      <c r="I786" s="7"/>
      <c r="K786" s="7"/>
      <c r="L786" s="7"/>
      <c r="M786" s="7"/>
      <c r="N786" s="7"/>
      <c r="O786" s="7"/>
      <c r="P786" s="7"/>
      <c r="Q786" s="7"/>
      <c r="R786" s="7"/>
      <c r="S786" s="7"/>
      <c r="T786" s="7"/>
      <c r="U786" s="7"/>
      <c r="V786" s="7"/>
      <c r="W786" s="7"/>
      <c r="X786" s="7"/>
    </row>
    <row r="787" spans="2:24" ht="35.1" customHeight="1">
      <c r="B787" s="7"/>
      <c r="C787" s="33"/>
      <c r="D787" s="7"/>
      <c r="E787" s="7"/>
      <c r="F787" s="7"/>
      <c r="G787" s="7"/>
      <c r="H787" s="7"/>
      <c r="I787" s="7"/>
      <c r="K787" s="7"/>
      <c r="L787" s="7"/>
      <c r="M787" s="7"/>
      <c r="N787" s="7"/>
      <c r="O787" s="7"/>
      <c r="P787" s="7"/>
      <c r="Q787" s="7"/>
      <c r="R787" s="7"/>
      <c r="S787" s="7"/>
      <c r="T787" s="7"/>
      <c r="U787" s="7"/>
      <c r="V787" s="7"/>
      <c r="W787" s="7"/>
      <c r="X787" s="7"/>
    </row>
    <row r="788" spans="2:24" ht="35.1" customHeight="1">
      <c r="B788" s="7"/>
      <c r="C788" s="33"/>
      <c r="D788" s="7"/>
      <c r="E788" s="7"/>
      <c r="F788" s="7"/>
      <c r="G788" s="7"/>
      <c r="H788" s="7"/>
      <c r="I788" s="7"/>
      <c r="K788" s="7"/>
      <c r="L788" s="7"/>
      <c r="M788" s="7"/>
      <c r="N788" s="7"/>
      <c r="O788" s="7"/>
      <c r="P788" s="7"/>
      <c r="Q788" s="7"/>
      <c r="R788" s="7"/>
      <c r="S788" s="7"/>
      <c r="T788" s="7"/>
      <c r="U788" s="7"/>
      <c r="V788" s="7"/>
      <c r="W788" s="7"/>
      <c r="X788" s="7"/>
    </row>
    <row r="789" spans="2:24" ht="35.1" customHeight="1">
      <c r="B789" s="7"/>
      <c r="C789" s="33"/>
      <c r="D789" s="7"/>
      <c r="E789" s="7"/>
      <c r="F789" s="7"/>
      <c r="G789" s="7"/>
      <c r="H789" s="7"/>
      <c r="I789" s="7"/>
      <c r="K789" s="7"/>
      <c r="L789" s="7"/>
      <c r="M789" s="7"/>
      <c r="N789" s="7"/>
      <c r="O789" s="7"/>
      <c r="P789" s="7"/>
      <c r="Q789" s="7"/>
      <c r="R789" s="7"/>
      <c r="S789" s="7"/>
      <c r="T789" s="7"/>
      <c r="U789" s="7"/>
      <c r="V789" s="7"/>
      <c r="W789" s="7"/>
      <c r="X789" s="7"/>
    </row>
    <row r="790" spans="2:24" ht="35.1" customHeight="1">
      <c r="B790" s="7"/>
      <c r="C790" s="33"/>
      <c r="D790" s="7"/>
      <c r="E790" s="7"/>
      <c r="F790" s="7"/>
      <c r="G790" s="7"/>
      <c r="H790" s="7"/>
      <c r="I790" s="7"/>
      <c r="K790" s="7"/>
      <c r="L790" s="7"/>
      <c r="M790" s="7"/>
      <c r="N790" s="7"/>
      <c r="O790" s="7"/>
      <c r="P790" s="7"/>
      <c r="Q790" s="7"/>
      <c r="R790" s="7"/>
      <c r="S790" s="7"/>
      <c r="T790" s="7"/>
      <c r="U790" s="7"/>
      <c r="V790" s="7"/>
      <c r="W790" s="7"/>
      <c r="X790" s="7"/>
    </row>
    <row r="791" spans="2:24" ht="35.1" customHeight="1">
      <c r="B791" s="7"/>
      <c r="C791" s="33"/>
      <c r="D791" s="7"/>
      <c r="E791" s="7"/>
      <c r="F791" s="7"/>
      <c r="G791" s="7"/>
      <c r="H791" s="7"/>
      <c r="I791" s="7"/>
      <c r="K791" s="7"/>
      <c r="L791" s="7"/>
      <c r="M791" s="7"/>
      <c r="N791" s="7"/>
      <c r="O791" s="7"/>
      <c r="P791" s="7"/>
      <c r="Q791" s="7"/>
      <c r="R791" s="7"/>
      <c r="S791" s="7"/>
      <c r="T791" s="7"/>
      <c r="U791" s="7"/>
      <c r="V791" s="7"/>
      <c r="W791" s="7"/>
      <c r="X791" s="7"/>
    </row>
    <row r="792" spans="2:24" ht="35.1" customHeight="1">
      <c r="B792" s="7"/>
      <c r="C792" s="33"/>
      <c r="D792" s="7"/>
      <c r="E792" s="7"/>
      <c r="F792" s="7"/>
      <c r="G792" s="7"/>
      <c r="H792" s="7"/>
      <c r="I792" s="7"/>
      <c r="K792" s="7"/>
      <c r="L792" s="7"/>
      <c r="M792" s="7"/>
      <c r="N792" s="7"/>
      <c r="O792" s="7"/>
      <c r="P792" s="7"/>
      <c r="Q792" s="7"/>
      <c r="R792" s="7"/>
      <c r="S792" s="7"/>
      <c r="T792" s="7"/>
      <c r="U792" s="7"/>
      <c r="V792" s="7"/>
      <c r="W792" s="7"/>
      <c r="X792" s="7"/>
    </row>
    <row r="793" spans="2:24" ht="35.1" customHeight="1">
      <c r="B793" s="7"/>
      <c r="C793" s="33"/>
      <c r="D793" s="7"/>
      <c r="E793" s="7"/>
      <c r="F793" s="7"/>
      <c r="G793" s="7"/>
      <c r="H793" s="7"/>
      <c r="I793" s="7"/>
      <c r="K793" s="7"/>
      <c r="L793" s="7"/>
      <c r="M793" s="7"/>
      <c r="N793" s="7"/>
      <c r="O793" s="7"/>
      <c r="P793" s="7"/>
      <c r="Q793" s="7"/>
      <c r="R793" s="7"/>
      <c r="S793" s="7"/>
      <c r="T793" s="7"/>
      <c r="U793" s="7"/>
      <c r="V793" s="7"/>
      <c r="W793" s="7"/>
      <c r="X793" s="7"/>
    </row>
    <row r="794" spans="2:24" ht="35.1" customHeight="1">
      <c r="B794" s="7"/>
      <c r="C794" s="33"/>
      <c r="D794" s="7"/>
      <c r="E794" s="7"/>
      <c r="F794" s="7"/>
      <c r="G794" s="7"/>
      <c r="H794" s="7"/>
      <c r="I794" s="7"/>
      <c r="K794" s="7"/>
      <c r="L794" s="7"/>
      <c r="M794" s="7"/>
      <c r="N794" s="7"/>
      <c r="O794" s="7"/>
      <c r="P794" s="7"/>
      <c r="Q794" s="7"/>
      <c r="R794" s="7"/>
      <c r="S794" s="7"/>
      <c r="T794" s="7"/>
      <c r="U794" s="7"/>
      <c r="V794" s="7"/>
      <c r="W794" s="7"/>
      <c r="X794" s="7"/>
    </row>
    <row r="795" spans="2:24" ht="35.1" customHeight="1">
      <c r="B795" s="7"/>
      <c r="C795" s="33"/>
      <c r="D795" s="7"/>
      <c r="E795" s="7"/>
      <c r="F795" s="7"/>
      <c r="G795" s="7"/>
      <c r="H795" s="7"/>
      <c r="I795" s="7"/>
      <c r="K795" s="7"/>
      <c r="L795" s="7"/>
      <c r="M795" s="7"/>
      <c r="N795" s="7"/>
      <c r="O795" s="7"/>
      <c r="P795" s="7"/>
      <c r="Q795" s="7"/>
      <c r="R795" s="7"/>
      <c r="S795" s="7"/>
      <c r="T795" s="7"/>
      <c r="U795" s="7"/>
      <c r="V795" s="7"/>
      <c r="W795" s="7"/>
      <c r="X795" s="7"/>
    </row>
    <row r="796" spans="2:24" ht="35.1" customHeight="1">
      <c r="B796" s="7"/>
      <c r="C796" s="33"/>
      <c r="D796" s="7"/>
      <c r="E796" s="7"/>
      <c r="F796" s="7"/>
      <c r="G796" s="7"/>
      <c r="H796" s="7"/>
      <c r="I796" s="7"/>
      <c r="K796" s="7"/>
      <c r="L796" s="7"/>
      <c r="M796" s="7"/>
      <c r="N796" s="7"/>
      <c r="O796" s="7"/>
      <c r="P796" s="7"/>
      <c r="Q796" s="7"/>
      <c r="R796" s="7"/>
      <c r="S796" s="7"/>
      <c r="T796" s="7"/>
      <c r="U796" s="7"/>
      <c r="V796" s="7"/>
      <c r="W796" s="7"/>
      <c r="X796" s="7"/>
    </row>
    <row r="797" spans="2:24" ht="35.1" customHeight="1">
      <c r="B797" s="7"/>
      <c r="C797" s="33"/>
      <c r="D797" s="7"/>
      <c r="E797" s="7"/>
      <c r="F797" s="7"/>
      <c r="G797" s="7"/>
      <c r="H797" s="7"/>
      <c r="I797" s="7"/>
      <c r="K797" s="7"/>
      <c r="L797" s="7"/>
      <c r="M797" s="7"/>
      <c r="N797" s="7"/>
      <c r="O797" s="7"/>
      <c r="P797" s="7"/>
      <c r="Q797" s="7"/>
      <c r="R797" s="7"/>
      <c r="S797" s="7"/>
      <c r="T797" s="7"/>
      <c r="U797" s="7"/>
      <c r="V797" s="7"/>
      <c r="W797" s="7"/>
      <c r="X797" s="7"/>
    </row>
    <row r="798" spans="2:24" ht="35.1" customHeight="1">
      <c r="B798" s="7"/>
      <c r="C798" s="33"/>
      <c r="D798" s="7"/>
      <c r="E798" s="7"/>
      <c r="F798" s="7"/>
      <c r="G798" s="7"/>
      <c r="H798" s="7"/>
      <c r="I798" s="7"/>
      <c r="K798" s="7"/>
      <c r="L798" s="7"/>
      <c r="M798" s="7"/>
      <c r="N798" s="7"/>
      <c r="O798" s="7"/>
      <c r="P798" s="7"/>
      <c r="Q798" s="7"/>
      <c r="R798" s="7"/>
      <c r="S798" s="7"/>
      <c r="T798" s="7"/>
      <c r="U798" s="7"/>
      <c r="V798" s="7"/>
      <c r="W798" s="7"/>
      <c r="X798" s="7"/>
    </row>
    <row r="799" spans="2:24" ht="35.1" customHeight="1">
      <c r="B799" s="7"/>
      <c r="C799" s="33"/>
      <c r="D799" s="7"/>
      <c r="E799" s="7"/>
      <c r="F799" s="7"/>
      <c r="G799" s="7"/>
      <c r="H799" s="7"/>
      <c r="I799" s="7"/>
      <c r="K799" s="7"/>
      <c r="L799" s="7"/>
      <c r="M799" s="7"/>
      <c r="N799" s="7"/>
      <c r="O799" s="7"/>
      <c r="P799" s="7"/>
      <c r="Q799" s="7"/>
      <c r="R799" s="7"/>
      <c r="S799" s="7"/>
      <c r="T799" s="7"/>
      <c r="U799" s="7"/>
      <c r="V799" s="7"/>
      <c r="W799" s="7"/>
      <c r="X799" s="7"/>
    </row>
    <row r="800" spans="2:24" ht="35.1" customHeight="1">
      <c r="B800" s="7"/>
      <c r="C800" s="33"/>
      <c r="D800" s="7"/>
      <c r="E800" s="7"/>
      <c r="F800" s="7"/>
      <c r="G800" s="7"/>
      <c r="H800" s="7"/>
      <c r="I800" s="7"/>
      <c r="K800" s="7"/>
      <c r="L800" s="7"/>
      <c r="M800" s="7"/>
      <c r="N800" s="7"/>
      <c r="O800" s="7"/>
      <c r="P800" s="7"/>
      <c r="Q800" s="7"/>
      <c r="R800" s="7"/>
      <c r="S800" s="7"/>
      <c r="T800" s="7"/>
      <c r="U800" s="7"/>
      <c r="V800" s="7"/>
      <c r="W800" s="7"/>
      <c r="X800" s="7"/>
    </row>
    <row r="801" spans="2:24" ht="35.1" customHeight="1">
      <c r="B801" s="7"/>
      <c r="C801" s="33"/>
      <c r="D801" s="7"/>
      <c r="E801" s="7"/>
      <c r="F801" s="7"/>
      <c r="G801" s="7"/>
      <c r="H801" s="7"/>
      <c r="I801" s="7"/>
      <c r="K801" s="7"/>
      <c r="L801" s="7"/>
      <c r="M801" s="7"/>
      <c r="N801" s="7"/>
      <c r="O801" s="7"/>
      <c r="P801" s="7"/>
      <c r="Q801" s="7"/>
      <c r="R801" s="7"/>
      <c r="S801" s="7"/>
      <c r="T801" s="7"/>
      <c r="U801" s="7"/>
      <c r="V801" s="7"/>
      <c r="W801" s="7"/>
      <c r="X801" s="7"/>
    </row>
    <row r="802" spans="2:24" ht="35.1" customHeight="1">
      <c r="B802" s="7"/>
      <c r="C802" s="33"/>
      <c r="D802" s="7"/>
      <c r="E802" s="7"/>
      <c r="F802" s="7"/>
      <c r="G802" s="7"/>
      <c r="H802" s="7"/>
      <c r="I802" s="7"/>
      <c r="K802" s="7"/>
      <c r="L802" s="7"/>
      <c r="M802" s="7"/>
      <c r="N802" s="7"/>
      <c r="O802" s="7"/>
      <c r="P802" s="7"/>
      <c r="Q802" s="7"/>
      <c r="R802" s="7"/>
      <c r="S802" s="7"/>
      <c r="T802" s="7"/>
      <c r="U802" s="7"/>
      <c r="V802" s="7"/>
      <c r="W802" s="7"/>
      <c r="X802" s="7"/>
    </row>
    <row r="803" spans="2:24" ht="35.1" customHeight="1">
      <c r="B803" s="7"/>
      <c r="C803" s="33"/>
      <c r="D803" s="7"/>
      <c r="E803" s="7"/>
      <c r="F803" s="7"/>
      <c r="G803" s="7"/>
      <c r="H803" s="7"/>
      <c r="I803" s="7"/>
      <c r="K803" s="7"/>
      <c r="L803" s="7"/>
      <c r="M803" s="7"/>
      <c r="N803" s="7"/>
      <c r="O803" s="7"/>
      <c r="P803" s="7"/>
      <c r="Q803" s="7"/>
      <c r="R803" s="7"/>
      <c r="S803" s="7"/>
      <c r="T803" s="7"/>
      <c r="U803" s="7"/>
      <c r="V803" s="7"/>
      <c r="W803" s="7"/>
      <c r="X803" s="7"/>
    </row>
    <row r="804" spans="2:24" ht="35.1" customHeight="1">
      <c r="B804" s="7"/>
      <c r="C804" s="33"/>
      <c r="D804" s="7"/>
      <c r="E804" s="7"/>
      <c r="F804" s="7"/>
      <c r="G804" s="7"/>
      <c r="H804" s="7"/>
      <c r="I804" s="7"/>
      <c r="K804" s="7"/>
      <c r="L804" s="7"/>
      <c r="M804" s="7"/>
      <c r="N804" s="7"/>
      <c r="O804" s="7"/>
      <c r="P804" s="7"/>
      <c r="Q804" s="7"/>
      <c r="R804" s="7"/>
      <c r="S804" s="7"/>
      <c r="T804" s="7"/>
      <c r="U804" s="7"/>
      <c r="V804" s="7"/>
      <c r="W804" s="7"/>
      <c r="X804" s="7"/>
    </row>
    <row r="805" spans="2:24" ht="35.1" customHeight="1">
      <c r="B805" s="7"/>
      <c r="C805" s="33"/>
      <c r="D805" s="7"/>
      <c r="E805" s="7"/>
      <c r="F805" s="7"/>
      <c r="G805" s="7"/>
      <c r="H805" s="7"/>
      <c r="I805" s="7"/>
      <c r="K805" s="7"/>
      <c r="L805" s="7"/>
      <c r="M805" s="7"/>
      <c r="N805" s="7"/>
      <c r="O805" s="7"/>
      <c r="P805" s="7"/>
      <c r="Q805" s="7"/>
      <c r="R805" s="7"/>
      <c r="S805" s="7"/>
      <c r="T805" s="7"/>
      <c r="U805" s="7"/>
      <c r="V805" s="7"/>
      <c r="W805" s="7"/>
      <c r="X805" s="7"/>
    </row>
    <row r="806" spans="2:24" ht="35.1" customHeight="1">
      <c r="B806" s="7"/>
      <c r="C806" s="33"/>
      <c r="D806" s="7"/>
      <c r="E806" s="7"/>
      <c r="F806" s="7"/>
      <c r="G806" s="7"/>
      <c r="H806" s="7"/>
      <c r="I806" s="7"/>
      <c r="K806" s="7"/>
      <c r="L806" s="7"/>
      <c r="M806" s="7"/>
      <c r="N806" s="7"/>
      <c r="O806" s="7"/>
      <c r="P806" s="7"/>
      <c r="Q806" s="7"/>
      <c r="R806" s="7"/>
      <c r="S806" s="7"/>
      <c r="T806" s="7"/>
      <c r="U806" s="7"/>
      <c r="V806" s="7"/>
      <c r="W806" s="7"/>
      <c r="X806" s="7"/>
    </row>
    <row r="807" spans="2:24" ht="35.1" customHeight="1">
      <c r="B807" s="7"/>
      <c r="C807" s="33"/>
      <c r="D807" s="7"/>
      <c r="E807" s="7"/>
      <c r="F807" s="7"/>
      <c r="G807" s="7"/>
      <c r="H807" s="7"/>
      <c r="I807" s="7"/>
      <c r="K807" s="7"/>
      <c r="L807" s="7"/>
      <c r="M807" s="7"/>
      <c r="N807" s="7"/>
      <c r="O807" s="7"/>
      <c r="P807" s="7"/>
      <c r="Q807" s="7"/>
      <c r="R807" s="7"/>
      <c r="S807" s="7"/>
      <c r="T807" s="7"/>
      <c r="U807" s="7"/>
      <c r="V807" s="7"/>
      <c r="W807" s="7"/>
      <c r="X807" s="7"/>
    </row>
    <row r="808" spans="2:24" ht="35.1" customHeight="1">
      <c r="B808" s="7"/>
      <c r="C808" s="33"/>
      <c r="D808" s="7"/>
      <c r="E808" s="7"/>
      <c r="F808" s="7"/>
      <c r="G808" s="7"/>
      <c r="H808" s="7"/>
      <c r="I808" s="7"/>
      <c r="K808" s="7"/>
      <c r="L808" s="7"/>
      <c r="M808" s="7"/>
      <c r="N808" s="7"/>
      <c r="O808" s="7"/>
      <c r="P808" s="7"/>
      <c r="Q808" s="7"/>
      <c r="R808" s="7"/>
      <c r="S808" s="7"/>
      <c r="T808" s="7"/>
      <c r="U808" s="7"/>
      <c r="V808" s="7"/>
      <c r="W808" s="7"/>
      <c r="X808" s="7"/>
    </row>
    <row r="809" spans="2:24" ht="35.1" customHeight="1">
      <c r="B809" s="7"/>
      <c r="C809" s="33"/>
      <c r="D809" s="7"/>
      <c r="E809" s="7"/>
      <c r="F809" s="7"/>
      <c r="G809" s="7"/>
      <c r="H809" s="7"/>
      <c r="I809" s="7"/>
      <c r="K809" s="7"/>
      <c r="L809" s="7"/>
      <c r="M809" s="7"/>
      <c r="N809" s="7"/>
      <c r="O809" s="7"/>
      <c r="P809" s="7"/>
      <c r="Q809" s="7"/>
      <c r="R809" s="7"/>
      <c r="S809" s="7"/>
      <c r="T809" s="7"/>
      <c r="U809" s="7"/>
      <c r="V809" s="7"/>
      <c r="W809" s="7"/>
      <c r="X809" s="7"/>
    </row>
    <row r="810" spans="2:24" ht="35.1" customHeight="1">
      <c r="B810" s="7"/>
      <c r="C810" s="33"/>
      <c r="D810" s="7"/>
      <c r="E810" s="7"/>
      <c r="F810" s="7"/>
      <c r="G810" s="7"/>
      <c r="H810" s="7"/>
      <c r="I810" s="7"/>
      <c r="K810" s="7"/>
      <c r="L810" s="7"/>
      <c r="M810" s="7"/>
      <c r="N810" s="7"/>
      <c r="O810" s="7"/>
      <c r="P810" s="7"/>
      <c r="Q810" s="7"/>
      <c r="R810" s="7"/>
      <c r="S810" s="7"/>
      <c r="T810" s="7"/>
      <c r="U810" s="7"/>
      <c r="V810" s="7"/>
      <c r="W810" s="7"/>
      <c r="X810" s="7"/>
    </row>
    <row r="811" spans="2:24" ht="35.1" customHeight="1">
      <c r="B811" s="7"/>
      <c r="C811" s="33"/>
      <c r="D811" s="7"/>
      <c r="E811" s="7"/>
      <c r="F811" s="7"/>
      <c r="G811" s="7"/>
      <c r="H811" s="7"/>
      <c r="I811" s="7"/>
      <c r="K811" s="7"/>
      <c r="L811" s="7"/>
      <c r="M811" s="7"/>
      <c r="N811" s="7"/>
      <c r="O811" s="7"/>
      <c r="P811" s="7"/>
      <c r="Q811" s="7"/>
      <c r="R811" s="7"/>
      <c r="S811" s="7"/>
      <c r="T811" s="7"/>
      <c r="U811" s="7"/>
      <c r="V811" s="7"/>
      <c r="W811" s="7"/>
      <c r="X811" s="7"/>
    </row>
    <row r="812" spans="2:24" ht="35.1" customHeight="1">
      <c r="B812" s="7"/>
      <c r="C812" s="33"/>
      <c r="D812" s="7"/>
      <c r="E812" s="7"/>
      <c r="F812" s="7"/>
      <c r="G812" s="7"/>
      <c r="H812" s="7"/>
      <c r="I812" s="7"/>
      <c r="K812" s="7"/>
      <c r="L812" s="7"/>
      <c r="M812" s="7"/>
      <c r="N812" s="7"/>
      <c r="O812" s="7"/>
      <c r="P812" s="7"/>
      <c r="Q812" s="7"/>
      <c r="R812" s="7"/>
      <c r="S812" s="7"/>
      <c r="T812" s="7"/>
      <c r="U812" s="7"/>
      <c r="V812" s="7"/>
      <c r="W812" s="7"/>
      <c r="X812" s="7"/>
    </row>
    <row r="813" spans="2:24" ht="35.1" customHeight="1">
      <c r="B813" s="7"/>
      <c r="C813" s="33"/>
      <c r="D813" s="7"/>
      <c r="E813" s="7"/>
      <c r="F813" s="7"/>
      <c r="G813" s="7"/>
      <c r="H813" s="7"/>
      <c r="I813" s="7"/>
      <c r="K813" s="7"/>
      <c r="L813" s="7"/>
      <c r="M813" s="7"/>
      <c r="N813" s="7"/>
      <c r="O813" s="7"/>
      <c r="P813" s="7"/>
      <c r="Q813" s="7"/>
      <c r="R813" s="7"/>
      <c r="S813" s="7"/>
      <c r="T813" s="7"/>
      <c r="U813" s="7"/>
      <c r="V813" s="7"/>
      <c r="W813" s="7"/>
      <c r="X813" s="7"/>
    </row>
    <row r="814" spans="2:24" ht="35.1" customHeight="1">
      <c r="B814" s="7"/>
      <c r="C814" s="33"/>
      <c r="D814" s="7"/>
      <c r="E814" s="7"/>
      <c r="F814" s="7"/>
      <c r="G814" s="7"/>
      <c r="H814" s="7"/>
      <c r="I814" s="7"/>
      <c r="K814" s="7"/>
      <c r="L814" s="7"/>
      <c r="M814" s="7"/>
      <c r="N814" s="7"/>
      <c r="O814" s="7"/>
      <c r="P814" s="7"/>
      <c r="Q814" s="7"/>
      <c r="R814" s="7"/>
      <c r="S814" s="7"/>
      <c r="T814" s="7"/>
      <c r="U814" s="7"/>
      <c r="V814" s="7"/>
      <c r="W814" s="7"/>
      <c r="X814" s="7"/>
    </row>
    <row r="815" spans="2:24" ht="35.1" customHeight="1">
      <c r="B815" s="7"/>
      <c r="C815" s="33"/>
      <c r="D815" s="7"/>
      <c r="E815" s="7"/>
      <c r="F815" s="7"/>
      <c r="G815" s="7"/>
      <c r="H815" s="7"/>
      <c r="I815" s="7"/>
      <c r="K815" s="7"/>
      <c r="L815" s="7"/>
      <c r="M815" s="7"/>
      <c r="N815" s="7"/>
      <c r="O815" s="7"/>
      <c r="P815" s="7"/>
      <c r="Q815" s="7"/>
      <c r="R815" s="7"/>
      <c r="S815" s="7"/>
      <c r="T815" s="7"/>
      <c r="U815" s="7"/>
      <c r="V815" s="7"/>
      <c r="W815" s="7"/>
      <c r="X815" s="7"/>
    </row>
    <row r="816" spans="2:24" ht="35.1" customHeight="1">
      <c r="B816" s="7"/>
      <c r="C816" s="33"/>
      <c r="D816" s="7"/>
      <c r="E816" s="7"/>
      <c r="F816" s="7"/>
      <c r="G816" s="7"/>
      <c r="H816" s="7"/>
      <c r="I816" s="7"/>
      <c r="K816" s="7"/>
      <c r="L816" s="7"/>
      <c r="M816" s="7"/>
      <c r="N816" s="7"/>
      <c r="O816" s="7"/>
      <c r="P816" s="7"/>
      <c r="Q816" s="7"/>
      <c r="R816" s="7"/>
      <c r="S816" s="7"/>
      <c r="T816" s="7"/>
      <c r="U816" s="7"/>
      <c r="V816" s="7"/>
      <c r="W816" s="7"/>
      <c r="X816" s="7"/>
    </row>
    <row r="817" spans="2:24" ht="35.1" customHeight="1">
      <c r="B817" s="7"/>
      <c r="C817" s="33"/>
      <c r="D817" s="7"/>
      <c r="E817" s="7"/>
      <c r="F817" s="7"/>
      <c r="G817" s="7"/>
      <c r="H817" s="7"/>
      <c r="I817" s="7"/>
      <c r="K817" s="7"/>
      <c r="L817" s="7"/>
      <c r="M817" s="7"/>
      <c r="N817" s="7"/>
      <c r="O817" s="7"/>
      <c r="P817" s="7"/>
      <c r="Q817" s="7"/>
      <c r="R817" s="7"/>
      <c r="S817" s="7"/>
      <c r="T817" s="7"/>
      <c r="U817" s="7"/>
      <c r="V817" s="7"/>
      <c r="W817" s="7"/>
      <c r="X817" s="7"/>
    </row>
    <row r="818" spans="2:24" ht="35.1" customHeight="1">
      <c r="B818" s="7"/>
      <c r="C818" s="33"/>
      <c r="D818" s="7"/>
      <c r="E818" s="7"/>
      <c r="F818" s="7"/>
      <c r="G818" s="7"/>
      <c r="H818" s="7"/>
      <c r="I818" s="7"/>
      <c r="K818" s="7"/>
      <c r="L818" s="7"/>
      <c r="M818" s="7"/>
      <c r="N818" s="7"/>
      <c r="O818" s="7"/>
      <c r="P818" s="7"/>
      <c r="Q818" s="7"/>
      <c r="R818" s="7"/>
      <c r="S818" s="7"/>
      <c r="T818" s="7"/>
      <c r="U818" s="7"/>
      <c r="V818" s="7"/>
      <c r="W818" s="7"/>
      <c r="X818" s="7"/>
    </row>
    <row r="819" spans="2:24" ht="35.1" customHeight="1">
      <c r="B819" s="7"/>
      <c r="C819" s="33"/>
      <c r="D819" s="7"/>
      <c r="E819" s="7"/>
      <c r="F819" s="7"/>
      <c r="G819" s="7"/>
      <c r="H819" s="7"/>
      <c r="I819" s="7"/>
      <c r="K819" s="7"/>
      <c r="L819" s="7"/>
      <c r="M819" s="7"/>
      <c r="N819" s="7"/>
      <c r="O819" s="7"/>
      <c r="P819" s="7"/>
      <c r="Q819" s="7"/>
      <c r="R819" s="7"/>
      <c r="S819" s="7"/>
      <c r="T819" s="7"/>
      <c r="U819" s="7"/>
      <c r="V819" s="7"/>
      <c r="W819" s="7"/>
      <c r="X819" s="7"/>
    </row>
    <row r="820" spans="2:24" ht="35.1" customHeight="1">
      <c r="B820" s="7"/>
      <c r="C820" s="33"/>
      <c r="D820" s="7"/>
      <c r="E820" s="7"/>
      <c r="F820" s="7"/>
      <c r="G820" s="7"/>
      <c r="H820" s="7"/>
      <c r="I820" s="7"/>
      <c r="K820" s="7"/>
      <c r="L820" s="7"/>
      <c r="M820" s="7"/>
      <c r="N820" s="7"/>
      <c r="O820" s="7"/>
      <c r="P820" s="7"/>
      <c r="Q820" s="7"/>
      <c r="R820" s="7"/>
      <c r="S820" s="7"/>
      <c r="T820" s="7"/>
      <c r="U820" s="7"/>
      <c r="V820" s="7"/>
      <c r="W820" s="7"/>
      <c r="X820" s="7"/>
    </row>
    <row r="821" spans="2:24" ht="35.1" customHeight="1">
      <c r="B821" s="7"/>
      <c r="C821" s="33"/>
      <c r="D821" s="7"/>
      <c r="E821" s="7"/>
      <c r="F821" s="7"/>
      <c r="G821" s="7"/>
      <c r="H821" s="7"/>
      <c r="I821" s="7"/>
      <c r="K821" s="7"/>
      <c r="L821" s="7"/>
      <c r="M821" s="7"/>
      <c r="N821" s="7"/>
      <c r="O821" s="7"/>
      <c r="P821" s="7"/>
      <c r="Q821" s="7"/>
      <c r="R821" s="7"/>
      <c r="S821" s="7"/>
      <c r="T821" s="7"/>
      <c r="U821" s="7"/>
      <c r="V821" s="7"/>
      <c r="W821" s="7"/>
      <c r="X821" s="7"/>
    </row>
    <row r="822" spans="2:24" ht="35.1" customHeight="1">
      <c r="B822" s="7"/>
      <c r="C822" s="33"/>
      <c r="D822" s="7"/>
      <c r="E822" s="7"/>
      <c r="F822" s="7"/>
      <c r="G822" s="7"/>
      <c r="H822" s="7"/>
      <c r="I822" s="7"/>
      <c r="K822" s="7"/>
      <c r="L822" s="7"/>
      <c r="M822" s="7"/>
      <c r="N822" s="7"/>
      <c r="O822" s="7"/>
      <c r="P822" s="7"/>
      <c r="Q822" s="7"/>
      <c r="R822" s="7"/>
      <c r="S822" s="7"/>
      <c r="T822" s="7"/>
      <c r="U822" s="7"/>
      <c r="V822" s="7"/>
      <c r="W822" s="7"/>
      <c r="X822" s="7"/>
    </row>
    <row r="823" spans="2:24" ht="35.1" customHeight="1">
      <c r="B823" s="7"/>
      <c r="C823" s="33"/>
      <c r="D823" s="7"/>
      <c r="E823" s="7"/>
      <c r="F823" s="7"/>
      <c r="G823" s="7"/>
      <c r="H823" s="7"/>
      <c r="I823" s="7"/>
      <c r="K823" s="7"/>
      <c r="L823" s="7"/>
      <c r="M823" s="7"/>
      <c r="N823" s="7"/>
      <c r="O823" s="7"/>
      <c r="P823" s="7"/>
      <c r="Q823" s="7"/>
      <c r="R823" s="7"/>
      <c r="S823" s="7"/>
      <c r="T823" s="7"/>
      <c r="U823" s="7"/>
      <c r="V823" s="7"/>
      <c r="W823" s="7"/>
      <c r="X823" s="7"/>
    </row>
    <row r="824" spans="2:24" ht="35.1" customHeight="1">
      <c r="B824" s="7"/>
      <c r="C824" s="33"/>
      <c r="D824" s="7"/>
      <c r="E824" s="7"/>
      <c r="F824" s="7"/>
      <c r="G824" s="7"/>
      <c r="H824" s="7"/>
      <c r="I824" s="7"/>
      <c r="K824" s="7"/>
      <c r="L824" s="7"/>
      <c r="M824" s="7"/>
      <c r="N824" s="7"/>
      <c r="O824" s="7"/>
      <c r="P824" s="7"/>
      <c r="Q824" s="7"/>
      <c r="R824" s="7"/>
      <c r="S824" s="7"/>
      <c r="T824" s="7"/>
      <c r="U824" s="7"/>
      <c r="V824" s="7"/>
      <c r="W824" s="7"/>
      <c r="X824" s="7"/>
    </row>
    <row r="825" spans="2:24" ht="35.1" customHeight="1">
      <c r="B825" s="7"/>
      <c r="C825" s="33"/>
      <c r="D825" s="7"/>
      <c r="E825" s="7"/>
      <c r="F825" s="7"/>
      <c r="G825" s="7"/>
      <c r="H825" s="7"/>
      <c r="I825" s="7"/>
      <c r="K825" s="7"/>
      <c r="L825" s="7"/>
      <c r="M825" s="7"/>
      <c r="N825" s="7"/>
      <c r="O825" s="7"/>
      <c r="P825" s="7"/>
      <c r="Q825" s="7"/>
      <c r="R825" s="7"/>
      <c r="S825" s="7"/>
      <c r="T825" s="7"/>
      <c r="U825" s="7"/>
      <c r="V825" s="7"/>
      <c r="W825" s="7"/>
      <c r="X825" s="7"/>
    </row>
    <row r="826" spans="2:24" ht="35.1" customHeight="1">
      <c r="B826" s="7"/>
      <c r="C826" s="33"/>
      <c r="D826" s="7"/>
      <c r="E826" s="7"/>
      <c r="F826" s="7"/>
      <c r="G826" s="7"/>
      <c r="H826" s="7"/>
      <c r="I826" s="7"/>
      <c r="K826" s="7"/>
      <c r="L826" s="7"/>
      <c r="M826" s="7"/>
      <c r="N826" s="7"/>
      <c r="O826" s="7"/>
      <c r="P826" s="7"/>
      <c r="Q826" s="7"/>
      <c r="R826" s="7"/>
      <c r="S826" s="7"/>
      <c r="T826" s="7"/>
      <c r="U826" s="7"/>
      <c r="V826" s="7"/>
      <c r="W826" s="7"/>
      <c r="X826" s="7"/>
    </row>
    <row r="827" spans="2:24" ht="35.1" customHeight="1">
      <c r="B827" s="7"/>
      <c r="C827" s="33"/>
      <c r="D827" s="7"/>
      <c r="E827" s="7"/>
      <c r="F827" s="7"/>
      <c r="G827" s="7"/>
      <c r="H827" s="7"/>
      <c r="I827" s="7"/>
      <c r="K827" s="7"/>
      <c r="L827" s="7"/>
      <c r="M827" s="7"/>
      <c r="N827" s="7"/>
      <c r="O827" s="7"/>
      <c r="P827" s="7"/>
      <c r="Q827" s="7"/>
      <c r="R827" s="7"/>
      <c r="S827" s="7"/>
      <c r="T827" s="7"/>
      <c r="U827" s="7"/>
      <c r="V827" s="7"/>
      <c r="W827" s="7"/>
      <c r="X827" s="7"/>
    </row>
    <row r="828" spans="2:24" ht="35.1" customHeight="1">
      <c r="B828" s="7"/>
      <c r="C828" s="33"/>
      <c r="D828" s="7"/>
      <c r="E828" s="7"/>
      <c r="F828" s="7"/>
      <c r="G828" s="7"/>
      <c r="H828" s="7"/>
      <c r="I828" s="7"/>
      <c r="K828" s="7"/>
      <c r="L828" s="7"/>
      <c r="M828" s="7"/>
      <c r="N828" s="7"/>
      <c r="O828" s="7"/>
      <c r="P828" s="7"/>
      <c r="Q828" s="7"/>
      <c r="R828" s="7"/>
      <c r="S828" s="7"/>
      <c r="T828" s="7"/>
      <c r="U828" s="7"/>
      <c r="V828" s="7"/>
      <c r="W828" s="7"/>
      <c r="X828" s="7"/>
    </row>
    <row r="829" spans="2:24" ht="35.1" customHeight="1">
      <c r="B829" s="7"/>
      <c r="C829" s="33"/>
      <c r="D829" s="7"/>
      <c r="E829" s="7"/>
      <c r="F829" s="7"/>
      <c r="G829" s="7"/>
      <c r="H829" s="7"/>
      <c r="I829" s="7"/>
      <c r="K829" s="7"/>
      <c r="L829" s="7"/>
      <c r="M829" s="7"/>
      <c r="N829" s="7"/>
      <c r="O829" s="7"/>
      <c r="P829" s="7"/>
      <c r="Q829" s="7"/>
      <c r="R829" s="7"/>
      <c r="S829" s="7"/>
      <c r="T829" s="7"/>
      <c r="U829" s="7"/>
      <c r="V829" s="7"/>
      <c r="W829" s="7"/>
      <c r="X829" s="7"/>
    </row>
    <row r="830" spans="2:24" ht="35.1" customHeight="1">
      <c r="B830" s="7"/>
      <c r="C830" s="33"/>
      <c r="D830" s="7"/>
      <c r="E830" s="7"/>
      <c r="F830" s="7"/>
      <c r="G830" s="7"/>
      <c r="H830" s="7"/>
      <c r="I830" s="7"/>
      <c r="K830" s="7"/>
      <c r="L830" s="7"/>
      <c r="M830" s="7"/>
      <c r="N830" s="7"/>
      <c r="O830" s="7"/>
      <c r="P830" s="7"/>
      <c r="Q830" s="7"/>
      <c r="R830" s="7"/>
      <c r="S830" s="7"/>
      <c r="T830" s="7"/>
      <c r="U830" s="7"/>
      <c r="V830" s="7"/>
      <c r="W830" s="7"/>
      <c r="X830" s="7"/>
    </row>
    <row r="831" spans="2:24" ht="35.1" customHeight="1">
      <c r="B831" s="7"/>
      <c r="C831" s="33"/>
      <c r="D831" s="7"/>
      <c r="E831" s="7"/>
      <c r="F831" s="7"/>
      <c r="G831" s="7"/>
      <c r="H831" s="7"/>
      <c r="I831" s="7"/>
      <c r="K831" s="7"/>
      <c r="L831" s="7"/>
      <c r="M831" s="7"/>
      <c r="N831" s="7"/>
      <c r="O831" s="7"/>
      <c r="P831" s="7"/>
      <c r="Q831" s="7"/>
      <c r="R831" s="7"/>
      <c r="S831" s="7"/>
      <c r="T831" s="7"/>
      <c r="U831" s="7"/>
      <c r="V831" s="7"/>
      <c r="W831" s="7"/>
      <c r="X831" s="7"/>
    </row>
    <row r="832" spans="2:24" ht="35.1" customHeight="1">
      <c r="B832" s="7"/>
      <c r="C832" s="33"/>
      <c r="D832" s="7"/>
      <c r="E832" s="7"/>
      <c r="F832" s="7"/>
      <c r="G832" s="7"/>
      <c r="H832" s="7"/>
      <c r="I832" s="7"/>
      <c r="K832" s="7"/>
      <c r="L832" s="7"/>
      <c r="M832" s="7"/>
      <c r="N832" s="7"/>
      <c r="O832" s="7"/>
      <c r="P832" s="7"/>
      <c r="Q832" s="7"/>
      <c r="R832" s="7"/>
      <c r="S832" s="7"/>
      <c r="T832" s="7"/>
      <c r="U832" s="7"/>
      <c r="V832" s="7"/>
      <c r="W832" s="7"/>
      <c r="X832" s="7"/>
    </row>
    <row r="833" spans="2:24" ht="35.1" customHeight="1">
      <c r="B833" s="7"/>
      <c r="C833" s="33"/>
      <c r="D833" s="7"/>
      <c r="E833" s="7"/>
      <c r="F833" s="7"/>
      <c r="G833" s="7"/>
      <c r="H833" s="7"/>
      <c r="I833" s="7"/>
      <c r="K833" s="7"/>
      <c r="L833" s="7"/>
      <c r="M833" s="7"/>
      <c r="N833" s="7"/>
      <c r="O833" s="7"/>
      <c r="P833" s="7"/>
      <c r="Q833" s="7"/>
      <c r="R833" s="7"/>
      <c r="S833" s="7"/>
      <c r="T833" s="7"/>
      <c r="U833" s="7"/>
      <c r="V833" s="7"/>
      <c r="W833" s="7"/>
      <c r="X833" s="7"/>
    </row>
    <row r="834" spans="2:24" ht="35.1" customHeight="1">
      <c r="B834" s="7"/>
      <c r="C834" s="33"/>
      <c r="D834" s="7"/>
      <c r="E834" s="7"/>
      <c r="F834" s="7"/>
      <c r="G834" s="7"/>
      <c r="H834" s="7"/>
      <c r="I834" s="7"/>
      <c r="K834" s="7"/>
      <c r="L834" s="7"/>
      <c r="M834" s="7"/>
      <c r="N834" s="7"/>
      <c r="O834" s="7"/>
      <c r="P834" s="7"/>
      <c r="Q834" s="7"/>
      <c r="R834" s="7"/>
      <c r="S834" s="7"/>
      <c r="T834" s="7"/>
      <c r="U834" s="7"/>
      <c r="V834" s="7"/>
      <c r="W834" s="7"/>
      <c r="X834" s="7"/>
    </row>
    <row r="835" spans="2:24" ht="35.1" customHeight="1">
      <c r="B835" s="7"/>
      <c r="C835" s="33"/>
      <c r="D835" s="7"/>
      <c r="E835" s="7"/>
      <c r="F835" s="7"/>
      <c r="G835" s="7"/>
      <c r="H835" s="7"/>
      <c r="I835" s="7"/>
      <c r="K835" s="7"/>
      <c r="L835" s="7"/>
      <c r="M835" s="7"/>
      <c r="N835" s="7"/>
      <c r="O835" s="7"/>
      <c r="P835" s="7"/>
      <c r="Q835" s="7"/>
      <c r="R835" s="7"/>
      <c r="S835" s="7"/>
      <c r="T835" s="7"/>
      <c r="U835" s="7"/>
      <c r="V835" s="7"/>
      <c r="W835" s="7"/>
      <c r="X835" s="7"/>
    </row>
    <row r="836" spans="2:24" ht="35.1" customHeight="1">
      <c r="B836" s="7"/>
      <c r="C836" s="33"/>
      <c r="D836" s="7"/>
      <c r="E836" s="7"/>
      <c r="F836" s="7"/>
      <c r="G836" s="7"/>
      <c r="H836" s="7"/>
      <c r="I836" s="7"/>
      <c r="K836" s="7"/>
      <c r="L836" s="7"/>
      <c r="M836" s="7"/>
      <c r="N836" s="7"/>
      <c r="O836" s="7"/>
      <c r="P836" s="7"/>
      <c r="Q836" s="7"/>
      <c r="R836" s="7"/>
      <c r="S836" s="7"/>
      <c r="T836" s="7"/>
      <c r="U836" s="7"/>
      <c r="V836" s="7"/>
      <c r="W836" s="7"/>
      <c r="X836" s="7"/>
    </row>
    <row r="837" spans="2:24" ht="35.1" customHeight="1">
      <c r="B837" s="7"/>
      <c r="C837" s="33"/>
      <c r="D837" s="7"/>
      <c r="E837" s="7"/>
      <c r="F837" s="7"/>
      <c r="G837" s="7"/>
      <c r="H837" s="7"/>
      <c r="I837" s="7"/>
      <c r="K837" s="7"/>
      <c r="L837" s="7"/>
      <c r="M837" s="7"/>
      <c r="N837" s="7"/>
      <c r="O837" s="7"/>
      <c r="P837" s="7"/>
      <c r="Q837" s="7"/>
      <c r="R837" s="7"/>
      <c r="S837" s="7"/>
      <c r="T837" s="7"/>
      <c r="U837" s="7"/>
      <c r="V837" s="7"/>
      <c r="W837" s="7"/>
      <c r="X837" s="7"/>
    </row>
    <row r="838" spans="2:24" ht="35.1" customHeight="1">
      <c r="B838" s="7"/>
      <c r="C838" s="33"/>
      <c r="D838" s="7"/>
      <c r="E838" s="7"/>
      <c r="F838" s="7"/>
      <c r="G838" s="7"/>
      <c r="H838" s="7"/>
      <c r="I838" s="7"/>
      <c r="K838" s="7"/>
      <c r="L838" s="7"/>
      <c r="M838" s="7"/>
      <c r="N838" s="7"/>
      <c r="O838" s="7"/>
      <c r="P838" s="7"/>
      <c r="Q838" s="7"/>
      <c r="R838" s="7"/>
      <c r="S838" s="7"/>
      <c r="T838" s="7"/>
      <c r="U838" s="7"/>
      <c r="V838" s="7"/>
      <c r="W838" s="7"/>
      <c r="X838" s="7"/>
    </row>
    <row r="839" spans="2:24" ht="35.1" customHeight="1">
      <c r="B839" s="7"/>
      <c r="C839" s="33"/>
      <c r="D839" s="7"/>
      <c r="E839" s="7"/>
      <c r="F839" s="7"/>
      <c r="G839" s="7"/>
      <c r="H839" s="7"/>
      <c r="I839" s="7"/>
      <c r="K839" s="7"/>
      <c r="L839" s="7"/>
      <c r="M839" s="7"/>
      <c r="N839" s="7"/>
      <c r="O839" s="7"/>
      <c r="P839" s="7"/>
      <c r="Q839" s="7"/>
      <c r="R839" s="7"/>
      <c r="S839" s="7"/>
      <c r="T839" s="7"/>
      <c r="U839" s="7"/>
      <c r="V839" s="7"/>
      <c r="W839" s="7"/>
      <c r="X839" s="7"/>
    </row>
    <row r="840" spans="2:24" ht="35.1" customHeight="1">
      <c r="B840" s="7"/>
      <c r="C840" s="33"/>
      <c r="D840" s="7"/>
      <c r="E840" s="7"/>
      <c r="F840" s="7"/>
      <c r="G840" s="7"/>
      <c r="H840" s="7"/>
      <c r="I840" s="7"/>
      <c r="K840" s="7"/>
      <c r="L840" s="7"/>
      <c r="M840" s="7"/>
      <c r="N840" s="7"/>
      <c r="O840" s="7"/>
      <c r="P840" s="7"/>
      <c r="Q840" s="7"/>
      <c r="R840" s="7"/>
      <c r="S840" s="7"/>
      <c r="T840" s="7"/>
      <c r="U840" s="7"/>
      <c r="V840" s="7"/>
      <c r="W840" s="7"/>
      <c r="X840" s="7"/>
    </row>
    <row r="841" spans="2:24" ht="35.1" customHeight="1">
      <c r="B841" s="7"/>
      <c r="C841" s="33"/>
      <c r="D841" s="7"/>
      <c r="E841" s="7"/>
      <c r="F841" s="7"/>
      <c r="G841" s="7"/>
      <c r="H841" s="7"/>
      <c r="I841" s="7"/>
      <c r="K841" s="7"/>
      <c r="L841" s="7"/>
      <c r="M841" s="7"/>
      <c r="N841" s="7"/>
      <c r="O841" s="7"/>
      <c r="P841" s="7"/>
      <c r="Q841" s="7"/>
      <c r="R841" s="7"/>
      <c r="S841" s="7"/>
      <c r="T841" s="7"/>
      <c r="U841" s="7"/>
      <c r="V841" s="7"/>
      <c r="W841" s="7"/>
      <c r="X841" s="7"/>
    </row>
    <row r="842" spans="2:24" ht="35.1" customHeight="1">
      <c r="B842" s="7"/>
      <c r="C842" s="33"/>
      <c r="D842" s="7"/>
      <c r="E842" s="7"/>
      <c r="F842" s="7"/>
      <c r="G842" s="7"/>
      <c r="H842" s="7"/>
      <c r="I842" s="7"/>
      <c r="K842" s="7"/>
      <c r="L842" s="7"/>
      <c r="M842" s="7"/>
      <c r="N842" s="7"/>
      <c r="O842" s="7"/>
      <c r="P842" s="7"/>
      <c r="Q842" s="7"/>
      <c r="R842" s="7"/>
      <c r="S842" s="7"/>
      <c r="T842" s="7"/>
      <c r="U842" s="7"/>
      <c r="V842" s="7"/>
      <c r="W842" s="7"/>
      <c r="X842" s="7"/>
    </row>
    <row r="843" spans="2:24" ht="35.1" customHeight="1">
      <c r="B843" s="7"/>
      <c r="C843" s="33"/>
      <c r="D843" s="7"/>
      <c r="E843" s="7"/>
      <c r="F843" s="7"/>
      <c r="G843" s="7"/>
      <c r="H843" s="7"/>
      <c r="I843" s="7"/>
      <c r="K843" s="7"/>
      <c r="L843" s="7"/>
      <c r="M843" s="7"/>
      <c r="N843" s="7"/>
      <c r="O843" s="7"/>
      <c r="P843" s="7"/>
      <c r="Q843" s="7"/>
      <c r="R843" s="7"/>
      <c r="S843" s="7"/>
      <c r="T843" s="7"/>
      <c r="U843" s="7"/>
      <c r="V843" s="7"/>
      <c r="W843" s="7"/>
      <c r="X843" s="7"/>
    </row>
    <row r="844" spans="2:24" ht="35.1" customHeight="1">
      <c r="B844" s="7"/>
      <c r="C844" s="33"/>
      <c r="D844" s="7"/>
      <c r="E844" s="7"/>
      <c r="F844" s="7"/>
      <c r="G844" s="7"/>
      <c r="H844" s="7"/>
      <c r="I844" s="7"/>
      <c r="K844" s="7"/>
      <c r="L844" s="7"/>
      <c r="M844" s="7"/>
      <c r="N844" s="7"/>
      <c r="O844" s="7"/>
      <c r="P844" s="7"/>
      <c r="Q844" s="7"/>
      <c r="R844" s="7"/>
      <c r="S844" s="7"/>
      <c r="T844" s="7"/>
      <c r="U844" s="7"/>
      <c r="V844" s="7"/>
      <c r="W844" s="7"/>
      <c r="X844" s="7"/>
    </row>
    <row r="845" spans="2:24" ht="35.1" customHeight="1">
      <c r="B845" s="7"/>
      <c r="C845" s="33"/>
      <c r="D845" s="7"/>
      <c r="E845" s="7"/>
      <c r="F845" s="7"/>
      <c r="G845" s="7"/>
      <c r="H845" s="7"/>
      <c r="I845" s="7"/>
      <c r="K845" s="7"/>
      <c r="L845" s="7"/>
      <c r="M845" s="7"/>
      <c r="N845" s="7"/>
      <c r="O845" s="7"/>
      <c r="P845" s="7"/>
      <c r="Q845" s="7"/>
      <c r="R845" s="7"/>
      <c r="S845" s="7"/>
      <c r="T845" s="7"/>
      <c r="U845" s="7"/>
      <c r="V845" s="7"/>
      <c r="W845" s="7"/>
      <c r="X845" s="7"/>
    </row>
    <row r="846" spans="2:24" ht="35.1" customHeight="1">
      <c r="B846" s="7"/>
      <c r="C846" s="33"/>
      <c r="D846" s="7"/>
      <c r="E846" s="7"/>
      <c r="F846" s="7"/>
      <c r="G846" s="7"/>
      <c r="H846" s="7"/>
      <c r="I846" s="7"/>
      <c r="K846" s="7"/>
      <c r="L846" s="7"/>
      <c r="M846" s="7"/>
      <c r="N846" s="7"/>
      <c r="O846" s="7"/>
      <c r="P846" s="7"/>
      <c r="Q846" s="7"/>
      <c r="R846" s="7"/>
      <c r="S846" s="7"/>
      <c r="T846" s="7"/>
      <c r="U846" s="7"/>
      <c r="V846" s="7"/>
      <c r="W846" s="7"/>
      <c r="X846" s="7"/>
    </row>
    <row r="847" spans="2:24" ht="35.1" customHeight="1">
      <c r="B847" s="7"/>
      <c r="C847" s="33"/>
      <c r="D847" s="7"/>
      <c r="E847" s="7"/>
      <c r="F847" s="7"/>
      <c r="G847" s="7"/>
      <c r="H847" s="7"/>
      <c r="I847" s="7"/>
      <c r="K847" s="7"/>
      <c r="L847" s="7"/>
      <c r="M847" s="7"/>
      <c r="N847" s="7"/>
      <c r="O847" s="7"/>
      <c r="P847" s="7"/>
      <c r="Q847" s="7"/>
      <c r="R847" s="7"/>
      <c r="S847" s="7"/>
      <c r="T847" s="7"/>
      <c r="U847" s="7"/>
      <c r="V847" s="7"/>
      <c r="W847" s="7"/>
      <c r="X847" s="7"/>
    </row>
    <row r="848" spans="2:24" ht="35.1" customHeight="1">
      <c r="B848" s="7"/>
      <c r="C848" s="33"/>
      <c r="D848" s="7"/>
      <c r="E848" s="7"/>
      <c r="F848" s="7"/>
      <c r="G848" s="7"/>
      <c r="H848" s="7"/>
      <c r="I848" s="7"/>
      <c r="K848" s="7"/>
      <c r="L848" s="7"/>
      <c r="M848" s="7"/>
      <c r="N848" s="7"/>
      <c r="O848" s="7"/>
      <c r="P848" s="7"/>
      <c r="Q848" s="7"/>
      <c r="R848" s="7"/>
      <c r="S848" s="7"/>
      <c r="T848" s="7"/>
      <c r="U848" s="7"/>
      <c r="V848" s="7"/>
      <c r="W848" s="7"/>
      <c r="X848" s="7"/>
    </row>
    <row r="849" spans="2:24" ht="35.1" customHeight="1">
      <c r="B849" s="7"/>
      <c r="C849" s="33"/>
      <c r="D849" s="7"/>
      <c r="E849" s="7"/>
      <c r="F849" s="7"/>
      <c r="G849" s="7"/>
      <c r="H849" s="7"/>
      <c r="I849" s="7"/>
      <c r="K849" s="7"/>
      <c r="L849" s="7"/>
      <c r="M849" s="7"/>
      <c r="N849" s="7"/>
      <c r="O849" s="7"/>
      <c r="P849" s="7"/>
      <c r="Q849" s="7"/>
      <c r="R849" s="7"/>
      <c r="S849" s="7"/>
      <c r="T849" s="7"/>
      <c r="U849" s="7"/>
      <c r="V849" s="7"/>
      <c r="W849" s="7"/>
      <c r="X849" s="7"/>
    </row>
    <row r="850" spans="2:24" ht="35.1" customHeight="1">
      <c r="B850" s="7"/>
      <c r="C850" s="33"/>
      <c r="D850" s="7"/>
      <c r="E850" s="7"/>
      <c r="F850" s="7"/>
      <c r="G850" s="7"/>
      <c r="H850" s="7"/>
      <c r="I850" s="7"/>
      <c r="K850" s="7"/>
      <c r="L850" s="7"/>
      <c r="M850" s="7"/>
      <c r="N850" s="7"/>
      <c r="O850" s="7"/>
      <c r="P850" s="7"/>
      <c r="Q850" s="7"/>
      <c r="R850" s="7"/>
      <c r="S850" s="7"/>
      <c r="T850" s="7"/>
      <c r="U850" s="7"/>
      <c r="V850" s="7"/>
      <c r="W850" s="7"/>
      <c r="X850" s="7"/>
    </row>
    <row r="851" spans="2:24" ht="35.1" customHeight="1">
      <c r="B851" s="7"/>
      <c r="C851" s="33"/>
      <c r="D851" s="7"/>
      <c r="E851" s="7"/>
      <c r="F851" s="7"/>
      <c r="G851" s="7"/>
      <c r="H851" s="7"/>
      <c r="I851" s="7"/>
      <c r="K851" s="7"/>
      <c r="L851" s="7"/>
      <c r="M851" s="7"/>
      <c r="N851" s="7"/>
      <c r="O851" s="7"/>
      <c r="P851" s="7"/>
      <c r="Q851" s="7"/>
      <c r="R851" s="7"/>
      <c r="S851" s="7"/>
      <c r="T851" s="7"/>
      <c r="U851" s="7"/>
      <c r="V851" s="7"/>
      <c r="W851" s="7"/>
      <c r="X851" s="7"/>
    </row>
    <row r="852" spans="2:24" ht="35.1" customHeight="1">
      <c r="B852" s="7"/>
      <c r="C852" s="33"/>
      <c r="D852" s="7"/>
      <c r="E852" s="7"/>
      <c r="F852" s="7"/>
      <c r="G852" s="7"/>
      <c r="H852" s="7"/>
      <c r="I852" s="7"/>
      <c r="K852" s="7"/>
      <c r="L852" s="7"/>
      <c r="M852" s="7"/>
      <c r="N852" s="7"/>
      <c r="O852" s="7"/>
      <c r="P852" s="7"/>
      <c r="Q852" s="7"/>
      <c r="R852" s="7"/>
      <c r="S852" s="7"/>
      <c r="T852" s="7"/>
      <c r="U852" s="7"/>
      <c r="V852" s="7"/>
      <c r="W852" s="7"/>
      <c r="X852" s="7"/>
    </row>
    <row r="853" spans="2:24" ht="35.1" customHeight="1">
      <c r="B853" s="7"/>
      <c r="C853" s="33"/>
      <c r="D853" s="7"/>
      <c r="E853" s="7"/>
      <c r="F853" s="7"/>
      <c r="G853" s="7"/>
      <c r="H853" s="7"/>
      <c r="I853" s="7"/>
      <c r="K853" s="7"/>
      <c r="L853" s="7"/>
      <c r="M853" s="7"/>
      <c r="N853" s="7"/>
      <c r="O853" s="7"/>
      <c r="P853" s="7"/>
      <c r="Q853" s="7"/>
      <c r="R853" s="7"/>
      <c r="S853" s="7"/>
      <c r="T853" s="7"/>
      <c r="U853" s="7"/>
      <c r="V853" s="7"/>
      <c r="W853" s="7"/>
      <c r="X853" s="7"/>
    </row>
    <row r="854" spans="2:24" ht="35.1" customHeight="1">
      <c r="B854" s="7"/>
      <c r="C854" s="33"/>
      <c r="D854" s="7"/>
      <c r="E854" s="7"/>
      <c r="F854" s="7"/>
      <c r="G854" s="7"/>
      <c r="H854" s="7"/>
      <c r="I854" s="7"/>
      <c r="K854" s="7"/>
      <c r="L854" s="7"/>
      <c r="M854" s="7"/>
      <c r="N854" s="7"/>
      <c r="O854" s="7"/>
      <c r="P854" s="7"/>
      <c r="Q854" s="7"/>
      <c r="R854" s="7"/>
      <c r="S854" s="7"/>
      <c r="T854" s="7"/>
      <c r="U854" s="7"/>
      <c r="V854" s="7"/>
      <c r="W854" s="7"/>
      <c r="X854" s="7"/>
    </row>
    <row r="855" spans="2:24" ht="35.1" customHeight="1">
      <c r="B855" s="7"/>
      <c r="C855" s="33"/>
      <c r="D855" s="7"/>
      <c r="E855" s="7"/>
      <c r="F855" s="7"/>
      <c r="G855" s="7"/>
      <c r="H855" s="7"/>
      <c r="I855" s="7"/>
      <c r="K855" s="7"/>
      <c r="L855" s="7"/>
      <c r="M855" s="7"/>
      <c r="N855" s="7"/>
      <c r="O855" s="7"/>
      <c r="P855" s="7"/>
      <c r="Q855" s="7"/>
      <c r="R855" s="7"/>
      <c r="S855" s="7"/>
      <c r="T855" s="7"/>
      <c r="U855" s="7"/>
      <c r="V855" s="7"/>
      <c r="W855" s="7"/>
      <c r="X855" s="7"/>
    </row>
    <row r="856" spans="2:24" ht="35.1" customHeight="1">
      <c r="B856" s="7"/>
      <c r="C856" s="33"/>
      <c r="D856" s="7"/>
      <c r="E856" s="7"/>
      <c r="F856" s="7"/>
      <c r="G856" s="7"/>
      <c r="H856" s="7"/>
      <c r="I856" s="7"/>
      <c r="K856" s="7"/>
      <c r="L856" s="7"/>
      <c r="M856" s="7"/>
      <c r="N856" s="7"/>
      <c r="O856" s="7"/>
      <c r="P856" s="7"/>
      <c r="Q856" s="7"/>
      <c r="R856" s="7"/>
      <c r="S856" s="7"/>
      <c r="T856" s="7"/>
      <c r="U856" s="7"/>
      <c r="V856" s="7"/>
      <c r="W856" s="7"/>
      <c r="X856" s="7"/>
    </row>
    <row r="857" spans="2:24" ht="35.1" customHeight="1">
      <c r="B857" s="7"/>
      <c r="C857" s="33"/>
      <c r="D857" s="7"/>
      <c r="E857" s="7"/>
      <c r="F857" s="7"/>
      <c r="G857" s="7"/>
      <c r="H857" s="7"/>
      <c r="I857" s="7"/>
      <c r="K857" s="7"/>
      <c r="L857" s="7"/>
      <c r="M857" s="7"/>
      <c r="N857" s="7"/>
      <c r="O857" s="7"/>
      <c r="P857" s="7"/>
      <c r="Q857" s="7"/>
      <c r="R857" s="7"/>
      <c r="S857" s="7"/>
      <c r="T857" s="7"/>
      <c r="U857" s="7"/>
      <c r="V857" s="7"/>
      <c r="W857" s="7"/>
      <c r="X857" s="7"/>
    </row>
    <row r="858" spans="2:24" ht="35.1" customHeight="1">
      <c r="B858" s="7"/>
      <c r="C858" s="33"/>
      <c r="D858" s="7"/>
      <c r="E858" s="7"/>
      <c r="F858" s="7"/>
      <c r="G858" s="7"/>
      <c r="H858" s="7"/>
      <c r="I858" s="7"/>
      <c r="K858" s="7"/>
      <c r="L858" s="7"/>
      <c r="M858" s="7"/>
      <c r="N858" s="7"/>
      <c r="O858" s="7"/>
      <c r="P858" s="7"/>
      <c r="Q858" s="7"/>
      <c r="R858" s="7"/>
      <c r="S858" s="7"/>
      <c r="T858" s="7"/>
      <c r="U858" s="7"/>
      <c r="V858" s="7"/>
      <c r="W858" s="7"/>
      <c r="X858" s="7"/>
    </row>
    <row r="859" spans="2:24" ht="35.1" customHeight="1">
      <c r="B859" s="7"/>
      <c r="C859" s="33"/>
      <c r="D859" s="7"/>
      <c r="E859" s="7"/>
      <c r="F859" s="7"/>
      <c r="G859" s="7"/>
      <c r="H859" s="7"/>
      <c r="I859" s="7"/>
      <c r="K859" s="7"/>
      <c r="L859" s="7"/>
      <c r="M859" s="7"/>
      <c r="N859" s="7"/>
      <c r="O859" s="7"/>
      <c r="P859" s="7"/>
      <c r="Q859" s="7"/>
      <c r="R859" s="7"/>
      <c r="S859" s="7"/>
      <c r="T859" s="7"/>
      <c r="U859" s="7"/>
      <c r="V859" s="7"/>
      <c r="W859" s="7"/>
      <c r="X859" s="7"/>
    </row>
    <row r="860" spans="2:24" ht="35.1" customHeight="1">
      <c r="B860" s="7"/>
      <c r="C860" s="33"/>
      <c r="D860" s="7"/>
      <c r="E860" s="7"/>
      <c r="F860" s="7"/>
      <c r="G860" s="7"/>
      <c r="H860" s="7"/>
      <c r="I860" s="7"/>
      <c r="K860" s="7"/>
      <c r="L860" s="7"/>
      <c r="M860" s="7"/>
      <c r="N860" s="7"/>
      <c r="O860" s="7"/>
      <c r="P860" s="7"/>
      <c r="Q860" s="7"/>
      <c r="R860" s="7"/>
      <c r="S860" s="7"/>
      <c r="T860" s="7"/>
      <c r="U860" s="7"/>
      <c r="V860" s="7"/>
      <c r="W860" s="7"/>
      <c r="X860" s="7"/>
    </row>
    <row r="861" spans="2:24" ht="35.1" customHeight="1">
      <c r="B861" s="7"/>
      <c r="C861" s="33"/>
      <c r="D861" s="7"/>
      <c r="E861" s="7"/>
      <c r="F861" s="7"/>
      <c r="G861" s="7"/>
      <c r="H861" s="7"/>
      <c r="I861" s="7"/>
      <c r="K861" s="7"/>
      <c r="L861" s="7"/>
      <c r="M861" s="7"/>
      <c r="N861" s="7"/>
      <c r="O861" s="7"/>
      <c r="P861" s="7"/>
      <c r="Q861" s="7"/>
      <c r="R861" s="7"/>
      <c r="S861" s="7"/>
      <c r="T861" s="7"/>
      <c r="U861" s="7"/>
      <c r="V861" s="7"/>
      <c r="W861" s="7"/>
      <c r="X861" s="7"/>
    </row>
    <row r="862" spans="2:24" ht="35.1" customHeight="1">
      <c r="B862" s="7"/>
      <c r="C862" s="33"/>
      <c r="D862" s="7"/>
      <c r="E862" s="7"/>
      <c r="F862" s="7"/>
      <c r="G862" s="7"/>
      <c r="H862" s="7"/>
      <c r="I862" s="7"/>
      <c r="K862" s="7"/>
      <c r="L862" s="7"/>
      <c r="M862" s="7"/>
      <c r="N862" s="7"/>
      <c r="O862" s="7"/>
      <c r="P862" s="7"/>
      <c r="Q862" s="7"/>
      <c r="R862" s="7"/>
      <c r="S862" s="7"/>
      <c r="T862" s="7"/>
      <c r="U862" s="7"/>
      <c r="V862" s="7"/>
      <c r="W862" s="7"/>
      <c r="X862" s="7"/>
    </row>
    <row r="863" spans="2:24" ht="35.1" customHeight="1">
      <c r="B863" s="7"/>
      <c r="C863" s="33"/>
      <c r="D863" s="7"/>
      <c r="E863" s="7"/>
      <c r="F863" s="7"/>
      <c r="G863" s="7"/>
      <c r="H863" s="7"/>
      <c r="I863" s="7"/>
      <c r="K863" s="7"/>
      <c r="L863" s="7"/>
      <c r="M863" s="7"/>
      <c r="N863" s="7"/>
      <c r="O863" s="7"/>
      <c r="P863" s="7"/>
      <c r="Q863" s="7"/>
      <c r="R863" s="7"/>
      <c r="S863" s="7"/>
      <c r="T863" s="7"/>
      <c r="U863" s="7"/>
      <c r="V863" s="7"/>
      <c r="W863" s="7"/>
      <c r="X863" s="7"/>
    </row>
    <row r="864" spans="2:24" ht="35.1" customHeight="1">
      <c r="B864" s="7"/>
      <c r="C864" s="33"/>
      <c r="D864" s="7"/>
      <c r="E864" s="7"/>
      <c r="F864" s="7"/>
      <c r="G864" s="7"/>
      <c r="H864" s="7"/>
      <c r="I864" s="7"/>
      <c r="K864" s="7"/>
      <c r="L864" s="7"/>
      <c r="M864" s="7"/>
      <c r="N864" s="7"/>
      <c r="O864" s="7"/>
      <c r="P864" s="7"/>
      <c r="Q864" s="7"/>
      <c r="R864" s="7"/>
      <c r="S864" s="7"/>
      <c r="T864" s="7"/>
      <c r="U864" s="7"/>
      <c r="V864" s="7"/>
      <c r="W864" s="7"/>
      <c r="X864" s="7"/>
    </row>
    <row r="865" spans="2:24" ht="35.1" customHeight="1">
      <c r="B865" s="7"/>
      <c r="C865" s="33"/>
      <c r="D865" s="7"/>
      <c r="E865" s="7"/>
      <c r="F865" s="7"/>
      <c r="G865" s="7"/>
      <c r="H865" s="7"/>
      <c r="I865" s="7"/>
      <c r="K865" s="7"/>
      <c r="L865" s="7"/>
      <c r="M865" s="7"/>
      <c r="N865" s="7"/>
      <c r="O865" s="7"/>
      <c r="P865" s="7"/>
      <c r="Q865" s="7"/>
      <c r="R865" s="7"/>
      <c r="S865" s="7"/>
      <c r="T865" s="7"/>
      <c r="U865" s="7"/>
      <c r="V865" s="7"/>
      <c r="W865" s="7"/>
      <c r="X865" s="7"/>
    </row>
    <row r="866" spans="2:24" ht="35.1" customHeight="1">
      <c r="B866" s="7"/>
      <c r="C866" s="33"/>
      <c r="D866" s="7"/>
      <c r="E866" s="7"/>
      <c r="F866" s="7"/>
      <c r="G866" s="7"/>
      <c r="H866" s="7"/>
      <c r="I866" s="7"/>
      <c r="K866" s="7"/>
      <c r="L866" s="7"/>
      <c r="M866" s="7"/>
      <c r="N866" s="7"/>
      <c r="O866" s="7"/>
      <c r="P866" s="7"/>
      <c r="Q866" s="7"/>
      <c r="R866" s="7"/>
      <c r="S866" s="7"/>
      <c r="T866" s="7"/>
      <c r="U866" s="7"/>
      <c r="V866" s="7"/>
      <c r="W866" s="7"/>
      <c r="X866" s="7"/>
    </row>
    <row r="867" spans="2:24" ht="35.1" customHeight="1">
      <c r="B867" s="7"/>
      <c r="C867" s="33"/>
      <c r="D867" s="7"/>
      <c r="E867" s="7"/>
      <c r="F867" s="7"/>
      <c r="G867" s="7"/>
      <c r="H867" s="7"/>
      <c r="I867" s="7"/>
      <c r="K867" s="7"/>
      <c r="L867" s="7"/>
      <c r="M867" s="7"/>
      <c r="N867" s="7"/>
      <c r="O867" s="7"/>
      <c r="P867" s="7"/>
      <c r="Q867" s="7"/>
      <c r="R867" s="7"/>
      <c r="S867" s="7"/>
      <c r="T867" s="7"/>
      <c r="U867" s="7"/>
      <c r="V867" s="7"/>
      <c r="W867" s="7"/>
      <c r="X867" s="7"/>
    </row>
    <row r="868" spans="2:24" ht="35.1" customHeight="1">
      <c r="B868" s="7"/>
      <c r="C868" s="33"/>
      <c r="D868" s="7"/>
      <c r="E868" s="7"/>
      <c r="F868" s="7"/>
      <c r="G868" s="7"/>
      <c r="H868" s="7"/>
      <c r="I868" s="7"/>
      <c r="K868" s="7"/>
      <c r="L868" s="7"/>
      <c r="M868" s="7"/>
      <c r="N868" s="7"/>
      <c r="O868" s="7"/>
      <c r="P868" s="7"/>
      <c r="Q868" s="7"/>
      <c r="R868" s="7"/>
      <c r="S868" s="7"/>
      <c r="T868" s="7"/>
      <c r="U868" s="7"/>
      <c r="V868" s="7"/>
      <c r="W868" s="7"/>
      <c r="X868" s="7"/>
    </row>
    <row r="869" spans="2:24" ht="35.1" customHeight="1">
      <c r="B869" s="7"/>
      <c r="C869" s="33"/>
      <c r="D869" s="7"/>
      <c r="E869" s="7"/>
      <c r="F869" s="7"/>
      <c r="G869" s="7"/>
      <c r="H869" s="7"/>
      <c r="I869" s="7"/>
      <c r="K869" s="7"/>
      <c r="L869" s="7"/>
      <c r="M869" s="7"/>
      <c r="N869" s="7"/>
      <c r="O869" s="7"/>
      <c r="P869" s="7"/>
      <c r="Q869" s="7"/>
      <c r="R869" s="7"/>
      <c r="S869" s="7"/>
      <c r="T869" s="7"/>
      <c r="U869" s="7"/>
      <c r="V869" s="7"/>
      <c r="W869" s="7"/>
      <c r="X869" s="7"/>
    </row>
    <row r="870" spans="2:24" ht="35.1" customHeight="1">
      <c r="B870" s="7"/>
      <c r="C870" s="33"/>
      <c r="D870" s="7"/>
      <c r="E870" s="7"/>
      <c r="F870" s="7"/>
      <c r="G870" s="7"/>
      <c r="H870" s="7"/>
      <c r="I870" s="7"/>
      <c r="K870" s="7"/>
      <c r="L870" s="7"/>
      <c r="M870" s="7"/>
      <c r="N870" s="7"/>
      <c r="O870" s="7"/>
      <c r="P870" s="7"/>
      <c r="Q870" s="7"/>
      <c r="R870" s="7"/>
      <c r="S870" s="7"/>
      <c r="T870" s="7"/>
      <c r="U870" s="7"/>
      <c r="V870" s="7"/>
      <c r="W870" s="7"/>
      <c r="X870" s="7"/>
    </row>
    <row r="871" spans="2:24" ht="35.1" customHeight="1">
      <c r="B871" s="7"/>
      <c r="C871" s="33"/>
      <c r="D871" s="7"/>
      <c r="E871" s="7"/>
      <c r="F871" s="7"/>
      <c r="G871" s="7"/>
      <c r="H871" s="7"/>
      <c r="I871" s="7"/>
      <c r="K871" s="7"/>
      <c r="L871" s="7"/>
      <c r="M871" s="7"/>
      <c r="N871" s="7"/>
      <c r="O871" s="7"/>
      <c r="P871" s="7"/>
      <c r="Q871" s="7"/>
      <c r="R871" s="7"/>
      <c r="S871" s="7"/>
      <c r="T871" s="7"/>
      <c r="U871" s="7"/>
      <c r="V871" s="7"/>
      <c r="W871" s="7"/>
      <c r="X871" s="7"/>
    </row>
    <row r="872" spans="2:24" ht="35.1" customHeight="1">
      <c r="B872" s="7"/>
      <c r="C872" s="33"/>
      <c r="D872" s="7"/>
      <c r="E872" s="7"/>
      <c r="F872" s="7"/>
      <c r="G872" s="7"/>
      <c r="H872" s="7"/>
      <c r="I872" s="7"/>
      <c r="K872" s="7"/>
      <c r="L872" s="7"/>
      <c r="M872" s="7"/>
      <c r="N872" s="7"/>
      <c r="O872" s="7"/>
      <c r="P872" s="7"/>
      <c r="Q872" s="7"/>
      <c r="R872" s="7"/>
      <c r="S872" s="7"/>
      <c r="T872" s="7"/>
      <c r="U872" s="7"/>
      <c r="V872" s="7"/>
      <c r="W872" s="7"/>
      <c r="X872" s="7"/>
    </row>
    <row r="873" spans="2:24" ht="35.1" customHeight="1">
      <c r="B873" s="7"/>
      <c r="C873" s="33"/>
      <c r="D873" s="7"/>
      <c r="E873" s="7"/>
      <c r="F873" s="7"/>
      <c r="G873" s="7"/>
      <c r="H873" s="7"/>
      <c r="I873" s="7"/>
      <c r="K873" s="7"/>
      <c r="L873" s="7"/>
      <c r="M873" s="7"/>
      <c r="N873" s="7"/>
      <c r="O873" s="7"/>
      <c r="P873" s="7"/>
      <c r="Q873" s="7"/>
      <c r="R873" s="7"/>
      <c r="S873" s="7"/>
      <c r="T873" s="7"/>
      <c r="U873" s="7"/>
      <c r="V873" s="7"/>
      <c r="W873" s="7"/>
      <c r="X873" s="7"/>
    </row>
    <row r="874" spans="2:24" ht="35.1" customHeight="1">
      <c r="B874" s="7"/>
      <c r="C874" s="33"/>
      <c r="D874" s="7"/>
      <c r="E874" s="7"/>
      <c r="F874" s="7"/>
      <c r="G874" s="7"/>
      <c r="H874" s="7"/>
      <c r="I874" s="7"/>
      <c r="K874" s="7"/>
      <c r="L874" s="7"/>
      <c r="M874" s="7"/>
      <c r="N874" s="7"/>
      <c r="O874" s="7"/>
      <c r="P874" s="7"/>
      <c r="Q874" s="7"/>
      <c r="R874" s="7"/>
      <c r="S874" s="7"/>
      <c r="T874" s="7"/>
      <c r="U874" s="7"/>
      <c r="V874" s="7"/>
      <c r="W874" s="7"/>
      <c r="X874" s="7"/>
    </row>
    <row r="875" spans="2:24" ht="35.1" customHeight="1">
      <c r="B875" s="7"/>
      <c r="C875" s="33"/>
      <c r="D875" s="7"/>
      <c r="E875" s="7"/>
      <c r="F875" s="7"/>
      <c r="G875" s="7"/>
      <c r="H875" s="7"/>
      <c r="I875" s="7"/>
      <c r="K875" s="7"/>
      <c r="L875" s="7"/>
      <c r="M875" s="7"/>
      <c r="N875" s="7"/>
      <c r="O875" s="7"/>
      <c r="P875" s="7"/>
      <c r="Q875" s="7"/>
      <c r="R875" s="7"/>
      <c r="S875" s="7"/>
      <c r="T875" s="7"/>
      <c r="U875" s="7"/>
      <c r="V875" s="7"/>
      <c r="W875" s="7"/>
      <c r="X875" s="7"/>
    </row>
    <row r="876" spans="2:24" ht="35.1" customHeight="1">
      <c r="B876" s="7"/>
      <c r="C876" s="33"/>
      <c r="D876" s="7"/>
      <c r="E876" s="7"/>
      <c r="F876" s="7"/>
      <c r="G876" s="7"/>
      <c r="H876" s="7"/>
      <c r="I876" s="7"/>
      <c r="K876" s="7"/>
      <c r="L876" s="7"/>
      <c r="M876" s="7"/>
      <c r="N876" s="7"/>
      <c r="O876" s="7"/>
      <c r="P876" s="7"/>
      <c r="Q876" s="7"/>
      <c r="R876" s="7"/>
      <c r="S876" s="7"/>
      <c r="T876" s="7"/>
      <c r="U876" s="7"/>
      <c r="V876" s="7"/>
      <c r="W876" s="7"/>
      <c r="X876" s="7"/>
    </row>
    <row r="877" spans="2:24" ht="35.1" customHeight="1">
      <c r="B877" s="7"/>
      <c r="C877" s="33"/>
      <c r="D877" s="7"/>
      <c r="E877" s="7"/>
      <c r="F877" s="7"/>
      <c r="G877" s="7"/>
      <c r="H877" s="7"/>
      <c r="I877" s="7"/>
      <c r="K877" s="7"/>
      <c r="L877" s="7"/>
      <c r="M877" s="7"/>
      <c r="N877" s="7"/>
      <c r="O877" s="7"/>
      <c r="P877" s="7"/>
      <c r="Q877" s="7"/>
      <c r="R877" s="7"/>
      <c r="S877" s="7"/>
      <c r="T877" s="7"/>
      <c r="U877" s="7"/>
      <c r="V877" s="7"/>
      <c r="W877" s="7"/>
      <c r="X877" s="7"/>
    </row>
    <row r="878" spans="2:24" ht="35.1" customHeight="1">
      <c r="B878" s="7"/>
      <c r="C878" s="33"/>
      <c r="D878" s="7"/>
      <c r="E878" s="7"/>
      <c r="F878" s="7"/>
      <c r="G878" s="7"/>
      <c r="H878" s="7"/>
      <c r="I878" s="7"/>
      <c r="K878" s="7"/>
      <c r="L878" s="7"/>
      <c r="M878" s="7"/>
      <c r="N878" s="7"/>
      <c r="O878" s="7"/>
      <c r="P878" s="7"/>
      <c r="Q878" s="7"/>
      <c r="R878" s="7"/>
      <c r="S878" s="7"/>
      <c r="T878" s="7"/>
      <c r="U878" s="7"/>
      <c r="V878" s="7"/>
      <c r="W878" s="7"/>
      <c r="X878" s="7"/>
    </row>
    <row r="879" spans="2:24" ht="35.1" customHeight="1">
      <c r="B879" s="7"/>
      <c r="C879" s="33"/>
      <c r="D879" s="7"/>
      <c r="E879" s="7"/>
      <c r="F879" s="7"/>
      <c r="G879" s="7"/>
      <c r="H879" s="7"/>
      <c r="I879" s="7"/>
      <c r="K879" s="7"/>
      <c r="L879" s="7"/>
      <c r="M879" s="7"/>
      <c r="N879" s="7"/>
      <c r="O879" s="7"/>
      <c r="P879" s="7"/>
      <c r="Q879" s="7"/>
      <c r="R879" s="7"/>
      <c r="S879" s="7"/>
      <c r="T879" s="7"/>
      <c r="U879" s="7"/>
      <c r="V879" s="7"/>
      <c r="W879" s="7"/>
      <c r="X879" s="7"/>
    </row>
    <row r="880" spans="2:24" ht="35.1" customHeight="1">
      <c r="B880" s="7"/>
      <c r="C880" s="33"/>
      <c r="D880" s="7"/>
      <c r="E880" s="7"/>
      <c r="F880" s="7"/>
      <c r="G880" s="7"/>
      <c r="H880" s="7"/>
      <c r="I880" s="7"/>
      <c r="K880" s="7"/>
      <c r="L880" s="7"/>
      <c r="M880" s="7"/>
      <c r="N880" s="7"/>
      <c r="O880" s="7"/>
      <c r="P880" s="7"/>
      <c r="Q880" s="7"/>
      <c r="R880" s="7"/>
      <c r="S880" s="7"/>
      <c r="T880" s="7"/>
      <c r="U880" s="7"/>
      <c r="V880" s="7"/>
      <c r="W880" s="7"/>
      <c r="X880" s="7"/>
    </row>
    <row r="881" spans="2:24" ht="35.1" customHeight="1">
      <c r="B881" s="7"/>
      <c r="C881" s="33"/>
      <c r="D881" s="7"/>
      <c r="E881" s="7"/>
      <c r="F881" s="7"/>
      <c r="G881" s="7"/>
      <c r="H881" s="7"/>
      <c r="I881" s="7"/>
      <c r="K881" s="7"/>
      <c r="L881" s="7"/>
      <c r="M881" s="7"/>
      <c r="N881" s="7"/>
      <c r="O881" s="7"/>
      <c r="P881" s="7"/>
      <c r="Q881" s="7"/>
      <c r="R881" s="7"/>
      <c r="S881" s="7"/>
      <c r="T881" s="7"/>
      <c r="U881" s="7"/>
      <c r="V881" s="7"/>
      <c r="W881" s="7"/>
      <c r="X881" s="7"/>
    </row>
    <row r="882" spans="2:24" ht="35.1" customHeight="1">
      <c r="B882" s="7"/>
      <c r="C882" s="33"/>
      <c r="D882" s="7"/>
      <c r="E882" s="7"/>
      <c r="F882" s="7"/>
      <c r="G882" s="7"/>
      <c r="H882" s="7"/>
      <c r="I882" s="7"/>
      <c r="K882" s="7"/>
      <c r="L882" s="7"/>
      <c r="M882" s="7"/>
      <c r="N882" s="7"/>
      <c r="O882" s="7"/>
      <c r="P882" s="7"/>
      <c r="Q882" s="7"/>
      <c r="R882" s="7"/>
      <c r="S882" s="7"/>
      <c r="T882" s="7"/>
      <c r="U882" s="7"/>
      <c r="V882" s="7"/>
      <c r="W882" s="7"/>
      <c r="X882" s="7"/>
    </row>
    <row r="883" spans="2:24" ht="35.1" customHeight="1">
      <c r="B883" s="7"/>
      <c r="C883" s="33"/>
      <c r="D883" s="7"/>
      <c r="E883" s="7"/>
      <c r="F883" s="7"/>
      <c r="G883" s="7"/>
      <c r="H883" s="7"/>
      <c r="I883" s="7"/>
      <c r="K883" s="7"/>
      <c r="L883" s="7"/>
      <c r="M883" s="7"/>
      <c r="N883" s="7"/>
      <c r="O883" s="7"/>
      <c r="P883" s="7"/>
      <c r="Q883" s="7"/>
      <c r="R883" s="7"/>
      <c r="S883" s="7"/>
      <c r="T883" s="7"/>
      <c r="U883" s="7"/>
      <c r="V883" s="7"/>
      <c r="W883" s="7"/>
      <c r="X883" s="7"/>
    </row>
    <row r="884" spans="2:24" ht="35.1" customHeight="1">
      <c r="B884" s="7"/>
      <c r="C884" s="33"/>
      <c r="D884" s="7"/>
      <c r="E884" s="7"/>
      <c r="F884" s="7"/>
      <c r="G884" s="7"/>
      <c r="H884" s="7"/>
      <c r="I884" s="7"/>
      <c r="K884" s="7"/>
      <c r="L884" s="7"/>
      <c r="M884" s="7"/>
      <c r="N884" s="7"/>
      <c r="O884" s="7"/>
      <c r="P884" s="7"/>
      <c r="Q884" s="7"/>
      <c r="R884" s="7"/>
      <c r="S884" s="7"/>
      <c r="T884" s="7"/>
      <c r="U884" s="7"/>
      <c r="V884" s="7"/>
      <c r="W884" s="7"/>
      <c r="X884" s="7"/>
    </row>
    <row r="885" spans="2:24" ht="35.1" customHeight="1">
      <c r="B885" s="7"/>
      <c r="C885" s="33"/>
      <c r="D885" s="7"/>
      <c r="E885" s="7"/>
      <c r="F885" s="7"/>
      <c r="G885" s="7"/>
      <c r="H885" s="7"/>
      <c r="I885" s="7"/>
      <c r="K885" s="7"/>
      <c r="L885" s="7"/>
      <c r="M885" s="7"/>
      <c r="N885" s="7"/>
      <c r="O885" s="7"/>
      <c r="P885" s="7"/>
      <c r="Q885" s="7"/>
      <c r="R885" s="7"/>
      <c r="S885" s="7"/>
      <c r="T885" s="7"/>
      <c r="U885" s="7"/>
      <c r="V885" s="7"/>
      <c r="W885" s="7"/>
      <c r="X885" s="7"/>
    </row>
    <row r="886" spans="2:24" ht="35.1" customHeight="1">
      <c r="B886" s="7"/>
      <c r="C886" s="33"/>
      <c r="D886" s="7"/>
      <c r="E886" s="7"/>
      <c r="F886" s="7"/>
      <c r="G886" s="7"/>
      <c r="H886" s="7"/>
      <c r="I886" s="7"/>
      <c r="K886" s="7"/>
      <c r="L886" s="7"/>
      <c r="M886" s="7"/>
      <c r="N886" s="7"/>
      <c r="O886" s="7"/>
      <c r="P886" s="7"/>
      <c r="Q886" s="7"/>
      <c r="R886" s="7"/>
      <c r="S886" s="7"/>
      <c r="T886" s="7"/>
      <c r="U886" s="7"/>
      <c r="V886" s="7"/>
      <c r="W886" s="7"/>
      <c r="X886" s="7"/>
    </row>
    <row r="887" spans="2:24" ht="35.1" customHeight="1">
      <c r="B887" s="7"/>
      <c r="C887" s="33"/>
      <c r="D887" s="7"/>
      <c r="E887" s="7"/>
      <c r="F887" s="7"/>
      <c r="G887" s="7"/>
      <c r="H887" s="7"/>
      <c r="I887" s="7"/>
      <c r="K887" s="7"/>
      <c r="L887" s="7"/>
      <c r="M887" s="7"/>
      <c r="N887" s="7"/>
      <c r="O887" s="7"/>
      <c r="P887" s="7"/>
      <c r="Q887" s="7"/>
      <c r="R887" s="7"/>
      <c r="S887" s="7"/>
      <c r="T887" s="7"/>
      <c r="U887" s="7"/>
      <c r="V887" s="7"/>
      <c r="W887" s="7"/>
      <c r="X887" s="7"/>
    </row>
    <row r="888" spans="2:24" ht="35.1" customHeight="1">
      <c r="B888" s="7"/>
      <c r="C888" s="33"/>
      <c r="D888" s="7"/>
      <c r="E888" s="7"/>
      <c r="F888" s="7"/>
      <c r="G888" s="7"/>
      <c r="H888" s="7"/>
      <c r="I888" s="7"/>
      <c r="K888" s="7"/>
      <c r="L888" s="7"/>
      <c r="M888" s="7"/>
      <c r="N888" s="7"/>
      <c r="O888" s="7"/>
      <c r="P888" s="7"/>
      <c r="Q888" s="7"/>
      <c r="R888" s="7"/>
      <c r="S888" s="7"/>
      <c r="T888" s="7"/>
      <c r="U888" s="7"/>
      <c r="V888" s="7"/>
      <c r="W888" s="7"/>
      <c r="X888" s="7"/>
    </row>
    <row r="889" spans="2:24" ht="35.1" customHeight="1">
      <c r="B889" s="7"/>
      <c r="C889" s="33"/>
      <c r="D889" s="7"/>
      <c r="E889" s="7"/>
      <c r="F889" s="7"/>
      <c r="G889" s="7"/>
      <c r="H889" s="7"/>
      <c r="I889" s="7"/>
      <c r="K889" s="7"/>
      <c r="L889" s="7"/>
      <c r="M889" s="7"/>
      <c r="N889" s="7"/>
      <c r="O889" s="7"/>
      <c r="P889" s="7"/>
      <c r="Q889" s="7"/>
      <c r="R889" s="7"/>
      <c r="S889" s="7"/>
      <c r="T889" s="7"/>
      <c r="U889" s="7"/>
      <c r="V889" s="7"/>
      <c r="W889" s="7"/>
      <c r="X889" s="7"/>
    </row>
    <row r="890" spans="2:24" ht="35.1" customHeight="1">
      <c r="B890" s="7"/>
      <c r="C890" s="33"/>
      <c r="D890" s="7"/>
      <c r="E890" s="7"/>
      <c r="F890" s="7"/>
      <c r="G890" s="7"/>
      <c r="H890" s="7"/>
      <c r="I890" s="7"/>
      <c r="K890" s="7"/>
      <c r="L890" s="7"/>
      <c r="M890" s="7"/>
      <c r="N890" s="7"/>
      <c r="O890" s="7"/>
      <c r="P890" s="7"/>
      <c r="Q890" s="7"/>
      <c r="R890" s="7"/>
      <c r="S890" s="7"/>
      <c r="T890" s="7"/>
      <c r="U890" s="7"/>
      <c r="V890" s="7"/>
      <c r="W890" s="7"/>
      <c r="X890" s="7"/>
    </row>
    <row r="891" spans="2:24" ht="35.1" customHeight="1">
      <c r="B891" s="7"/>
      <c r="C891" s="33"/>
      <c r="D891" s="7"/>
      <c r="E891" s="7"/>
      <c r="F891" s="7"/>
      <c r="G891" s="7"/>
      <c r="H891" s="7"/>
      <c r="I891" s="7"/>
      <c r="K891" s="7"/>
      <c r="L891" s="7"/>
      <c r="M891" s="7"/>
      <c r="N891" s="7"/>
      <c r="O891" s="7"/>
      <c r="P891" s="7"/>
      <c r="Q891" s="7"/>
      <c r="R891" s="7"/>
      <c r="S891" s="7"/>
      <c r="T891" s="7"/>
      <c r="U891" s="7"/>
      <c r="V891" s="7"/>
      <c r="W891" s="7"/>
      <c r="X891" s="7"/>
    </row>
    <row r="892" spans="2:24" ht="35.1" customHeight="1">
      <c r="B892" s="7"/>
      <c r="C892" s="33"/>
      <c r="D892" s="7"/>
      <c r="E892" s="7"/>
      <c r="F892" s="7"/>
      <c r="G892" s="7"/>
      <c r="H892" s="7"/>
      <c r="I892" s="7"/>
      <c r="K892" s="7"/>
      <c r="L892" s="7"/>
      <c r="M892" s="7"/>
      <c r="N892" s="7"/>
      <c r="O892" s="7"/>
      <c r="P892" s="7"/>
      <c r="Q892" s="7"/>
      <c r="R892" s="7"/>
      <c r="S892" s="7"/>
      <c r="T892" s="7"/>
      <c r="U892" s="7"/>
      <c r="V892" s="7"/>
      <c r="W892" s="7"/>
      <c r="X892" s="7"/>
    </row>
    <row r="893" spans="2:24" ht="35.1" customHeight="1">
      <c r="B893" s="7"/>
      <c r="C893" s="33"/>
      <c r="D893" s="7"/>
      <c r="E893" s="7"/>
      <c r="F893" s="7"/>
      <c r="G893" s="7"/>
      <c r="H893" s="7"/>
      <c r="I893" s="7"/>
      <c r="K893" s="7"/>
      <c r="L893" s="7"/>
      <c r="M893" s="7"/>
      <c r="N893" s="7"/>
      <c r="O893" s="7"/>
      <c r="P893" s="7"/>
      <c r="Q893" s="7"/>
      <c r="R893" s="7"/>
      <c r="S893" s="7"/>
      <c r="T893" s="7"/>
      <c r="U893" s="7"/>
      <c r="V893" s="7"/>
      <c r="W893" s="7"/>
      <c r="X893" s="7"/>
    </row>
    <row r="894" spans="2:24" ht="35.1" customHeight="1">
      <c r="B894" s="7"/>
      <c r="C894" s="33"/>
      <c r="D894" s="7"/>
      <c r="E894" s="7"/>
      <c r="F894" s="7"/>
      <c r="G894" s="7"/>
      <c r="H894" s="7"/>
      <c r="I894" s="7"/>
      <c r="K894" s="7"/>
      <c r="L894" s="7"/>
      <c r="M894" s="7"/>
      <c r="N894" s="7"/>
      <c r="O894" s="7"/>
      <c r="P894" s="7"/>
      <c r="Q894" s="7"/>
      <c r="R894" s="7"/>
      <c r="S894" s="7"/>
      <c r="T894" s="7"/>
      <c r="U894" s="7"/>
      <c r="V894" s="7"/>
      <c r="W894" s="7"/>
      <c r="X894" s="7"/>
    </row>
    <row r="895" spans="2:24" ht="35.1" customHeight="1">
      <c r="B895" s="7"/>
      <c r="C895" s="33"/>
      <c r="D895" s="7"/>
      <c r="E895" s="7"/>
      <c r="F895" s="7"/>
      <c r="G895" s="7"/>
      <c r="H895" s="7"/>
      <c r="I895" s="7"/>
      <c r="K895" s="7"/>
      <c r="L895" s="7"/>
      <c r="M895" s="7"/>
      <c r="N895" s="7"/>
      <c r="O895" s="7"/>
      <c r="P895" s="7"/>
      <c r="Q895" s="7"/>
      <c r="R895" s="7"/>
      <c r="S895" s="7"/>
      <c r="T895" s="7"/>
      <c r="U895" s="7"/>
      <c r="V895" s="7"/>
      <c r="W895" s="7"/>
      <c r="X895" s="7"/>
    </row>
    <row r="896" spans="2:24" ht="35.1" customHeight="1">
      <c r="B896" s="7"/>
      <c r="C896" s="33"/>
      <c r="D896" s="7"/>
      <c r="E896" s="7"/>
      <c r="F896" s="7"/>
      <c r="G896" s="7"/>
      <c r="H896" s="7"/>
      <c r="I896" s="7"/>
      <c r="K896" s="7"/>
      <c r="L896" s="7"/>
      <c r="M896" s="7"/>
      <c r="N896" s="7"/>
      <c r="O896" s="7"/>
      <c r="P896" s="7"/>
      <c r="Q896" s="7"/>
      <c r="R896" s="7"/>
      <c r="S896" s="7"/>
      <c r="T896" s="7"/>
      <c r="U896" s="7"/>
      <c r="V896" s="7"/>
      <c r="W896" s="7"/>
      <c r="X896" s="7"/>
    </row>
    <row r="897" spans="2:24" ht="35.1" customHeight="1">
      <c r="B897" s="7"/>
      <c r="C897" s="33"/>
      <c r="D897" s="7"/>
      <c r="E897" s="7"/>
      <c r="F897" s="7"/>
      <c r="G897" s="7"/>
      <c r="H897" s="7"/>
      <c r="I897" s="7"/>
      <c r="K897" s="7"/>
      <c r="L897" s="7"/>
      <c r="M897" s="7"/>
      <c r="N897" s="7"/>
      <c r="O897" s="7"/>
      <c r="P897" s="7"/>
      <c r="Q897" s="7"/>
      <c r="R897" s="7"/>
      <c r="S897" s="7"/>
      <c r="T897" s="7"/>
      <c r="U897" s="7"/>
      <c r="V897" s="7"/>
      <c r="W897" s="7"/>
      <c r="X897" s="7"/>
    </row>
    <row r="898" spans="2:24" ht="35.1" customHeight="1">
      <c r="B898" s="7"/>
      <c r="C898" s="33"/>
      <c r="D898" s="7"/>
      <c r="E898" s="7"/>
      <c r="F898" s="7"/>
      <c r="G898" s="7"/>
      <c r="H898" s="7"/>
      <c r="I898" s="7"/>
      <c r="K898" s="7"/>
      <c r="L898" s="7"/>
      <c r="M898" s="7"/>
      <c r="N898" s="7"/>
      <c r="O898" s="7"/>
      <c r="P898" s="7"/>
      <c r="Q898" s="7"/>
      <c r="R898" s="7"/>
      <c r="S898" s="7"/>
      <c r="T898" s="7"/>
      <c r="U898" s="7"/>
      <c r="V898" s="7"/>
      <c r="W898" s="7"/>
      <c r="X898" s="7"/>
    </row>
    <row r="899" spans="2:24" ht="35.1" customHeight="1">
      <c r="B899" s="7"/>
      <c r="C899" s="33"/>
      <c r="D899" s="7"/>
      <c r="E899" s="7"/>
      <c r="F899" s="7"/>
      <c r="G899" s="7"/>
      <c r="H899" s="7"/>
      <c r="I899" s="7"/>
      <c r="K899" s="7"/>
      <c r="L899" s="7"/>
      <c r="M899" s="7"/>
      <c r="N899" s="7"/>
      <c r="O899" s="7"/>
      <c r="P899" s="7"/>
      <c r="Q899" s="7"/>
      <c r="R899" s="7"/>
      <c r="S899" s="7"/>
      <c r="T899" s="7"/>
      <c r="U899" s="7"/>
      <c r="V899" s="7"/>
      <c r="W899" s="7"/>
      <c r="X899" s="7"/>
    </row>
    <row r="900" spans="2:24" ht="35.1" customHeight="1">
      <c r="B900" s="7"/>
      <c r="C900" s="33"/>
      <c r="D900" s="7"/>
      <c r="E900" s="7"/>
      <c r="F900" s="7"/>
      <c r="G900" s="7"/>
      <c r="H900" s="7"/>
      <c r="I900" s="7"/>
      <c r="K900" s="7"/>
      <c r="L900" s="7"/>
      <c r="M900" s="7"/>
      <c r="N900" s="7"/>
      <c r="O900" s="7"/>
      <c r="P900" s="7"/>
      <c r="Q900" s="7"/>
      <c r="R900" s="7"/>
      <c r="S900" s="7"/>
      <c r="T900" s="7"/>
      <c r="U900" s="7"/>
      <c r="V900" s="7"/>
      <c r="W900" s="7"/>
      <c r="X900" s="7"/>
    </row>
    <row r="901" spans="2:24" ht="35.1" customHeight="1">
      <c r="B901" s="7"/>
      <c r="C901" s="33"/>
      <c r="D901" s="7"/>
      <c r="E901" s="7"/>
      <c r="F901" s="7"/>
      <c r="G901" s="7"/>
      <c r="H901" s="7"/>
      <c r="I901" s="7"/>
      <c r="K901" s="7"/>
      <c r="L901" s="7"/>
      <c r="M901" s="7"/>
      <c r="N901" s="7"/>
      <c r="O901" s="7"/>
      <c r="P901" s="7"/>
      <c r="Q901" s="7"/>
      <c r="R901" s="7"/>
      <c r="S901" s="7"/>
      <c r="T901" s="7"/>
      <c r="U901" s="7"/>
      <c r="V901" s="7"/>
      <c r="W901" s="7"/>
      <c r="X901" s="7"/>
    </row>
    <row r="902" spans="2:24" ht="35.1" customHeight="1">
      <c r="B902" s="7"/>
      <c r="C902" s="33"/>
      <c r="D902" s="7"/>
      <c r="E902" s="7"/>
      <c r="F902" s="7"/>
      <c r="G902" s="7"/>
      <c r="H902" s="7"/>
      <c r="I902" s="7"/>
      <c r="K902" s="7"/>
      <c r="L902" s="7"/>
      <c r="M902" s="7"/>
      <c r="N902" s="7"/>
      <c r="O902" s="7"/>
      <c r="P902" s="7"/>
      <c r="Q902" s="7"/>
      <c r="R902" s="7"/>
      <c r="S902" s="7"/>
      <c r="T902" s="7"/>
      <c r="U902" s="7"/>
      <c r="V902" s="7"/>
      <c r="W902" s="7"/>
      <c r="X902" s="7"/>
    </row>
    <row r="903" spans="2:24" ht="35.1" customHeight="1">
      <c r="B903" s="7"/>
      <c r="C903" s="33"/>
      <c r="D903" s="7"/>
      <c r="E903" s="7"/>
      <c r="F903" s="7"/>
      <c r="G903" s="7"/>
      <c r="H903" s="7"/>
      <c r="I903" s="7"/>
      <c r="K903" s="7"/>
      <c r="L903" s="7"/>
      <c r="M903" s="7"/>
      <c r="N903" s="7"/>
      <c r="O903" s="7"/>
      <c r="P903" s="7"/>
      <c r="Q903" s="7"/>
      <c r="R903" s="7"/>
      <c r="S903" s="7"/>
      <c r="T903" s="7"/>
      <c r="U903" s="7"/>
      <c r="V903" s="7"/>
      <c r="W903" s="7"/>
      <c r="X903" s="7"/>
    </row>
    <row r="904" spans="2:24" ht="35.1" customHeight="1">
      <c r="B904" s="7"/>
      <c r="C904" s="33"/>
      <c r="D904" s="7"/>
      <c r="E904" s="7"/>
      <c r="F904" s="7"/>
      <c r="G904" s="7"/>
      <c r="H904" s="7"/>
      <c r="I904" s="7"/>
      <c r="K904" s="7"/>
      <c r="L904" s="7"/>
      <c r="M904" s="7"/>
      <c r="N904" s="7"/>
      <c r="O904" s="7"/>
      <c r="P904" s="7"/>
      <c r="Q904" s="7"/>
      <c r="R904" s="7"/>
      <c r="S904" s="7"/>
      <c r="T904" s="7"/>
      <c r="U904" s="7"/>
      <c r="V904" s="7"/>
      <c r="W904" s="7"/>
      <c r="X904" s="7"/>
    </row>
    <row r="905" spans="2:24" ht="35.1" customHeight="1">
      <c r="B905" s="7"/>
      <c r="C905" s="33"/>
      <c r="D905" s="7"/>
      <c r="E905" s="7"/>
      <c r="F905" s="7"/>
      <c r="G905" s="7"/>
      <c r="H905" s="7"/>
      <c r="I905" s="7"/>
      <c r="K905" s="7"/>
      <c r="L905" s="7"/>
      <c r="M905" s="7"/>
      <c r="N905" s="7"/>
      <c r="O905" s="7"/>
      <c r="P905" s="7"/>
      <c r="Q905" s="7"/>
      <c r="R905" s="7"/>
      <c r="S905" s="7"/>
      <c r="T905" s="7"/>
      <c r="U905" s="7"/>
      <c r="V905" s="7"/>
      <c r="W905" s="7"/>
      <c r="X905" s="7"/>
    </row>
    <row r="906" spans="2:24" ht="35.1" customHeight="1">
      <c r="B906" s="7"/>
      <c r="C906" s="33"/>
      <c r="D906" s="7"/>
      <c r="E906" s="7"/>
      <c r="F906" s="7"/>
      <c r="G906" s="7"/>
      <c r="H906" s="7"/>
      <c r="I906" s="7"/>
      <c r="K906" s="7"/>
      <c r="L906" s="7"/>
      <c r="M906" s="7"/>
      <c r="N906" s="7"/>
      <c r="O906" s="7"/>
      <c r="P906" s="7"/>
      <c r="Q906" s="7"/>
      <c r="R906" s="7"/>
      <c r="S906" s="7"/>
      <c r="T906" s="7"/>
      <c r="U906" s="7"/>
      <c r="V906" s="7"/>
      <c r="W906" s="7"/>
      <c r="X906" s="7"/>
    </row>
    <row r="907" spans="2:24" ht="35.1" customHeight="1">
      <c r="B907" s="7"/>
      <c r="C907" s="33"/>
      <c r="D907" s="7"/>
      <c r="E907" s="7"/>
      <c r="F907" s="7"/>
      <c r="G907" s="7"/>
      <c r="H907" s="7"/>
      <c r="I907" s="7"/>
      <c r="K907" s="7"/>
      <c r="L907" s="7"/>
      <c r="M907" s="7"/>
      <c r="N907" s="7"/>
      <c r="O907" s="7"/>
      <c r="P907" s="7"/>
      <c r="Q907" s="7"/>
      <c r="R907" s="7"/>
      <c r="S907" s="7"/>
      <c r="T907" s="7"/>
      <c r="U907" s="7"/>
      <c r="V907" s="7"/>
      <c r="W907" s="7"/>
      <c r="X907" s="7"/>
    </row>
    <row r="908" spans="2:24" ht="35.1" customHeight="1">
      <c r="B908" s="7"/>
      <c r="C908" s="33"/>
      <c r="D908" s="7"/>
      <c r="E908" s="7"/>
      <c r="F908" s="7"/>
      <c r="G908" s="7"/>
      <c r="H908" s="7"/>
      <c r="I908" s="7"/>
      <c r="K908" s="7"/>
      <c r="L908" s="7"/>
      <c r="M908" s="7"/>
      <c r="N908" s="7"/>
      <c r="O908" s="7"/>
      <c r="P908" s="7"/>
      <c r="Q908" s="7"/>
      <c r="R908" s="7"/>
      <c r="S908" s="7"/>
      <c r="T908" s="7"/>
      <c r="U908" s="7"/>
      <c r="V908" s="7"/>
      <c r="W908" s="7"/>
      <c r="X908" s="7"/>
    </row>
    <row r="909" spans="2:24" ht="35.1" customHeight="1">
      <c r="B909" s="7"/>
      <c r="C909" s="33"/>
      <c r="D909" s="7"/>
      <c r="E909" s="7"/>
      <c r="F909" s="7"/>
      <c r="G909" s="7"/>
      <c r="H909" s="7"/>
      <c r="I909" s="7"/>
      <c r="K909" s="7"/>
      <c r="L909" s="7"/>
      <c r="M909" s="7"/>
      <c r="N909" s="7"/>
      <c r="O909" s="7"/>
      <c r="P909" s="7"/>
      <c r="Q909" s="7"/>
      <c r="R909" s="7"/>
      <c r="S909" s="7"/>
      <c r="T909" s="7"/>
      <c r="U909" s="7"/>
      <c r="V909" s="7"/>
      <c r="W909" s="7"/>
      <c r="X909" s="7"/>
    </row>
    <row r="910" spans="2:24" ht="35.1" customHeight="1">
      <c r="B910" s="7"/>
      <c r="C910" s="33"/>
      <c r="D910" s="7"/>
      <c r="E910" s="7"/>
      <c r="F910" s="7"/>
      <c r="G910" s="7"/>
      <c r="H910" s="7"/>
      <c r="I910" s="7"/>
      <c r="K910" s="7"/>
      <c r="L910" s="7"/>
      <c r="M910" s="7"/>
      <c r="N910" s="7"/>
      <c r="O910" s="7"/>
      <c r="P910" s="7"/>
      <c r="Q910" s="7"/>
      <c r="R910" s="7"/>
      <c r="S910" s="7"/>
      <c r="T910" s="7"/>
      <c r="U910" s="7"/>
      <c r="V910" s="7"/>
      <c r="W910" s="7"/>
      <c r="X910" s="7"/>
    </row>
    <row r="911" spans="2:24" ht="35.1" customHeight="1">
      <c r="B911" s="7"/>
      <c r="C911" s="33"/>
      <c r="D911" s="7"/>
      <c r="E911" s="7"/>
      <c r="F911" s="7"/>
      <c r="G911" s="7"/>
      <c r="H911" s="7"/>
      <c r="I911" s="7"/>
      <c r="K911" s="7"/>
      <c r="L911" s="7"/>
      <c r="M911" s="7"/>
      <c r="N911" s="7"/>
      <c r="O911" s="7"/>
      <c r="P911" s="7"/>
      <c r="Q911" s="7"/>
      <c r="R911" s="7"/>
      <c r="S911" s="7"/>
      <c r="T911" s="7"/>
      <c r="U911" s="7"/>
      <c r="V911" s="7"/>
      <c r="W911" s="7"/>
      <c r="X911" s="7"/>
    </row>
    <row r="912" spans="2:24" ht="35.1" customHeight="1">
      <c r="B912" s="7"/>
      <c r="C912" s="33"/>
      <c r="D912" s="7"/>
      <c r="E912" s="7"/>
      <c r="F912" s="7"/>
      <c r="G912" s="7"/>
      <c r="H912" s="7"/>
      <c r="I912" s="7"/>
      <c r="K912" s="7"/>
      <c r="L912" s="7"/>
      <c r="M912" s="7"/>
      <c r="N912" s="7"/>
      <c r="O912" s="7"/>
      <c r="P912" s="7"/>
      <c r="Q912" s="7"/>
      <c r="R912" s="7"/>
      <c r="S912" s="7"/>
      <c r="T912" s="7"/>
      <c r="U912" s="7"/>
      <c r="V912" s="7"/>
      <c r="W912" s="7"/>
      <c r="X912" s="7"/>
    </row>
    <row r="913" spans="2:24" ht="35.1" customHeight="1">
      <c r="B913" s="7"/>
      <c r="C913" s="33"/>
      <c r="D913" s="7"/>
      <c r="E913" s="7"/>
      <c r="F913" s="7"/>
      <c r="G913" s="7"/>
      <c r="H913" s="7"/>
      <c r="I913" s="7"/>
      <c r="K913" s="7"/>
      <c r="L913" s="7"/>
      <c r="M913" s="7"/>
      <c r="N913" s="7"/>
      <c r="O913" s="7"/>
      <c r="P913" s="7"/>
      <c r="Q913" s="7"/>
      <c r="R913" s="7"/>
      <c r="S913" s="7"/>
      <c r="T913" s="7"/>
      <c r="U913" s="7"/>
      <c r="V913" s="7"/>
      <c r="W913" s="7"/>
      <c r="X913" s="7"/>
    </row>
    <row r="914" spans="2:24" ht="35.1" customHeight="1">
      <c r="B914" s="7"/>
      <c r="C914" s="33"/>
      <c r="D914" s="7"/>
      <c r="E914" s="7"/>
      <c r="F914" s="7"/>
      <c r="G914" s="7"/>
      <c r="H914" s="7"/>
      <c r="I914" s="7"/>
      <c r="K914" s="7"/>
      <c r="L914" s="7"/>
      <c r="M914" s="7"/>
      <c r="N914" s="7"/>
      <c r="O914" s="7"/>
      <c r="P914" s="7"/>
      <c r="Q914" s="7"/>
      <c r="R914" s="7"/>
      <c r="S914" s="7"/>
      <c r="T914" s="7"/>
      <c r="U914" s="7"/>
      <c r="V914" s="7"/>
      <c r="W914" s="7"/>
      <c r="X914" s="7"/>
    </row>
    <row r="915" spans="2:24" ht="35.1" customHeight="1">
      <c r="B915" s="7"/>
      <c r="C915" s="33"/>
      <c r="D915" s="7"/>
      <c r="E915" s="7"/>
      <c r="F915" s="7"/>
      <c r="G915" s="7"/>
      <c r="H915" s="7"/>
      <c r="I915" s="7"/>
      <c r="K915" s="7"/>
      <c r="L915" s="7"/>
      <c r="M915" s="7"/>
      <c r="N915" s="7"/>
      <c r="O915" s="7"/>
      <c r="P915" s="7"/>
      <c r="Q915" s="7"/>
      <c r="R915" s="7"/>
      <c r="S915" s="7"/>
      <c r="T915" s="7"/>
      <c r="U915" s="7"/>
      <c r="V915" s="7"/>
      <c r="W915" s="7"/>
      <c r="X915" s="7"/>
    </row>
    <row r="916" spans="2:24" ht="35.1" customHeight="1">
      <c r="B916" s="7"/>
      <c r="C916" s="33"/>
      <c r="D916" s="7"/>
      <c r="E916" s="7"/>
      <c r="F916" s="7"/>
      <c r="G916" s="7"/>
      <c r="H916" s="7"/>
      <c r="I916" s="7"/>
      <c r="K916" s="7"/>
      <c r="L916" s="7"/>
      <c r="M916" s="7"/>
      <c r="N916" s="7"/>
      <c r="O916" s="7"/>
      <c r="P916" s="7"/>
      <c r="Q916" s="7"/>
      <c r="R916" s="7"/>
      <c r="S916" s="7"/>
      <c r="T916" s="7"/>
      <c r="U916" s="7"/>
      <c r="V916" s="7"/>
      <c r="W916" s="7"/>
      <c r="X916" s="7"/>
    </row>
    <row r="917" spans="2:24" ht="35.1" customHeight="1">
      <c r="B917" s="7"/>
      <c r="C917" s="33"/>
      <c r="D917" s="7"/>
      <c r="E917" s="7"/>
      <c r="F917" s="7"/>
      <c r="G917" s="7"/>
      <c r="H917" s="7"/>
      <c r="I917" s="7"/>
      <c r="K917" s="7"/>
      <c r="L917" s="7"/>
      <c r="M917" s="7"/>
      <c r="N917" s="7"/>
      <c r="O917" s="7"/>
      <c r="P917" s="7"/>
      <c r="Q917" s="7"/>
      <c r="R917" s="7"/>
      <c r="S917" s="7"/>
      <c r="T917" s="7"/>
      <c r="U917" s="7"/>
      <c r="V917" s="7"/>
      <c r="W917" s="7"/>
      <c r="X917" s="7"/>
    </row>
    <row r="918" spans="2:24" ht="35.1" customHeight="1">
      <c r="B918" s="7"/>
      <c r="C918" s="33"/>
      <c r="D918" s="7"/>
      <c r="E918" s="7"/>
      <c r="F918" s="7"/>
      <c r="G918" s="7"/>
      <c r="H918" s="7"/>
      <c r="I918" s="7"/>
      <c r="K918" s="7"/>
      <c r="L918" s="7"/>
      <c r="M918" s="7"/>
      <c r="N918" s="7"/>
      <c r="O918" s="7"/>
      <c r="P918" s="7"/>
      <c r="Q918" s="7"/>
      <c r="R918" s="7"/>
      <c r="S918" s="7"/>
      <c r="T918" s="7"/>
      <c r="U918" s="7"/>
      <c r="V918" s="7"/>
      <c r="W918" s="7"/>
      <c r="X918" s="7"/>
    </row>
    <row r="919" spans="2:24" ht="35.1" customHeight="1">
      <c r="B919" s="7"/>
      <c r="C919" s="33"/>
      <c r="D919" s="7"/>
      <c r="E919" s="7"/>
      <c r="F919" s="7"/>
      <c r="G919" s="7"/>
      <c r="H919" s="7"/>
      <c r="I919" s="7"/>
      <c r="K919" s="7"/>
      <c r="L919" s="7"/>
      <c r="M919" s="7"/>
      <c r="N919" s="7"/>
      <c r="O919" s="7"/>
      <c r="P919" s="7"/>
      <c r="Q919" s="7"/>
      <c r="R919" s="7"/>
      <c r="S919" s="7"/>
      <c r="T919" s="7"/>
      <c r="U919" s="7"/>
      <c r="V919" s="7"/>
      <c r="W919" s="7"/>
      <c r="X919" s="7"/>
    </row>
    <row r="920" spans="2:24" ht="35.1" customHeight="1">
      <c r="B920" s="7"/>
      <c r="C920" s="33"/>
      <c r="D920" s="7"/>
      <c r="E920" s="7"/>
      <c r="F920" s="7"/>
      <c r="G920" s="7"/>
      <c r="H920" s="7"/>
      <c r="I920" s="7"/>
      <c r="K920" s="7"/>
      <c r="L920" s="7"/>
      <c r="M920" s="7"/>
      <c r="N920" s="7"/>
      <c r="O920" s="7"/>
      <c r="P920" s="7"/>
      <c r="Q920" s="7"/>
      <c r="R920" s="7"/>
      <c r="S920" s="7"/>
      <c r="T920" s="7"/>
      <c r="U920" s="7"/>
      <c r="V920" s="7"/>
      <c r="W920" s="7"/>
      <c r="X920" s="7"/>
    </row>
    <row r="921" spans="2:24" ht="35.1" customHeight="1">
      <c r="B921" s="7"/>
      <c r="C921" s="33"/>
      <c r="D921" s="7"/>
      <c r="E921" s="7"/>
      <c r="F921" s="7"/>
      <c r="G921" s="7"/>
      <c r="H921" s="7"/>
      <c r="I921" s="7"/>
      <c r="K921" s="7"/>
      <c r="L921" s="7"/>
      <c r="M921" s="7"/>
      <c r="N921" s="7"/>
      <c r="O921" s="7"/>
      <c r="P921" s="7"/>
      <c r="Q921" s="7"/>
      <c r="R921" s="7"/>
      <c r="S921" s="7"/>
      <c r="T921" s="7"/>
      <c r="U921" s="7"/>
      <c r="V921" s="7"/>
      <c r="W921" s="7"/>
      <c r="X921" s="7"/>
    </row>
    <row r="922" spans="2:24" ht="35.1" customHeight="1">
      <c r="B922" s="7"/>
      <c r="C922" s="33"/>
      <c r="D922" s="7"/>
      <c r="E922" s="7"/>
      <c r="F922" s="7"/>
      <c r="G922" s="7"/>
      <c r="H922" s="7"/>
      <c r="I922" s="7"/>
      <c r="K922" s="7"/>
      <c r="L922" s="7"/>
      <c r="M922" s="7"/>
      <c r="N922" s="7"/>
      <c r="O922" s="7"/>
      <c r="P922" s="7"/>
      <c r="Q922" s="7"/>
      <c r="R922" s="7"/>
      <c r="S922" s="7"/>
      <c r="T922" s="7"/>
      <c r="U922" s="7"/>
      <c r="V922" s="7"/>
      <c r="W922" s="7"/>
      <c r="X922" s="7"/>
    </row>
    <row r="923" spans="2:24" ht="35.1" customHeight="1">
      <c r="B923" s="7"/>
      <c r="C923" s="33"/>
      <c r="D923" s="7"/>
      <c r="E923" s="7"/>
      <c r="F923" s="7"/>
      <c r="G923" s="7"/>
      <c r="H923" s="7"/>
      <c r="I923" s="7"/>
      <c r="K923" s="7"/>
      <c r="L923" s="7"/>
      <c r="M923" s="7"/>
      <c r="N923" s="7"/>
      <c r="O923" s="7"/>
      <c r="P923" s="7"/>
      <c r="Q923" s="7"/>
      <c r="R923" s="7"/>
      <c r="S923" s="7"/>
      <c r="T923" s="7"/>
      <c r="U923" s="7"/>
      <c r="V923" s="7"/>
      <c r="W923" s="7"/>
      <c r="X923" s="7"/>
    </row>
    <row r="924" spans="2:24" ht="35.1" customHeight="1">
      <c r="B924" s="7"/>
      <c r="C924" s="33"/>
      <c r="D924" s="7"/>
      <c r="E924" s="7"/>
      <c r="F924" s="7"/>
      <c r="G924" s="7"/>
      <c r="H924" s="7"/>
      <c r="I924" s="7"/>
      <c r="K924" s="7"/>
      <c r="L924" s="7"/>
      <c r="M924" s="7"/>
      <c r="N924" s="7"/>
      <c r="O924" s="7"/>
      <c r="P924" s="7"/>
      <c r="Q924" s="7"/>
      <c r="R924" s="7"/>
      <c r="S924" s="7"/>
      <c r="T924" s="7"/>
      <c r="U924" s="7"/>
      <c r="V924" s="7"/>
      <c r="W924" s="7"/>
      <c r="X924" s="7"/>
    </row>
    <row r="925" spans="2:24" ht="35.1" customHeight="1">
      <c r="B925" s="7"/>
      <c r="C925" s="33"/>
      <c r="D925" s="7"/>
      <c r="E925" s="7"/>
      <c r="F925" s="7"/>
      <c r="G925" s="7"/>
      <c r="H925" s="7"/>
      <c r="I925" s="7"/>
      <c r="K925" s="7"/>
      <c r="L925" s="7"/>
      <c r="M925" s="7"/>
      <c r="N925" s="7"/>
      <c r="O925" s="7"/>
      <c r="P925" s="7"/>
      <c r="Q925" s="7"/>
      <c r="R925" s="7"/>
      <c r="S925" s="7"/>
      <c r="T925" s="7"/>
      <c r="U925" s="7"/>
      <c r="V925" s="7"/>
      <c r="W925" s="7"/>
      <c r="X925" s="7"/>
    </row>
    <row r="926" spans="2:24" ht="35.1" customHeight="1">
      <c r="B926" s="7"/>
      <c r="C926" s="33"/>
      <c r="D926" s="7"/>
      <c r="E926" s="7"/>
      <c r="F926" s="7"/>
      <c r="G926" s="7"/>
      <c r="H926" s="7"/>
      <c r="I926" s="7"/>
      <c r="K926" s="7"/>
      <c r="L926" s="7"/>
      <c r="M926" s="7"/>
      <c r="N926" s="7"/>
      <c r="O926" s="7"/>
      <c r="P926" s="7"/>
      <c r="Q926" s="7"/>
      <c r="R926" s="7"/>
      <c r="S926" s="7"/>
      <c r="T926" s="7"/>
      <c r="U926" s="7"/>
      <c r="V926" s="7"/>
      <c r="W926" s="7"/>
      <c r="X926" s="7"/>
    </row>
    <row r="927" spans="2:24" ht="35.1" customHeight="1">
      <c r="B927" s="7"/>
      <c r="C927" s="33"/>
      <c r="D927" s="7"/>
      <c r="E927" s="7"/>
      <c r="F927" s="7"/>
      <c r="G927" s="7"/>
      <c r="H927" s="7"/>
      <c r="I927" s="7"/>
      <c r="K927" s="7"/>
      <c r="L927" s="7"/>
      <c r="M927" s="7"/>
      <c r="N927" s="7"/>
      <c r="O927" s="7"/>
      <c r="P927" s="7"/>
      <c r="Q927" s="7"/>
      <c r="R927" s="7"/>
      <c r="S927" s="7"/>
      <c r="T927" s="7"/>
      <c r="U927" s="7"/>
      <c r="V927" s="7"/>
      <c r="W927" s="7"/>
      <c r="X927" s="7"/>
    </row>
    <row r="928" spans="2:24" ht="35.1" customHeight="1">
      <c r="B928" s="7"/>
      <c r="C928" s="33"/>
      <c r="D928" s="7"/>
      <c r="E928" s="7"/>
      <c r="F928" s="7"/>
      <c r="G928" s="7"/>
      <c r="H928" s="7"/>
      <c r="I928" s="7"/>
      <c r="K928" s="7"/>
      <c r="L928" s="7"/>
      <c r="M928" s="7"/>
      <c r="N928" s="7"/>
      <c r="O928" s="7"/>
      <c r="P928" s="7"/>
      <c r="Q928" s="7"/>
      <c r="R928" s="7"/>
      <c r="S928" s="7"/>
      <c r="T928" s="7"/>
      <c r="U928" s="7"/>
      <c r="V928" s="7"/>
      <c r="W928" s="7"/>
      <c r="X928" s="7"/>
    </row>
    <row r="929" spans="2:24" ht="35.1" customHeight="1">
      <c r="B929" s="7"/>
      <c r="C929" s="33"/>
      <c r="D929" s="7"/>
      <c r="E929" s="7"/>
      <c r="F929" s="7"/>
      <c r="G929" s="7"/>
      <c r="H929" s="7"/>
      <c r="I929" s="7"/>
      <c r="K929" s="7"/>
      <c r="L929" s="7"/>
      <c r="M929" s="7"/>
      <c r="N929" s="7"/>
      <c r="O929" s="7"/>
      <c r="P929" s="7"/>
      <c r="Q929" s="7"/>
      <c r="R929" s="7"/>
      <c r="S929" s="7"/>
      <c r="T929" s="7"/>
      <c r="U929" s="7"/>
      <c r="V929" s="7"/>
      <c r="W929" s="7"/>
      <c r="X929" s="7"/>
    </row>
    <row r="930" spans="2:24" ht="35.1" customHeight="1">
      <c r="B930" s="7"/>
      <c r="C930" s="33"/>
      <c r="D930" s="7"/>
      <c r="E930" s="7"/>
      <c r="F930" s="7"/>
      <c r="G930" s="7"/>
      <c r="H930" s="7"/>
      <c r="I930" s="7"/>
      <c r="K930" s="7"/>
      <c r="L930" s="7"/>
      <c r="M930" s="7"/>
      <c r="N930" s="7"/>
      <c r="O930" s="7"/>
      <c r="P930" s="7"/>
      <c r="Q930" s="7"/>
      <c r="R930" s="7"/>
      <c r="S930" s="7"/>
      <c r="T930" s="7"/>
      <c r="U930" s="7"/>
      <c r="V930" s="7"/>
      <c r="W930" s="7"/>
      <c r="X930" s="7"/>
    </row>
    <row r="931" spans="2:24" ht="35.1" customHeight="1">
      <c r="B931" s="7"/>
      <c r="C931" s="33"/>
      <c r="D931" s="7"/>
      <c r="E931" s="7"/>
      <c r="F931" s="7"/>
      <c r="G931" s="7"/>
      <c r="H931" s="7"/>
      <c r="I931" s="7"/>
      <c r="K931" s="7"/>
      <c r="L931" s="7"/>
      <c r="M931" s="7"/>
      <c r="N931" s="7"/>
      <c r="O931" s="7"/>
      <c r="P931" s="7"/>
      <c r="Q931" s="7"/>
      <c r="R931" s="7"/>
      <c r="S931" s="7"/>
      <c r="T931" s="7"/>
      <c r="U931" s="7"/>
      <c r="V931" s="7"/>
      <c r="W931" s="7"/>
      <c r="X931" s="7"/>
    </row>
    <row r="932" spans="2:24" ht="35.1" customHeight="1">
      <c r="B932" s="7"/>
      <c r="C932" s="33"/>
      <c r="D932" s="7"/>
      <c r="E932" s="7"/>
      <c r="F932" s="7"/>
      <c r="G932" s="7"/>
      <c r="H932" s="7"/>
      <c r="I932" s="7"/>
      <c r="K932" s="7"/>
      <c r="L932" s="7"/>
      <c r="M932" s="7"/>
      <c r="N932" s="7"/>
      <c r="O932" s="7"/>
      <c r="P932" s="7"/>
      <c r="Q932" s="7"/>
      <c r="R932" s="7"/>
      <c r="S932" s="7"/>
      <c r="T932" s="7"/>
      <c r="U932" s="7"/>
      <c r="V932" s="7"/>
      <c r="W932" s="7"/>
      <c r="X932" s="7"/>
    </row>
    <row r="933" spans="2:24" ht="35.1" customHeight="1">
      <c r="B933" s="7"/>
      <c r="C933" s="33"/>
      <c r="D933" s="7"/>
      <c r="E933" s="7"/>
      <c r="F933" s="7"/>
      <c r="G933" s="7"/>
      <c r="H933" s="7"/>
      <c r="I933" s="7"/>
      <c r="K933" s="7"/>
      <c r="L933" s="7"/>
      <c r="M933" s="7"/>
      <c r="N933" s="7"/>
      <c r="O933" s="7"/>
      <c r="P933" s="7"/>
      <c r="Q933" s="7"/>
      <c r="R933" s="7"/>
      <c r="S933" s="7"/>
      <c r="T933" s="7"/>
      <c r="U933" s="7"/>
      <c r="V933" s="7"/>
      <c r="W933" s="7"/>
      <c r="X933" s="7"/>
    </row>
    <row r="934" spans="2:24" ht="35.1" customHeight="1">
      <c r="B934" s="7"/>
      <c r="C934" s="33"/>
      <c r="D934" s="7"/>
      <c r="E934" s="7"/>
      <c r="F934" s="7"/>
      <c r="G934" s="7"/>
      <c r="H934" s="7"/>
      <c r="I934" s="7"/>
      <c r="K934" s="7"/>
      <c r="L934" s="7"/>
      <c r="M934" s="7"/>
      <c r="N934" s="7"/>
      <c r="O934" s="7"/>
      <c r="P934" s="7"/>
      <c r="Q934" s="7"/>
      <c r="R934" s="7"/>
      <c r="S934" s="7"/>
      <c r="T934" s="7"/>
      <c r="U934" s="7"/>
      <c r="V934" s="7"/>
      <c r="W934" s="7"/>
      <c r="X934" s="7"/>
    </row>
    <row r="935" spans="2:24" ht="35.1" customHeight="1">
      <c r="B935" s="7"/>
      <c r="C935" s="33"/>
      <c r="D935" s="7"/>
      <c r="E935" s="7"/>
      <c r="F935" s="7"/>
      <c r="G935" s="7"/>
      <c r="H935" s="7"/>
      <c r="I935" s="7"/>
      <c r="K935" s="7"/>
      <c r="L935" s="7"/>
      <c r="M935" s="7"/>
      <c r="N935" s="7"/>
      <c r="O935" s="7"/>
      <c r="P935" s="7"/>
      <c r="Q935" s="7"/>
      <c r="R935" s="7"/>
      <c r="S935" s="7"/>
      <c r="T935" s="7"/>
      <c r="U935" s="7"/>
      <c r="V935" s="7"/>
      <c r="W935" s="7"/>
      <c r="X935" s="7"/>
    </row>
    <row r="936" spans="2:24" ht="35.1" customHeight="1">
      <c r="B936" s="7"/>
      <c r="C936" s="33"/>
      <c r="D936" s="7"/>
      <c r="E936" s="7"/>
      <c r="F936" s="7"/>
      <c r="G936" s="7"/>
      <c r="H936" s="7"/>
      <c r="I936" s="7"/>
      <c r="K936" s="7"/>
      <c r="L936" s="7"/>
      <c r="M936" s="7"/>
      <c r="N936" s="7"/>
      <c r="O936" s="7"/>
      <c r="P936" s="7"/>
      <c r="Q936" s="7"/>
      <c r="R936" s="7"/>
      <c r="S936" s="7"/>
      <c r="T936" s="7"/>
      <c r="U936" s="7"/>
      <c r="V936" s="7"/>
      <c r="W936" s="7"/>
      <c r="X936" s="7"/>
    </row>
    <row r="937" spans="2:24" ht="35.1" customHeight="1">
      <c r="B937" s="7"/>
      <c r="C937" s="33"/>
      <c r="D937" s="7"/>
      <c r="E937" s="7"/>
      <c r="F937" s="7"/>
      <c r="G937" s="7"/>
      <c r="H937" s="7"/>
      <c r="I937" s="7"/>
      <c r="K937" s="7"/>
      <c r="L937" s="7"/>
      <c r="M937" s="7"/>
      <c r="N937" s="7"/>
      <c r="O937" s="7"/>
      <c r="P937" s="7"/>
      <c r="Q937" s="7"/>
      <c r="R937" s="7"/>
      <c r="S937" s="7"/>
      <c r="T937" s="7"/>
      <c r="U937" s="7"/>
      <c r="V937" s="7"/>
      <c r="W937" s="7"/>
      <c r="X937" s="7"/>
    </row>
    <row r="938" spans="2:24" ht="35.1" customHeight="1">
      <c r="B938" s="7"/>
      <c r="C938" s="33"/>
      <c r="D938" s="7"/>
      <c r="E938" s="7"/>
      <c r="F938" s="7"/>
      <c r="G938" s="7"/>
      <c r="H938" s="7"/>
      <c r="I938" s="7"/>
      <c r="K938" s="7"/>
      <c r="L938" s="7"/>
      <c r="M938" s="7"/>
      <c r="N938" s="7"/>
      <c r="O938" s="7"/>
      <c r="P938" s="7"/>
      <c r="Q938" s="7"/>
      <c r="R938" s="7"/>
      <c r="S938" s="7"/>
      <c r="T938" s="7"/>
      <c r="U938" s="7"/>
      <c r="V938" s="7"/>
      <c r="W938" s="7"/>
      <c r="X938" s="7"/>
    </row>
    <row r="939" spans="2:24" ht="35.1" customHeight="1">
      <c r="B939" s="7"/>
      <c r="C939" s="33"/>
      <c r="D939" s="7"/>
      <c r="E939" s="7"/>
      <c r="F939" s="7"/>
      <c r="G939" s="7"/>
      <c r="H939" s="7"/>
      <c r="I939" s="7"/>
      <c r="K939" s="7"/>
      <c r="L939" s="7"/>
      <c r="M939" s="7"/>
      <c r="N939" s="7"/>
      <c r="O939" s="7"/>
      <c r="P939" s="7"/>
      <c r="Q939" s="7"/>
      <c r="R939" s="7"/>
      <c r="S939" s="7"/>
      <c r="T939" s="7"/>
      <c r="U939" s="7"/>
      <c r="V939" s="7"/>
      <c r="W939" s="7"/>
      <c r="X939" s="7"/>
    </row>
    <row r="940" spans="2:24" ht="35.1" customHeight="1">
      <c r="B940" s="7"/>
      <c r="C940" s="33"/>
      <c r="D940" s="7"/>
      <c r="E940" s="7"/>
      <c r="F940" s="7"/>
      <c r="G940" s="7"/>
      <c r="H940" s="7"/>
      <c r="I940" s="7"/>
      <c r="K940" s="7"/>
      <c r="L940" s="7"/>
      <c r="M940" s="7"/>
      <c r="N940" s="7"/>
      <c r="O940" s="7"/>
      <c r="P940" s="7"/>
      <c r="Q940" s="7"/>
      <c r="R940" s="7"/>
      <c r="S940" s="7"/>
      <c r="T940" s="7"/>
      <c r="U940" s="7"/>
      <c r="V940" s="7"/>
      <c r="W940" s="7"/>
      <c r="X940" s="7"/>
    </row>
    <row r="941" spans="2:24" ht="35.1" customHeight="1">
      <c r="B941" s="7"/>
      <c r="C941" s="33"/>
      <c r="D941" s="7"/>
      <c r="E941" s="7"/>
      <c r="F941" s="7"/>
      <c r="G941" s="7"/>
      <c r="H941" s="7"/>
      <c r="I941" s="7"/>
      <c r="K941" s="7"/>
      <c r="L941" s="7"/>
      <c r="M941" s="7"/>
      <c r="N941" s="7"/>
      <c r="O941" s="7"/>
      <c r="P941" s="7"/>
      <c r="Q941" s="7"/>
      <c r="R941" s="7"/>
      <c r="S941" s="7"/>
      <c r="T941" s="7"/>
      <c r="U941" s="7"/>
      <c r="V941" s="7"/>
      <c r="W941" s="7"/>
      <c r="X941" s="7"/>
    </row>
    <row r="942" spans="2:24" ht="35.1" customHeight="1">
      <c r="B942" s="7"/>
      <c r="C942" s="33"/>
      <c r="D942" s="7"/>
      <c r="E942" s="7"/>
      <c r="F942" s="7"/>
      <c r="G942" s="7"/>
      <c r="H942" s="7"/>
      <c r="I942" s="7"/>
      <c r="K942" s="7"/>
      <c r="L942" s="7"/>
      <c r="M942" s="7"/>
      <c r="N942" s="7"/>
      <c r="O942" s="7"/>
      <c r="P942" s="7"/>
      <c r="Q942" s="7"/>
      <c r="R942" s="7"/>
      <c r="S942" s="7"/>
      <c r="T942" s="7"/>
      <c r="U942" s="7"/>
      <c r="V942" s="7"/>
      <c r="W942" s="7"/>
      <c r="X942" s="7"/>
    </row>
    <row r="943" spans="2:24" ht="35.1" customHeight="1">
      <c r="B943" s="7"/>
      <c r="C943" s="33"/>
      <c r="D943" s="7"/>
      <c r="E943" s="7"/>
      <c r="F943" s="7"/>
      <c r="G943" s="7"/>
      <c r="H943" s="7"/>
      <c r="I943" s="7"/>
      <c r="K943" s="7"/>
      <c r="L943" s="7"/>
      <c r="M943" s="7"/>
      <c r="N943" s="7"/>
      <c r="O943" s="7"/>
      <c r="P943" s="7"/>
      <c r="Q943" s="7"/>
      <c r="R943" s="7"/>
      <c r="S943" s="7"/>
      <c r="T943" s="7"/>
      <c r="U943" s="7"/>
      <c r="V943" s="7"/>
      <c r="W943" s="7"/>
      <c r="X943" s="7"/>
    </row>
    <row r="944" spans="2:24" ht="35.1" customHeight="1">
      <c r="B944" s="7"/>
      <c r="C944" s="33"/>
      <c r="D944" s="7"/>
      <c r="E944" s="7"/>
      <c r="F944" s="7"/>
      <c r="G944" s="7"/>
      <c r="H944" s="7"/>
      <c r="I944" s="7"/>
      <c r="K944" s="7"/>
      <c r="L944" s="7"/>
      <c r="M944" s="7"/>
      <c r="N944" s="7"/>
      <c r="O944" s="7"/>
      <c r="P944" s="7"/>
      <c r="Q944" s="7"/>
      <c r="R944" s="7"/>
      <c r="S944" s="7"/>
      <c r="T944" s="7"/>
      <c r="U944" s="7"/>
      <c r="V944" s="7"/>
      <c r="W944" s="7"/>
      <c r="X944" s="7"/>
    </row>
    <row r="945" spans="2:24" ht="35.1" customHeight="1">
      <c r="B945" s="7"/>
      <c r="C945" s="33"/>
      <c r="D945" s="7"/>
      <c r="E945" s="7"/>
      <c r="F945" s="7"/>
      <c r="G945" s="7"/>
      <c r="H945" s="7"/>
      <c r="I945" s="7"/>
      <c r="K945" s="7"/>
      <c r="L945" s="7"/>
      <c r="M945" s="7"/>
      <c r="N945" s="7"/>
      <c r="O945" s="7"/>
      <c r="P945" s="7"/>
      <c r="Q945" s="7"/>
      <c r="R945" s="7"/>
      <c r="S945" s="7"/>
      <c r="T945" s="7"/>
      <c r="U945" s="7"/>
      <c r="V945" s="7"/>
      <c r="W945" s="7"/>
      <c r="X945" s="7"/>
    </row>
    <row r="946" spans="2:24" ht="35.1" customHeight="1">
      <c r="B946" s="7"/>
      <c r="C946" s="33"/>
      <c r="D946" s="7"/>
      <c r="E946" s="7"/>
      <c r="F946" s="7"/>
      <c r="G946" s="7"/>
      <c r="H946" s="7"/>
      <c r="I946" s="7"/>
      <c r="K946" s="7"/>
      <c r="L946" s="7"/>
      <c r="M946" s="7"/>
      <c r="N946" s="7"/>
      <c r="O946" s="7"/>
      <c r="P946" s="7"/>
      <c r="Q946" s="7"/>
      <c r="R946" s="7"/>
      <c r="S946" s="7"/>
      <c r="T946" s="7"/>
      <c r="U946" s="7"/>
      <c r="V946" s="7"/>
      <c r="W946" s="7"/>
      <c r="X946" s="7"/>
    </row>
    <row r="947" spans="2:24" ht="35.1" customHeight="1">
      <c r="B947" s="7"/>
      <c r="C947" s="33"/>
      <c r="D947" s="7"/>
      <c r="E947" s="7"/>
      <c r="F947" s="7"/>
      <c r="G947" s="7"/>
      <c r="H947" s="7"/>
      <c r="I947" s="7"/>
      <c r="K947" s="7"/>
      <c r="L947" s="7"/>
      <c r="M947" s="7"/>
      <c r="N947" s="7"/>
      <c r="O947" s="7"/>
      <c r="P947" s="7"/>
      <c r="Q947" s="7"/>
      <c r="R947" s="7"/>
      <c r="S947" s="7"/>
      <c r="T947" s="7"/>
      <c r="U947" s="7"/>
      <c r="V947" s="7"/>
      <c r="W947" s="7"/>
      <c r="X947" s="7"/>
    </row>
    <row r="948" spans="2:24" ht="35.1" customHeight="1">
      <c r="B948" s="7"/>
      <c r="C948" s="33"/>
      <c r="D948" s="7"/>
      <c r="E948" s="7"/>
      <c r="F948" s="7"/>
      <c r="G948" s="7"/>
      <c r="H948" s="7"/>
      <c r="I948" s="7"/>
      <c r="K948" s="7"/>
      <c r="L948" s="7"/>
      <c r="M948" s="7"/>
      <c r="N948" s="7"/>
      <c r="O948" s="7"/>
      <c r="P948" s="7"/>
      <c r="Q948" s="7"/>
      <c r="R948" s="7"/>
      <c r="S948" s="7"/>
      <c r="T948" s="7"/>
      <c r="U948" s="7"/>
      <c r="V948" s="7"/>
      <c r="W948" s="7"/>
      <c r="X948" s="7"/>
    </row>
    <row r="949" spans="2:24" ht="35.1" customHeight="1">
      <c r="B949" s="7"/>
      <c r="C949" s="33"/>
      <c r="D949" s="7"/>
      <c r="E949" s="7"/>
      <c r="F949" s="7"/>
      <c r="G949" s="7"/>
      <c r="H949" s="7"/>
      <c r="I949" s="7"/>
      <c r="K949" s="7"/>
      <c r="L949" s="7"/>
      <c r="M949" s="7"/>
      <c r="N949" s="7"/>
      <c r="O949" s="7"/>
      <c r="P949" s="7"/>
      <c r="Q949" s="7"/>
      <c r="R949" s="7"/>
      <c r="S949" s="7"/>
      <c r="T949" s="7"/>
      <c r="U949" s="7"/>
      <c r="V949" s="7"/>
      <c r="W949" s="7"/>
      <c r="X949" s="7"/>
    </row>
    <row r="950" spans="2:24" ht="35.1" customHeight="1">
      <c r="B950" s="7"/>
      <c r="C950" s="33"/>
      <c r="D950" s="7"/>
      <c r="E950" s="7"/>
      <c r="F950" s="7"/>
      <c r="G950" s="7"/>
      <c r="H950" s="7"/>
      <c r="I950" s="7"/>
      <c r="K950" s="7"/>
      <c r="L950" s="7"/>
      <c r="M950" s="7"/>
      <c r="N950" s="7"/>
      <c r="O950" s="7"/>
      <c r="P950" s="7"/>
      <c r="Q950" s="7"/>
      <c r="R950" s="7"/>
      <c r="S950" s="7"/>
      <c r="T950" s="7"/>
      <c r="U950" s="7"/>
      <c r="V950" s="7"/>
      <c r="W950" s="7"/>
      <c r="X950" s="7"/>
    </row>
    <row r="951" spans="2:24" ht="35.1" customHeight="1">
      <c r="B951" s="7"/>
      <c r="C951" s="33"/>
      <c r="D951" s="7"/>
      <c r="E951" s="7"/>
      <c r="F951" s="7"/>
      <c r="G951" s="7"/>
      <c r="H951" s="7"/>
      <c r="I951" s="7"/>
      <c r="K951" s="7"/>
      <c r="L951" s="7"/>
      <c r="M951" s="7"/>
      <c r="N951" s="7"/>
      <c r="O951" s="7"/>
      <c r="P951" s="7"/>
      <c r="Q951" s="7"/>
      <c r="R951" s="7"/>
      <c r="S951" s="7"/>
      <c r="T951" s="7"/>
      <c r="U951" s="7"/>
      <c r="V951" s="7"/>
      <c r="W951" s="7"/>
      <c r="X951" s="7"/>
    </row>
    <row r="952" spans="2:24" ht="35.1" customHeight="1">
      <c r="B952" s="7"/>
      <c r="C952" s="33"/>
      <c r="D952" s="7"/>
      <c r="E952" s="7"/>
      <c r="F952" s="7"/>
      <c r="G952" s="7"/>
      <c r="H952" s="7"/>
      <c r="I952" s="7"/>
      <c r="K952" s="7"/>
      <c r="L952" s="7"/>
      <c r="M952" s="7"/>
      <c r="N952" s="7"/>
      <c r="O952" s="7"/>
      <c r="P952" s="7"/>
      <c r="Q952" s="7"/>
      <c r="R952" s="7"/>
      <c r="S952" s="7"/>
      <c r="T952" s="7"/>
      <c r="U952" s="7"/>
      <c r="V952" s="7"/>
      <c r="W952" s="7"/>
      <c r="X952" s="7"/>
    </row>
    <row r="953" spans="2:24" ht="35.1" customHeight="1">
      <c r="B953" s="7"/>
      <c r="C953" s="33"/>
      <c r="D953" s="7"/>
      <c r="E953" s="7"/>
      <c r="F953" s="7"/>
      <c r="G953" s="7"/>
      <c r="H953" s="7"/>
      <c r="I953" s="7"/>
      <c r="K953" s="7"/>
      <c r="L953" s="7"/>
      <c r="M953" s="7"/>
      <c r="N953" s="7"/>
      <c r="O953" s="7"/>
      <c r="P953" s="7"/>
      <c r="Q953" s="7"/>
      <c r="R953" s="7"/>
      <c r="S953" s="7"/>
      <c r="T953" s="7"/>
      <c r="U953" s="7"/>
      <c r="V953" s="7"/>
      <c r="W953" s="7"/>
      <c r="X953" s="7"/>
    </row>
    <row r="954" spans="2:24" ht="35.1" customHeight="1">
      <c r="B954" s="7"/>
      <c r="C954" s="33"/>
      <c r="D954" s="7"/>
      <c r="E954" s="7"/>
      <c r="F954" s="7"/>
      <c r="G954" s="7"/>
      <c r="H954" s="7"/>
      <c r="I954" s="7"/>
      <c r="K954" s="7"/>
      <c r="L954" s="7"/>
      <c r="M954" s="7"/>
      <c r="N954" s="7"/>
      <c r="O954" s="7"/>
      <c r="P954" s="7"/>
      <c r="Q954" s="7"/>
      <c r="R954" s="7"/>
      <c r="S954" s="7"/>
      <c r="T954" s="7"/>
      <c r="U954" s="7"/>
      <c r="V954" s="7"/>
      <c r="W954" s="7"/>
      <c r="X954" s="7"/>
    </row>
    <row r="955" spans="2:24" ht="35.1" customHeight="1">
      <c r="B955" s="7"/>
      <c r="C955" s="33"/>
      <c r="D955" s="7"/>
      <c r="E955" s="7"/>
      <c r="F955" s="7"/>
      <c r="G955" s="7"/>
      <c r="H955" s="7"/>
      <c r="I955" s="7"/>
      <c r="K955" s="7"/>
      <c r="L955" s="7"/>
      <c r="M955" s="7"/>
      <c r="N955" s="7"/>
      <c r="O955" s="7"/>
      <c r="P955" s="7"/>
      <c r="Q955" s="7"/>
      <c r="R955" s="7"/>
      <c r="S955" s="7"/>
      <c r="T955" s="7"/>
      <c r="U955" s="7"/>
      <c r="V955" s="7"/>
      <c r="W955" s="7"/>
      <c r="X955" s="7"/>
    </row>
    <row r="956" spans="2:24" ht="35.1" customHeight="1">
      <c r="B956" s="7"/>
      <c r="C956" s="33"/>
      <c r="D956" s="7"/>
      <c r="E956" s="7"/>
      <c r="F956" s="7"/>
      <c r="G956" s="7"/>
      <c r="H956" s="7"/>
      <c r="I956" s="7"/>
      <c r="K956" s="7"/>
      <c r="L956" s="7"/>
      <c r="M956" s="7"/>
      <c r="N956" s="7"/>
      <c r="O956" s="7"/>
      <c r="P956" s="7"/>
      <c r="Q956" s="7"/>
      <c r="R956" s="7"/>
      <c r="S956" s="7"/>
      <c r="T956" s="7"/>
      <c r="U956" s="7"/>
      <c r="V956" s="7"/>
      <c r="W956" s="7"/>
      <c r="X956" s="7"/>
    </row>
    <row r="957" spans="2:24" ht="35.1" customHeight="1">
      <c r="B957" s="7"/>
      <c r="C957" s="33"/>
      <c r="D957" s="7"/>
      <c r="E957" s="7"/>
      <c r="F957" s="7"/>
      <c r="G957" s="7"/>
      <c r="H957" s="7"/>
      <c r="I957" s="7"/>
      <c r="K957" s="7"/>
      <c r="L957" s="7"/>
      <c r="M957" s="7"/>
      <c r="N957" s="7"/>
      <c r="O957" s="7"/>
      <c r="P957" s="7"/>
      <c r="Q957" s="7"/>
      <c r="R957" s="7"/>
      <c r="S957" s="7"/>
      <c r="T957" s="7"/>
      <c r="U957" s="7"/>
      <c r="V957" s="7"/>
      <c r="W957" s="7"/>
      <c r="X957" s="7"/>
    </row>
    <row r="958" spans="2:24" ht="35.1" customHeight="1">
      <c r="B958" s="7"/>
      <c r="C958" s="33"/>
      <c r="D958" s="7"/>
      <c r="E958" s="7"/>
      <c r="F958" s="7"/>
      <c r="G958" s="7"/>
      <c r="H958" s="7"/>
      <c r="I958" s="7"/>
      <c r="K958" s="7"/>
      <c r="L958" s="7"/>
      <c r="M958" s="7"/>
      <c r="N958" s="7"/>
      <c r="O958" s="7"/>
      <c r="P958" s="7"/>
      <c r="Q958" s="7"/>
      <c r="R958" s="7"/>
      <c r="S958" s="7"/>
      <c r="T958" s="7"/>
      <c r="U958" s="7"/>
      <c r="V958" s="7"/>
      <c r="W958" s="7"/>
      <c r="X958" s="7"/>
    </row>
    <row r="959" spans="2:24" ht="35.1" customHeight="1">
      <c r="B959" s="7"/>
      <c r="C959" s="33"/>
      <c r="D959" s="7"/>
      <c r="E959" s="7"/>
      <c r="F959" s="7"/>
      <c r="G959" s="7"/>
      <c r="H959" s="7"/>
      <c r="I959" s="7"/>
      <c r="K959" s="7"/>
      <c r="L959" s="7"/>
      <c r="M959" s="7"/>
      <c r="N959" s="7"/>
      <c r="O959" s="7"/>
      <c r="P959" s="7"/>
      <c r="Q959" s="7"/>
      <c r="R959" s="7"/>
      <c r="S959" s="7"/>
      <c r="T959" s="7"/>
      <c r="U959" s="7"/>
      <c r="V959" s="7"/>
      <c r="W959" s="7"/>
      <c r="X959" s="7"/>
    </row>
    <row r="960" spans="2:24" ht="35.1" customHeight="1">
      <c r="B960" s="7"/>
      <c r="C960" s="33"/>
      <c r="D960" s="7"/>
      <c r="E960" s="7"/>
      <c r="F960" s="7"/>
      <c r="G960" s="7"/>
      <c r="H960" s="7"/>
      <c r="I960" s="7"/>
      <c r="K960" s="7"/>
      <c r="L960" s="7"/>
      <c r="M960" s="7"/>
      <c r="N960" s="7"/>
      <c r="O960" s="7"/>
      <c r="P960" s="7"/>
      <c r="Q960" s="7"/>
      <c r="R960" s="7"/>
      <c r="S960" s="7"/>
      <c r="T960" s="7"/>
      <c r="U960" s="7"/>
      <c r="V960" s="7"/>
      <c r="W960" s="7"/>
      <c r="X960" s="7"/>
    </row>
    <row r="961" spans="2:24" ht="35.1" customHeight="1">
      <c r="B961" s="7"/>
      <c r="C961" s="33"/>
      <c r="D961" s="7"/>
      <c r="E961" s="7"/>
      <c r="F961" s="7"/>
      <c r="G961" s="7"/>
      <c r="H961" s="7"/>
      <c r="I961" s="7"/>
      <c r="K961" s="7"/>
      <c r="L961" s="7"/>
      <c r="M961" s="7"/>
      <c r="N961" s="7"/>
      <c r="O961" s="7"/>
      <c r="P961" s="7"/>
      <c r="Q961" s="7"/>
      <c r="R961" s="7"/>
      <c r="S961" s="7"/>
      <c r="T961" s="7"/>
      <c r="U961" s="7"/>
      <c r="V961" s="7"/>
      <c r="W961" s="7"/>
      <c r="X961" s="7"/>
    </row>
    <row r="962" spans="2:24" ht="35.1" customHeight="1">
      <c r="B962" s="7"/>
      <c r="C962" s="33"/>
      <c r="D962" s="7"/>
      <c r="E962" s="7"/>
      <c r="F962" s="7"/>
      <c r="G962" s="7"/>
      <c r="H962" s="7"/>
      <c r="I962" s="7"/>
      <c r="K962" s="7"/>
      <c r="L962" s="7"/>
      <c r="M962" s="7"/>
      <c r="N962" s="7"/>
      <c r="O962" s="7"/>
      <c r="P962" s="7"/>
      <c r="Q962" s="7"/>
      <c r="R962" s="7"/>
      <c r="S962" s="7"/>
      <c r="T962" s="7"/>
      <c r="U962" s="7"/>
      <c r="V962" s="7"/>
      <c r="W962" s="7"/>
      <c r="X962" s="7"/>
    </row>
    <row r="963" spans="2:24" ht="35.1" customHeight="1">
      <c r="B963" s="7"/>
      <c r="C963" s="33"/>
      <c r="D963" s="7"/>
      <c r="E963" s="7"/>
      <c r="F963" s="7"/>
      <c r="G963" s="7"/>
      <c r="H963" s="7"/>
      <c r="I963" s="7"/>
      <c r="K963" s="7"/>
      <c r="L963" s="7"/>
      <c r="M963" s="7"/>
      <c r="N963" s="7"/>
      <c r="O963" s="7"/>
      <c r="P963" s="7"/>
      <c r="Q963" s="7"/>
      <c r="R963" s="7"/>
      <c r="S963" s="7"/>
      <c r="T963" s="7"/>
      <c r="U963" s="7"/>
      <c r="V963" s="7"/>
      <c r="W963" s="7"/>
      <c r="X963" s="7"/>
    </row>
    <row r="964" spans="2:24" ht="35.1" customHeight="1">
      <c r="B964" s="7"/>
      <c r="C964" s="33"/>
      <c r="D964" s="7"/>
      <c r="E964" s="7"/>
      <c r="F964" s="7"/>
      <c r="G964" s="7"/>
      <c r="H964" s="7"/>
      <c r="I964" s="7"/>
      <c r="K964" s="7"/>
      <c r="L964" s="7"/>
      <c r="M964" s="7"/>
      <c r="N964" s="7"/>
      <c r="O964" s="7"/>
      <c r="P964" s="7"/>
      <c r="Q964" s="7"/>
      <c r="R964" s="7"/>
      <c r="S964" s="7"/>
      <c r="T964" s="7"/>
      <c r="U964" s="7"/>
      <c r="V964" s="7"/>
      <c r="W964" s="7"/>
      <c r="X964" s="7"/>
    </row>
    <row r="965" spans="2:24" ht="35.1" customHeight="1">
      <c r="B965" s="7"/>
      <c r="C965" s="33"/>
      <c r="D965" s="7"/>
      <c r="E965" s="7"/>
      <c r="F965" s="7"/>
      <c r="G965" s="7"/>
      <c r="H965" s="7"/>
      <c r="I965" s="7"/>
      <c r="K965" s="7"/>
      <c r="L965" s="7"/>
      <c r="M965" s="7"/>
      <c r="N965" s="7"/>
      <c r="O965" s="7"/>
      <c r="P965" s="7"/>
      <c r="Q965" s="7"/>
      <c r="R965" s="7"/>
      <c r="S965" s="7"/>
      <c r="T965" s="7"/>
      <c r="U965" s="7"/>
      <c r="V965" s="7"/>
      <c r="W965" s="7"/>
      <c r="X965" s="7"/>
    </row>
    <row r="966" spans="2:24" ht="35.1" customHeight="1">
      <c r="B966" s="7"/>
      <c r="C966" s="33"/>
      <c r="D966" s="7"/>
      <c r="E966" s="7"/>
      <c r="F966" s="7"/>
      <c r="G966" s="7"/>
      <c r="H966" s="7"/>
      <c r="I966" s="7"/>
      <c r="K966" s="7"/>
      <c r="L966" s="7"/>
      <c r="M966" s="7"/>
      <c r="N966" s="7"/>
      <c r="O966" s="7"/>
      <c r="P966" s="7"/>
      <c r="Q966" s="7"/>
      <c r="R966" s="7"/>
      <c r="S966" s="7"/>
      <c r="T966" s="7"/>
      <c r="U966" s="7"/>
      <c r="V966" s="7"/>
      <c r="W966" s="7"/>
      <c r="X966" s="7"/>
    </row>
    <row r="967" spans="2:24" ht="35.1" customHeight="1">
      <c r="B967" s="7"/>
      <c r="C967" s="33"/>
      <c r="D967" s="7"/>
      <c r="E967" s="7"/>
      <c r="F967" s="7"/>
      <c r="G967" s="7"/>
      <c r="H967" s="7"/>
      <c r="I967" s="7"/>
      <c r="K967" s="7"/>
      <c r="L967" s="7"/>
      <c r="M967" s="7"/>
      <c r="N967" s="7"/>
      <c r="O967" s="7"/>
      <c r="P967" s="7"/>
      <c r="Q967" s="7"/>
      <c r="R967" s="7"/>
      <c r="S967" s="7"/>
      <c r="T967" s="7"/>
      <c r="U967" s="7"/>
      <c r="V967" s="7"/>
      <c r="W967" s="7"/>
      <c r="X967" s="7"/>
    </row>
    <row r="968" spans="2:24" ht="35.1" customHeight="1">
      <c r="B968" s="7"/>
      <c r="C968" s="33"/>
      <c r="D968" s="7"/>
      <c r="E968" s="7"/>
      <c r="F968" s="7"/>
      <c r="G968" s="7"/>
      <c r="H968" s="7"/>
      <c r="I968" s="7"/>
      <c r="K968" s="7"/>
      <c r="L968" s="7"/>
      <c r="M968" s="7"/>
      <c r="N968" s="7"/>
      <c r="O968" s="7"/>
      <c r="P968" s="7"/>
      <c r="Q968" s="7"/>
      <c r="R968" s="7"/>
      <c r="S968" s="7"/>
      <c r="T968" s="7"/>
      <c r="U968" s="7"/>
      <c r="V968" s="7"/>
      <c r="W968" s="7"/>
      <c r="X968" s="7"/>
    </row>
    <row r="969" spans="2:24" ht="35.1" customHeight="1">
      <c r="B969" s="7"/>
      <c r="C969" s="33"/>
      <c r="D969" s="7"/>
      <c r="E969" s="7"/>
      <c r="F969" s="7"/>
      <c r="G969" s="7"/>
      <c r="H969" s="7"/>
      <c r="I969" s="7"/>
      <c r="K969" s="7"/>
      <c r="L969" s="7"/>
      <c r="M969" s="7"/>
      <c r="N969" s="7"/>
      <c r="O969" s="7"/>
      <c r="P969" s="7"/>
      <c r="Q969" s="7"/>
      <c r="R969" s="7"/>
      <c r="S969" s="7"/>
      <c r="T969" s="7"/>
      <c r="U969" s="7"/>
      <c r="V969" s="7"/>
      <c r="W969" s="7"/>
      <c r="X969" s="7"/>
    </row>
    <row r="970" spans="2:24" ht="35.1" customHeight="1">
      <c r="B970" s="7"/>
      <c r="C970" s="33"/>
      <c r="D970" s="7"/>
      <c r="E970" s="7"/>
      <c r="F970" s="7"/>
      <c r="G970" s="7"/>
      <c r="H970" s="7"/>
      <c r="I970" s="7"/>
      <c r="K970" s="7"/>
      <c r="L970" s="7"/>
      <c r="M970" s="7"/>
      <c r="N970" s="7"/>
      <c r="O970" s="7"/>
      <c r="P970" s="7"/>
      <c r="Q970" s="7"/>
      <c r="R970" s="7"/>
      <c r="S970" s="7"/>
      <c r="T970" s="7"/>
      <c r="U970" s="7"/>
      <c r="V970" s="7"/>
      <c r="W970" s="7"/>
      <c r="X970" s="7"/>
    </row>
    <row r="971" spans="2:24" ht="35.1" customHeight="1">
      <c r="B971" s="7"/>
      <c r="C971" s="33"/>
      <c r="D971" s="7"/>
      <c r="E971" s="7"/>
      <c r="F971" s="7"/>
      <c r="G971" s="7"/>
      <c r="H971" s="7"/>
      <c r="I971" s="7"/>
      <c r="K971" s="7"/>
      <c r="L971" s="7"/>
      <c r="M971" s="7"/>
      <c r="N971" s="7"/>
      <c r="O971" s="7"/>
      <c r="P971" s="7"/>
      <c r="Q971" s="7"/>
      <c r="R971" s="7"/>
      <c r="S971" s="7"/>
      <c r="T971" s="7"/>
      <c r="U971" s="7"/>
      <c r="V971" s="7"/>
      <c r="W971" s="7"/>
      <c r="X971" s="7"/>
    </row>
    <row r="972" spans="2:24" ht="35.1" customHeight="1">
      <c r="B972" s="7"/>
      <c r="C972" s="33"/>
      <c r="D972" s="7"/>
      <c r="E972" s="7"/>
      <c r="F972" s="7"/>
      <c r="G972" s="7"/>
      <c r="H972" s="7"/>
      <c r="I972" s="7"/>
      <c r="K972" s="7"/>
      <c r="L972" s="7"/>
      <c r="M972" s="7"/>
      <c r="N972" s="7"/>
      <c r="O972" s="7"/>
      <c r="P972" s="7"/>
      <c r="Q972" s="7"/>
      <c r="R972" s="7"/>
      <c r="S972" s="7"/>
      <c r="T972" s="7"/>
      <c r="U972" s="7"/>
      <c r="V972" s="7"/>
      <c r="W972" s="7"/>
      <c r="X972" s="7"/>
    </row>
    <row r="973" spans="2:24" ht="35.1" customHeight="1">
      <c r="B973" s="7"/>
      <c r="C973" s="33"/>
      <c r="D973" s="7"/>
      <c r="E973" s="7"/>
      <c r="F973" s="7"/>
      <c r="G973" s="7"/>
      <c r="H973" s="7"/>
      <c r="I973" s="7"/>
      <c r="K973" s="7"/>
      <c r="L973" s="7"/>
      <c r="M973" s="7"/>
      <c r="N973" s="7"/>
      <c r="O973" s="7"/>
      <c r="P973" s="7"/>
      <c r="Q973" s="7"/>
      <c r="R973" s="7"/>
      <c r="S973" s="7"/>
      <c r="T973" s="7"/>
      <c r="U973" s="7"/>
      <c r="V973" s="7"/>
      <c r="W973" s="7"/>
      <c r="X973" s="7"/>
    </row>
    <row r="974" spans="2:24" ht="35.1" customHeight="1">
      <c r="B974" s="7"/>
      <c r="C974" s="33"/>
      <c r="D974" s="7"/>
      <c r="E974" s="7"/>
      <c r="F974" s="7"/>
      <c r="G974" s="7"/>
      <c r="H974" s="7"/>
      <c r="I974" s="7"/>
      <c r="K974" s="7"/>
      <c r="L974" s="7"/>
      <c r="M974" s="7"/>
      <c r="N974" s="7"/>
      <c r="O974" s="7"/>
      <c r="P974" s="7"/>
      <c r="Q974" s="7"/>
      <c r="R974" s="7"/>
      <c r="S974" s="7"/>
      <c r="T974" s="7"/>
      <c r="U974" s="7"/>
      <c r="V974" s="7"/>
      <c r="W974" s="7"/>
      <c r="X974" s="7"/>
    </row>
    <row r="975" spans="2:24" ht="35.1" customHeight="1">
      <c r="B975" s="7"/>
      <c r="C975" s="33"/>
      <c r="D975" s="7"/>
      <c r="E975" s="7"/>
      <c r="F975" s="7"/>
      <c r="G975" s="7"/>
      <c r="H975" s="7"/>
      <c r="I975" s="7"/>
      <c r="K975" s="7"/>
      <c r="L975" s="7"/>
      <c r="M975" s="7"/>
      <c r="N975" s="7"/>
      <c r="O975" s="7"/>
      <c r="P975" s="7"/>
      <c r="Q975" s="7"/>
      <c r="R975" s="7"/>
      <c r="S975" s="7"/>
      <c r="T975" s="7"/>
      <c r="U975" s="7"/>
      <c r="V975" s="7"/>
      <c r="W975" s="7"/>
      <c r="X975" s="7"/>
    </row>
    <row r="976" spans="2:24" ht="35.1" customHeight="1">
      <c r="B976" s="7"/>
      <c r="C976" s="33"/>
      <c r="D976" s="7"/>
      <c r="E976" s="7"/>
      <c r="F976" s="7"/>
      <c r="G976" s="7"/>
      <c r="H976" s="7"/>
      <c r="I976" s="7"/>
      <c r="K976" s="7"/>
      <c r="L976" s="7"/>
      <c r="M976" s="7"/>
      <c r="N976" s="7"/>
      <c r="O976" s="7"/>
      <c r="P976" s="7"/>
      <c r="Q976" s="7"/>
      <c r="R976" s="7"/>
      <c r="S976" s="7"/>
      <c r="T976" s="7"/>
      <c r="U976" s="7"/>
      <c r="V976" s="7"/>
      <c r="W976" s="7"/>
      <c r="X976" s="7"/>
    </row>
    <row r="977" spans="2:24" ht="35.1" customHeight="1">
      <c r="B977" s="7"/>
      <c r="C977" s="33"/>
      <c r="D977" s="7"/>
      <c r="E977" s="7"/>
      <c r="F977" s="7"/>
      <c r="G977" s="7"/>
      <c r="H977" s="7"/>
      <c r="I977" s="7"/>
      <c r="K977" s="7"/>
      <c r="L977" s="7"/>
      <c r="M977" s="7"/>
      <c r="N977" s="7"/>
      <c r="O977" s="7"/>
      <c r="P977" s="7"/>
      <c r="Q977" s="7"/>
      <c r="R977" s="7"/>
      <c r="S977" s="7"/>
      <c r="T977" s="7"/>
      <c r="U977" s="7"/>
      <c r="V977" s="7"/>
      <c r="W977" s="7"/>
      <c r="X977" s="7"/>
    </row>
    <row r="978" spans="2:24" ht="35.1" customHeight="1">
      <c r="B978" s="7"/>
      <c r="C978" s="33"/>
      <c r="D978" s="7"/>
      <c r="E978" s="7"/>
      <c r="F978" s="7"/>
      <c r="G978" s="7"/>
      <c r="H978" s="7"/>
      <c r="I978" s="7"/>
      <c r="K978" s="7"/>
      <c r="L978" s="7"/>
      <c r="M978" s="7"/>
      <c r="N978" s="7"/>
      <c r="O978" s="7"/>
      <c r="P978" s="7"/>
      <c r="Q978" s="7"/>
      <c r="R978" s="7"/>
      <c r="S978" s="7"/>
      <c r="T978" s="7"/>
      <c r="U978" s="7"/>
      <c r="V978" s="7"/>
      <c r="W978" s="7"/>
      <c r="X978" s="7"/>
    </row>
    <row r="979" spans="2:24" ht="35.1" customHeight="1">
      <c r="B979" s="7"/>
      <c r="C979" s="33"/>
      <c r="D979" s="7"/>
      <c r="E979" s="7"/>
      <c r="F979" s="7"/>
      <c r="G979" s="7"/>
      <c r="H979" s="7"/>
      <c r="I979" s="7"/>
      <c r="K979" s="7"/>
      <c r="L979" s="7"/>
      <c r="M979" s="7"/>
      <c r="N979" s="7"/>
      <c r="O979" s="7"/>
      <c r="P979" s="7"/>
      <c r="Q979" s="7"/>
      <c r="R979" s="7"/>
      <c r="S979" s="7"/>
      <c r="T979" s="7"/>
      <c r="U979" s="7"/>
      <c r="V979" s="7"/>
      <c r="W979" s="7"/>
      <c r="X979" s="7"/>
    </row>
    <row r="980" spans="2:24" ht="35.1" customHeight="1">
      <c r="B980" s="7"/>
      <c r="C980" s="33"/>
      <c r="D980" s="7"/>
      <c r="E980" s="7"/>
      <c r="F980" s="7"/>
      <c r="G980" s="7"/>
      <c r="H980" s="7"/>
      <c r="I980" s="7"/>
      <c r="K980" s="7"/>
      <c r="L980" s="7"/>
      <c r="M980" s="7"/>
      <c r="N980" s="7"/>
      <c r="O980" s="7"/>
      <c r="P980" s="7"/>
      <c r="Q980" s="7"/>
      <c r="R980" s="7"/>
      <c r="S980" s="7"/>
      <c r="T980" s="7"/>
      <c r="U980" s="7"/>
      <c r="V980" s="7"/>
      <c r="W980" s="7"/>
      <c r="X980" s="7"/>
    </row>
    <row r="981" spans="2:24" ht="35.1" customHeight="1">
      <c r="B981" s="7"/>
      <c r="C981" s="33"/>
      <c r="D981" s="7"/>
      <c r="E981" s="7"/>
      <c r="F981" s="7"/>
      <c r="G981" s="7"/>
      <c r="H981" s="7"/>
      <c r="I981" s="7"/>
      <c r="K981" s="7"/>
      <c r="L981" s="7"/>
      <c r="M981" s="7"/>
      <c r="N981" s="7"/>
      <c r="O981" s="7"/>
      <c r="P981" s="7"/>
      <c r="Q981" s="7"/>
      <c r="R981" s="7"/>
      <c r="S981" s="7"/>
      <c r="T981" s="7"/>
      <c r="U981" s="7"/>
      <c r="V981" s="7"/>
      <c r="W981" s="7"/>
      <c r="X981" s="7"/>
    </row>
    <row r="982" spans="2:24" ht="35.1" customHeight="1">
      <c r="B982" s="7"/>
      <c r="C982" s="33"/>
      <c r="D982" s="7"/>
      <c r="E982" s="7"/>
      <c r="F982" s="7"/>
      <c r="G982" s="7"/>
      <c r="H982" s="7"/>
      <c r="I982" s="7"/>
      <c r="K982" s="7"/>
      <c r="L982" s="7"/>
      <c r="M982" s="7"/>
      <c r="N982" s="7"/>
      <c r="O982" s="7"/>
      <c r="P982" s="7"/>
      <c r="Q982" s="7"/>
      <c r="R982" s="7"/>
      <c r="S982" s="7"/>
      <c r="T982" s="7"/>
      <c r="U982" s="7"/>
      <c r="V982" s="7"/>
      <c r="W982" s="7"/>
      <c r="X982" s="7"/>
    </row>
    <row r="983" spans="2:24" ht="35.1" customHeight="1">
      <c r="B983" s="7"/>
      <c r="C983" s="33"/>
      <c r="D983" s="7"/>
      <c r="E983" s="7"/>
      <c r="F983" s="7"/>
      <c r="G983" s="7"/>
      <c r="H983" s="7"/>
      <c r="I983" s="7"/>
      <c r="K983" s="7"/>
      <c r="L983" s="7"/>
      <c r="M983" s="7"/>
      <c r="N983" s="7"/>
      <c r="O983" s="7"/>
      <c r="P983" s="7"/>
      <c r="Q983" s="7"/>
      <c r="R983" s="7"/>
      <c r="S983" s="7"/>
      <c r="T983" s="7"/>
      <c r="U983" s="7"/>
      <c r="V983" s="7"/>
      <c r="W983" s="7"/>
      <c r="X983" s="7"/>
    </row>
    <row r="984" spans="2:24" ht="35.1" customHeight="1">
      <c r="B984" s="7"/>
      <c r="C984" s="33"/>
      <c r="D984" s="7"/>
      <c r="E984" s="7"/>
      <c r="F984" s="7"/>
      <c r="G984" s="7"/>
      <c r="H984" s="7"/>
      <c r="I984" s="7"/>
      <c r="K984" s="7"/>
      <c r="L984" s="7"/>
      <c r="M984" s="7"/>
      <c r="N984" s="7"/>
      <c r="O984" s="7"/>
      <c r="P984" s="7"/>
      <c r="Q984" s="7"/>
      <c r="R984" s="7"/>
      <c r="S984" s="7"/>
      <c r="T984" s="7"/>
      <c r="U984" s="7"/>
      <c r="V984" s="7"/>
      <c r="W984" s="7"/>
      <c r="X984" s="7"/>
    </row>
    <row r="985" spans="2:24" ht="35.1" customHeight="1">
      <c r="B985" s="7"/>
      <c r="C985" s="33"/>
      <c r="D985" s="7"/>
      <c r="E985" s="7"/>
      <c r="F985" s="7"/>
      <c r="G985" s="7"/>
      <c r="H985" s="7"/>
      <c r="I985" s="7"/>
      <c r="K985" s="7"/>
      <c r="L985" s="7"/>
      <c r="M985" s="7"/>
      <c r="N985" s="7"/>
      <c r="O985" s="7"/>
      <c r="P985" s="7"/>
      <c r="Q985" s="7"/>
      <c r="R985" s="7"/>
      <c r="S985" s="7"/>
      <c r="T985" s="7"/>
      <c r="U985" s="7"/>
      <c r="V985" s="7"/>
      <c r="W985" s="7"/>
      <c r="X985" s="7"/>
    </row>
    <row r="986" spans="2:24" ht="35.1" customHeight="1">
      <c r="B986" s="7"/>
      <c r="C986" s="33"/>
      <c r="D986" s="7"/>
      <c r="E986" s="7"/>
      <c r="F986" s="7"/>
      <c r="G986" s="7"/>
      <c r="H986" s="7"/>
      <c r="I986" s="7"/>
      <c r="K986" s="7"/>
      <c r="L986" s="7"/>
      <c r="M986" s="7"/>
      <c r="N986" s="7"/>
      <c r="O986" s="7"/>
      <c r="P986" s="7"/>
      <c r="Q986" s="7"/>
      <c r="R986" s="7"/>
      <c r="S986" s="7"/>
      <c r="T986" s="7"/>
      <c r="U986" s="7"/>
      <c r="V986" s="7"/>
      <c r="W986" s="7"/>
      <c r="X986" s="7"/>
    </row>
    <row r="987" spans="2:24" ht="35.1" customHeight="1">
      <c r="B987" s="7"/>
      <c r="C987" s="33"/>
      <c r="D987" s="7"/>
      <c r="E987" s="7"/>
      <c r="F987" s="7"/>
      <c r="G987" s="7"/>
      <c r="H987" s="7"/>
      <c r="I987" s="7"/>
      <c r="K987" s="7"/>
      <c r="L987" s="7"/>
      <c r="M987" s="7"/>
      <c r="N987" s="7"/>
      <c r="O987" s="7"/>
      <c r="P987" s="7"/>
      <c r="Q987" s="7"/>
      <c r="R987" s="7"/>
      <c r="S987" s="7"/>
      <c r="T987" s="7"/>
      <c r="U987" s="7"/>
      <c r="V987" s="7"/>
      <c r="W987" s="7"/>
      <c r="X987" s="7"/>
    </row>
    <row r="988" spans="2:24" ht="35.1" customHeight="1">
      <c r="B988" s="7"/>
      <c r="C988" s="33"/>
      <c r="D988" s="7"/>
      <c r="E988" s="7"/>
      <c r="F988" s="7"/>
      <c r="G988" s="7"/>
      <c r="H988" s="7"/>
      <c r="I988" s="7"/>
      <c r="K988" s="7"/>
      <c r="L988" s="7"/>
      <c r="M988" s="7"/>
      <c r="N988" s="7"/>
      <c r="O988" s="7"/>
      <c r="P988" s="7"/>
      <c r="Q988" s="7"/>
      <c r="R988" s="7"/>
      <c r="S988" s="7"/>
      <c r="T988" s="7"/>
      <c r="U988" s="7"/>
      <c r="V988" s="7"/>
      <c r="W988" s="7"/>
      <c r="X988" s="7"/>
    </row>
    <row r="989" spans="2:24" ht="35.1" customHeight="1">
      <c r="B989" s="7"/>
      <c r="C989" s="33"/>
      <c r="D989" s="7"/>
      <c r="E989" s="7"/>
      <c r="F989" s="7"/>
      <c r="G989" s="7"/>
      <c r="H989" s="7"/>
      <c r="I989" s="7"/>
      <c r="K989" s="7"/>
      <c r="L989" s="7"/>
      <c r="M989" s="7"/>
      <c r="N989" s="7"/>
      <c r="O989" s="7"/>
      <c r="P989" s="7"/>
      <c r="Q989" s="7"/>
      <c r="R989" s="7"/>
      <c r="S989" s="7"/>
      <c r="T989" s="7"/>
      <c r="U989" s="7"/>
      <c r="V989" s="7"/>
      <c r="W989" s="7"/>
      <c r="X989" s="7"/>
    </row>
    <row r="990" spans="2:24" ht="35.1" customHeight="1">
      <c r="B990" s="7"/>
      <c r="C990" s="33"/>
      <c r="D990" s="7"/>
      <c r="E990" s="7"/>
      <c r="F990" s="7"/>
      <c r="G990" s="7"/>
      <c r="H990" s="7"/>
      <c r="I990" s="7"/>
      <c r="K990" s="7"/>
      <c r="L990" s="7"/>
      <c r="M990" s="7"/>
      <c r="N990" s="7"/>
      <c r="O990" s="7"/>
      <c r="P990" s="7"/>
      <c r="Q990" s="7"/>
      <c r="R990" s="7"/>
      <c r="S990" s="7"/>
      <c r="T990" s="7"/>
      <c r="U990" s="7"/>
      <c r="V990" s="7"/>
      <c r="W990" s="7"/>
      <c r="X990" s="7"/>
    </row>
    <row r="991" spans="2:24" ht="35.1" customHeight="1">
      <c r="B991" s="7"/>
      <c r="C991" s="33"/>
      <c r="D991" s="7"/>
      <c r="E991" s="7"/>
      <c r="F991" s="7"/>
      <c r="G991" s="7"/>
      <c r="H991" s="7"/>
      <c r="I991" s="7"/>
      <c r="K991" s="7"/>
      <c r="L991" s="7"/>
      <c r="M991" s="7"/>
      <c r="N991" s="7"/>
      <c r="O991" s="7"/>
      <c r="P991" s="7"/>
      <c r="Q991" s="7"/>
      <c r="R991" s="7"/>
      <c r="S991" s="7"/>
      <c r="T991" s="7"/>
      <c r="U991" s="7"/>
      <c r="V991" s="7"/>
      <c r="W991" s="7"/>
      <c r="X991" s="7"/>
    </row>
    <row r="992" spans="2:24" ht="35.1" customHeight="1">
      <c r="B992" s="7"/>
      <c r="C992" s="33"/>
      <c r="D992" s="7"/>
      <c r="E992" s="7"/>
      <c r="F992" s="7"/>
      <c r="G992" s="7"/>
      <c r="H992" s="7"/>
      <c r="I992" s="7"/>
      <c r="K992" s="7"/>
      <c r="L992" s="7"/>
      <c r="M992" s="7"/>
      <c r="N992" s="7"/>
      <c r="O992" s="7"/>
      <c r="P992" s="7"/>
      <c r="Q992" s="7"/>
      <c r="R992" s="7"/>
      <c r="S992" s="7"/>
      <c r="T992" s="7"/>
      <c r="U992" s="7"/>
      <c r="V992" s="7"/>
      <c r="W992" s="7"/>
      <c r="X992" s="7"/>
    </row>
    <row r="993" spans="2:24" ht="35.1" customHeight="1">
      <c r="B993" s="7"/>
      <c r="C993" s="33"/>
      <c r="D993" s="7"/>
      <c r="E993" s="7"/>
      <c r="F993" s="7"/>
      <c r="G993" s="7"/>
      <c r="H993" s="7"/>
      <c r="I993" s="7"/>
      <c r="K993" s="7"/>
      <c r="L993" s="7"/>
      <c r="M993" s="7"/>
      <c r="N993" s="7"/>
      <c r="O993" s="7"/>
      <c r="P993" s="7"/>
      <c r="Q993" s="7"/>
      <c r="R993" s="7"/>
      <c r="S993" s="7"/>
      <c r="T993" s="7"/>
      <c r="U993" s="7"/>
      <c r="V993" s="7"/>
      <c r="W993" s="7"/>
      <c r="X993" s="7"/>
    </row>
    <row r="994" spans="2:24" ht="35.1" customHeight="1">
      <c r="B994" s="7"/>
      <c r="C994" s="33"/>
      <c r="D994" s="7"/>
      <c r="E994" s="7"/>
      <c r="F994" s="7"/>
      <c r="G994" s="7"/>
      <c r="H994" s="7"/>
      <c r="I994" s="7"/>
      <c r="K994" s="7"/>
      <c r="L994" s="7"/>
      <c r="M994" s="7"/>
      <c r="N994" s="7"/>
      <c r="O994" s="7"/>
      <c r="P994" s="7"/>
      <c r="Q994" s="7"/>
      <c r="R994" s="7"/>
      <c r="S994" s="7"/>
      <c r="T994" s="7"/>
      <c r="U994" s="7"/>
      <c r="V994" s="7"/>
      <c r="W994" s="7"/>
      <c r="X994" s="7"/>
    </row>
    <row r="995" spans="2:24" ht="35.1" customHeight="1">
      <c r="B995" s="7"/>
      <c r="C995" s="33"/>
      <c r="D995" s="7"/>
      <c r="E995" s="7"/>
      <c r="F995" s="7"/>
      <c r="G995" s="7"/>
      <c r="H995" s="7"/>
      <c r="I995" s="7"/>
      <c r="K995" s="7"/>
      <c r="L995" s="7"/>
      <c r="M995" s="7"/>
      <c r="N995" s="7"/>
      <c r="O995" s="7"/>
      <c r="P995" s="7"/>
      <c r="Q995" s="7"/>
      <c r="R995" s="7"/>
      <c r="S995" s="7"/>
      <c r="T995" s="7"/>
      <c r="U995" s="7"/>
      <c r="V995" s="7"/>
      <c r="W995" s="7"/>
      <c r="X995" s="7"/>
    </row>
    <row r="996" spans="2:24" ht="35.1" customHeight="1">
      <c r="B996" s="7"/>
      <c r="C996" s="33"/>
      <c r="D996" s="7"/>
      <c r="E996" s="7"/>
      <c r="F996" s="7"/>
      <c r="G996" s="7"/>
      <c r="H996" s="7"/>
      <c r="I996" s="7"/>
      <c r="K996" s="7"/>
      <c r="L996" s="7"/>
      <c r="M996" s="7"/>
      <c r="N996" s="7"/>
      <c r="O996" s="7"/>
      <c r="P996" s="7"/>
      <c r="Q996" s="7"/>
      <c r="R996" s="7"/>
      <c r="S996" s="7"/>
      <c r="T996" s="7"/>
      <c r="U996" s="7"/>
      <c r="V996" s="7"/>
      <c r="W996" s="7"/>
      <c r="X996" s="7"/>
    </row>
    <row r="997" spans="2:24" ht="35.1" customHeight="1">
      <c r="B997" s="7"/>
      <c r="C997" s="33"/>
      <c r="D997" s="7"/>
      <c r="E997" s="7"/>
      <c r="F997" s="7"/>
      <c r="G997" s="7"/>
      <c r="H997" s="7"/>
      <c r="I997" s="7"/>
      <c r="K997" s="7"/>
      <c r="L997" s="7"/>
      <c r="M997" s="7"/>
      <c r="N997" s="7"/>
      <c r="O997" s="7"/>
      <c r="P997" s="7"/>
      <c r="Q997" s="7"/>
      <c r="R997" s="7"/>
      <c r="S997" s="7"/>
      <c r="T997" s="7"/>
      <c r="U997" s="7"/>
      <c r="V997" s="7"/>
      <c r="W997" s="7"/>
      <c r="X997" s="7"/>
    </row>
    <row r="998" spans="2:24" ht="35.1" customHeight="1">
      <c r="B998" s="7"/>
      <c r="C998" s="33"/>
      <c r="D998" s="7"/>
      <c r="E998" s="7"/>
      <c r="F998" s="7"/>
      <c r="G998" s="7"/>
      <c r="H998" s="7"/>
      <c r="I998" s="7"/>
      <c r="K998" s="7"/>
      <c r="L998" s="7"/>
      <c r="M998" s="7"/>
      <c r="N998" s="7"/>
      <c r="O998" s="7"/>
      <c r="P998" s="7"/>
      <c r="Q998" s="7"/>
      <c r="R998" s="7"/>
      <c r="S998" s="7"/>
      <c r="T998" s="7"/>
      <c r="U998" s="7"/>
      <c r="V998" s="7"/>
      <c r="W998" s="7"/>
      <c r="X998" s="7"/>
    </row>
    <row r="999" spans="2:24" ht="35.1" customHeight="1">
      <c r="B999" s="7"/>
      <c r="C999" s="33"/>
      <c r="D999" s="7"/>
      <c r="E999" s="7"/>
      <c r="F999" s="7"/>
      <c r="G999" s="7"/>
      <c r="H999" s="7"/>
      <c r="I999" s="7"/>
      <c r="K999" s="7"/>
      <c r="L999" s="7"/>
      <c r="M999" s="7"/>
      <c r="N999" s="7"/>
      <c r="O999" s="7"/>
      <c r="P999" s="7"/>
      <c r="Q999" s="7"/>
      <c r="R999" s="7"/>
      <c r="S999" s="7"/>
      <c r="T999" s="7"/>
      <c r="U999" s="7"/>
      <c r="V999" s="7"/>
      <c r="W999" s="7"/>
      <c r="X999" s="7"/>
    </row>
    <row r="1000" spans="2:24" ht="35.1" customHeight="1">
      <c r="B1000" s="7"/>
      <c r="C1000" s="33"/>
      <c r="D1000" s="7"/>
      <c r="E1000" s="7"/>
      <c r="F1000" s="7"/>
      <c r="G1000" s="7"/>
      <c r="H1000" s="7"/>
      <c r="I1000" s="7"/>
      <c r="K1000" s="7"/>
      <c r="L1000" s="7"/>
      <c r="M1000" s="7"/>
      <c r="N1000" s="7"/>
      <c r="O1000" s="7"/>
      <c r="P1000" s="7"/>
      <c r="Q1000" s="7"/>
      <c r="R1000" s="7"/>
      <c r="S1000" s="7"/>
      <c r="T1000" s="7"/>
      <c r="U1000" s="7"/>
      <c r="V1000" s="7"/>
      <c r="W1000" s="7"/>
      <c r="X1000" s="7"/>
    </row>
    <row r="1001" spans="2:24" ht="35.1" customHeight="1">
      <c r="B1001" s="7"/>
      <c r="C1001" s="33"/>
      <c r="D1001" s="7"/>
      <c r="E1001" s="7"/>
      <c r="F1001" s="7"/>
      <c r="G1001" s="7"/>
      <c r="H1001" s="7"/>
      <c r="I1001" s="7"/>
      <c r="K1001" s="7"/>
      <c r="L1001" s="7"/>
      <c r="M1001" s="7"/>
      <c r="N1001" s="7"/>
      <c r="O1001" s="7"/>
      <c r="P1001" s="7"/>
      <c r="Q1001" s="7"/>
      <c r="R1001" s="7"/>
      <c r="S1001" s="7"/>
      <c r="T1001" s="7"/>
      <c r="U1001" s="7"/>
      <c r="V1001" s="7"/>
      <c r="W1001" s="7"/>
      <c r="X1001" s="7"/>
    </row>
    <row r="1002" spans="2:24" ht="35.1" customHeight="1">
      <c r="B1002" s="7"/>
      <c r="C1002" s="33"/>
      <c r="D1002" s="7"/>
      <c r="E1002" s="7"/>
      <c r="F1002" s="7"/>
      <c r="G1002" s="7"/>
      <c r="H1002" s="7"/>
      <c r="I1002" s="7"/>
      <c r="K1002" s="7"/>
      <c r="L1002" s="7"/>
      <c r="M1002" s="7"/>
      <c r="N1002" s="7"/>
      <c r="O1002" s="7"/>
      <c r="P1002" s="7"/>
      <c r="Q1002" s="7"/>
      <c r="R1002" s="7"/>
      <c r="S1002" s="7"/>
      <c r="T1002" s="7"/>
      <c r="U1002" s="7"/>
      <c r="V1002" s="7"/>
      <c r="W1002" s="7"/>
      <c r="X1002" s="7"/>
    </row>
    <row r="1003" spans="2:24" ht="35.1" customHeight="1">
      <c r="B1003" s="7"/>
      <c r="C1003" s="33"/>
      <c r="D1003" s="7"/>
      <c r="E1003" s="7"/>
      <c r="F1003" s="7"/>
      <c r="G1003" s="7"/>
      <c r="H1003" s="7"/>
      <c r="I1003" s="7"/>
      <c r="K1003" s="7"/>
      <c r="L1003" s="7"/>
      <c r="M1003" s="7"/>
      <c r="N1003" s="7"/>
      <c r="O1003" s="7"/>
      <c r="P1003" s="7"/>
      <c r="Q1003" s="7"/>
      <c r="R1003" s="7"/>
      <c r="S1003" s="7"/>
      <c r="T1003" s="7"/>
      <c r="U1003" s="7"/>
      <c r="V1003" s="7"/>
      <c r="W1003" s="7"/>
      <c r="X1003" s="7"/>
    </row>
    <row r="1004" spans="2:24" ht="35.1" customHeight="1">
      <c r="B1004" s="7"/>
      <c r="C1004" s="33"/>
      <c r="D1004" s="7"/>
      <c r="E1004" s="7"/>
      <c r="F1004" s="7"/>
      <c r="G1004" s="7"/>
      <c r="H1004" s="7"/>
      <c r="I1004" s="7"/>
      <c r="K1004" s="7"/>
      <c r="L1004" s="7"/>
      <c r="M1004" s="7"/>
      <c r="N1004" s="7"/>
      <c r="O1004" s="7"/>
      <c r="P1004" s="7"/>
      <c r="Q1004" s="7"/>
      <c r="R1004" s="7"/>
      <c r="S1004" s="7"/>
      <c r="T1004" s="7"/>
      <c r="U1004" s="7"/>
      <c r="V1004" s="7"/>
      <c r="W1004" s="7"/>
      <c r="X1004" s="7"/>
    </row>
    <row r="1005" spans="2:24" ht="35.1" customHeight="1">
      <c r="B1005" s="7"/>
      <c r="C1005" s="33"/>
      <c r="D1005" s="7"/>
      <c r="E1005" s="7"/>
      <c r="F1005" s="7"/>
      <c r="G1005" s="7"/>
      <c r="H1005" s="7"/>
      <c r="I1005" s="7"/>
      <c r="K1005" s="7"/>
      <c r="L1005" s="7"/>
      <c r="M1005" s="7"/>
      <c r="N1005" s="7"/>
      <c r="O1005" s="7"/>
      <c r="P1005" s="7"/>
      <c r="Q1005" s="7"/>
      <c r="R1005" s="7"/>
      <c r="S1005" s="7"/>
      <c r="T1005" s="7"/>
      <c r="U1005" s="7"/>
      <c r="V1005" s="7"/>
      <c r="W1005" s="7"/>
      <c r="X1005" s="7"/>
    </row>
    <row r="1006" spans="2:24" ht="35.1" customHeight="1">
      <c r="B1006" s="7"/>
      <c r="C1006" s="33"/>
      <c r="D1006" s="7"/>
      <c r="E1006" s="7"/>
      <c r="F1006" s="7"/>
      <c r="G1006" s="7"/>
      <c r="H1006" s="7"/>
      <c r="I1006" s="7"/>
      <c r="K1006" s="7"/>
      <c r="L1006" s="7"/>
      <c r="M1006" s="7"/>
      <c r="N1006" s="7"/>
      <c r="O1006" s="7"/>
      <c r="P1006" s="7"/>
      <c r="Q1006" s="7"/>
      <c r="R1006" s="7"/>
      <c r="S1006" s="7"/>
      <c r="T1006" s="7"/>
      <c r="U1006" s="7"/>
      <c r="V1006" s="7"/>
      <c r="W1006" s="7"/>
      <c r="X1006" s="7"/>
    </row>
    <row r="1007" spans="2:24" ht="35.1" customHeight="1">
      <c r="B1007" s="7"/>
      <c r="C1007" s="33"/>
      <c r="D1007" s="7"/>
      <c r="E1007" s="7"/>
      <c r="F1007" s="7"/>
      <c r="G1007" s="7"/>
      <c r="H1007" s="7"/>
      <c r="I1007" s="7"/>
      <c r="K1007" s="7"/>
      <c r="L1007" s="7"/>
      <c r="M1007" s="7"/>
      <c r="N1007" s="7"/>
      <c r="O1007" s="7"/>
      <c r="P1007" s="7"/>
      <c r="Q1007" s="7"/>
      <c r="R1007" s="7"/>
      <c r="S1007" s="7"/>
      <c r="T1007" s="7"/>
      <c r="U1007" s="7"/>
      <c r="V1007" s="7"/>
      <c r="W1007" s="7"/>
      <c r="X1007" s="7"/>
    </row>
    <row r="1008" spans="2:24" ht="35.1" customHeight="1">
      <c r="B1008" s="7"/>
      <c r="C1008" s="33"/>
      <c r="D1008" s="7"/>
      <c r="E1008" s="7"/>
      <c r="F1008" s="7"/>
      <c r="G1008" s="7"/>
      <c r="H1008" s="7"/>
      <c r="I1008" s="7"/>
      <c r="K1008" s="7"/>
      <c r="L1008" s="7"/>
      <c r="M1008" s="7"/>
      <c r="N1008" s="7"/>
      <c r="O1008" s="7"/>
      <c r="P1008" s="7"/>
      <c r="Q1008" s="7"/>
      <c r="R1008" s="7"/>
      <c r="S1008" s="7"/>
      <c r="T1008" s="7"/>
      <c r="U1008" s="7"/>
      <c r="V1008" s="7"/>
      <c r="W1008" s="7"/>
      <c r="X1008" s="7"/>
    </row>
    <row r="1009" spans="2:24" ht="35.1" customHeight="1">
      <c r="B1009" s="7"/>
      <c r="C1009" s="33"/>
      <c r="D1009" s="7"/>
      <c r="E1009" s="7"/>
      <c r="F1009" s="7"/>
      <c r="G1009" s="7"/>
      <c r="H1009" s="7"/>
      <c r="I1009" s="7"/>
      <c r="K1009" s="7"/>
      <c r="L1009" s="7"/>
      <c r="M1009" s="7"/>
      <c r="N1009" s="7"/>
      <c r="O1009" s="7"/>
      <c r="P1009" s="7"/>
      <c r="Q1009" s="7"/>
      <c r="R1009" s="7"/>
      <c r="S1009" s="7"/>
      <c r="T1009" s="7"/>
      <c r="U1009" s="7"/>
      <c r="V1009" s="7"/>
      <c r="W1009" s="7"/>
      <c r="X1009" s="7"/>
    </row>
    <row r="1010" spans="2:24" ht="35.1" customHeight="1">
      <c r="B1010" s="7"/>
      <c r="C1010" s="33"/>
      <c r="D1010" s="7"/>
      <c r="E1010" s="7"/>
      <c r="F1010" s="7"/>
      <c r="G1010" s="7"/>
      <c r="H1010" s="7"/>
      <c r="I1010" s="7"/>
      <c r="K1010" s="7"/>
      <c r="L1010" s="7"/>
      <c r="M1010" s="7"/>
      <c r="N1010" s="7"/>
      <c r="O1010" s="7"/>
      <c r="P1010" s="7"/>
      <c r="Q1010" s="7"/>
      <c r="R1010" s="7"/>
      <c r="S1010" s="7"/>
      <c r="T1010" s="7"/>
      <c r="U1010" s="7"/>
      <c r="V1010" s="7"/>
      <c r="W1010" s="7"/>
      <c r="X1010" s="7"/>
    </row>
    <row r="1011" spans="2:24" ht="35.1" customHeight="1">
      <c r="B1011" s="7"/>
      <c r="C1011" s="33"/>
      <c r="D1011" s="7"/>
      <c r="E1011" s="7"/>
      <c r="F1011" s="7"/>
      <c r="G1011" s="7"/>
      <c r="H1011" s="7"/>
      <c r="I1011" s="7"/>
      <c r="K1011" s="7"/>
      <c r="L1011" s="7"/>
      <c r="M1011" s="7"/>
      <c r="N1011" s="7"/>
      <c r="O1011" s="7"/>
      <c r="P1011" s="7"/>
      <c r="Q1011" s="7"/>
      <c r="R1011" s="7"/>
      <c r="S1011" s="7"/>
      <c r="T1011" s="7"/>
      <c r="U1011" s="7"/>
      <c r="V1011" s="7"/>
      <c r="W1011" s="7"/>
      <c r="X1011" s="7"/>
    </row>
    <row r="1012" spans="2:24" ht="35.1" customHeight="1">
      <c r="B1012" s="7"/>
      <c r="C1012" s="33"/>
      <c r="D1012" s="7"/>
      <c r="E1012" s="7"/>
      <c r="F1012" s="7"/>
      <c r="G1012" s="7"/>
      <c r="H1012" s="7"/>
      <c r="I1012" s="7"/>
      <c r="K1012" s="7"/>
      <c r="L1012" s="7"/>
      <c r="M1012" s="7"/>
      <c r="N1012" s="7"/>
      <c r="O1012" s="7"/>
      <c r="P1012" s="7"/>
      <c r="Q1012" s="7"/>
      <c r="R1012" s="7"/>
      <c r="S1012" s="7"/>
      <c r="T1012" s="7"/>
      <c r="U1012" s="7"/>
      <c r="V1012" s="7"/>
      <c r="W1012" s="7"/>
      <c r="X1012" s="7"/>
    </row>
    <row r="1013" spans="2:24" ht="35.1" customHeight="1">
      <c r="B1013" s="7"/>
      <c r="C1013" s="33"/>
      <c r="D1013" s="7"/>
      <c r="E1013" s="7"/>
      <c r="F1013" s="7"/>
      <c r="G1013" s="7"/>
      <c r="H1013" s="7"/>
      <c r="I1013" s="7"/>
      <c r="K1013" s="7"/>
      <c r="L1013" s="7"/>
      <c r="M1013" s="7"/>
      <c r="N1013" s="7"/>
      <c r="O1013" s="7"/>
      <c r="P1013" s="7"/>
      <c r="Q1013" s="7"/>
      <c r="R1013" s="7"/>
      <c r="S1013" s="7"/>
      <c r="T1013" s="7"/>
      <c r="U1013" s="7"/>
      <c r="V1013" s="7"/>
      <c r="W1013" s="7"/>
      <c r="X1013" s="7"/>
    </row>
    <row r="1014" spans="2:24" ht="35.1" customHeight="1">
      <c r="B1014" s="7"/>
      <c r="C1014" s="33"/>
      <c r="D1014" s="7"/>
      <c r="E1014" s="7"/>
      <c r="F1014" s="7"/>
      <c r="G1014" s="7"/>
      <c r="H1014" s="7"/>
      <c r="I1014" s="7"/>
      <c r="K1014" s="7"/>
      <c r="L1014" s="7"/>
      <c r="M1014" s="7"/>
      <c r="N1014" s="7"/>
      <c r="O1014" s="7"/>
      <c r="P1014" s="7"/>
      <c r="Q1014" s="7"/>
      <c r="R1014" s="7"/>
      <c r="S1014" s="7"/>
      <c r="T1014" s="7"/>
      <c r="U1014" s="7"/>
      <c r="V1014" s="7"/>
      <c r="W1014" s="7"/>
      <c r="X1014" s="7"/>
    </row>
    <row r="1015" spans="2:24" ht="35.1" customHeight="1">
      <c r="B1015" s="7"/>
      <c r="C1015" s="33"/>
      <c r="D1015" s="7"/>
      <c r="E1015" s="7"/>
      <c r="F1015" s="7"/>
      <c r="G1015" s="7"/>
      <c r="H1015" s="7"/>
      <c r="I1015" s="7"/>
      <c r="K1015" s="7"/>
      <c r="L1015" s="7"/>
      <c r="M1015" s="7"/>
      <c r="N1015" s="7"/>
      <c r="O1015" s="7"/>
      <c r="P1015" s="7"/>
      <c r="Q1015" s="7"/>
      <c r="R1015" s="7"/>
      <c r="S1015" s="7"/>
      <c r="T1015" s="7"/>
      <c r="U1015" s="7"/>
      <c r="V1015" s="7"/>
      <c r="W1015" s="7"/>
      <c r="X1015" s="7"/>
    </row>
    <row r="1016" spans="2:24" ht="35.1" customHeight="1">
      <c r="B1016" s="7"/>
      <c r="C1016" s="33"/>
      <c r="D1016" s="7"/>
      <c r="E1016" s="7"/>
      <c r="F1016" s="7"/>
      <c r="G1016" s="7"/>
      <c r="H1016" s="7"/>
      <c r="I1016" s="7"/>
      <c r="K1016" s="7"/>
      <c r="L1016" s="7"/>
      <c r="M1016" s="7"/>
      <c r="N1016" s="7"/>
      <c r="O1016" s="7"/>
      <c r="P1016" s="7"/>
      <c r="Q1016" s="7"/>
      <c r="R1016" s="7"/>
      <c r="S1016" s="7"/>
      <c r="T1016" s="7"/>
      <c r="U1016" s="7"/>
      <c r="V1016" s="7"/>
      <c r="W1016" s="7"/>
      <c r="X1016" s="7"/>
    </row>
    <row r="1017" spans="2:24" ht="35.1" customHeight="1">
      <c r="B1017" s="7"/>
      <c r="C1017" s="33"/>
      <c r="D1017" s="7"/>
      <c r="E1017" s="7"/>
      <c r="F1017" s="7"/>
      <c r="G1017" s="7"/>
      <c r="H1017" s="7"/>
      <c r="I1017" s="7"/>
      <c r="K1017" s="7"/>
      <c r="L1017" s="7"/>
      <c r="M1017" s="7"/>
      <c r="N1017" s="7"/>
      <c r="O1017" s="7"/>
      <c r="P1017" s="7"/>
      <c r="Q1017" s="7"/>
      <c r="R1017" s="7"/>
      <c r="S1017" s="7"/>
      <c r="T1017" s="7"/>
      <c r="U1017" s="7"/>
      <c r="V1017" s="7"/>
      <c r="W1017" s="7"/>
      <c r="X1017" s="7"/>
    </row>
    <row r="1018" spans="2:24" ht="35.1" customHeight="1">
      <c r="B1018" s="7"/>
      <c r="C1018" s="33"/>
      <c r="D1018" s="7"/>
      <c r="E1018" s="7"/>
      <c r="F1018" s="7"/>
      <c r="G1018" s="7"/>
      <c r="H1018" s="7"/>
      <c r="I1018" s="7"/>
      <c r="K1018" s="7"/>
      <c r="L1018" s="7"/>
      <c r="M1018" s="7"/>
      <c r="N1018" s="7"/>
      <c r="O1018" s="7"/>
      <c r="P1018" s="7"/>
      <c r="Q1018" s="7"/>
      <c r="R1018" s="7"/>
      <c r="S1018" s="7"/>
      <c r="T1018" s="7"/>
      <c r="U1018" s="7"/>
      <c r="V1018" s="7"/>
      <c r="W1018" s="7"/>
      <c r="X1018" s="7"/>
    </row>
    <row r="1019" spans="2:24" ht="35.1" customHeight="1">
      <c r="B1019" s="7"/>
      <c r="C1019" s="33"/>
      <c r="D1019" s="7"/>
      <c r="E1019" s="7"/>
      <c r="F1019" s="7"/>
      <c r="G1019" s="7"/>
      <c r="H1019" s="7"/>
      <c r="I1019" s="7"/>
      <c r="K1019" s="7"/>
      <c r="L1019" s="7"/>
      <c r="M1019" s="7"/>
      <c r="N1019" s="7"/>
      <c r="O1019" s="7"/>
      <c r="P1019" s="7"/>
      <c r="Q1019" s="7"/>
      <c r="R1019" s="7"/>
      <c r="S1019" s="7"/>
      <c r="T1019" s="7"/>
      <c r="U1019" s="7"/>
      <c r="V1019" s="7"/>
      <c r="W1019" s="7"/>
      <c r="X1019" s="7"/>
    </row>
    <row r="1020" spans="2:24" ht="35.1" customHeight="1">
      <c r="B1020" s="7"/>
      <c r="C1020" s="33"/>
      <c r="D1020" s="7"/>
      <c r="E1020" s="7"/>
      <c r="F1020" s="7"/>
      <c r="G1020" s="7"/>
      <c r="H1020" s="7"/>
      <c r="I1020" s="7"/>
      <c r="K1020" s="7"/>
      <c r="L1020" s="7"/>
      <c r="M1020" s="7"/>
      <c r="N1020" s="7"/>
      <c r="O1020" s="7"/>
      <c r="P1020" s="7"/>
      <c r="Q1020" s="7"/>
      <c r="R1020" s="7"/>
      <c r="S1020" s="7"/>
      <c r="T1020" s="7"/>
      <c r="U1020" s="7"/>
      <c r="V1020" s="7"/>
      <c r="W1020" s="7"/>
      <c r="X1020" s="7"/>
    </row>
    <row r="1021" spans="2:24" ht="35.1" customHeight="1">
      <c r="B1021" s="7"/>
      <c r="C1021" s="33"/>
      <c r="D1021" s="7"/>
      <c r="E1021" s="7"/>
      <c r="F1021" s="7"/>
      <c r="G1021" s="7"/>
      <c r="H1021" s="7"/>
      <c r="I1021" s="7"/>
      <c r="K1021" s="7"/>
      <c r="L1021" s="7"/>
      <c r="M1021" s="7"/>
      <c r="N1021" s="7"/>
      <c r="O1021" s="7"/>
      <c r="P1021" s="7"/>
      <c r="Q1021" s="7"/>
      <c r="R1021" s="7"/>
      <c r="S1021" s="7"/>
      <c r="T1021" s="7"/>
      <c r="U1021" s="7"/>
      <c r="V1021" s="7"/>
      <c r="W1021" s="7"/>
      <c r="X1021" s="7"/>
    </row>
    <row r="1022" spans="2:24" ht="35.1" customHeight="1">
      <c r="B1022" s="7"/>
      <c r="C1022" s="33"/>
      <c r="D1022" s="7"/>
      <c r="E1022" s="7"/>
      <c r="F1022" s="7"/>
      <c r="G1022" s="7"/>
      <c r="H1022" s="7"/>
      <c r="I1022" s="7"/>
      <c r="K1022" s="7"/>
      <c r="L1022" s="7"/>
      <c r="M1022" s="7"/>
      <c r="N1022" s="7"/>
      <c r="O1022" s="7"/>
      <c r="P1022" s="7"/>
      <c r="Q1022" s="7"/>
      <c r="R1022" s="7"/>
      <c r="S1022" s="7"/>
      <c r="T1022" s="7"/>
      <c r="U1022" s="7"/>
      <c r="V1022" s="7"/>
      <c r="W1022" s="7"/>
      <c r="X1022" s="7"/>
    </row>
    <row r="1023" spans="2:24" ht="35.1" customHeight="1">
      <c r="B1023" s="7"/>
      <c r="C1023" s="33"/>
      <c r="D1023" s="7"/>
      <c r="E1023" s="7"/>
      <c r="F1023" s="7"/>
      <c r="G1023" s="7"/>
      <c r="H1023" s="7"/>
      <c r="I1023" s="7"/>
      <c r="K1023" s="7"/>
      <c r="L1023" s="7"/>
      <c r="M1023" s="7"/>
      <c r="N1023" s="7"/>
      <c r="O1023" s="7"/>
      <c r="P1023" s="7"/>
      <c r="Q1023" s="7"/>
      <c r="R1023" s="7"/>
      <c r="S1023" s="7"/>
      <c r="T1023" s="7"/>
      <c r="U1023" s="7"/>
      <c r="V1023" s="7"/>
      <c r="W1023" s="7"/>
      <c r="X1023" s="7"/>
    </row>
    <row r="1024" spans="2:24" ht="35.1" customHeight="1">
      <c r="F1024" s="7"/>
      <c r="G1024" s="7"/>
      <c r="H1024" s="7"/>
      <c r="I1024" s="7"/>
      <c r="K1024" s="7"/>
      <c r="L1024" s="7"/>
      <c r="M1024" s="7"/>
      <c r="N1024" s="7"/>
      <c r="O1024" s="7"/>
      <c r="P1024" s="7"/>
      <c r="Q1024" s="7"/>
      <c r="R1024" s="7"/>
      <c r="S1024" s="7"/>
      <c r="T1024" s="7"/>
      <c r="U1024" s="7"/>
      <c r="V1024" s="7"/>
      <c r="W1024" s="7"/>
      <c r="X1024" s="7"/>
    </row>
  </sheetData>
  <mergeCells count="158">
    <mergeCell ref="A18:D18"/>
    <mergeCell ref="B21:D21"/>
    <mergeCell ref="B20:D20"/>
    <mergeCell ref="B19:D19"/>
    <mergeCell ref="O15:R15"/>
    <mergeCell ref="A16:B16"/>
    <mergeCell ref="C16:F16"/>
    <mergeCell ref="G16:H16"/>
    <mergeCell ref="I16:L16"/>
    <mergeCell ref="M16:N16"/>
    <mergeCell ref="O16:R16"/>
    <mergeCell ref="A15:B15"/>
    <mergeCell ref="C15:F15"/>
    <mergeCell ref="G15:H15"/>
    <mergeCell ref="I15:L15"/>
    <mergeCell ref="M15:N15"/>
    <mergeCell ref="A14:B14"/>
    <mergeCell ref="C14:F14"/>
    <mergeCell ref="G14:H14"/>
    <mergeCell ref="I14:L14"/>
    <mergeCell ref="M14:N14"/>
    <mergeCell ref="O14:R14"/>
    <mergeCell ref="A13:B13"/>
    <mergeCell ref="C13:F13"/>
    <mergeCell ref="G13:H13"/>
    <mergeCell ref="I13:L13"/>
    <mergeCell ref="M13:N13"/>
    <mergeCell ref="A12:B12"/>
    <mergeCell ref="C12:F12"/>
    <mergeCell ref="G12:H12"/>
    <mergeCell ref="I12:L12"/>
    <mergeCell ref="M12:N12"/>
    <mergeCell ref="O12:R12"/>
    <mergeCell ref="A11:B11"/>
    <mergeCell ref="C11:F11"/>
    <mergeCell ref="G11:H11"/>
    <mergeCell ref="I11:L11"/>
    <mergeCell ref="M11:N11"/>
    <mergeCell ref="A1:C1"/>
    <mergeCell ref="A10:F10"/>
    <mergeCell ref="G10:L10"/>
    <mergeCell ref="M10:R10"/>
    <mergeCell ref="E1:I1"/>
    <mergeCell ref="M6:N6"/>
    <mergeCell ref="O6:R6"/>
    <mergeCell ref="M7:N7"/>
    <mergeCell ref="O7:R7"/>
    <mergeCell ref="M8:N8"/>
    <mergeCell ref="O8:R8"/>
    <mergeCell ref="M3:R3"/>
    <mergeCell ref="M4:N4"/>
    <mergeCell ref="O4:R4"/>
    <mergeCell ref="M5:N5"/>
    <mergeCell ref="O5:R5"/>
    <mergeCell ref="G7:H7"/>
    <mergeCell ref="I7:L7"/>
    <mergeCell ref="G8:H8"/>
    <mergeCell ref="I8:L8"/>
    <mergeCell ref="G9:H9"/>
    <mergeCell ref="I9:L9"/>
    <mergeCell ref="I4:L4"/>
    <mergeCell ref="G5:H5"/>
    <mergeCell ref="I5:L5"/>
    <mergeCell ref="G6:H6"/>
    <mergeCell ref="I6:L6"/>
    <mergeCell ref="K45:Q45"/>
    <mergeCell ref="K46:Q46"/>
    <mergeCell ref="K47:Q47"/>
    <mergeCell ref="F42:G42"/>
    <mergeCell ref="F41:G41"/>
    <mergeCell ref="F40:G40"/>
    <mergeCell ref="F39:G39"/>
    <mergeCell ref="F38:G38"/>
    <mergeCell ref="F37:G37"/>
    <mergeCell ref="F36:G36"/>
    <mergeCell ref="F35:G35"/>
    <mergeCell ref="F22:H22"/>
    <mergeCell ref="M9:N9"/>
    <mergeCell ref="O9:R9"/>
    <mergeCell ref="O11:R11"/>
    <mergeCell ref="O13:R13"/>
    <mergeCell ref="F21:H21"/>
    <mergeCell ref="F20:H20"/>
    <mergeCell ref="F19:H19"/>
    <mergeCell ref="F18:M18"/>
    <mergeCell ref="F25:H25"/>
    <mergeCell ref="A29:B29"/>
    <mergeCell ref="C29:D29"/>
    <mergeCell ref="A23:D23"/>
    <mergeCell ref="A24:B24"/>
    <mergeCell ref="C24:D24"/>
    <mergeCell ref="K44:Q44"/>
    <mergeCell ref="K39:Q39"/>
    <mergeCell ref="K38:Q38"/>
    <mergeCell ref="K37:Q37"/>
    <mergeCell ref="K36:Q36"/>
    <mergeCell ref="I32:Q32"/>
    <mergeCell ref="F33:G33"/>
    <mergeCell ref="A25:B25"/>
    <mergeCell ref="F29:H29"/>
    <mergeCell ref="I29:M29"/>
    <mergeCell ref="F30:H30"/>
    <mergeCell ref="I30:M30"/>
    <mergeCell ref="F26:H26"/>
    <mergeCell ref="I26:M26"/>
    <mergeCell ref="F27:H27"/>
    <mergeCell ref="I27:M27"/>
    <mergeCell ref="F28:H28"/>
    <mergeCell ref="I28:M28"/>
    <mergeCell ref="I25:M25"/>
    <mergeCell ref="A9:B9"/>
    <mergeCell ref="K33:Q33"/>
    <mergeCell ref="K41:Q41"/>
    <mergeCell ref="K42:Q42"/>
    <mergeCell ref="K43:Q43"/>
    <mergeCell ref="K35:Q35"/>
    <mergeCell ref="K34:Q34"/>
    <mergeCell ref="A3:F3"/>
    <mergeCell ref="A8:B8"/>
    <mergeCell ref="A7:B7"/>
    <mergeCell ref="A6:B6"/>
    <mergeCell ref="C4:F4"/>
    <mergeCell ref="A5:B5"/>
    <mergeCell ref="A4:B4"/>
    <mergeCell ref="I33:I39"/>
    <mergeCell ref="I41:I47"/>
    <mergeCell ref="D32:G32"/>
    <mergeCell ref="A32:B32"/>
    <mergeCell ref="C9:F9"/>
    <mergeCell ref="C8:F8"/>
    <mergeCell ref="C7:F7"/>
    <mergeCell ref="C6:F6"/>
    <mergeCell ref="C5:F5"/>
    <mergeCell ref="F34:G34"/>
    <mergeCell ref="G3:L3"/>
    <mergeCell ref="G4:H4"/>
    <mergeCell ref="D42:E42"/>
    <mergeCell ref="D41:E41"/>
    <mergeCell ref="D40:E40"/>
    <mergeCell ref="D39:E39"/>
    <mergeCell ref="D38:E38"/>
    <mergeCell ref="D37:E37"/>
    <mergeCell ref="D36:E36"/>
    <mergeCell ref="D35:E35"/>
    <mergeCell ref="D34:E34"/>
    <mergeCell ref="D33:E33"/>
    <mergeCell ref="C25:D25"/>
    <mergeCell ref="A27:D27"/>
    <mergeCell ref="A28:B28"/>
    <mergeCell ref="C28:D28"/>
    <mergeCell ref="I24:M24"/>
    <mergeCell ref="I23:M23"/>
    <mergeCell ref="I22:M22"/>
    <mergeCell ref="I21:M21"/>
    <mergeCell ref="I20:M20"/>
    <mergeCell ref="I19:M19"/>
    <mergeCell ref="F24:H24"/>
    <mergeCell ref="F23:H23"/>
  </mergeCells>
  <pageMargins left="0.7" right="0.7" top="0.75" bottom="0.75" header="0.3" footer="0.3"/>
  <pageSetup scale="43" fitToHeight="0" orientation="landscape"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8"/>
  <sheetViews>
    <sheetView topLeftCell="A16" zoomScaleNormal="100" workbookViewId="0">
      <selection activeCell="P86" sqref="P86"/>
    </sheetView>
  </sheetViews>
  <sheetFormatPr defaultRowHeight="15"/>
  <cols>
    <col min="1" max="1" width="11.85546875" customWidth="1"/>
    <col min="3" max="3" width="20.7109375" customWidth="1"/>
    <col min="5" max="5" width="10.28515625" bestFit="1" customWidth="1"/>
    <col min="7" max="7" width="20.7109375" customWidth="1"/>
    <col min="8" max="8" width="3.7109375" customWidth="1"/>
    <col min="9" max="9" width="10.28515625" bestFit="1" customWidth="1"/>
    <col min="11" max="11" width="20.7109375" customWidth="1"/>
    <col min="13" max="13" width="10.28515625" bestFit="1" customWidth="1"/>
    <col min="15" max="15" width="20.7109375" customWidth="1"/>
    <col min="16" max="16" width="3.7109375" customWidth="1"/>
    <col min="17" max="17" width="10.5703125" customWidth="1"/>
    <col min="19" max="19" width="20.7109375" customWidth="1"/>
    <col min="20" max="20" width="4.28515625" customWidth="1"/>
    <col min="21" max="21" width="10.5703125" customWidth="1"/>
    <col min="23" max="23" width="20.7109375" customWidth="1"/>
  </cols>
  <sheetData>
    <row r="1" spans="1:24" ht="21.75" thickBot="1">
      <c r="A1" s="600" t="s">
        <v>4678</v>
      </c>
      <c r="B1" s="601"/>
      <c r="C1" s="601"/>
      <c r="D1" s="601"/>
      <c r="E1" s="601"/>
      <c r="F1" s="601"/>
      <c r="G1" s="601"/>
      <c r="H1" s="601"/>
      <c r="I1" s="601"/>
      <c r="J1" s="601"/>
      <c r="K1" s="601"/>
      <c r="L1" s="601"/>
      <c r="M1" s="601"/>
      <c r="N1" s="601"/>
      <c r="O1" s="601"/>
      <c r="P1" s="601"/>
      <c r="Q1" s="601"/>
      <c r="R1" s="601"/>
      <c r="S1" s="601"/>
      <c r="T1" s="601"/>
      <c r="U1" s="601"/>
      <c r="V1" s="601"/>
      <c r="W1" s="729"/>
      <c r="X1" s="220"/>
    </row>
    <row r="2" spans="1:24" ht="35.1" customHeight="1">
      <c r="A2" s="746" t="str">
        <f>$C$98</f>
        <v>Vendor is selling wares out of:</v>
      </c>
      <c r="B2" s="747"/>
      <c r="C2" s="748"/>
      <c r="D2" s="433" t="str">
        <f ca="1">INDEX($C$99:$C$138,RANDBETWEEN(1,12))</f>
        <v xml:space="preserve"> A huge sack the merchant has set down on the ground.</v>
      </c>
      <c r="E2" s="433"/>
      <c r="F2" s="433"/>
      <c r="G2" s="434"/>
      <c r="H2" s="188"/>
      <c r="I2" s="746" t="str">
        <f>$C$98</f>
        <v>Vendor is selling wares out of:</v>
      </c>
      <c r="J2" s="747"/>
      <c r="K2" s="748"/>
      <c r="L2" s="433" t="str">
        <f ca="1">INDEX($C$99:$C$138,RANDBETWEEN(1,12))</f>
        <v>A permanent stone stall.</v>
      </c>
      <c r="M2" s="433"/>
      <c r="N2" s="433"/>
      <c r="O2" s="434"/>
      <c r="P2" s="188"/>
      <c r="Q2" s="746" t="str">
        <f>$C$98</f>
        <v>Vendor is selling wares out of:</v>
      </c>
      <c r="R2" s="747"/>
      <c r="S2" s="748"/>
      <c r="T2" s="433" t="str">
        <f ca="1">INDEX($C$99:$C$138,RANDBETWEEN(1,12))</f>
        <v>A handful of crates or chests the vendor has set up.</v>
      </c>
      <c r="U2" s="433"/>
      <c r="V2" s="433"/>
      <c r="W2" s="434"/>
      <c r="X2" s="220"/>
    </row>
    <row r="3" spans="1:24" ht="35.1" customHeight="1">
      <c r="A3" s="739" t="str">
        <f>$D$98</f>
        <v>Vendor Specializes in:</v>
      </c>
      <c r="B3" s="740"/>
      <c r="C3" s="741"/>
      <c r="D3" s="749" t="str">
        <f ca="1">INDEX($D$99:$D$198,RANDBETWEEN(1,100))</f>
        <v>Waterskins and wineskins.</v>
      </c>
      <c r="E3" s="749"/>
      <c r="F3" s="749"/>
      <c r="G3" s="750"/>
      <c r="H3" s="188"/>
      <c r="I3" s="739" t="str">
        <f>$D$98</f>
        <v>Vendor Specializes in:</v>
      </c>
      <c r="J3" s="740"/>
      <c r="K3" s="741"/>
      <c r="L3" s="749" t="str">
        <f ca="1">INDEX($D$99:$D$198,RANDBETWEEN(1,100))</f>
        <v>Axes and hammers.</v>
      </c>
      <c r="M3" s="749"/>
      <c r="N3" s="749"/>
      <c r="O3" s="750"/>
      <c r="P3" s="188"/>
      <c r="Q3" s="739" t="str">
        <f>$D$98</f>
        <v>Vendor Specializes in:</v>
      </c>
      <c r="R3" s="740"/>
      <c r="S3" s="741"/>
      <c r="T3" s="749" t="str">
        <f ca="1">INDEX($D$99:$D$198,RANDBETWEEN(1,100))</f>
        <v>Potted herbs.</v>
      </c>
      <c r="U3" s="749"/>
      <c r="V3" s="749"/>
      <c r="W3" s="750"/>
      <c r="X3" s="220"/>
    </row>
    <row r="4" spans="1:24" ht="35.1" customHeight="1">
      <c r="A4" s="739" t="str">
        <f>$E$98</f>
        <v>Vendor's wares are produced/prepared:</v>
      </c>
      <c r="B4" s="740"/>
      <c r="C4" s="741"/>
      <c r="D4" s="447" t="str">
        <f ca="1">INDEX($E$99:$E$138,RANDBETWEEN(1,8))</f>
        <v>By laborers or crafters working under horrible conditions.</v>
      </c>
      <c r="E4" s="447"/>
      <c r="F4" s="447"/>
      <c r="G4" s="448"/>
      <c r="H4" s="188"/>
      <c r="I4" s="739" t="str">
        <f>$E$98</f>
        <v>Vendor's wares are produced/prepared:</v>
      </c>
      <c r="J4" s="740"/>
      <c r="K4" s="741"/>
      <c r="L4" s="447" t="str">
        <f ca="1">INDEX($E$99:$E$138,RANDBETWEEN(1,8))</f>
        <v>By slaves.</v>
      </c>
      <c r="M4" s="447"/>
      <c r="N4" s="447"/>
      <c r="O4" s="448"/>
      <c r="P4" s="188"/>
      <c r="Q4" s="739" t="str">
        <f>$E$98</f>
        <v>Vendor's wares are produced/prepared:</v>
      </c>
      <c r="R4" s="740"/>
      <c r="S4" s="741"/>
      <c r="T4" s="447" t="str">
        <f ca="1">INDEX($E$99:$E$138,RANDBETWEEN(1,8))</f>
        <v>By skilled laborers or crafters.</v>
      </c>
      <c r="U4" s="447"/>
      <c r="V4" s="447"/>
      <c r="W4" s="448"/>
      <c r="X4" s="220"/>
    </row>
    <row r="5" spans="1:24" ht="35.1" customHeight="1">
      <c r="A5" s="739" t="str">
        <f>$F$98</f>
        <v>The goods are:</v>
      </c>
      <c r="B5" s="740"/>
      <c r="C5" s="741"/>
      <c r="D5" s="447" t="str">
        <f ca="1">INDEX($F$99:$F$138,RANDBETWEEN(1,8))</f>
        <v>Priced for more than they are worth.</v>
      </c>
      <c r="E5" s="447"/>
      <c r="F5" s="447"/>
      <c r="G5" s="448"/>
      <c r="H5" s="188"/>
      <c r="I5" s="739" t="str">
        <f>$F$98</f>
        <v>The goods are:</v>
      </c>
      <c r="J5" s="740"/>
      <c r="K5" s="741"/>
      <c r="L5" s="447" t="str">
        <f ca="1">INDEX($F$99:$F$138,RANDBETWEEN(1,8))</f>
        <v>Of the highest quality and quite expensive.</v>
      </c>
      <c r="M5" s="447"/>
      <c r="N5" s="447"/>
      <c r="O5" s="448"/>
      <c r="P5" s="188"/>
      <c r="Q5" s="739" t="str">
        <f>$F$98</f>
        <v>The goods are:</v>
      </c>
      <c r="R5" s="740"/>
      <c r="S5" s="741"/>
      <c r="T5" s="447" t="str">
        <f ca="1">INDEX($F$99:$F$138,RANDBETWEEN(1,8))</f>
        <v>Cheap but usable, a real bargain.</v>
      </c>
      <c r="U5" s="447"/>
      <c r="V5" s="447"/>
      <c r="W5" s="448"/>
      <c r="X5" s="220"/>
    </row>
    <row r="6" spans="1:24" ht="35.1" customHeight="1">
      <c r="A6" s="739" t="str">
        <f>$G$98</f>
        <v>The vendor is:</v>
      </c>
      <c r="B6" s="740"/>
      <c r="C6" s="741"/>
      <c r="D6" s="447" t="str">
        <f ca="1">INDEX($G$99:$G$138,RANDBETWEEN(1,8))</f>
        <v>A hardy woman.</v>
      </c>
      <c r="E6" s="447"/>
      <c r="F6" s="447"/>
      <c r="G6" s="448"/>
      <c r="H6" s="188"/>
      <c r="I6" s="739" t="str">
        <f>$G$98</f>
        <v>The vendor is:</v>
      </c>
      <c r="J6" s="740"/>
      <c r="K6" s="741"/>
      <c r="L6" s="447" t="str">
        <f ca="1">INDEX($G$99:$G$138,RANDBETWEEN(1,8))</f>
        <v>A plain-faced maid.</v>
      </c>
      <c r="M6" s="447"/>
      <c r="N6" s="447"/>
      <c r="O6" s="448"/>
      <c r="P6" s="188"/>
      <c r="Q6" s="739" t="str">
        <f>$G$98</f>
        <v>The vendor is:</v>
      </c>
      <c r="R6" s="740"/>
      <c r="S6" s="741"/>
      <c r="T6" s="447" t="str">
        <f ca="1">INDEX($G$99:$G$138,RANDBETWEEN(1,8))</f>
        <v>An old man.</v>
      </c>
      <c r="U6" s="447"/>
      <c r="V6" s="447"/>
      <c r="W6" s="448"/>
      <c r="X6" s="220"/>
    </row>
    <row r="7" spans="1:24" ht="35.1" customHeight="1">
      <c r="A7" s="739" t="str">
        <f>$H$98</f>
        <v>The Vendor's Mood is:</v>
      </c>
      <c r="B7" s="740"/>
      <c r="C7" s="741"/>
      <c r="D7" s="447" t="str">
        <f ca="1">INDEX($H$99:$H$138,RANDBETWEEN(1,8))</f>
        <v>Friendly.</v>
      </c>
      <c r="E7" s="447"/>
      <c r="F7" s="447"/>
      <c r="G7" s="448"/>
      <c r="H7" s="188"/>
      <c r="I7" s="739" t="str">
        <f>$H$98</f>
        <v>The Vendor's Mood is:</v>
      </c>
      <c r="J7" s="740"/>
      <c r="K7" s="741"/>
      <c r="L7" s="447" t="str">
        <f ca="1">INDEX($H$99:$H$138,RANDBETWEEN(1,8))</f>
        <v>Cheerful.</v>
      </c>
      <c r="M7" s="447"/>
      <c r="N7" s="447"/>
      <c r="O7" s="448"/>
      <c r="P7" s="188"/>
      <c r="Q7" s="739" t="str">
        <f>$H$98</f>
        <v>The Vendor's Mood is:</v>
      </c>
      <c r="R7" s="740"/>
      <c r="S7" s="741"/>
      <c r="T7" s="447" t="str">
        <f ca="1">INDEX($H$99:$H$138,RANDBETWEEN(1,8))</f>
        <v>Nervous.</v>
      </c>
      <c r="U7" s="447"/>
      <c r="V7" s="447"/>
      <c r="W7" s="448"/>
      <c r="X7" s="220"/>
    </row>
    <row r="8" spans="1:24" ht="35.1" customHeight="1" thickBot="1">
      <c r="A8" s="730" t="str">
        <f>$I$98</f>
        <v>The stall is:</v>
      </c>
      <c r="B8" s="731"/>
      <c r="C8" s="732"/>
      <c r="D8" s="445" t="str">
        <f ca="1">INDEX($I$99:$I$138,RANDBETWEEN(1,4))</f>
        <v>A little slow; the vendor makes a few sales every hour.</v>
      </c>
      <c r="E8" s="445"/>
      <c r="F8" s="445"/>
      <c r="G8" s="446"/>
      <c r="H8" s="188"/>
      <c r="I8" s="730" t="str">
        <f>$I$98</f>
        <v>The stall is:</v>
      </c>
      <c r="J8" s="731"/>
      <c r="K8" s="732"/>
      <c r="L8" s="445" t="str">
        <f ca="1">INDEX($I$99:$I$138,RANDBETWEEN(1,4))</f>
        <v>Very slow; the vendor makes only a few sales a day.</v>
      </c>
      <c r="M8" s="445"/>
      <c r="N8" s="445"/>
      <c r="O8" s="446"/>
      <c r="P8" s="188"/>
      <c r="Q8" s="730" t="str">
        <f>$I$98</f>
        <v>The stall is:</v>
      </c>
      <c r="R8" s="731"/>
      <c r="S8" s="732"/>
      <c r="T8" s="445" t="str">
        <f ca="1">INDEX($I$99:$I$138,RANDBETWEEN(1,4))</f>
        <v>A little slow; the vendor makes a few sales every hour.</v>
      </c>
      <c r="U8" s="445"/>
      <c r="V8" s="445"/>
      <c r="W8" s="446"/>
      <c r="X8" s="220"/>
    </row>
    <row r="9" spans="1:24" ht="15" customHeight="1" thickBot="1">
      <c r="A9" s="189"/>
      <c r="B9" s="188"/>
      <c r="C9" s="188"/>
      <c r="D9" s="188"/>
      <c r="E9" s="188"/>
      <c r="F9" s="188"/>
      <c r="G9" s="188"/>
      <c r="H9" s="188"/>
      <c r="I9" s="188"/>
      <c r="J9" s="188"/>
      <c r="K9" s="188"/>
      <c r="L9" s="188"/>
      <c r="M9" s="188"/>
      <c r="N9" s="188"/>
      <c r="O9" s="188"/>
      <c r="P9" s="188"/>
      <c r="Q9" s="188"/>
      <c r="R9" s="188"/>
      <c r="S9" s="188"/>
      <c r="T9" s="188"/>
      <c r="U9" s="188"/>
      <c r="V9" s="188"/>
      <c r="W9" s="190"/>
      <c r="X9" s="220"/>
    </row>
    <row r="10" spans="1:24" ht="35.1" customHeight="1">
      <c r="A10" s="846" t="str">
        <f>$C$98</f>
        <v>Vendor is selling wares out of:</v>
      </c>
      <c r="B10" s="847"/>
      <c r="C10" s="848"/>
      <c r="D10" s="578" t="str">
        <f ca="1">INDEX($C$99:$C$138,RANDBETWEEN(1,12))</f>
        <v xml:space="preserve"> A one- or two-man tent.</v>
      </c>
      <c r="E10" s="578"/>
      <c r="F10" s="578"/>
      <c r="G10" s="579"/>
      <c r="H10" s="188"/>
      <c r="I10" s="846" t="str">
        <f>$C$98</f>
        <v>Vendor is selling wares out of:</v>
      </c>
      <c r="J10" s="847"/>
      <c r="K10" s="848"/>
      <c r="L10" s="578" t="str">
        <f ca="1">INDEX($C$99:$C$138,RANDBETWEEN(1,12))</f>
        <v xml:space="preserve"> A one- or two-man tent.</v>
      </c>
      <c r="M10" s="578"/>
      <c r="N10" s="578"/>
      <c r="O10" s="579"/>
      <c r="P10" s="188"/>
      <c r="Q10" s="846" t="str">
        <f>$C$98</f>
        <v>Vendor is selling wares out of:</v>
      </c>
      <c r="R10" s="847"/>
      <c r="S10" s="848"/>
      <c r="T10" s="578" t="str">
        <f ca="1">INDEX($C$99:$C$138,RANDBETWEEN(1,12))</f>
        <v>A large rug on which the vendor has laid out the merchandise.</v>
      </c>
      <c r="U10" s="578"/>
      <c r="V10" s="578"/>
      <c r="W10" s="579"/>
      <c r="X10" s="220"/>
    </row>
    <row r="11" spans="1:24" ht="35.1" customHeight="1">
      <c r="A11" s="739" t="str">
        <f>$D$98</f>
        <v>Vendor Specializes in:</v>
      </c>
      <c r="B11" s="740"/>
      <c r="C11" s="741"/>
      <c r="D11" s="749" t="str">
        <f ca="1">INDEX($D$99:$D$198,RANDBETWEEN(1,100))</f>
        <v>Salted pork.</v>
      </c>
      <c r="E11" s="749"/>
      <c r="F11" s="749"/>
      <c r="G11" s="750"/>
      <c r="H11" s="188"/>
      <c r="I11" s="739" t="str">
        <f>$D$98</f>
        <v>Vendor Specializes in:</v>
      </c>
      <c r="J11" s="740"/>
      <c r="K11" s="741"/>
      <c r="L11" s="749" t="str">
        <f ca="1">INDEX($D$99:$D$198,RANDBETWEEN(1,100))</f>
        <v>Tankards and mugs.</v>
      </c>
      <c r="M11" s="749"/>
      <c r="N11" s="749"/>
      <c r="O11" s="750"/>
      <c r="P11" s="188"/>
      <c r="Q11" s="739" t="str">
        <f>$D$98</f>
        <v>Vendor Specializes in:</v>
      </c>
      <c r="R11" s="740"/>
      <c r="S11" s="741"/>
      <c r="T11" s="749" t="str">
        <f ca="1">INDEX($D$99:$D$198,RANDBETWEEN(1,100))</f>
        <v>Used books.</v>
      </c>
      <c r="U11" s="749"/>
      <c r="V11" s="749"/>
      <c r="W11" s="750"/>
      <c r="X11" s="220"/>
    </row>
    <row r="12" spans="1:24" ht="35.1" customHeight="1">
      <c r="A12" s="739" t="str">
        <f>$E$98</f>
        <v>Vendor's wares are produced/prepared:</v>
      </c>
      <c r="B12" s="740"/>
      <c r="C12" s="741"/>
      <c r="D12" s="447" t="str">
        <f ca="1">INDEX($E$99:$E$138,RANDBETWEEN(1,8))</f>
        <v>In a local workshop.</v>
      </c>
      <c r="E12" s="447"/>
      <c r="F12" s="447"/>
      <c r="G12" s="448"/>
      <c r="H12" s="188"/>
      <c r="I12" s="739" t="str">
        <f>$E$98</f>
        <v>Vendor's wares are produced/prepared:</v>
      </c>
      <c r="J12" s="740"/>
      <c r="K12" s="741"/>
      <c r="L12" s="447" t="str">
        <f ca="1">INDEX($E$99:$E$138,RANDBETWEEN(1,8))</f>
        <v>In a foreign land.</v>
      </c>
      <c r="M12" s="447"/>
      <c r="N12" s="447"/>
      <c r="O12" s="448"/>
      <c r="P12" s="188"/>
      <c r="Q12" s="739" t="str">
        <f>$E$98</f>
        <v>Vendor's wares are produced/prepared:</v>
      </c>
      <c r="R12" s="740"/>
      <c r="S12" s="741"/>
      <c r="T12" s="447" t="str">
        <f ca="1">INDEX($E$99:$E$138,RANDBETWEEN(1,8))</f>
        <v>By skilled laborers or crafters.</v>
      </c>
      <c r="U12" s="447"/>
      <c r="V12" s="447"/>
      <c r="W12" s="448"/>
      <c r="X12" s="220"/>
    </row>
    <row r="13" spans="1:24" ht="35.1" customHeight="1">
      <c r="A13" s="739" t="str">
        <f>$F$98</f>
        <v>The goods are:</v>
      </c>
      <c r="B13" s="740"/>
      <c r="C13" s="741"/>
      <c r="D13" s="447" t="str">
        <f ca="1">INDEX($F$99:$F$138,RANDBETWEEN(1,8))</f>
        <v>Possibly stolen.</v>
      </c>
      <c r="E13" s="447"/>
      <c r="F13" s="447"/>
      <c r="G13" s="448"/>
      <c r="H13" s="188"/>
      <c r="I13" s="739" t="str">
        <f>$F$98</f>
        <v>The goods are:</v>
      </c>
      <c r="J13" s="740"/>
      <c r="K13" s="741"/>
      <c r="L13" s="447" t="str">
        <f ca="1">INDEX($F$99:$F$138,RANDBETWEEN(1,8))</f>
        <v>Of mysterious origin.</v>
      </c>
      <c r="M13" s="447"/>
      <c r="N13" s="447"/>
      <c r="O13" s="448"/>
      <c r="P13" s="188"/>
      <c r="Q13" s="739" t="str">
        <f>$F$98</f>
        <v>The goods are:</v>
      </c>
      <c r="R13" s="740"/>
      <c r="S13" s="741"/>
      <c r="T13" s="447" t="str">
        <f ca="1">INDEX($F$99:$F$138,RANDBETWEEN(1,8))</f>
        <v>Of the highest quality and quite expensive.</v>
      </c>
      <c r="U13" s="447"/>
      <c r="V13" s="447"/>
      <c r="W13" s="448"/>
      <c r="X13" s="220"/>
    </row>
    <row r="14" spans="1:24" ht="35.1" customHeight="1">
      <c r="A14" s="739" t="str">
        <f>$G$98</f>
        <v>The vendor is:</v>
      </c>
      <c r="B14" s="740"/>
      <c r="C14" s="741"/>
      <c r="D14" s="447" t="str">
        <f ca="1">INDEX($G$99:$G$138,RANDBETWEEN(1,8))</f>
        <v>A fat man.</v>
      </c>
      <c r="E14" s="447"/>
      <c r="F14" s="447"/>
      <c r="G14" s="448"/>
      <c r="H14" s="188"/>
      <c r="I14" s="739" t="str">
        <f>$G$98</f>
        <v>The vendor is:</v>
      </c>
      <c r="J14" s="740"/>
      <c r="K14" s="741"/>
      <c r="L14" s="447" t="str">
        <f ca="1">INDEX($G$99:$G$138,RANDBETWEEN(1,8))</f>
        <v>A large woman.</v>
      </c>
      <c r="M14" s="447"/>
      <c r="N14" s="447"/>
      <c r="O14" s="448"/>
      <c r="P14" s="188"/>
      <c r="Q14" s="739" t="str">
        <f>$G$98</f>
        <v>The vendor is:</v>
      </c>
      <c r="R14" s="740"/>
      <c r="S14" s="741"/>
      <c r="T14" s="447" t="str">
        <f ca="1">INDEX($G$99:$G$138,RANDBETWEEN(1,8))</f>
        <v>A hardy woman.</v>
      </c>
      <c r="U14" s="447"/>
      <c r="V14" s="447"/>
      <c r="W14" s="448"/>
      <c r="X14" s="220"/>
    </row>
    <row r="15" spans="1:24" ht="35.1" customHeight="1">
      <c r="A15" s="739" t="str">
        <f>$H$98</f>
        <v>The Vendor's Mood is:</v>
      </c>
      <c r="B15" s="740"/>
      <c r="C15" s="741"/>
      <c r="D15" s="447" t="str">
        <f ca="1">INDEX($H$99:$H$138,RANDBETWEEN(1,8))</f>
        <v>Frightened.</v>
      </c>
      <c r="E15" s="447"/>
      <c r="F15" s="447"/>
      <c r="G15" s="448"/>
      <c r="H15" s="188"/>
      <c r="I15" s="739" t="str">
        <f>$H$98</f>
        <v>The Vendor's Mood is:</v>
      </c>
      <c r="J15" s="740"/>
      <c r="K15" s="741"/>
      <c r="L15" s="447" t="str">
        <f ca="1">INDEX($H$99:$H$138,RANDBETWEEN(1,8))</f>
        <v>Frightened.</v>
      </c>
      <c r="M15" s="447"/>
      <c r="N15" s="447"/>
      <c r="O15" s="448"/>
      <c r="P15" s="188"/>
      <c r="Q15" s="739" t="str">
        <f>$H$98</f>
        <v>The Vendor's Mood is:</v>
      </c>
      <c r="R15" s="740"/>
      <c r="S15" s="741"/>
      <c r="T15" s="447" t="str">
        <f ca="1">INDEX($H$99:$H$138,RANDBETWEEN(1,8))</f>
        <v>Surly.</v>
      </c>
      <c r="U15" s="447"/>
      <c r="V15" s="447"/>
      <c r="W15" s="448"/>
      <c r="X15" s="220"/>
    </row>
    <row r="16" spans="1:24" ht="35.1" customHeight="1" thickBot="1">
      <c r="A16" s="730" t="str">
        <f>$I$98</f>
        <v>The stall is:</v>
      </c>
      <c r="B16" s="731"/>
      <c r="C16" s="732"/>
      <c r="D16" s="445" t="str">
        <f ca="1">INDEX($I$99:$I$138,RANDBETWEEN(1,4))</f>
        <v>Reasonably busy; the vendor makes a sale every few minutes.</v>
      </c>
      <c r="E16" s="445"/>
      <c r="F16" s="445"/>
      <c r="G16" s="446"/>
      <c r="H16" s="188"/>
      <c r="I16" s="730" t="str">
        <f>$I$98</f>
        <v>The stall is:</v>
      </c>
      <c r="J16" s="731"/>
      <c r="K16" s="732"/>
      <c r="L16" s="445" t="str">
        <f ca="1">INDEX($I$99:$I$138,RANDBETWEEN(1,4))</f>
        <v>Reasonably busy; the vendor makes a sale every few minutes.</v>
      </c>
      <c r="M16" s="445"/>
      <c r="N16" s="445"/>
      <c r="O16" s="446"/>
      <c r="P16" s="188"/>
      <c r="Q16" s="730" t="str">
        <f>$I$98</f>
        <v>The stall is:</v>
      </c>
      <c r="R16" s="731"/>
      <c r="S16" s="732"/>
      <c r="T16" s="445" t="str">
        <f ca="1">INDEX($I$99:$I$138,RANDBETWEEN(1,4))</f>
        <v>Very slow; the vendor makes only a few sales a day.</v>
      </c>
      <c r="U16" s="445"/>
      <c r="V16" s="445"/>
      <c r="W16" s="446"/>
      <c r="X16" s="220"/>
    </row>
    <row r="17" spans="1:24" ht="15" customHeight="1" thickBot="1">
      <c r="A17" s="189"/>
      <c r="B17" s="188"/>
      <c r="C17" s="188"/>
      <c r="D17" s="188"/>
      <c r="E17" s="188"/>
      <c r="F17" s="188"/>
      <c r="G17" s="188"/>
      <c r="H17" s="188"/>
      <c r="I17" s="188"/>
      <c r="J17" s="188"/>
      <c r="K17" s="188"/>
      <c r="L17" s="188"/>
      <c r="M17" s="188"/>
      <c r="N17" s="188"/>
      <c r="O17" s="188"/>
      <c r="P17" s="188"/>
      <c r="Q17" s="188"/>
      <c r="R17" s="188"/>
      <c r="S17" s="188"/>
      <c r="T17" s="188"/>
      <c r="U17" s="188"/>
      <c r="V17" s="188"/>
      <c r="W17" s="190"/>
      <c r="X17" s="220"/>
    </row>
    <row r="18" spans="1:24" ht="35.1" customHeight="1">
      <c r="A18" s="846" t="str">
        <f>$C$98</f>
        <v>Vendor is selling wares out of:</v>
      </c>
      <c r="B18" s="847"/>
      <c r="C18" s="848"/>
      <c r="D18" s="578" t="str">
        <f ca="1">INDEX($C$99:$C$138,RANDBETWEEN(1,12))</f>
        <v>A sizable, horse- or ox-drawn wagon.</v>
      </c>
      <c r="E18" s="578"/>
      <c r="F18" s="578"/>
      <c r="G18" s="579"/>
      <c r="H18" s="188"/>
      <c r="I18" s="846" t="str">
        <f>$C$98</f>
        <v>Vendor is selling wares out of:</v>
      </c>
      <c r="J18" s="847"/>
      <c r="K18" s="848"/>
      <c r="L18" s="578" t="str">
        <f ca="1">INDEX($C$99:$C$138,RANDBETWEEN(1,12))</f>
        <v xml:space="preserve"> A myriad of pockets in the vendor's clothes or a hidden demiplane.</v>
      </c>
      <c r="M18" s="578"/>
      <c r="N18" s="578"/>
      <c r="O18" s="579"/>
      <c r="P18" s="188"/>
      <c r="Q18" s="846" t="str">
        <f>$C$98</f>
        <v>Vendor is selling wares out of:</v>
      </c>
      <c r="R18" s="847"/>
      <c r="S18" s="848"/>
      <c r="T18" s="578" t="str">
        <f ca="1">INDEX($C$99:$C$138,RANDBETWEEN(1,12))</f>
        <v>A permanent stone stall.</v>
      </c>
      <c r="U18" s="578"/>
      <c r="V18" s="578"/>
      <c r="W18" s="579"/>
      <c r="X18" s="220"/>
    </row>
    <row r="19" spans="1:24" ht="35.1" customHeight="1">
      <c r="A19" s="739" t="str">
        <f>$D$98</f>
        <v>Vendor Specializes in:</v>
      </c>
      <c r="B19" s="740"/>
      <c r="C19" s="741"/>
      <c r="D19" s="749" t="str">
        <f ca="1">INDEX($D$99:$D$198,RANDBETWEEN(1,100))</f>
        <v>Woven baskets.</v>
      </c>
      <c r="E19" s="749"/>
      <c r="F19" s="749"/>
      <c r="G19" s="750"/>
      <c r="H19" s="188"/>
      <c r="I19" s="739" t="str">
        <f>$D$98</f>
        <v>Vendor Specializes in:</v>
      </c>
      <c r="J19" s="740"/>
      <c r="K19" s="741"/>
      <c r="L19" s="749" t="str">
        <f ca="1">INDEX($D$99:$D$198,RANDBETWEEN(1,100))</f>
        <v>Rats and pigeons.</v>
      </c>
      <c r="M19" s="749"/>
      <c r="N19" s="749"/>
      <c r="O19" s="750"/>
      <c r="P19" s="188"/>
      <c r="Q19" s="739" t="str">
        <f>$D$98</f>
        <v>Vendor Specializes in:</v>
      </c>
      <c r="R19" s="740"/>
      <c r="S19" s="741"/>
      <c r="T19" s="749" t="str">
        <f ca="1">INDEX($D$99:$D$198,RANDBETWEEN(1,100))</f>
        <v>Rough-cut gems.</v>
      </c>
      <c r="U19" s="749"/>
      <c r="V19" s="749"/>
      <c r="W19" s="750"/>
      <c r="X19" s="220"/>
    </row>
    <row r="20" spans="1:24" ht="35.1" customHeight="1">
      <c r="A20" s="739" t="str">
        <f>$E$98</f>
        <v>Vendor's wares are produced/prepared:</v>
      </c>
      <c r="B20" s="740"/>
      <c r="C20" s="741"/>
      <c r="D20" s="447" t="str">
        <f ca="1">INDEX($E$99:$E$138,RANDBETWEEN(1,8))</f>
        <v>By slaves.</v>
      </c>
      <c r="E20" s="447"/>
      <c r="F20" s="447"/>
      <c r="G20" s="448"/>
      <c r="H20" s="188"/>
      <c r="I20" s="739" t="str">
        <f>$E$98</f>
        <v>Vendor's wares are produced/prepared:</v>
      </c>
      <c r="J20" s="740"/>
      <c r="K20" s="741"/>
      <c r="L20" s="447" t="str">
        <f ca="1">INDEX($E$99:$E$138,RANDBETWEEN(1,8))</f>
        <v>By laborers or crafters working under horrible conditions.</v>
      </c>
      <c r="M20" s="447"/>
      <c r="N20" s="447"/>
      <c r="O20" s="448"/>
      <c r="P20" s="188"/>
      <c r="Q20" s="739" t="str">
        <f>$E$98</f>
        <v>Vendor's wares are produced/prepared:</v>
      </c>
      <c r="R20" s="740"/>
      <c r="S20" s="741"/>
      <c r="T20" s="447" t="str">
        <f ca="1">INDEX($E$99:$E$138,RANDBETWEEN(1,8))</f>
        <v>By laborers or crafters working under horrible conditions.</v>
      </c>
      <c r="U20" s="447"/>
      <c r="V20" s="447"/>
      <c r="W20" s="448"/>
      <c r="X20" s="220"/>
    </row>
    <row r="21" spans="1:24" ht="35.1" customHeight="1">
      <c r="A21" s="739" t="str">
        <f>$F$98</f>
        <v>The goods are:</v>
      </c>
      <c r="B21" s="740"/>
      <c r="C21" s="741"/>
      <c r="D21" s="447" t="str">
        <f ca="1">INDEX($F$99:$F$138,RANDBETWEEN(1,8))</f>
        <v>Possibly stolen.</v>
      </c>
      <c r="E21" s="447"/>
      <c r="F21" s="447"/>
      <c r="G21" s="448"/>
      <c r="H21" s="188"/>
      <c r="I21" s="739" t="str">
        <f>$F$98</f>
        <v>The goods are:</v>
      </c>
      <c r="J21" s="740"/>
      <c r="K21" s="741"/>
      <c r="L21" s="447" t="str">
        <f ca="1">INDEX($F$99:$F$138,RANDBETWEEN(1,8))</f>
        <v>A mixed bag of low-quality and high-quality stuff.</v>
      </c>
      <c r="M21" s="447"/>
      <c r="N21" s="447"/>
      <c r="O21" s="448"/>
      <c r="P21" s="188"/>
      <c r="Q21" s="739" t="str">
        <f>$F$98</f>
        <v>The goods are:</v>
      </c>
      <c r="R21" s="740"/>
      <c r="S21" s="741"/>
      <c r="T21" s="447" t="str">
        <f ca="1">INDEX($F$99:$F$138,RANDBETWEEN(1,8))</f>
        <v>Of decent quality and fairly priced.</v>
      </c>
      <c r="U21" s="447"/>
      <c r="V21" s="447"/>
      <c r="W21" s="448"/>
      <c r="X21" s="220"/>
    </row>
    <row r="22" spans="1:24" ht="35.1" customHeight="1">
      <c r="A22" s="739" t="str">
        <f>$G$98</f>
        <v>The vendor is:</v>
      </c>
      <c r="B22" s="740"/>
      <c r="C22" s="741"/>
      <c r="D22" s="447" t="str">
        <f ca="1">INDEX($G$99:$G$138,RANDBETWEEN(1,8))</f>
        <v>A plain-faced maid.</v>
      </c>
      <c r="E22" s="447"/>
      <c r="F22" s="447"/>
      <c r="G22" s="448"/>
      <c r="H22" s="188"/>
      <c r="I22" s="739" t="str">
        <f>$G$98</f>
        <v>The vendor is:</v>
      </c>
      <c r="J22" s="740"/>
      <c r="K22" s="741"/>
      <c r="L22" s="447" t="str">
        <f ca="1">INDEX($G$99:$G$138,RANDBETWEEN(1,8))</f>
        <v>A fat man.</v>
      </c>
      <c r="M22" s="447"/>
      <c r="N22" s="447"/>
      <c r="O22" s="448"/>
      <c r="P22" s="188"/>
      <c r="Q22" s="739" t="str">
        <f>$G$98</f>
        <v>The vendor is:</v>
      </c>
      <c r="R22" s="740"/>
      <c r="S22" s="741"/>
      <c r="T22" s="447" t="str">
        <f ca="1">INDEX($G$99:$G$138,RANDBETWEEN(1,8))</f>
        <v>An odd foreigner.</v>
      </c>
      <c r="U22" s="447"/>
      <c r="V22" s="447"/>
      <c r="W22" s="448"/>
      <c r="X22" s="220"/>
    </row>
    <row r="23" spans="1:24" ht="35.1" customHeight="1">
      <c r="A23" s="739" t="str">
        <f>$H$98</f>
        <v>The Vendor's Mood is:</v>
      </c>
      <c r="B23" s="740"/>
      <c r="C23" s="741"/>
      <c r="D23" s="447" t="str">
        <f ca="1">INDEX($H$99:$H$138,RANDBETWEEN(1,8))</f>
        <v>Suspicious.</v>
      </c>
      <c r="E23" s="447"/>
      <c r="F23" s="447"/>
      <c r="G23" s="448"/>
      <c r="H23" s="188"/>
      <c r="I23" s="739" t="str">
        <f>$H$98</f>
        <v>The Vendor's Mood is:</v>
      </c>
      <c r="J23" s="740"/>
      <c r="K23" s="741"/>
      <c r="L23" s="447" t="str">
        <f ca="1">INDEX($H$99:$H$138,RANDBETWEEN(1,8))</f>
        <v>Nervous.</v>
      </c>
      <c r="M23" s="447"/>
      <c r="N23" s="447"/>
      <c r="O23" s="448"/>
      <c r="P23" s="188"/>
      <c r="Q23" s="739" t="str">
        <f>$H$98</f>
        <v>The Vendor's Mood is:</v>
      </c>
      <c r="R23" s="740"/>
      <c r="S23" s="741"/>
      <c r="T23" s="447" t="str">
        <f ca="1">INDEX($H$99:$H$138,RANDBETWEEN(1,8))</f>
        <v>Cheerful.</v>
      </c>
      <c r="U23" s="447"/>
      <c r="V23" s="447"/>
      <c r="W23" s="448"/>
      <c r="X23" s="220"/>
    </row>
    <row r="24" spans="1:24" ht="35.1" customHeight="1" thickBot="1">
      <c r="A24" s="730" t="str">
        <f>$I$98</f>
        <v>The stall is:</v>
      </c>
      <c r="B24" s="731"/>
      <c r="C24" s="732"/>
      <c r="D24" s="445" t="str">
        <f ca="1">INDEX($I$99:$I$138,RANDBETWEEN(1,4))</f>
        <v>A little slow; the vendor makes a few sales every hour.</v>
      </c>
      <c r="E24" s="445"/>
      <c r="F24" s="445"/>
      <c r="G24" s="446"/>
      <c r="H24" s="188"/>
      <c r="I24" s="730" t="str">
        <f>$I$98</f>
        <v>The stall is:</v>
      </c>
      <c r="J24" s="731"/>
      <c r="K24" s="732"/>
      <c r="L24" s="445" t="str">
        <f ca="1">INDEX($I$99:$I$138,RANDBETWEEN(1,4))</f>
        <v>Very slow; the vendor makes only a few sales a day.</v>
      </c>
      <c r="M24" s="445"/>
      <c r="N24" s="445"/>
      <c r="O24" s="446"/>
      <c r="P24" s="188"/>
      <c r="Q24" s="730" t="str">
        <f>$I$98</f>
        <v>The stall is:</v>
      </c>
      <c r="R24" s="731"/>
      <c r="S24" s="732"/>
      <c r="T24" s="445" t="str">
        <f ca="1">INDEX($I$99:$I$138,RANDBETWEEN(1,4))</f>
        <v>Reasonably busy; the vendor makes a sale every few minutes.</v>
      </c>
      <c r="U24" s="445"/>
      <c r="V24" s="445"/>
      <c r="W24" s="446"/>
      <c r="X24" s="220"/>
    </row>
    <row r="25" spans="1:24" ht="15" customHeight="1" thickBot="1">
      <c r="A25" s="189"/>
      <c r="B25" s="188"/>
      <c r="C25" s="188"/>
      <c r="D25" s="188"/>
      <c r="E25" s="188"/>
      <c r="F25" s="188"/>
      <c r="G25" s="188"/>
      <c r="H25" s="188"/>
      <c r="I25" s="188"/>
      <c r="J25" s="188"/>
      <c r="K25" s="188"/>
      <c r="L25" s="188"/>
      <c r="M25" s="188"/>
      <c r="N25" s="188"/>
      <c r="O25" s="188"/>
      <c r="P25" s="188"/>
      <c r="Q25" s="188"/>
      <c r="R25" s="188"/>
      <c r="S25" s="188"/>
      <c r="T25" s="188"/>
      <c r="U25" s="188"/>
      <c r="V25" s="188"/>
      <c r="W25" s="190"/>
      <c r="X25" s="220"/>
    </row>
    <row r="26" spans="1:24" ht="35.1" customHeight="1">
      <c r="A26" s="846" t="str">
        <f>$C$98</f>
        <v>Vendor is selling wares out of:</v>
      </c>
      <c r="B26" s="847"/>
      <c r="C26" s="848"/>
      <c r="D26" s="578" t="str">
        <f ca="1">INDEX($C$99:$C$138,RANDBETWEEN(1,12))</f>
        <v>A sizable, horse- or ox-drawn wagon.</v>
      </c>
      <c r="E26" s="578"/>
      <c r="F26" s="578"/>
      <c r="G26" s="579"/>
      <c r="H26" s="188"/>
      <c r="I26" s="846" t="str">
        <f>$C$98</f>
        <v>Vendor is selling wares out of:</v>
      </c>
      <c r="J26" s="847"/>
      <c r="K26" s="848"/>
      <c r="L26" s="578" t="str">
        <f ca="1">INDEX($C$99:$C$138,RANDBETWEEN(1,12))</f>
        <v>A handful of crates or chests the vendor has set up.</v>
      </c>
      <c r="M26" s="578"/>
      <c r="N26" s="578"/>
      <c r="O26" s="579"/>
      <c r="P26" s="188"/>
      <c r="Q26" s="846" t="str">
        <f>$C$98</f>
        <v>Vendor is selling wares out of:</v>
      </c>
      <c r="R26" s="847"/>
      <c r="S26" s="848"/>
      <c r="T26" s="578" t="str">
        <f ca="1">INDEX($C$99:$C$138,RANDBETWEEN(1,12))</f>
        <v>A permanent stone stall.</v>
      </c>
      <c r="U26" s="578"/>
      <c r="V26" s="578"/>
      <c r="W26" s="579"/>
      <c r="X26" s="220"/>
    </row>
    <row r="27" spans="1:24" ht="35.1" customHeight="1">
      <c r="A27" s="739" t="str">
        <f>$D$98</f>
        <v>Vendor Specializes in:</v>
      </c>
      <c r="B27" s="740"/>
      <c r="C27" s="741"/>
      <c r="D27" s="749" t="str">
        <f ca="1">INDEX($D$99:$D$198,RANDBETWEEN(1,100))</f>
        <v>Pears and plums.</v>
      </c>
      <c r="E27" s="749"/>
      <c r="F27" s="749"/>
      <c r="G27" s="750"/>
      <c r="H27" s="188"/>
      <c r="I27" s="739" t="str">
        <f>$D$98</f>
        <v>Vendor Specializes in:</v>
      </c>
      <c r="J27" s="740"/>
      <c r="K27" s="741"/>
      <c r="L27" s="749" t="str">
        <f ca="1">INDEX($D$99:$D$198,RANDBETWEEN(1,100))</f>
        <v>Dried fish.</v>
      </c>
      <c r="M27" s="749"/>
      <c r="N27" s="749"/>
      <c r="O27" s="750"/>
      <c r="P27" s="188"/>
      <c r="Q27" s="739" t="str">
        <f>$D$98</f>
        <v>Vendor Specializes in:</v>
      </c>
      <c r="R27" s="740"/>
      <c r="S27" s="741"/>
      <c r="T27" s="749" t="str">
        <f ca="1">INDEX($D$99:$D$198,RANDBETWEEN(1,100))</f>
        <v>Turnips.</v>
      </c>
      <c r="U27" s="749"/>
      <c r="V27" s="749"/>
      <c r="W27" s="750"/>
      <c r="X27" s="220"/>
    </row>
    <row r="28" spans="1:24" ht="35.1" customHeight="1">
      <c r="A28" s="739" t="str">
        <f>$E$98</f>
        <v>Vendor's wares are produced/prepared:</v>
      </c>
      <c r="B28" s="740"/>
      <c r="C28" s="741"/>
      <c r="D28" s="447" t="str">
        <f ca="1">INDEX($E$99:$E$138,RANDBETWEEN(1,8))</f>
        <v>In a foreign land.</v>
      </c>
      <c r="E28" s="447"/>
      <c r="F28" s="447"/>
      <c r="G28" s="448"/>
      <c r="H28" s="188"/>
      <c r="I28" s="739" t="str">
        <f>$E$98</f>
        <v>Vendor's wares are produced/prepared:</v>
      </c>
      <c r="J28" s="740"/>
      <c r="K28" s="741"/>
      <c r="L28" s="447" t="str">
        <f ca="1">INDEX($E$99:$E$138,RANDBETWEEN(1,8))</f>
        <v>By the vendor him- or herself.</v>
      </c>
      <c r="M28" s="447"/>
      <c r="N28" s="447"/>
      <c r="O28" s="448"/>
      <c r="P28" s="188"/>
      <c r="Q28" s="739" t="str">
        <f>$E$98</f>
        <v>Vendor's wares are produced/prepared:</v>
      </c>
      <c r="R28" s="740"/>
      <c r="S28" s="741"/>
      <c r="T28" s="447" t="str">
        <f ca="1">INDEX($E$99:$E$138,RANDBETWEEN(1,8))</f>
        <v>By laborers or crafters working under horrible conditions.</v>
      </c>
      <c r="U28" s="447"/>
      <c r="V28" s="447"/>
      <c r="W28" s="448"/>
      <c r="X28" s="220"/>
    </row>
    <row r="29" spans="1:24" ht="35.1" customHeight="1">
      <c r="A29" s="739" t="str">
        <f>$F$98</f>
        <v>The goods are:</v>
      </c>
      <c r="B29" s="740"/>
      <c r="C29" s="741"/>
      <c r="D29" s="447" t="str">
        <f ca="1">INDEX($F$99:$F$138,RANDBETWEEN(1,8))</f>
        <v>A mixed bag of low-quality and high-quality stuff.</v>
      </c>
      <c r="E29" s="447"/>
      <c r="F29" s="447"/>
      <c r="G29" s="448"/>
      <c r="H29" s="188"/>
      <c r="I29" s="739" t="str">
        <f>$F$98</f>
        <v>The goods are:</v>
      </c>
      <c r="J29" s="740"/>
      <c r="K29" s="741"/>
      <c r="L29" s="447" t="str">
        <f ca="1">INDEX($F$99:$F$138,RANDBETWEEN(1,8))</f>
        <v>Of decent quality and fairly priced.</v>
      </c>
      <c r="M29" s="447"/>
      <c r="N29" s="447"/>
      <c r="O29" s="448"/>
      <c r="P29" s="188"/>
      <c r="Q29" s="739" t="str">
        <f>$F$98</f>
        <v>The goods are:</v>
      </c>
      <c r="R29" s="740"/>
      <c r="S29" s="741"/>
      <c r="T29" s="447" t="str">
        <f ca="1">INDEX($F$99:$F$138,RANDBETWEEN(1,8))</f>
        <v>Cheap but usable, a real bargain.</v>
      </c>
      <c r="U29" s="447"/>
      <c r="V29" s="447"/>
      <c r="W29" s="448"/>
      <c r="X29" s="220"/>
    </row>
    <row r="30" spans="1:24" ht="35.1" customHeight="1">
      <c r="A30" s="739" t="str">
        <f>$G$98</f>
        <v>The vendor is:</v>
      </c>
      <c r="B30" s="740"/>
      <c r="C30" s="741"/>
      <c r="D30" s="447" t="str">
        <f ca="1">INDEX($G$99:$G$138,RANDBETWEEN(1,8))</f>
        <v>A scrawny man.</v>
      </c>
      <c r="E30" s="447"/>
      <c r="F30" s="447"/>
      <c r="G30" s="448"/>
      <c r="H30" s="188"/>
      <c r="I30" s="739" t="str">
        <f>$G$98</f>
        <v>The vendor is:</v>
      </c>
      <c r="J30" s="740"/>
      <c r="K30" s="741"/>
      <c r="L30" s="447" t="str">
        <f ca="1">INDEX($G$99:$G$138,RANDBETWEEN(1,8))</f>
        <v>A fat man.</v>
      </c>
      <c r="M30" s="447"/>
      <c r="N30" s="447"/>
      <c r="O30" s="448"/>
      <c r="P30" s="188"/>
      <c r="Q30" s="739" t="str">
        <f>$G$98</f>
        <v>The vendor is:</v>
      </c>
      <c r="R30" s="740"/>
      <c r="S30" s="741"/>
      <c r="T30" s="447" t="str">
        <f ca="1">INDEX($G$99:$G$138,RANDBETWEEN(1,8))</f>
        <v>An odd foreigner.</v>
      </c>
      <c r="U30" s="447"/>
      <c r="V30" s="447"/>
      <c r="W30" s="448"/>
      <c r="X30" s="220"/>
    </row>
    <row r="31" spans="1:24" ht="35.1" customHeight="1">
      <c r="A31" s="739" t="str">
        <f>$H$98</f>
        <v>The Vendor's Mood is:</v>
      </c>
      <c r="B31" s="740"/>
      <c r="C31" s="741"/>
      <c r="D31" s="447" t="str">
        <f ca="1">INDEX($H$99:$H$138,RANDBETWEEN(1,8))</f>
        <v>Friendly.</v>
      </c>
      <c r="E31" s="447"/>
      <c r="F31" s="447"/>
      <c r="G31" s="448"/>
      <c r="H31" s="188"/>
      <c r="I31" s="739" t="str">
        <f>$H$98</f>
        <v>The Vendor's Mood is:</v>
      </c>
      <c r="J31" s="740"/>
      <c r="K31" s="741"/>
      <c r="L31" s="447" t="str">
        <f ca="1">INDEX($H$99:$H$138,RANDBETWEEN(1,8))</f>
        <v>Friendly.</v>
      </c>
      <c r="M31" s="447"/>
      <c r="N31" s="447"/>
      <c r="O31" s="448"/>
      <c r="P31" s="188"/>
      <c r="Q31" s="739" t="str">
        <f>$H$98</f>
        <v>The Vendor's Mood is:</v>
      </c>
      <c r="R31" s="740"/>
      <c r="S31" s="741"/>
      <c r="T31" s="447" t="str">
        <f ca="1">INDEX($H$99:$H$138,RANDBETWEEN(1,8))</f>
        <v>Alert.</v>
      </c>
      <c r="U31" s="447"/>
      <c r="V31" s="447"/>
      <c r="W31" s="448"/>
      <c r="X31" s="220"/>
    </row>
    <row r="32" spans="1:24" ht="35.1" customHeight="1" thickBot="1">
      <c r="A32" s="730" t="str">
        <f>$I$98</f>
        <v>The stall is:</v>
      </c>
      <c r="B32" s="731"/>
      <c r="C32" s="732"/>
      <c r="D32" s="445" t="str">
        <f ca="1">INDEX($I$99:$I$138,RANDBETWEEN(1,4))</f>
        <v>Very slow; the vendor makes only a few sales a day.</v>
      </c>
      <c r="E32" s="445"/>
      <c r="F32" s="445"/>
      <c r="G32" s="446"/>
      <c r="H32" s="188"/>
      <c r="I32" s="730" t="str">
        <f>$I$98</f>
        <v>The stall is:</v>
      </c>
      <c r="J32" s="731"/>
      <c r="K32" s="732"/>
      <c r="L32" s="445" t="str">
        <f ca="1">INDEX($I$99:$I$138,RANDBETWEEN(1,4))</f>
        <v>Very busy; customers are waiting in line to make purchases.</v>
      </c>
      <c r="M32" s="445"/>
      <c r="N32" s="445"/>
      <c r="O32" s="446"/>
      <c r="P32" s="188"/>
      <c r="Q32" s="730" t="str">
        <f>$I$98</f>
        <v>The stall is:</v>
      </c>
      <c r="R32" s="731"/>
      <c r="S32" s="732"/>
      <c r="T32" s="445" t="str">
        <f ca="1">INDEX($I$99:$I$138,RANDBETWEEN(1,4))</f>
        <v>A little slow; the vendor makes a few sales every hour.</v>
      </c>
      <c r="U32" s="445"/>
      <c r="V32" s="445"/>
      <c r="W32" s="446"/>
      <c r="X32" s="220"/>
    </row>
    <row r="33" spans="1:24" ht="15" customHeight="1" thickBot="1">
      <c r="A33" s="189"/>
      <c r="B33" s="188"/>
      <c r="C33" s="188"/>
      <c r="D33" s="188"/>
      <c r="E33" s="188"/>
      <c r="F33" s="188"/>
      <c r="G33" s="188"/>
      <c r="H33" s="188"/>
      <c r="I33" s="188"/>
      <c r="J33" s="188"/>
      <c r="K33" s="188"/>
      <c r="L33" s="188"/>
      <c r="M33" s="188"/>
      <c r="N33" s="188"/>
      <c r="O33" s="188"/>
      <c r="P33" s="188"/>
      <c r="Q33" s="188"/>
      <c r="R33" s="188"/>
      <c r="S33" s="188"/>
      <c r="T33" s="188"/>
      <c r="U33" s="188"/>
      <c r="V33" s="188"/>
      <c r="W33" s="190"/>
      <c r="X33" s="220"/>
    </row>
    <row r="34" spans="1:24" ht="35.1" customHeight="1">
      <c r="A34" s="846" t="str">
        <f>$C$98</f>
        <v>Vendor is selling wares out of:</v>
      </c>
      <c r="B34" s="847"/>
      <c r="C34" s="848"/>
      <c r="D34" s="578" t="str">
        <f ca="1">INDEX($C$99:$C$138,RANDBETWEEN(1,12))</f>
        <v>A semi-permanent wooden stall.</v>
      </c>
      <c r="E34" s="578"/>
      <c r="F34" s="578"/>
      <c r="G34" s="579"/>
      <c r="H34" s="188"/>
      <c r="I34" s="846" t="str">
        <f>$C$98</f>
        <v>Vendor is selling wares out of:</v>
      </c>
      <c r="J34" s="847"/>
      <c r="K34" s="848"/>
      <c r="L34" s="578" t="str">
        <f ca="1">INDEX($C$99:$C$138,RANDBETWEEN(1,12))</f>
        <v>A flimsy wooden booth.</v>
      </c>
      <c r="M34" s="578"/>
      <c r="N34" s="578"/>
      <c r="O34" s="579"/>
      <c r="P34" s="188"/>
      <c r="Q34" s="846" t="str">
        <f>$C$98</f>
        <v>Vendor is selling wares out of:</v>
      </c>
      <c r="R34" s="847"/>
      <c r="S34" s="848"/>
      <c r="T34" s="578" t="str">
        <f ca="1">INDEX($C$99:$C$138,RANDBETWEEN(1,12))</f>
        <v>A semi-permanent wooden stall.</v>
      </c>
      <c r="U34" s="578"/>
      <c r="V34" s="578"/>
      <c r="W34" s="579"/>
      <c r="X34" s="220"/>
    </row>
    <row r="35" spans="1:24" ht="35.1" customHeight="1">
      <c r="A35" s="739" t="str">
        <f>$D$98</f>
        <v>Vendor Specializes in:</v>
      </c>
      <c r="B35" s="740"/>
      <c r="C35" s="741"/>
      <c r="D35" s="749" t="str">
        <f ca="1">INDEX($D$99:$D$198,RANDBETWEEN(1,100))</f>
        <v>Young horses and ponies.</v>
      </c>
      <c r="E35" s="749"/>
      <c r="F35" s="749"/>
      <c r="G35" s="750"/>
      <c r="H35" s="188"/>
      <c r="I35" s="739" t="str">
        <f>$D$98</f>
        <v>Vendor Specializes in:</v>
      </c>
      <c r="J35" s="740"/>
      <c r="K35" s="741"/>
      <c r="L35" s="749" t="str">
        <f ca="1">INDEX($D$99:$D$198,RANDBETWEEN(1,100))</f>
        <v>Woven baskets.</v>
      </c>
      <c r="M35" s="749"/>
      <c r="N35" s="749"/>
      <c r="O35" s="750"/>
      <c r="P35" s="188"/>
      <c r="Q35" s="739" t="str">
        <f>$D$98</f>
        <v>Vendor Specializes in:</v>
      </c>
      <c r="R35" s="740"/>
      <c r="S35" s="741"/>
      <c r="T35" s="749" t="str">
        <f ca="1">INDEX($D$99:$D$198,RANDBETWEEN(1,100))</f>
        <v>Potted herbs.</v>
      </c>
      <c r="U35" s="749"/>
      <c r="V35" s="749"/>
      <c r="W35" s="750"/>
      <c r="X35" s="220"/>
    </row>
    <row r="36" spans="1:24" ht="35.1" customHeight="1">
      <c r="A36" s="739" t="str">
        <f>$E$98</f>
        <v>Vendor's wares are produced/prepared:</v>
      </c>
      <c r="B36" s="740"/>
      <c r="C36" s="741"/>
      <c r="D36" s="447" t="str">
        <f ca="1">INDEX($E$99:$E$138,RANDBETWEEN(1,8))</f>
        <v>In a distant city or region known for goods of this type.</v>
      </c>
      <c r="E36" s="447"/>
      <c r="F36" s="447"/>
      <c r="G36" s="448"/>
      <c r="H36" s="188"/>
      <c r="I36" s="739" t="str">
        <f>$E$98</f>
        <v>Vendor's wares are produced/prepared:</v>
      </c>
      <c r="J36" s="740"/>
      <c r="K36" s="741"/>
      <c r="L36" s="447" t="str">
        <f ca="1">INDEX($E$99:$E$138,RANDBETWEEN(1,8))</f>
        <v>By slaves.</v>
      </c>
      <c r="M36" s="447"/>
      <c r="N36" s="447"/>
      <c r="O36" s="448"/>
      <c r="P36" s="188"/>
      <c r="Q36" s="739" t="str">
        <f>$E$98</f>
        <v>Vendor's wares are produced/prepared:</v>
      </c>
      <c r="R36" s="740"/>
      <c r="S36" s="741"/>
      <c r="T36" s="447" t="str">
        <f ca="1">INDEX($E$99:$E$138,RANDBETWEEN(1,8))</f>
        <v>By slaves.</v>
      </c>
      <c r="U36" s="447"/>
      <c r="V36" s="447"/>
      <c r="W36" s="448"/>
      <c r="X36" s="220"/>
    </row>
    <row r="37" spans="1:24" ht="35.1" customHeight="1">
      <c r="A37" s="739" t="str">
        <f>$F$98</f>
        <v>The goods are:</v>
      </c>
      <c r="B37" s="740"/>
      <c r="C37" s="741"/>
      <c r="D37" s="447" t="str">
        <f ca="1">INDEX($F$99:$F$138,RANDBETWEEN(1,8))</f>
        <v>Of the highest quality and quite expensive.</v>
      </c>
      <c r="E37" s="447"/>
      <c r="F37" s="447"/>
      <c r="G37" s="448"/>
      <c r="H37" s="188"/>
      <c r="I37" s="739" t="str">
        <f>$F$98</f>
        <v>The goods are:</v>
      </c>
      <c r="J37" s="740"/>
      <c r="K37" s="741"/>
      <c r="L37" s="447" t="str">
        <f ca="1">INDEX($F$99:$F$138,RANDBETWEEN(1,8))</f>
        <v>Of the highest quality and quite expensive.</v>
      </c>
      <c r="M37" s="447"/>
      <c r="N37" s="447"/>
      <c r="O37" s="448"/>
      <c r="P37" s="188"/>
      <c r="Q37" s="739" t="str">
        <f>$F$98</f>
        <v>The goods are:</v>
      </c>
      <c r="R37" s="740"/>
      <c r="S37" s="741"/>
      <c r="T37" s="447" t="str">
        <f ca="1">INDEX($F$99:$F$138,RANDBETWEEN(1,8))</f>
        <v>A mixed bag of low-quality and high-quality stuff.</v>
      </c>
      <c r="U37" s="447"/>
      <c r="V37" s="447"/>
      <c r="W37" s="448"/>
      <c r="X37" s="220"/>
    </row>
    <row r="38" spans="1:24" ht="35.1" customHeight="1">
      <c r="A38" s="739" t="str">
        <f>$G$98</f>
        <v>The vendor is:</v>
      </c>
      <c r="B38" s="740"/>
      <c r="C38" s="741"/>
      <c r="D38" s="447" t="str">
        <f ca="1">INDEX($G$99:$G$138,RANDBETWEEN(1,8))</f>
        <v>An old woman.</v>
      </c>
      <c r="E38" s="447"/>
      <c r="F38" s="447"/>
      <c r="G38" s="448"/>
      <c r="H38" s="188"/>
      <c r="I38" s="739" t="str">
        <f>$G$98</f>
        <v>The vendor is:</v>
      </c>
      <c r="J38" s="740"/>
      <c r="K38" s="741"/>
      <c r="L38" s="447" t="str">
        <f ca="1">INDEX($G$99:$G$138,RANDBETWEEN(1,8))</f>
        <v>A hardy woman.</v>
      </c>
      <c r="M38" s="447"/>
      <c r="N38" s="447"/>
      <c r="O38" s="448"/>
      <c r="P38" s="188"/>
      <c r="Q38" s="739" t="str">
        <f>$G$98</f>
        <v>The vendor is:</v>
      </c>
      <c r="R38" s="740"/>
      <c r="S38" s="741"/>
      <c r="T38" s="447" t="str">
        <f ca="1">INDEX($G$99:$G$138,RANDBETWEEN(1,8))</f>
        <v>An odd foreigner.</v>
      </c>
      <c r="U38" s="447"/>
      <c r="V38" s="447"/>
      <c r="W38" s="448"/>
      <c r="X38" s="220"/>
    </row>
    <row r="39" spans="1:24" ht="35.1" customHeight="1">
      <c r="A39" s="739" t="str">
        <f>$H$98</f>
        <v>The Vendor's Mood is:</v>
      </c>
      <c r="B39" s="740"/>
      <c r="C39" s="741"/>
      <c r="D39" s="447" t="str">
        <f ca="1">INDEX($H$99:$H$138,RANDBETWEEN(1,8))</f>
        <v>Sleepy.</v>
      </c>
      <c r="E39" s="447"/>
      <c r="F39" s="447"/>
      <c r="G39" s="448"/>
      <c r="H39" s="188"/>
      <c r="I39" s="739" t="str">
        <f>$H$98</f>
        <v>The Vendor's Mood is:</v>
      </c>
      <c r="J39" s="740"/>
      <c r="K39" s="741"/>
      <c r="L39" s="447" t="str">
        <f ca="1">INDEX($H$99:$H$138,RANDBETWEEN(1,8))</f>
        <v>Surly.</v>
      </c>
      <c r="M39" s="447"/>
      <c r="N39" s="447"/>
      <c r="O39" s="448"/>
      <c r="P39" s="188"/>
      <c r="Q39" s="739" t="str">
        <f>$H$98</f>
        <v>The Vendor's Mood is:</v>
      </c>
      <c r="R39" s="740"/>
      <c r="S39" s="741"/>
      <c r="T39" s="447" t="str">
        <f ca="1">INDEX($H$99:$H$138,RANDBETWEEN(1,8))</f>
        <v>Suspicious.</v>
      </c>
      <c r="U39" s="447"/>
      <c r="V39" s="447"/>
      <c r="W39" s="448"/>
      <c r="X39" s="220"/>
    </row>
    <row r="40" spans="1:24" ht="35.1" customHeight="1" thickBot="1">
      <c r="A40" s="730" t="str">
        <f>$I$98</f>
        <v>The stall is:</v>
      </c>
      <c r="B40" s="731"/>
      <c r="C40" s="732"/>
      <c r="D40" s="445" t="str">
        <f ca="1">INDEX($I$99:$I$138,RANDBETWEEN(1,4))</f>
        <v>Very busy; customers are waiting in line to make purchases.</v>
      </c>
      <c r="E40" s="445"/>
      <c r="F40" s="445"/>
      <c r="G40" s="446"/>
      <c r="H40" s="188"/>
      <c r="I40" s="730" t="str">
        <f>$I$98</f>
        <v>The stall is:</v>
      </c>
      <c r="J40" s="731"/>
      <c r="K40" s="732"/>
      <c r="L40" s="445" t="str">
        <f ca="1">INDEX($I$99:$I$138,RANDBETWEEN(1,4))</f>
        <v>Reasonably busy; the vendor makes a sale every few minutes.</v>
      </c>
      <c r="M40" s="445"/>
      <c r="N40" s="445"/>
      <c r="O40" s="446"/>
      <c r="P40" s="188"/>
      <c r="Q40" s="730" t="str">
        <f>$I$98</f>
        <v>The stall is:</v>
      </c>
      <c r="R40" s="731"/>
      <c r="S40" s="732"/>
      <c r="T40" s="445" t="str">
        <f ca="1">INDEX($I$99:$I$138,RANDBETWEEN(1,4))</f>
        <v>Reasonably busy; the vendor makes a sale every few minutes.</v>
      </c>
      <c r="U40" s="445"/>
      <c r="V40" s="445"/>
      <c r="W40" s="446"/>
      <c r="X40" s="220"/>
    </row>
    <row r="41" spans="1:24" ht="15" customHeight="1" thickBot="1">
      <c r="A41" s="189"/>
      <c r="B41" s="188"/>
      <c r="C41" s="188"/>
      <c r="D41" s="188"/>
      <c r="E41" s="188"/>
      <c r="F41" s="188"/>
      <c r="G41" s="188"/>
      <c r="H41" s="188"/>
      <c r="I41" s="188"/>
      <c r="J41" s="188"/>
      <c r="K41" s="188"/>
      <c r="L41" s="188"/>
      <c r="M41" s="188"/>
      <c r="N41" s="188"/>
      <c r="O41" s="188"/>
      <c r="P41" s="188"/>
      <c r="Q41" s="188"/>
      <c r="R41" s="188"/>
      <c r="S41" s="188"/>
      <c r="T41" s="188"/>
      <c r="U41" s="188"/>
      <c r="V41" s="188"/>
      <c r="W41" s="190"/>
      <c r="X41" s="220"/>
    </row>
    <row r="42" spans="1:24" ht="21.75" thickBot="1">
      <c r="A42" s="600" t="s">
        <v>4677</v>
      </c>
      <c r="B42" s="601"/>
      <c r="C42" s="601"/>
      <c r="D42" s="601"/>
      <c r="E42" s="601"/>
      <c r="F42" s="601"/>
      <c r="G42" s="601"/>
      <c r="H42" s="601"/>
      <c r="I42" s="601"/>
      <c r="J42" s="601"/>
      <c r="K42" s="601"/>
      <c r="L42" s="601"/>
      <c r="M42" s="601"/>
      <c r="N42" s="601"/>
      <c r="O42" s="601"/>
      <c r="P42" s="601"/>
      <c r="Q42" s="601"/>
      <c r="R42" s="601"/>
      <c r="S42" s="601"/>
      <c r="T42" s="601"/>
      <c r="U42" s="601"/>
      <c r="V42" s="601"/>
      <c r="W42" s="729"/>
      <c r="X42" s="220"/>
    </row>
    <row r="43" spans="1:24" ht="35.1" customHeight="1">
      <c r="A43" s="742" t="str">
        <f>$N$98</f>
        <v>This shop sells:</v>
      </c>
      <c r="B43" s="743"/>
      <c r="C43" s="743"/>
      <c r="D43" s="744" t="str">
        <f ca="1">INDEX($N$99:$N$148,RANDBETWEEN(1,50))</f>
        <v xml:space="preserve"> Fruits and vegetables</v>
      </c>
      <c r="E43" s="744"/>
      <c r="F43" s="744"/>
      <c r="G43" s="745"/>
      <c r="H43" s="188"/>
      <c r="I43" s="569" t="str">
        <f>$N$98</f>
        <v>This shop sells:</v>
      </c>
      <c r="J43" s="570"/>
      <c r="K43" s="570"/>
      <c r="L43" s="744" t="str">
        <f ca="1">INDEX($N$99:$N$148,RANDBETWEEN(1,50))</f>
        <v xml:space="preserve"> Magical Supplies</v>
      </c>
      <c r="M43" s="744"/>
      <c r="N43" s="744"/>
      <c r="O43" s="745"/>
      <c r="P43" s="188"/>
      <c r="Q43" s="569" t="str">
        <f>$N$98</f>
        <v>This shop sells:</v>
      </c>
      <c r="R43" s="570"/>
      <c r="S43" s="570"/>
      <c r="T43" s="744" t="str">
        <f ca="1">INDEX($N$99:$N$148,RANDBETWEEN(1,50))</f>
        <v xml:space="preserve"> Magical creatures</v>
      </c>
      <c r="U43" s="744"/>
      <c r="V43" s="744"/>
      <c r="W43" s="745"/>
      <c r="X43" s="220"/>
    </row>
    <row r="44" spans="1:24" ht="35.1" customHeight="1">
      <c r="A44" s="737" t="str">
        <f>$O$98</f>
        <v>The shop is:</v>
      </c>
      <c r="B44" s="738"/>
      <c r="C44" s="738"/>
      <c r="D44" s="727" t="str">
        <f ca="1">INDEX($O$99:$O$148,RANDBETWEEN(1,10))</f>
        <v>A wagon pulled by a horse or ox team</v>
      </c>
      <c r="E44" s="727"/>
      <c r="F44" s="727"/>
      <c r="G44" s="728"/>
      <c r="H44" s="188"/>
      <c r="I44" s="411" t="str">
        <f>$O$98</f>
        <v>The shop is:</v>
      </c>
      <c r="J44" s="412"/>
      <c r="K44" s="412"/>
      <c r="L44" s="727" t="str">
        <f ca="1">INDEX($O$99:$O$148,RANDBETWEEN(1,10))</f>
        <v>In an open bazaar on a rug</v>
      </c>
      <c r="M44" s="727"/>
      <c r="N44" s="727"/>
      <c r="O44" s="728"/>
      <c r="P44" s="188"/>
      <c r="Q44" s="411" t="str">
        <f>$O$98</f>
        <v>The shop is:</v>
      </c>
      <c r="R44" s="412"/>
      <c r="S44" s="412"/>
      <c r="T44" s="727" t="str">
        <f ca="1">INDEX($O$99:$O$148,RANDBETWEEN(1,10))</f>
        <v>In a stall in a bazaar</v>
      </c>
      <c r="U44" s="727"/>
      <c r="V44" s="727"/>
      <c r="W44" s="728"/>
      <c r="X44" s="220"/>
    </row>
    <row r="45" spans="1:24" ht="35.1" customHeight="1">
      <c r="A45" s="737" t="str">
        <f>$P$98</f>
        <v>The shop owner is:</v>
      </c>
      <c r="B45" s="738"/>
      <c r="C45" s="738"/>
      <c r="D45" s="727" t="str">
        <f ca="1">INDEX($P$99:$P$148,RANDBETWEEN(1,12))</f>
        <v>A farmer's wife</v>
      </c>
      <c r="E45" s="727"/>
      <c r="F45" s="727"/>
      <c r="G45" s="728"/>
      <c r="H45" s="188"/>
      <c r="I45" s="411" t="str">
        <f>$P$98</f>
        <v>The shop owner is:</v>
      </c>
      <c r="J45" s="412"/>
      <c r="K45" s="412"/>
      <c r="L45" s="727" t="str">
        <f ca="1">INDEX($P$99:$P$148,RANDBETWEEN(1,12))</f>
        <v xml:space="preserve"> An oppressive brute</v>
      </c>
      <c r="M45" s="727"/>
      <c r="N45" s="727"/>
      <c r="O45" s="728"/>
      <c r="P45" s="188"/>
      <c r="Q45" s="411" t="str">
        <f>$P$98</f>
        <v>The shop owner is:</v>
      </c>
      <c r="R45" s="412"/>
      <c r="S45" s="412"/>
      <c r="T45" s="727" t="str">
        <f ca="1">INDEX($P$99:$P$148,RANDBETWEEN(1,12))</f>
        <v xml:space="preserve"> A lazy half-orc</v>
      </c>
      <c r="U45" s="727"/>
      <c r="V45" s="727"/>
      <c r="W45" s="728"/>
      <c r="X45" s="220"/>
    </row>
    <row r="46" spans="1:24" ht="35.1" customHeight="1">
      <c r="A46" s="737" t="str">
        <f>$Q$98</f>
        <v>The shop condition is:</v>
      </c>
      <c r="B46" s="738"/>
      <c r="C46" s="738"/>
      <c r="D46" s="727" t="str">
        <f ca="1">INDEX($Q$99:$Q$148,RANDBETWEEN(1,6))</f>
        <v>Average. A little dusty</v>
      </c>
      <c r="E46" s="727"/>
      <c r="F46" s="727"/>
      <c r="G46" s="728"/>
      <c r="H46" s="188"/>
      <c r="I46" s="411" t="str">
        <f>$Q$98</f>
        <v>The shop condition is:</v>
      </c>
      <c r="J46" s="412"/>
      <c r="K46" s="412"/>
      <c r="L46" s="727" t="str">
        <f ca="1">INDEX($Q$99:$Q$148,RANDBETWEEN(1,6))</f>
        <v>Dark. There is no natural light. Only a candle or two light the shop</v>
      </c>
      <c r="M46" s="727"/>
      <c r="N46" s="727"/>
      <c r="O46" s="728"/>
      <c r="P46" s="188"/>
      <c r="Q46" s="411" t="str">
        <f>$Q$98</f>
        <v>The shop condition is:</v>
      </c>
      <c r="R46" s="412"/>
      <c r="S46" s="412"/>
      <c r="T46" s="727" t="str">
        <f ca="1">INDEX($Q$99:$Q$148,RANDBETWEEN(1,6))</f>
        <v>Well maintained. It is cleaned regularly</v>
      </c>
      <c r="U46" s="727"/>
      <c r="V46" s="727"/>
      <c r="W46" s="728"/>
      <c r="X46" s="220"/>
    </row>
    <row r="47" spans="1:24" ht="35.1" customHeight="1">
      <c r="A47" s="737" t="str">
        <f>$R$98</f>
        <v>The merchandise condition is:</v>
      </c>
      <c r="B47" s="738"/>
      <c r="C47" s="738"/>
      <c r="D47" s="727" t="str">
        <f ca="1">INDEX($R$99:$R$148,RANDBETWEEN(1,6))</f>
        <v>Mixed. Some items look new, while some look like they have been there a long time</v>
      </c>
      <c r="E47" s="727"/>
      <c r="F47" s="727"/>
      <c r="G47" s="728"/>
      <c r="H47" s="188"/>
      <c r="I47" s="411" t="str">
        <f>$R$98</f>
        <v>The merchandise condition is:</v>
      </c>
      <c r="J47" s="412"/>
      <c r="K47" s="412"/>
      <c r="L47" s="727" t="str">
        <f ca="1">INDEX($R$99:$R$148,RANDBETWEEN(1,6))</f>
        <v>Pristine. Kept in the best possible condition</v>
      </c>
      <c r="M47" s="727"/>
      <c r="N47" s="727"/>
      <c r="O47" s="728"/>
      <c r="P47" s="188"/>
      <c r="Q47" s="411" t="str">
        <f>$R$98</f>
        <v>The merchandise condition is:</v>
      </c>
      <c r="R47" s="412"/>
      <c r="S47" s="412"/>
      <c r="T47" s="727" t="str">
        <f ca="1">INDEX($R$99:$R$148,RANDBETWEEN(1,6))</f>
        <v>Mixed. Some items look new, while some look like they have been there a long time</v>
      </c>
      <c r="U47" s="727"/>
      <c r="V47" s="727"/>
      <c r="W47" s="728"/>
      <c r="X47" s="220"/>
    </row>
    <row r="48" spans="1:24" ht="35.1" customHeight="1">
      <c r="A48" s="737" t="str">
        <f>$S$98</f>
        <v>The supplies come from:</v>
      </c>
      <c r="B48" s="738"/>
      <c r="C48" s="738"/>
      <c r="D48" s="727" t="str">
        <f ca="1">INDEX($S$99:$S$148,RANDBETWEEN(1,6))</f>
        <v>They are purchased from other people in town and resold</v>
      </c>
      <c r="E48" s="727"/>
      <c r="F48" s="727"/>
      <c r="G48" s="728"/>
      <c r="H48" s="188"/>
      <c r="I48" s="411" t="str">
        <f>$S$98</f>
        <v>The supplies come from:</v>
      </c>
      <c r="J48" s="412"/>
      <c r="K48" s="412"/>
      <c r="L48" s="727" t="str">
        <f ca="1">INDEX($S$99:$S$148,RANDBETWEEN(1,6))</f>
        <v>No one knows, and no one asks</v>
      </c>
      <c r="M48" s="727"/>
      <c r="N48" s="727"/>
      <c r="O48" s="728"/>
      <c r="P48" s="188"/>
      <c r="Q48" s="411" t="str">
        <f>$S$98</f>
        <v>The supplies come from:</v>
      </c>
      <c r="R48" s="412"/>
      <c r="S48" s="412"/>
      <c r="T48" s="727" t="str">
        <f ca="1">INDEX($S$99:$S$148,RANDBETWEEN(1,6))</f>
        <v>They are crafted or attained by the merchant's apprentices</v>
      </c>
      <c r="U48" s="727"/>
      <c r="V48" s="727"/>
      <c r="W48" s="728"/>
      <c r="X48" s="220"/>
    </row>
    <row r="49" spans="1:24" ht="35.1" customHeight="1">
      <c r="A49" s="737" t="str">
        <f>$T$98</f>
        <v>The items are priced:</v>
      </c>
      <c r="B49" s="738"/>
      <c r="C49" s="738"/>
      <c r="D49" s="727" t="str">
        <f ca="1">INDEX($T$99:$T$148,RANDBETWEEN(1,8))</f>
        <v>Based on how much the merchant thinks the customer needs it.</v>
      </c>
      <c r="E49" s="727"/>
      <c r="F49" s="727"/>
      <c r="G49" s="728"/>
      <c r="H49" s="188"/>
      <c r="I49" s="411" t="str">
        <f>$T$98</f>
        <v>The items are priced:</v>
      </c>
      <c r="J49" s="412"/>
      <c r="K49" s="412"/>
      <c r="L49" s="727" t="str">
        <f ca="1">INDEX($T$99:$T$148,RANDBETWEEN(1,8))</f>
        <v>Above value</v>
      </c>
      <c r="M49" s="727"/>
      <c r="N49" s="727"/>
      <c r="O49" s="728"/>
      <c r="P49" s="188"/>
      <c r="Q49" s="411" t="str">
        <f>$T$98</f>
        <v>The items are priced:</v>
      </c>
      <c r="R49" s="412"/>
      <c r="S49" s="412"/>
      <c r="T49" s="727" t="str">
        <f ca="1">INDEX($T$99:$T$148,RANDBETWEEN(1,8))</f>
        <v>Based on how much the merchant thinks the customer needs it.</v>
      </c>
      <c r="U49" s="727"/>
      <c r="V49" s="727"/>
      <c r="W49" s="728"/>
      <c r="X49" s="220"/>
    </row>
    <row r="50" spans="1:24" ht="35.1" customHeight="1">
      <c r="A50" s="737" t="str">
        <f>$U$98</f>
        <v>The shop size is:</v>
      </c>
      <c r="B50" s="738"/>
      <c r="C50" s="738"/>
      <c r="D50" s="727" t="str">
        <f ca="1">INDEX($U$99:$U$148,RANDBETWEEN(1,5))</f>
        <v>Average. One room big enough to hold what is needed</v>
      </c>
      <c r="E50" s="727"/>
      <c r="F50" s="727"/>
      <c r="G50" s="728"/>
      <c r="H50" s="188"/>
      <c r="I50" s="411" t="str">
        <f>$U$98</f>
        <v>The shop size is:</v>
      </c>
      <c r="J50" s="412"/>
      <c r="K50" s="412"/>
      <c r="L50" s="727" t="str">
        <f ca="1">INDEX($U$99:$U$148,RANDBETWEEN(1,5))</f>
        <v>Large. One big room</v>
      </c>
      <c r="M50" s="727"/>
      <c r="N50" s="727"/>
      <c r="O50" s="728"/>
      <c r="P50" s="188"/>
      <c r="Q50" s="411" t="str">
        <f>$U$98</f>
        <v>The shop size is:</v>
      </c>
      <c r="R50" s="412"/>
      <c r="S50" s="412"/>
      <c r="T50" s="727" t="str">
        <f ca="1">INDEX($U$99:$U$148,RANDBETWEEN(1,5))</f>
        <v>Average. One room big enough to hold what is needed</v>
      </c>
      <c r="U50" s="727"/>
      <c r="V50" s="727"/>
      <c r="W50" s="728"/>
      <c r="X50" s="220"/>
    </row>
    <row r="51" spans="1:24" ht="35.1" customHeight="1">
      <c r="A51" s="737" t="str">
        <f>$V$98</f>
        <v>Shop popularity:</v>
      </c>
      <c r="B51" s="738"/>
      <c r="C51" s="738"/>
      <c r="D51" s="727" t="str">
        <f ca="1">INDEX($V$99:$V$148,RANDBETWEEN(1,4))</f>
        <v>A few people mill in and out of the shop</v>
      </c>
      <c r="E51" s="727"/>
      <c r="F51" s="727"/>
      <c r="G51" s="728"/>
      <c r="H51" s="188"/>
      <c r="I51" s="411" t="str">
        <f>$V$98</f>
        <v>Shop popularity:</v>
      </c>
      <c r="J51" s="412"/>
      <c r="K51" s="412"/>
      <c r="L51" s="727" t="str">
        <f ca="1">INDEX($V$99:$V$148,RANDBETWEEN(1,4))</f>
        <v>A few people mill in and out of the shop</v>
      </c>
      <c r="M51" s="727"/>
      <c r="N51" s="727"/>
      <c r="O51" s="728"/>
      <c r="P51" s="188"/>
      <c r="Q51" s="411" t="str">
        <f>$V$98</f>
        <v>Shop popularity:</v>
      </c>
      <c r="R51" s="412"/>
      <c r="S51" s="412"/>
      <c r="T51" s="727" t="str">
        <f ca="1">INDEX($V$99:$V$148,RANDBETWEEN(1,4))</f>
        <v>It's one of the most popular places to visit</v>
      </c>
      <c r="U51" s="727"/>
      <c r="V51" s="727"/>
      <c r="W51" s="728"/>
      <c r="X51" s="220"/>
    </row>
    <row r="52" spans="1:24" ht="35.1" customHeight="1" thickBot="1">
      <c r="A52" s="735" t="str">
        <f>$W$98</f>
        <v>Something interesting:</v>
      </c>
      <c r="B52" s="736"/>
      <c r="C52" s="736"/>
      <c r="D52" s="733" t="str">
        <f ca="1">INDEX($W$99:$W$148,RANDBETWEEN(1,50))</f>
        <v xml:space="preserve"> A legendary weapon is on display, but not for sale</v>
      </c>
      <c r="E52" s="733"/>
      <c r="F52" s="733"/>
      <c r="G52" s="734"/>
      <c r="H52" s="188"/>
      <c r="I52" s="409" t="str">
        <f>$W$98</f>
        <v>Something interesting:</v>
      </c>
      <c r="J52" s="410"/>
      <c r="K52" s="410"/>
      <c r="L52" s="733" t="str">
        <f ca="1">INDEX($W$99:$W$148,RANDBETWEEN(1,50))</f>
        <v xml:space="preserve"> The shopkeeper has a pungent and offensive smell</v>
      </c>
      <c r="M52" s="733"/>
      <c r="N52" s="733"/>
      <c r="O52" s="734"/>
      <c r="P52" s="188"/>
      <c r="Q52" s="409" t="str">
        <f>$W$98</f>
        <v>Something interesting:</v>
      </c>
      <c r="R52" s="410"/>
      <c r="S52" s="410"/>
      <c r="T52" s="733" t="str">
        <f ca="1">INDEX($W$99:$W$148,RANDBETWEEN(1,50))</f>
        <v xml:space="preserve"> The shopkeeper just died</v>
      </c>
      <c r="U52" s="733"/>
      <c r="V52" s="733"/>
      <c r="W52" s="734"/>
      <c r="X52" s="220"/>
    </row>
    <row r="53" spans="1:24" ht="15" customHeight="1" thickBot="1">
      <c r="A53" s="275"/>
      <c r="B53" s="275"/>
      <c r="C53" s="275"/>
      <c r="D53" s="88"/>
      <c r="E53" s="88"/>
      <c r="F53" s="88"/>
      <c r="G53" s="88"/>
      <c r="H53" s="188"/>
      <c r="I53" s="276"/>
      <c r="J53" s="276"/>
      <c r="K53" s="276"/>
      <c r="L53" s="88"/>
      <c r="M53" s="88"/>
      <c r="N53" s="88"/>
      <c r="O53" s="88"/>
      <c r="P53" s="188"/>
      <c r="Q53" s="276"/>
      <c r="R53" s="276"/>
      <c r="S53" s="276"/>
      <c r="T53" s="88"/>
      <c r="U53" s="88"/>
      <c r="V53" s="88"/>
      <c r="W53" s="88"/>
      <c r="X53" s="220"/>
    </row>
    <row r="54" spans="1:24" ht="35.1" customHeight="1">
      <c r="A54" s="742" t="str">
        <f>$N$98</f>
        <v>This shop sells:</v>
      </c>
      <c r="B54" s="743"/>
      <c r="C54" s="743"/>
      <c r="D54" s="744" t="str">
        <f ca="1">INDEX($N$99:$N$148,RANDBETWEEN(1,50))</f>
        <v xml:space="preserve"> Dolls</v>
      </c>
      <c r="E54" s="744"/>
      <c r="F54" s="744"/>
      <c r="G54" s="745"/>
      <c r="H54" s="188"/>
      <c r="I54" s="569" t="str">
        <f>$N$98</f>
        <v>This shop sells:</v>
      </c>
      <c r="J54" s="570"/>
      <c r="K54" s="570"/>
      <c r="L54" s="744" t="str">
        <f ca="1">INDEX($N$99:$N$148,RANDBETWEEN(1,50))</f>
        <v xml:space="preserve"> Animal feed</v>
      </c>
      <c r="M54" s="744"/>
      <c r="N54" s="744"/>
      <c r="O54" s="745"/>
      <c r="P54" s="188"/>
      <c r="Q54" s="569" t="str">
        <f>$N$98</f>
        <v>This shop sells:</v>
      </c>
      <c r="R54" s="570"/>
      <c r="S54" s="570"/>
      <c r="T54" s="744" t="str">
        <f ca="1">INDEX($N$99:$N$148,RANDBETWEEN(1,50))</f>
        <v xml:space="preserve"> Beauty and hygiene supplies</v>
      </c>
      <c r="U54" s="744"/>
      <c r="V54" s="744"/>
      <c r="W54" s="745"/>
      <c r="X54" s="220"/>
    </row>
    <row r="55" spans="1:24" ht="35.1" customHeight="1">
      <c r="A55" s="737" t="str">
        <f>$O$98</f>
        <v>The shop is:</v>
      </c>
      <c r="B55" s="738"/>
      <c r="C55" s="738"/>
      <c r="D55" s="727" t="str">
        <f ca="1">INDEX($O$99:$O$148,RANDBETWEEN(1,10))</f>
        <v>A building in a merchant district</v>
      </c>
      <c r="E55" s="727"/>
      <c r="F55" s="727"/>
      <c r="G55" s="728"/>
      <c r="H55" s="188"/>
      <c r="I55" s="411" t="str">
        <f>$O$98</f>
        <v>The shop is:</v>
      </c>
      <c r="J55" s="412"/>
      <c r="K55" s="412"/>
      <c r="L55" s="727" t="str">
        <f ca="1">INDEX($O$99:$O$148,RANDBETWEEN(1,10))</f>
        <v>A merchant caravan</v>
      </c>
      <c r="M55" s="727"/>
      <c r="N55" s="727"/>
      <c r="O55" s="728"/>
      <c r="P55" s="188"/>
      <c r="Q55" s="411" t="str">
        <f>$O$98</f>
        <v>The shop is:</v>
      </c>
      <c r="R55" s="412"/>
      <c r="S55" s="412"/>
      <c r="T55" s="727" t="str">
        <f ca="1">INDEX($O$99:$O$148,RANDBETWEEN(1,10))</f>
        <v xml:space="preserve"> A franchise. The shop can be found in multiple places</v>
      </c>
      <c r="U55" s="727"/>
      <c r="V55" s="727"/>
      <c r="W55" s="728"/>
      <c r="X55" s="220"/>
    </row>
    <row r="56" spans="1:24" ht="35.1" customHeight="1">
      <c r="A56" s="737" t="str">
        <f>$P$98</f>
        <v>The shop owner is:</v>
      </c>
      <c r="B56" s="738"/>
      <c r="C56" s="738"/>
      <c r="D56" s="727" t="str">
        <f ca="1">INDEX($P$99:$P$148,RANDBETWEEN(1,12))</f>
        <v>A guild leader</v>
      </c>
      <c r="E56" s="727"/>
      <c r="F56" s="727"/>
      <c r="G56" s="728"/>
      <c r="H56" s="188"/>
      <c r="I56" s="411" t="str">
        <f>$P$98</f>
        <v>The shop owner is:</v>
      </c>
      <c r="J56" s="412"/>
      <c r="K56" s="412"/>
      <c r="L56" s="727" t="str">
        <f ca="1">INDEX($P$99:$P$148,RANDBETWEEN(1,12))</f>
        <v>A guild leader</v>
      </c>
      <c r="M56" s="727"/>
      <c r="N56" s="727"/>
      <c r="O56" s="728"/>
      <c r="P56" s="188"/>
      <c r="Q56" s="411" t="str">
        <f>$P$98</f>
        <v>The shop owner is:</v>
      </c>
      <c r="R56" s="412"/>
      <c r="S56" s="412"/>
      <c r="T56" s="727" t="str">
        <f ca="1">INDEX($P$99:$P$148,RANDBETWEEN(1,12))</f>
        <v>A noble</v>
      </c>
      <c r="U56" s="727"/>
      <c r="V56" s="727"/>
      <c r="W56" s="728"/>
      <c r="X56" s="220"/>
    </row>
    <row r="57" spans="1:24" ht="35.1" customHeight="1">
      <c r="A57" s="737" t="str">
        <f>$Q$98</f>
        <v>The shop condition is:</v>
      </c>
      <c r="B57" s="738"/>
      <c r="C57" s="738"/>
      <c r="D57" s="727" t="str">
        <f ca="1">INDEX($Q$99:$Q$148,RANDBETWEEN(1,6))</f>
        <v>Brand new. Everything has a place, and is in its place</v>
      </c>
      <c r="E57" s="727"/>
      <c r="F57" s="727"/>
      <c r="G57" s="728"/>
      <c r="H57" s="188"/>
      <c r="I57" s="411" t="str">
        <f>$Q$98</f>
        <v>The shop condition is:</v>
      </c>
      <c r="J57" s="412"/>
      <c r="K57" s="412"/>
      <c r="L57" s="727" t="str">
        <f ca="1">INDEX($Q$99:$Q$148,RANDBETWEEN(1,6))</f>
        <v>Average. A little dusty</v>
      </c>
      <c r="M57" s="727"/>
      <c r="N57" s="727"/>
      <c r="O57" s="728"/>
      <c r="P57" s="188"/>
      <c r="Q57" s="411" t="str">
        <f>$Q$98</f>
        <v>The shop condition is:</v>
      </c>
      <c r="R57" s="412"/>
      <c r="S57" s="412"/>
      <c r="T57" s="727" t="str">
        <f ca="1">INDEX($Q$99:$Q$148,RANDBETWEEN(1,6))</f>
        <v>Average. A little dusty</v>
      </c>
      <c r="U57" s="727"/>
      <c r="V57" s="727"/>
      <c r="W57" s="728"/>
      <c r="X57" s="220"/>
    </row>
    <row r="58" spans="1:24" ht="35.1" customHeight="1">
      <c r="A58" s="737" t="str">
        <f>$R$98</f>
        <v>The merchandise condition is:</v>
      </c>
      <c r="B58" s="738"/>
      <c r="C58" s="738"/>
      <c r="D58" s="727" t="str">
        <f ca="1">INDEX($R$99:$R$148,RANDBETWEEN(1,6))</f>
        <v>Pristine. Kept in the best possible condition</v>
      </c>
      <c r="E58" s="727"/>
      <c r="F58" s="727"/>
      <c r="G58" s="728"/>
      <c r="H58" s="188"/>
      <c r="I58" s="411" t="str">
        <f>$R$98</f>
        <v>The merchandise condition is:</v>
      </c>
      <c r="J58" s="412"/>
      <c r="K58" s="412"/>
      <c r="L58" s="727" t="str">
        <f ca="1">INDEX($R$99:$R$148,RANDBETWEEN(1,6))</f>
        <v>Falling apart</v>
      </c>
      <c r="M58" s="727"/>
      <c r="N58" s="727"/>
      <c r="O58" s="728"/>
      <c r="P58" s="188"/>
      <c r="Q58" s="411" t="str">
        <f>$R$98</f>
        <v>The merchandise condition is:</v>
      </c>
      <c r="R58" s="412"/>
      <c r="S58" s="412"/>
      <c r="T58" s="727" t="str">
        <f ca="1">INDEX($R$99:$R$148,RANDBETWEEN(1,6))</f>
        <v>Cleaned regularly</v>
      </c>
      <c r="U58" s="727"/>
      <c r="V58" s="727"/>
      <c r="W58" s="728"/>
      <c r="X58" s="220"/>
    </row>
    <row r="59" spans="1:24" ht="35.1" customHeight="1">
      <c r="A59" s="737" t="str">
        <f>$S$98</f>
        <v>The supplies come from:</v>
      </c>
      <c r="B59" s="738"/>
      <c r="C59" s="738"/>
      <c r="D59" s="727" t="str">
        <f ca="1">INDEX($S$99:$S$148,RANDBETWEEN(1,6))</f>
        <v>They are crafted or attained by the merchant's apprentices</v>
      </c>
      <c r="E59" s="727"/>
      <c r="F59" s="727"/>
      <c r="G59" s="728"/>
      <c r="H59" s="188"/>
      <c r="I59" s="411" t="str">
        <f>$S$98</f>
        <v>The supplies come from:</v>
      </c>
      <c r="J59" s="412"/>
      <c r="K59" s="412"/>
      <c r="L59" s="727" t="str">
        <f ca="1">INDEX($S$99:$S$148,RANDBETWEEN(1,6))</f>
        <v>They are crafted or attained by the merchant himself</v>
      </c>
      <c r="M59" s="727"/>
      <c r="N59" s="727"/>
      <c r="O59" s="728"/>
      <c r="P59" s="188"/>
      <c r="Q59" s="411" t="str">
        <f>$S$98</f>
        <v>The supplies come from:</v>
      </c>
      <c r="R59" s="412"/>
      <c r="S59" s="412"/>
      <c r="T59" s="727" t="str">
        <f ca="1">INDEX($S$99:$S$148,RANDBETWEEN(1,6))</f>
        <v>They are crafted or attained by the merchant's apprentices</v>
      </c>
      <c r="U59" s="727"/>
      <c r="V59" s="727"/>
      <c r="W59" s="728"/>
      <c r="X59" s="220"/>
    </row>
    <row r="60" spans="1:24" ht="35.1" customHeight="1">
      <c r="A60" s="737" t="str">
        <f>$T$98</f>
        <v>The items are priced:</v>
      </c>
      <c r="B60" s="738"/>
      <c r="C60" s="738"/>
      <c r="D60" s="727" t="str">
        <f ca="1">INDEX($T$99:$T$148,RANDBETWEEN(1,8))</f>
        <v>Below value</v>
      </c>
      <c r="E60" s="727"/>
      <c r="F60" s="727"/>
      <c r="G60" s="728"/>
      <c r="H60" s="188"/>
      <c r="I60" s="411" t="str">
        <f>$T$98</f>
        <v>The items are priced:</v>
      </c>
      <c r="J60" s="412"/>
      <c r="K60" s="412"/>
      <c r="L60" s="727" t="str">
        <f ca="1">INDEX($T$99:$T$148,RANDBETWEEN(1,8))</f>
        <v>Below value</v>
      </c>
      <c r="M60" s="727"/>
      <c r="N60" s="727"/>
      <c r="O60" s="728"/>
      <c r="P60" s="188"/>
      <c r="Q60" s="411" t="str">
        <f>$T$98</f>
        <v>The items are priced:</v>
      </c>
      <c r="R60" s="412"/>
      <c r="S60" s="412"/>
      <c r="T60" s="727" t="str">
        <f ca="1">INDEX($T$99:$T$148,RANDBETWEEN(1,8))</f>
        <v>Everything is for barter</v>
      </c>
      <c r="U60" s="727"/>
      <c r="V60" s="727"/>
      <c r="W60" s="728"/>
      <c r="X60" s="220"/>
    </row>
    <row r="61" spans="1:24" ht="35.1" customHeight="1">
      <c r="A61" s="737" t="str">
        <f>$U$98</f>
        <v>The shop size is:</v>
      </c>
      <c r="B61" s="738"/>
      <c r="C61" s="738"/>
      <c r="D61" s="727" t="str">
        <f ca="1">INDEX($U$99:$U$148,RANDBETWEEN(1,5))</f>
        <v>Large. One big room</v>
      </c>
      <c r="E61" s="727"/>
      <c r="F61" s="727"/>
      <c r="G61" s="728"/>
      <c r="H61" s="188"/>
      <c r="I61" s="411" t="str">
        <f>$U$98</f>
        <v>The shop size is:</v>
      </c>
      <c r="J61" s="412"/>
      <c r="K61" s="412"/>
      <c r="L61" s="727" t="str">
        <f ca="1">INDEX($U$99:$U$148,RANDBETWEEN(1,5))</f>
        <v>Giant. Multiple rooms</v>
      </c>
      <c r="M61" s="727"/>
      <c r="N61" s="727"/>
      <c r="O61" s="728"/>
      <c r="P61" s="188"/>
      <c r="Q61" s="411" t="str">
        <f>$U$98</f>
        <v>The shop size is:</v>
      </c>
      <c r="R61" s="412"/>
      <c r="S61" s="412"/>
      <c r="T61" s="727" t="str">
        <f ca="1">INDEX($U$99:$U$148,RANDBETWEEN(1,5))</f>
        <v>Small. The room feels cluttered</v>
      </c>
      <c r="U61" s="727"/>
      <c r="V61" s="727"/>
      <c r="W61" s="728"/>
      <c r="X61" s="220"/>
    </row>
    <row r="62" spans="1:24" ht="35.1" customHeight="1">
      <c r="A62" s="737" t="str">
        <f>$V$98</f>
        <v>Shop popularity:</v>
      </c>
      <c r="B62" s="738"/>
      <c r="C62" s="738"/>
      <c r="D62" s="727" t="str">
        <f ca="1">INDEX($V$99:$V$148,RANDBETWEEN(1,4))</f>
        <v>It rarely sees a customer</v>
      </c>
      <c r="E62" s="727"/>
      <c r="F62" s="727"/>
      <c r="G62" s="728"/>
      <c r="H62" s="188"/>
      <c r="I62" s="411" t="str">
        <f>$V$98</f>
        <v>Shop popularity:</v>
      </c>
      <c r="J62" s="412"/>
      <c r="K62" s="412"/>
      <c r="L62" s="727" t="str">
        <f ca="1">INDEX($V$99:$V$148,RANDBETWEEN(1,4))</f>
        <v>It rarely sees a customer</v>
      </c>
      <c r="M62" s="727"/>
      <c r="N62" s="727"/>
      <c r="O62" s="728"/>
      <c r="P62" s="188"/>
      <c r="Q62" s="411" t="str">
        <f>$V$98</f>
        <v>Shop popularity:</v>
      </c>
      <c r="R62" s="412"/>
      <c r="S62" s="412"/>
      <c r="T62" s="727" t="str">
        <f ca="1">INDEX($V$99:$V$148,RANDBETWEEN(1,4))</f>
        <v>It rarely sees a customer</v>
      </c>
      <c r="U62" s="727"/>
      <c r="V62" s="727"/>
      <c r="W62" s="728"/>
      <c r="X62" s="220"/>
    </row>
    <row r="63" spans="1:24" ht="35.1" customHeight="1" thickBot="1">
      <c r="A63" s="735" t="str">
        <f>$W$98</f>
        <v>Something interesting:</v>
      </c>
      <c r="B63" s="736"/>
      <c r="C63" s="736"/>
      <c r="D63" s="733" t="str">
        <f ca="1">INDEX($W$99:$W$148,RANDBETWEEN(1,50))</f>
        <v xml:space="preserve"> A raven tries to steal items from your bag</v>
      </c>
      <c r="E63" s="733"/>
      <c r="F63" s="733"/>
      <c r="G63" s="734"/>
      <c r="H63" s="188"/>
      <c r="I63" s="409" t="str">
        <f>$W$98</f>
        <v>Something interesting:</v>
      </c>
      <c r="J63" s="410"/>
      <c r="K63" s="410"/>
      <c r="L63" s="733" t="str">
        <f ca="1">INDEX($W$99:$W$148,RANDBETWEEN(1,50))</f>
        <v xml:space="preserve"> A new shipment has just arrived, and is being stocked</v>
      </c>
      <c r="M63" s="733"/>
      <c r="N63" s="733"/>
      <c r="O63" s="734"/>
      <c r="P63" s="188"/>
      <c r="Q63" s="409" t="str">
        <f>$W$98</f>
        <v>Something interesting:</v>
      </c>
      <c r="R63" s="410"/>
      <c r="S63" s="410"/>
      <c r="T63" s="733" t="str">
        <f ca="1">INDEX($W$99:$W$148,RANDBETWEEN(1,50))</f>
        <v>You feel an unseen presence watching you</v>
      </c>
      <c r="U63" s="733"/>
      <c r="V63" s="733"/>
      <c r="W63" s="734"/>
      <c r="X63" s="220"/>
    </row>
    <row r="64" spans="1:24" ht="15" customHeight="1" thickBot="1">
      <c r="A64" s="275"/>
      <c r="B64" s="275"/>
      <c r="C64" s="275"/>
      <c r="D64" s="88"/>
      <c r="E64" s="88"/>
      <c r="F64" s="88"/>
      <c r="G64" s="88"/>
      <c r="H64" s="188"/>
      <c r="I64" s="276"/>
      <c r="J64" s="276"/>
      <c r="K64" s="276"/>
      <c r="L64" s="88"/>
      <c r="M64" s="88"/>
      <c r="N64" s="88"/>
      <c r="O64" s="88"/>
      <c r="P64" s="188"/>
      <c r="Q64" s="276"/>
      <c r="R64" s="276"/>
      <c r="S64" s="276"/>
      <c r="T64" s="88"/>
      <c r="U64" s="88"/>
      <c r="V64" s="88"/>
      <c r="W64" s="88"/>
      <c r="X64" s="220"/>
    </row>
    <row r="65" spans="1:24" ht="35.1" customHeight="1">
      <c r="A65" s="742" t="str">
        <f>$N$98</f>
        <v>This shop sells:</v>
      </c>
      <c r="B65" s="743"/>
      <c r="C65" s="743"/>
      <c r="D65" s="744" t="str">
        <f ca="1">INDEX($N$99:$N$148,RANDBETWEEN(1,50))</f>
        <v xml:space="preserve"> Alchemical Supplies</v>
      </c>
      <c r="E65" s="744"/>
      <c r="F65" s="744"/>
      <c r="G65" s="745"/>
      <c r="H65" s="188"/>
      <c r="I65" s="569" t="str">
        <f>$N$98</f>
        <v>This shop sells:</v>
      </c>
      <c r="J65" s="570"/>
      <c r="K65" s="570"/>
      <c r="L65" s="744" t="str">
        <f ca="1">INDEX($N$99:$N$148,RANDBETWEEN(1,50))</f>
        <v xml:space="preserve"> Meats</v>
      </c>
      <c r="M65" s="744"/>
      <c r="N65" s="744"/>
      <c r="O65" s="745"/>
      <c r="P65" s="188"/>
      <c r="Q65" s="569" t="str">
        <f>$N$98</f>
        <v>This shop sells:</v>
      </c>
      <c r="R65" s="570"/>
      <c r="S65" s="570"/>
      <c r="T65" s="744" t="str">
        <f ca="1">INDEX($N$99:$N$148,RANDBETWEEN(1,50))</f>
        <v xml:space="preserve"> Items of interest from a far-away land</v>
      </c>
      <c r="U65" s="744"/>
      <c r="V65" s="744"/>
      <c r="W65" s="745"/>
      <c r="X65" s="220"/>
    </row>
    <row r="66" spans="1:24" ht="35.1" customHeight="1">
      <c r="A66" s="737" t="str">
        <f>$O$98</f>
        <v>The shop is:</v>
      </c>
      <c r="B66" s="738"/>
      <c r="C66" s="738"/>
      <c r="D66" s="727" t="str">
        <f ca="1">INDEX($O$99:$O$148,RANDBETWEEN(1,10))</f>
        <v>In the back room of another shop</v>
      </c>
      <c r="E66" s="727"/>
      <c r="F66" s="727"/>
      <c r="G66" s="728"/>
      <c r="H66" s="188"/>
      <c r="I66" s="411" t="str">
        <f>$O$98</f>
        <v>The shop is:</v>
      </c>
      <c r="J66" s="412"/>
      <c r="K66" s="412"/>
      <c r="L66" s="727" t="str">
        <f ca="1">INDEX($O$99:$O$148,RANDBETWEEN(1,10))</f>
        <v>In a place only accessibly by magic</v>
      </c>
      <c r="M66" s="727"/>
      <c r="N66" s="727"/>
      <c r="O66" s="728"/>
      <c r="P66" s="188"/>
      <c r="Q66" s="411" t="str">
        <f>$O$98</f>
        <v>The shop is:</v>
      </c>
      <c r="R66" s="412"/>
      <c r="S66" s="412"/>
      <c r="T66" s="727" t="str">
        <f ca="1">INDEX($O$99:$O$148,RANDBETWEEN(1,10))</f>
        <v>In a place only accessibly by magic</v>
      </c>
      <c r="U66" s="727"/>
      <c r="V66" s="727"/>
      <c r="W66" s="728"/>
      <c r="X66" s="220"/>
    </row>
    <row r="67" spans="1:24" ht="35.1" customHeight="1">
      <c r="A67" s="737" t="str">
        <f>$P$98</f>
        <v>The shop owner is:</v>
      </c>
      <c r="B67" s="738"/>
      <c r="C67" s="738"/>
      <c r="D67" s="727" t="str">
        <f ca="1">INDEX($P$99:$P$148,RANDBETWEEN(1,12))</f>
        <v>A noble</v>
      </c>
      <c r="E67" s="727"/>
      <c r="F67" s="727"/>
      <c r="G67" s="728"/>
      <c r="H67" s="188"/>
      <c r="I67" s="411" t="str">
        <f>$P$98</f>
        <v>The shop owner is:</v>
      </c>
      <c r="J67" s="412"/>
      <c r="K67" s="412"/>
      <c r="L67" s="727" t="str">
        <f ca="1">INDEX($P$99:$P$148,RANDBETWEEN(1,12))</f>
        <v xml:space="preserve"> A lazy half-orc</v>
      </c>
      <c r="M67" s="727"/>
      <c r="N67" s="727"/>
      <c r="O67" s="728"/>
      <c r="P67" s="188"/>
      <c r="Q67" s="411" t="str">
        <f>$P$98</f>
        <v>The shop owner is:</v>
      </c>
      <c r="R67" s="412"/>
      <c r="S67" s="412"/>
      <c r="T67" s="727" t="str">
        <f ca="1">INDEX($P$99:$P$148,RANDBETWEEN(1,12))</f>
        <v xml:space="preserve"> An old crone</v>
      </c>
      <c r="U67" s="727"/>
      <c r="V67" s="727"/>
      <c r="W67" s="728"/>
      <c r="X67" s="220"/>
    </row>
    <row r="68" spans="1:24" ht="35.1" customHeight="1">
      <c r="A68" s="737" t="str">
        <f>$Q$98</f>
        <v>The shop condition is:</v>
      </c>
      <c r="B68" s="738"/>
      <c r="C68" s="738"/>
      <c r="D68" s="727" t="str">
        <f ca="1">INDEX($Q$99:$Q$148,RANDBETWEEN(1,6))</f>
        <v>Dark. There is no natural light. Only a candle or two light the shop</v>
      </c>
      <c r="E68" s="727"/>
      <c r="F68" s="727"/>
      <c r="G68" s="728"/>
      <c r="H68" s="188"/>
      <c r="I68" s="411" t="str">
        <f>$Q$98</f>
        <v>The shop condition is:</v>
      </c>
      <c r="J68" s="412"/>
      <c r="K68" s="412"/>
      <c r="L68" s="727" t="str">
        <f ca="1">INDEX($Q$99:$Q$148,RANDBETWEEN(1,6))</f>
        <v>Unkempt. Bugs and rodents scurry away from your footsteps</v>
      </c>
      <c r="M68" s="727"/>
      <c r="N68" s="727"/>
      <c r="O68" s="728"/>
      <c r="P68" s="188"/>
      <c r="Q68" s="411" t="str">
        <f>$Q$98</f>
        <v>The shop condition is:</v>
      </c>
      <c r="R68" s="412"/>
      <c r="S68" s="412"/>
      <c r="T68" s="727" t="str">
        <f ca="1">INDEX($Q$99:$Q$148,RANDBETWEEN(1,6))</f>
        <v>Average. A little dusty</v>
      </c>
      <c r="U68" s="727"/>
      <c r="V68" s="727"/>
      <c r="W68" s="728"/>
      <c r="X68" s="220"/>
    </row>
    <row r="69" spans="1:24" ht="35.1" customHeight="1">
      <c r="A69" s="737" t="str">
        <f>$R$98</f>
        <v>The merchandise condition is:</v>
      </c>
      <c r="B69" s="738"/>
      <c r="C69" s="738"/>
      <c r="D69" s="727" t="str">
        <f ca="1">INDEX($R$99:$R$148,RANDBETWEEN(1,6))</f>
        <v>Cleaned regularly</v>
      </c>
      <c r="E69" s="727"/>
      <c r="F69" s="727"/>
      <c r="G69" s="728"/>
      <c r="H69" s="188"/>
      <c r="I69" s="411" t="str">
        <f>$R$98</f>
        <v>The merchandise condition is:</v>
      </c>
      <c r="J69" s="412"/>
      <c r="K69" s="412"/>
      <c r="L69" s="727" t="str">
        <f ca="1">INDEX($R$99:$R$148,RANDBETWEEN(1,6))</f>
        <v>Pristine. Kept in the best possible condition</v>
      </c>
      <c r="M69" s="727"/>
      <c r="N69" s="727"/>
      <c r="O69" s="728"/>
      <c r="P69" s="188"/>
      <c r="Q69" s="411" t="str">
        <f>$R$98</f>
        <v>The merchandise condition is:</v>
      </c>
      <c r="R69" s="412"/>
      <c r="S69" s="412"/>
      <c r="T69" s="727" t="str">
        <f ca="1">INDEX($R$99:$R$148,RANDBETWEEN(1,6))</f>
        <v>Ancient</v>
      </c>
      <c r="U69" s="727"/>
      <c r="V69" s="727"/>
      <c r="W69" s="728"/>
      <c r="X69" s="220"/>
    </row>
    <row r="70" spans="1:24" ht="35.1" customHeight="1">
      <c r="A70" s="737" t="str">
        <f>$S$98</f>
        <v>The supplies come from:</v>
      </c>
      <c r="B70" s="738"/>
      <c r="C70" s="738"/>
      <c r="D70" s="727" t="str">
        <f ca="1">INDEX($S$99:$S$148,RANDBETWEEN(1,6))</f>
        <v>They are purchased from other people in town and resold</v>
      </c>
      <c r="E70" s="727"/>
      <c r="F70" s="727"/>
      <c r="G70" s="728"/>
      <c r="H70" s="188"/>
      <c r="I70" s="411" t="str">
        <f>$S$98</f>
        <v>The supplies come from:</v>
      </c>
      <c r="J70" s="412"/>
      <c r="K70" s="412"/>
      <c r="L70" s="727" t="str">
        <f ca="1">INDEX($S$99:$S$148,RANDBETWEEN(1,6))</f>
        <v>The merchant's business partner</v>
      </c>
      <c r="M70" s="727"/>
      <c r="N70" s="727"/>
      <c r="O70" s="728"/>
      <c r="P70" s="188"/>
      <c r="Q70" s="411" t="str">
        <f>$S$98</f>
        <v>The supplies come from:</v>
      </c>
      <c r="R70" s="412"/>
      <c r="S70" s="412"/>
      <c r="T70" s="727" t="str">
        <f ca="1">INDEX($S$99:$S$148,RANDBETWEEN(1,6))</f>
        <v>They are crafted elsewhere in bulk, and sold in the shop</v>
      </c>
      <c r="U70" s="727"/>
      <c r="V70" s="727"/>
      <c r="W70" s="728"/>
      <c r="X70" s="220"/>
    </row>
    <row r="71" spans="1:24" ht="35.1" customHeight="1">
      <c r="A71" s="737" t="str">
        <f>$T$98</f>
        <v>The items are priced:</v>
      </c>
      <c r="B71" s="738"/>
      <c r="C71" s="738"/>
      <c r="D71" s="727" t="str">
        <f ca="1">INDEX($T$99:$T$148,RANDBETWEEN(1,8))</f>
        <v>Everything is for barter</v>
      </c>
      <c r="E71" s="727"/>
      <c r="F71" s="727"/>
      <c r="G71" s="728"/>
      <c r="H71" s="188"/>
      <c r="I71" s="411" t="str">
        <f>$T$98</f>
        <v>The items are priced:</v>
      </c>
      <c r="J71" s="412"/>
      <c r="K71" s="412"/>
      <c r="L71" s="727" t="str">
        <f ca="1">INDEX($T$99:$T$148,RANDBETWEEN(1,8))</f>
        <v>Everything is for barter</v>
      </c>
      <c r="M71" s="727"/>
      <c r="N71" s="727"/>
      <c r="O71" s="728"/>
      <c r="P71" s="188"/>
      <c r="Q71" s="411" t="str">
        <f>$T$98</f>
        <v>The items are priced:</v>
      </c>
      <c r="R71" s="412"/>
      <c r="S71" s="412"/>
      <c r="T71" s="727" t="str">
        <f ca="1">INDEX($T$99:$T$148,RANDBETWEEN(1,8))</f>
        <v>Fairly</v>
      </c>
      <c r="U71" s="727"/>
      <c r="V71" s="727"/>
      <c r="W71" s="728"/>
      <c r="X71" s="220"/>
    </row>
    <row r="72" spans="1:24" ht="35.1" customHeight="1">
      <c r="A72" s="737" t="str">
        <f>$U$98</f>
        <v>The shop size is:</v>
      </c>
      <c r="B72" s="738"/>
      <c r="C72" s="738"/>
      <c r="D72" s="727" t="str">
        <f ca="1">INDEX($U$99:$U$148,RANDBETWEEN(1,5))</f>
        <v>Giant. Multiple rooms</v>
      </c>
      <c r="E72" s="727"/>
      <c r="F72" s="727"/>
      <c r="G72" s="728"/>
      <c r="H72" s="188"/>
      <c r="I72" s="411" t="str">
        <f>$U$98</f>
        <v>The shop size is:</v>
      </c>
      <c r="J72" s="412"/>
      <c r="K72" s="412"/>
      <c r="L72" s="727" t="str">
        <f ca="1">INDEX($U$99:$U$148,RANDBETWEEN(1,5))</f>
        <v>Average. One room big enough to hold what is needed</v>
      </c>
      <c r="M72" s="727"/>
      <c r="N72" s="727"/>
      <c r="O72" s="728"/>
      <c r="P72" s="188"/>
      <c r="Q72" s="411" t="str">
        <f>$U$98</f>
        <v>The shop size is:</v>
      </c>
      <c r="R72" s="412"/>
      <c r="S72" s="412"/>
      <c r="T72" s="727" t="str">
        <f ca="1">INDEX($U$99:$U$148,RANDBETWEEN(1,5))</f>
        <v>Giant. Multiple rooms</v>
      </c>
      <c r="U72" s="727"/>
      <c r="V72" s="727"/>
      <c r="W72" s="728"/>
      <c r="X72" s="220"/>
    </row>
    <row r="73" spans="1:24" ht="35.1" customHeight="1">
      <c r="A73" s="737" t="str">
        <f>$V$98</f>
        <v>Shop popularity:</v>
      </c>
      <c r="B73" s="738"/>
      <c r="C73" s="738"/>
      <c r="D73" s="727" t="str">
        <f ca="1">INDEX($V$99:$V$148,RANDBETWEEN(1,4))</f>
        <v>It rarely sees a customer</v>
      </c>
      <c r="E73" s="727"/>
      <c r="F73" s="727"/>
      <c r="G73" s="728"/>
      <c r="H73" s="188"/>
      <c r="I73" s="411" t="str">
        <f>$V$98</f>
        <v>Shop popularity:</v>
      </c>
      <c r="J73" s="412"/>
      <c r="K73" s="412"/>
      <c r="L73" s="727" t="str">
        <f ca="1">INDEX($V$99:$V$148,RANDBETWEEN(1,4))</f>
        <v>Not very busy. You are the only people there</v>
      </c>
      <c r="M73" s="727"/>
      <c r="N73" s="727"/>
      <c r="O73" s="728"/>
      <c r="P73" s="188"/>
      <c r="Q73" s="411" t="str">
        <f>$V$98</f>
        <v>Shop popularity:</v>
      </c>
      <c r="R73" s="412"/>
      <c r="S73" s="412"/>
      <c r="T73" s="727" t="str">
        <f ca="1">INDEX($V$99:$V$148,RANDBETWEEN(1,4))</f>
        <v>It rarely sees a customer</v>
      </c>
      <c r="U73" s="727"/>
      <c r="V73" s="727"/>
      <c r="W73" s="728"/>
      <c r="X73" s="220"/>
    </row>
    <row r="74" spans="1:24" ht="35.1" customHeight="1" thickBot="1">
      <c r="A74" s="735" t="str">
        <f>$W$98</f>
        <v>Something interesting:</v>
      </c>
      <c r="B74" s="736"/>
      <c r="C74" s="736"/>
      <c r="D74" s="733" t="str">
        <f ca="1">INDEX($W$99:$W$148,RANDBETWEEN(1,50))</f>
        <v xml:space="preserve"> A legendary weapon is on display, but not for sale</v>
      </c>
      <c r="E74" s="733"/>
      <c r="F74" s="733"/>
      <c r="G74" s="734"/>
      <c r="H74" s="188"/>
      <c r="I74" s="409" t="str">
        <f>$W$98</f>
        <v>Something interesting:</v>
      </c>
      <c r="J74" s="410"/>
      <c r="K74" s="410"/>
      <c r="L74" s="733" t="str">
        <f ca="1">INDEX($W$99:$W$148,RANDBETWEEN(1,50))</f>
        <v xml:space="preserve"> The shopkeeper just died</v>
      </c>
      <c r="M74" s="733"/>
      <c r="N74" s="733"/>
      <c r="O74" s="734"/>
      <c r="P74" s="188"/>
      <c r="Q74" s="409" t="str">
        <f>$W$98</f>
        <v>Something interesting:</v>
      </c>
      <c r="R74" s="410"/>
      <c r="S74" s="410"/>
      <c r="T74" s="733" t="str">
        <f ca="1">INDEX($W$99:$W$148,RANDBETWEEN(1,50))</f>
        <v xml:space="preserve"> A couple of thugs are holding up the merchant</v>
      </c>
      <c r="U74" s="733"/>
      <c r="V74" s="733"/>
      <c r="W74" s="734"/>
      <c r="X74" s="220"/>
    </row>
    <row r="75" spans="1:24" ht="15" customHeight="1" thickBot="1">
      <c r="A75" s="20"/>
      <c r="B75" s="20"/>
      <c r="C75" s="20"/>
      <c r="D75" s="20"/>
      <c r="E75" s="20"/>
      <c r="F75" s="20"/>
      <c r="G75" s="20"/>
      <c r="H75" s="20"/>
      <c r="I75" s="20"/>
      <c r="J75" s="20"/>
      <c r="K75" s="20"/>
      <c r="L75" s="20"/>
      <c r="M75" s="20"/>
      <c r="N75" s="20"/>
      <c r="O75" s="20"/>
      <c r="P75" s="20"/>
      <c r="Q75" s="20"/>
      <c r="R75" s="20"/>
      <c r="S75" s="20"/>
      <c r="T75" s="20"/>
      <c r="U75" s="20"/>
      <c r="V75" s="20"/>
      <c r="W75" s="20"/>
      <c r="X75" s="220"/>
    </row>
    <row r="76" spans="1:24" ht="21.75" thickBot="1">
      <c r="A76" s="600" t="s">
        <v>5485</v>
      </c>
      <c r="B76" s="601"/>
      <c r="C76" s="601"/>
      <c r="D76" s="601"/>
      <c r="E76" s="601"/>
      <c r="F76" s="601"/>
      <c r="G76" s="601"/>
      <c r="H76" s="601"/>
      <c r="I76" s="601"/>
      <c r="J76" s="601"/>
      <c r="K76" s="601"/>
      <c r="L76" s="601"/>
      <c r="M76" s="601"/>
      <c r="N76" s="601"/>
      <c r="O76" s="601"/>
      <c r="P76" s="601"/>
      <c r="Q76" s="601"/>
      <c r="R76" s="601"/>
      <c r="S76" s="601"/>
      <c r="T76" s="601"/>
      <c r="U76" s="601"/>
      <c r="V76" s="601"/>
      <c r="W76" s="729"/>
      <c r="X76" s="221"/>
    </row>
    <row r="77" spans="1:24" ht="35.1" customHeight="1">
      <c r="A77" s="349" t="s">
        <v>5482</v>
      </c>
      <c r="B77" s="807" t="str">
        <f ca="1">INDEX($G$99:$G$106,RANDBETWEEN(1,8))</f>
        <v>An old man.</v>
      </c>
      <c r="C77" s="808"/>
      <c r="D77" s="216" t="str">
        <f ca="1">INDEX($AE$99:$AE$102,RANDBETWEEN(1,4))</f>
        <v>a Leaf</v>
      </c>
      <c r="E77" s="349" t="s">
        <v>5482</v>
      </c>
      <c r="F77" s="807" t="str">
        <f ca="1">INDEX($G$99:$G$106,RANDBETWEEN(1,8))</f>
        <v>A fat man.</v>
      </c>
      <c r="G77" s="808"/>
      <c r="H77" s="216" t="str">
        <f ca="1">INDEX($AE$99:$AE$102,RANDBETWEEN(1,4))</f>
        <v>Bread</v>
      </c>
      <c r="I77" s="349" t="s">
        <v>5482</v>
      </c>
      <c r="J77" s="807" t="str">
        <f ca="1">INDEX($G$99:$G$106,RANDBETWEEN(1,8))</f>
        <v>A scrawny man.</v>
      </c>
      <c r="K77" s="808"/>
      <c r="L77" s="216" t="str">
        <f ca="1">INDEX($AE$99:$AE$102,RANDBETWEEN(1,4))</f>
        <v>a Leaf</v>
      </c>
      <c r="M77" s="349" t="s">
        <v>5482</v>
      </c>
      <c r="N77" s="807" t="str">
        <f ca="1">INDEX($G$99:$G$106,RANDBETWEEN(1,8))</f>
        <v>A scrawny man.</v>
      </c>
      <c r="O77" s="808"/>
      <c r="P77" s="216" t="str">
        <f ca="1">INDEX($AE$99:$AE$102,RANDBETWEEN(1,4))</f>
        <v>Rice</v>
      </c>
      <c r="Q77" s="349" t="s">
        <v>5482</v>
      </c>
      <c r="R77" s="807" t="str">
        <f ca="1">INDEX($G$99:$G$106,RANDBETWEEN(1,8))</f>
        <v>A large woman.</v>
      </c>
      <c r="S77" s="808"/>
      <c r="T77" s="216" t="str">
        <f ca="1">INDEX($AE$99:$AE$102,RANDBETWEEN(1,4))</f>
        <v>a Leaf</v>
      </c>
      <c r="U77" s="349" t="s">
        <v>5482</v>
      </c>
      <c r="V77" s="807" t="str">
        <f ca="1">INDEX($G$99:$G$106,RANDBETWEEN(1,8))</f>
        <v>An old woman.</v>
      </c>
      <c r="W77" s="808"/>
      <c r="X77" s="216" t="str">
        <f ca="1">INDEX($AE$99:$AE$102,RANDBETWEEN(1,4))</f>
        <v>a Leaf</v>
      </c>
    </row>
    <row r="78" spans="1:24" ht="45" customHeight="1">
      <c r="A78" s="350" t="s">
        <v>5483</v>
      </c>
      <c r="B78"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Broiled Smelt and Sugar on a Leaf</v>
      </c>
      <c r="C78" s="722"/>
      <c r="D78" s="216" t="str">
        <f ca="1">INDEX($AB$99:$AB$105,RANDBETWEEN(1,7))</f>
        <v>Vegetables</v>
      </c>
      <c r="E78" s="350" t="s">
        <v>5483</v>
      </c>
      <c r="F78"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Grilled Clams and Pixie parts on a Leaf</v>
      </c>
      <c r="G78" s="722"/>
      <c r="H78" s="216" t="str">
        <f ca="1">INDEX($AB$99:$AB$105,RANDBETWEEN(1,7))</f>
        <v>Seafood</v>
      </c>
      <c r="I78" s="350" t="s">
        <v>5483</v>
      </c>
      <c r="J78"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Broiled  Sea bass and Sugar on a Leaf</v>
      </c>
      <c r="K78" s="722"/>
      <c r="L78" s="216" t="str">
        <f ca="1">INDEX($AB$99:$AB$105,RANDBETWEEN(1,7))</f>
        <v>Savories</v>
      </c>
      <c r="M78" s="350" t="s">
        <v>5483</v>
      </c>
      <c r="N78"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Seared  Sea bass and Pixie parts on a Leaf</v>
      </c>
      <c r="O78" s="722"/>
      <c r="P78" s="216" t="str">
        <f ca="1">INDEX($AB$99:$AB$105,RANDBETWEEN(1,7))</f>
        <v>Savories</v>
      </c>
      <c r="Q78" s="350" t="s">
        <v>5483</v>
      </c>
      <c r="R78"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Broiled  Cod and Honey on a Leaf</v>
      </c>
      <c r="S78" s="722"/>
      <c r="T78" s="216" t="str">
        <f ca="1">INDEX($AB$99:$AB$105,RANDBETWEEN(1,7))</f>
        <v>Unusual Meats</v>
      </c>
      <c r="U78" s="350" t="s">
        <v>5483</v>
      </c>
      <c r="V78"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Grilled  Squid and Pixie parts on a Leaf</v>
      </c>
      <c r="W78" s="722"/>
      <c r="X78" s="216" t="str">
        <f ca="1">INDEX($AB$99:$AB$105,RANDBETWEEN(1,7))</f>
        <v>Unusual Meats</v>
      </c>
    </row>
    <row r="79" spans="1:24" ht="35.1" customHeight="1" thickBot="1">
      <c r="A79" s="348" t="s">
        <v>5484</v>
      </c>
      <c r="B79" s="723" t="str">
        <f ca="1">INDEX($AF$99:$AF$106,RANDBETWEEN(1,8))</f>
        <v>Wine</v>
      </c>
      <c r="C79" s="724"/>
      <c r="D79" s="366" t="str">
        <f ca="1">INDEX($AC$99:$AC$102,RANDBETWEEN(1,4))</f>
        <v>Savory</v>
      </c>
      <c r="E79" s="348" t="s">
        <v>5484</v>
      </c>
      <c r="F79" s="723" t="str">
        <f ca="1">INDEX($AF$99:$AF$106,RANDBETWEEN(1,8))</f>
        <v>Beer</v>
      </c>
      <c r="G79" s="724"/>
      <c r="H79" s="366" t="str">
        <f ca="1">INDEX($AC$99:$AC$102,RANDBETWEEN(1,4))</f>
        <v>Savory</v>
      </c>
      <c r="I79" s="348" t="s">
        <v>5484</v>
      </c>
      <c r="J79" s="723" t="str">
        <f ca="1">INDEX($AF$99:$AF$106,RANDBETWEEN(1,8))</f>
        <v>Juice</v>
      </c>
      <c r="K79" s="724"/>
      <c r="L79" s="366" t="str">
        <f ca="1">INDEX($AC$99:$AC$102,RANDBETWEEN(1,4))</f>
        <v>Sweet</v>
      </c>
      <c r="M79" s="348" t="s">
        <v>5484</v>
      </c>
      <c r="N79" s="723" t="str">
        <f ca="1">INDEX($AF$99:$AF$106,RANDBETWEEN(1,8))</f>
        <v>Coffee</v>
      </c>
      <c r="O79" s="724"/>
      <c r="P79" s="366" t="str">
        <f ca="1">INDEX($AC$99:$AC$102,RANDBETWEEN(1,4))</f>
        <v>Savory</v>
      </c>
      <c r="Q79" s="348" t="s">
        <v>5484</v>
      </c>
      <c r="R79" s="723" t="str">
        <f ca="1">INDEX($AF$99:$AF$106,RANDBETWEEN(1,8))</f>
        <v>Cider</v>
      </c>
      <c r="S79" s="724"/>
      <c r="T79" s="366" t="str">
        <f ca="1">INDEX($AC$99:$AC$102,RANDBETWEEN(1,4))</f>
        <v>Spicy</v>
      </c>
      <c r="U79" s="348" t="s">
        <v>5484</v>
      </c>
      <c r="V79" s="723" t="str">
        <f ca="1">INDEX($AF$99:$AF$106,RANDBETWEEN(1,8))</f>
        <v>Mead</v>
      </c>
      <c r="W79" s="724"/>
      <c r="X79" s="366" t="str">
        <f ca="1">INDEX($AC$99:$AC$102,RANDBETWEEN(1,4))</f>
        <v>Sour</v>
      </c>
    </row>
    <row r="80" spans="1:24" ht="15" customHeight="1" thickBot="1">
      <c r="A80" s="217"/>
      <c r="B80" s="185"/>
      <c r="C80" s="185"/>
      <c r="D80" s="216"/>
      <c r="E80" s="185"/>
      <c r="F80" s="185"/>
      <c r="G80" s="185"/>
      <c r="H80" s="216"/>
      <c r="I80" s="185"/>
      <c r="J80" s="185"/>
      <c r="K80" s="185"/>
      <c r="L80" s="216"/>
      <c r="M80" s="185"/>
      <c r="N80" s="185"/>
      <c r="O80" s="185"/>
      <c r="P80" s="216"/>
      <c r="Q80" s="188"/>
      <c r="R80" s="188"/>
      <c r="S80" s="188"/>
      <c r="T80" s="230"/>
      <c r="U80" s="188"/>
      <c r="V80" s="188"/>
      <c r="W80" s="190"/>
      <c r="X80" s="221"/>
    </row>
    <row r="81" spans="1:24" ht="35.1" customHeight="1">
      <c r="A81" s="349" t="s">
        <v>5482</v>
      </c>
      <c r="B81" s="807" t="str">
        <f ca="1">INDEX($G$99:$G$106,RANDBETWEEN(1,8))</f>
        <v>A hardy woman.</v>
      </c>
      <c r="C81" s="808"/>
      <c r="D81" s="216" t="str">
        <f ca="1">INDEX($AE$99:$AE$102,RANDBETWEEN(1,4))</f>
        <v>a Leaf</v>
      </c>
      <c r="E81" s="349" t="s">
        <v>5482</v>
      </c>
      <c r="F81" s="807" t="str">
        <f ca="1">INDEX($G$99:$G$106,RANDBETWEEN(1,8))</f>
        <v>An old woman.</v>
      </c>
      <c r="G81" s="808"/>
      <c r="H81" s="216" t="str">
        <f ca="1">INDEX($AE$99:$AE$102,RANDBETWEEN(1,4))</f>
        <v>a Pastry</v>
      </c>
      <c r="I81" s="349" t="s">
        <v>5482</v>
      </c>
      <c r="J81" s="807" t="str">
        <f ca="1">INDEX($G$99:$G$106,RANDBETWEEN(1,8))</f>
        <v>An old man.</v>
      </c>
      <c r="K81" s="808"/>
      <c r="L81" s="216" t="str">
        <f ca="1">INDEX($AE$99:$AE$102,RANDBETWEEN(1,4))</f>
        <v>a Pastry</v>
      </c>
      <c r="M81" s="349" t="s">
        <v>5482</v>
      </c>
      <c r="N81" s="807" t="str">
        <f ca="1">INDEX($G$99:$G$106,RANDBETWEEN(1,8))</f>
        <v>An old woman.</v>
      </c>
      <c r="O81" s="808"/>
      <c r="P81" s="216" t="str">
        <f ca="1">INDEX($AE$99:$AE$102,RANDBETWEEN(1,4))</f>
        <v>a Leaf</v>
      </c>
      <c r="Q81" s="179" t="s">
        <v>5482</v>
      </c>
      <c r="R81" s="807" t="str">
        <f ca="1">INDEX($G$99:$G$106,RANDBETWEEN(1,8))</f>
        <v>A hardy woman.</v>
      </c>
      <c r="S81" s="808"/>
      <c r="T81" s="216" t="str">
        <f ca="1">INDEX($AE$99:$AE$102,RANDBETWEEN(1,4))</f>
        <v>a Leaf</v>
      </c>
      <c r="U81" s="349" t="s">
        <v>5482</v>
      </c>
      <c r="V81" s="807" t="str">
        <f ca="1">INDEX($G$99:$G$106,RANDBETWEEN(1,8))</f>
        <v>A large woman.</v>
      </c>
      <c r="W81" s="808"/>
      <c r="X81" s="216" t="str">
        <f ca="1">INDEX($AE$99:$AE$102,RANDBETWEEN(1,4))</f>
        <v>Bread</v>
      </c>
    </row>
    <row r="82" spans="1:24" ht="45" customHeight="1">
      <c r="A82" s="350" t="s">
        <v>5483</v>
      </c>
      <c r="B82"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Grilled  Halibut and  Watermelon Glaze on a Leaf</v>
      </c>
      <c r="C82" s="722"/>
      <c r="D82" s="216" t="str">
        <f ca="1">INDEX($AB$99:$AB$105,RANDBETWEEN(1,7))</f>
        <v>Savories</v>
      </c>
      <c r="E82" s="350" t="s">
        <v>5483</v>
      </c>
      <c r="F82"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Baked  Shrimp and  Watermelon Glaze on a Leaf</v>
      </c>
      <c r="G82" s="722"/>
      <c r="H82" s="216" t="str">
        <f ca="1">INDEX($AB$99:$AB$105,RANDBETWEEN(1,7))</f>
        <v>Unusual Seafood</v>
      </c>
      <c r="I82" s="350" t="s">
        <v>5483</v>
      </c>
      <c r="J82"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Baked  Shrimp and Honey on a Leaf</v>
      </c>
      <c r="K82" s="722"/>
      <c r="L82" s="216" t="str">
        <f ca="1">INDEX($AB$99:$AB$105,RANDBETWEEN(1,7))</f>
        <v>Savories</v>
      </c>
      <c r="M82" s="350" t="s">
        <v>5483</v>
      </c>
      <c r="N82"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Fried  Anchovies and Molasses on a Leaf</v>
      </c>
      <c r="O82" s="722"/>
      <c r="P82" s="216" t="str">
        <f ca="1">INDEX($AB$99:$AB$105,RANDBETWEEN(1,7))</f>
        <v>Unusual Meats</v>
      </c>
      <c r="Q82" s="180" t="s">
        <v>5483</v>
      </c>
      <c r="R82"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Poached  Mackerel and Molasses on a Leaf</v>
      </c>
      <c r="S82" s="722"/>
      <c r="T82" s="216" t="str">
        <f ca="1">INDEX($AB$99:$AB$105,RANDBETWEEN(1,7))</f>
        <v>Seafood</v>
      </c>
      <c r="U82" s="350" t="s">
        <v>5483</v>
      </c>
      <c r="V82" s="721" t="str">
        <f ca="1">CONCATENATE(INDEX($AD$99:$AD$108,RANDBETWEEN(1,10))," ",IF($T$82=$AB$99,INDEX($AR$99:$AR$118,RANDBETWEEN(1,20)),IF($T$82=$AB$100,INDEX($AO$99:$AO$118,RANDBETWEEN(1,20)),IF($T$82=$AB$101,INDEX($AS$99:$AS$118,RANDBETWEEN(1,20)),IF($T$82=$AB$102,INDEX($AL$99:$AL$118,RANDBETWEEN(1,20)),IF($T$82=$AB$103,INDEX($AQ$99:$AQ$118,RANDBETWEEN(1,20)),IF($T$82=$AB$104,INDEX($AP$99:$AP$118,RANDBETWEEN(1,20)),IF($T$82=$AB$105,INDEX($AT$99:$AT$118,RANDBETWEEN(1,20)),"")))))))," and ",IF($T$83=$AC$99,INDEX($AI$99:$AI$104,RANDBETWEEN(1,6)),IF($T$83=$AC$100,INDEX($AJ$99:$AJ$110,RANDBETWEEN(1,12)),IF($T$83=$AC$101,INDEX($AK$99:$AK$102,RANDBETWEEN(1,4)),IF($T$83=$AC$102,INDEX($AL$99:$AL$118,RANDBETWEEN(1,20))))))," on ",IF($T$81=$AE$99,INDEX($AV$99:$AV$110,RANDBETWEEN(1,12)),$T$81))</f>
        <v>Grilled Clams and Pixie parts on a Leaf</v>
      </c>
      <c r="W82" s="722"/>
      <c r="X82" s="216" t="str">
        <f ca="1">INDEX($AB$99:$AB$105,RANDBETWEEN(1,7))</f>
        <v>Unusual Seafood</v>
      </c>
    </row>
    <row r="83" spans="1:24" ht="35.1" customHeight="1" thickBot="1">
      <c r="A83" s="348" t="s">
        <v>5484</v>
      </c>
      <c r="B83" s="723" t="str">
        <f ca="1">INDEX($AF$99:$AF$106,RANDBETWEEN(1,8))</f>
        <v>Mead</v>
      </c>
      <c r="C83" s="724"/>
      <c r="D83" s="218" t="str">
        <f ca="1">INDEX($AC$99:$AC$102,RANDBETWEEN(1,4))</f>
        <v>Sour</v>
      </c>
      <c r="E83" s="348" t="s">
        <v>5484</v>
      </c>
      <c r="F83" s="723" t="str">
        <f ca="1">INDEX($AF$99:$AF$106,RANDBETWEEN(1,8))</f>
        <v>Spirits</v>
      </c>
      <c r="G83" s="724"/>
      <c r="H83" s="218" t="str">
        <f ca="1">INDEX($AC$99:$AC$102,RANDBETWEEN(1,4))</f>
        <v>Savory</v>
      </c>
      <c r="I83" s="348" t="s">
        <v>5484</v>
      </c>
      <c r="J83" s="723" t="str">
        <f ca="1">INDEX($AF$99:$AF$106,RANDBETWEEN(1,8))</f>
        <v>Spirits</v>
      </c>
      <c r="K83" s="724"/>
      <c r="L83" s="218" t="str">
        <f ca="1">INDEX($AC$99:$AC$102,RANDBETWEEN(1,4))</f>
        <v>Savory</v>
      </c>
      <c r="M83" s="348" t="s">
        <v>5484</v>
      </c>
      <c r="N83" s="723" t="str">
        <f ca="1">INDEX($AF$99:$AF$106,RANDBETWEEN(1,8))</f>
        <v>Beer</v>
      </c>
      <c r="O83" s="724"/>
      <c r="P83" s="218" t="str">
        <f ca="1">INDEX($AC$99:$AC$102,RANDBETWEEN(1,4))</f>
        <v>Savory</v>
      </c>
      <c r="Q83" s="181" t="s">
        <v>5484</v>
      </c>
      <c r="R83" s="723" t="str">
        <f ca="1">INDEX($AF$99:$AF$106,RANDBETWEEN(1,8))</f>
        <v>Milk</v>
      </c>
      <c r="S83" s="724"/>
      <c r="T83" s="218" t="str">
        <f ca="1">INDEX($AC$99:$AC$102,RANDBETWEEN(1,4))</f>
        <v>Sweet</v>
      </c>
      <c r="U83" s="348" t="s">
        <v>5484</v>
      </c>
      <c r="V83" s="723" t="str">
        <f ca="1">INDEX($AF$99:$AF$106,RANDBETWEEN(1,8))</f>
        <v>Milk</v>
      </c>
      <c r="W83" s="724"/>
      <c r="X83" s="366" t="str">
        <f ca="1">INDEX($AC$99:$AC$102,RANDBETWEEN(1,4))</f>
        <v>Spicy</v>
      </c>
    </row>
    <row r="84" spans="1:24" ht="35.1" customHeight="1">
      <c r="A84" s="185"/>
      <c r="B84" s="185"/>
      <c r="C84" s="185"/>
      <c r="D84" s="219"/>
      <c r="E84" s="185"/>
      <c r="F84" s="185"/>
      <c r="G84" s="185"/>
      <c r="H84" s="185"/>
      <c r="I84" s="185"/>
      <c r="J84" s="185"/>
      <c r="K84" s="185"/>
      <c r="L84" s="219"/>
      <c r="M84" s="185"/>
      <c r="N84" s="185"/>
      <c r="O84" s="185"/>
      <c r="P84" s="219"/>
      <c r="Q84" s="185"/>
      <c r="R84" s="185"/>
      <c r="S84" s="185"/>
      <c r="T84" s="185"/>
      <c r="U84" s="185"/>
      <c r="V84" s="185"/>
      <c r="W84" s="185"/>
      <c r="X84" s="88"/>
    </row>
    <row r="98" spans="1:48" ht="15.75">
      <c r="A98" s="196" t="s">
        <v>4168</v>
      </c>
      <c r="B98" s="196" t="s">
        <v>4169</v>
      </c>
      <c r="C98" s="196" t="s">
        <v>4170</v>
      </c>
      <c r="D98" s="196" t="s">
        <v>4171</v>
      </c>
      <c r="E98" s="196" t="s">
        <v>4172</v>
      </c>
      <c r="F98" s="196" t="s">
        <v>4173</v>
      </c>
      <c r="G98" s="196" t="s">
        <v>4174</v>
      </c>
      <c r="H98" s="196" t="s">
        <v>4175</v>
      </c>
      <c r="I98" s="196" t="s">
        <v>4176</v>
      </c>
      <c r="J98" s="196"/>
      <c r="N98" s="196" t="s">
        <v>4667</v>
      </c>
      <c r="O98" s="196" t="s">
        <v>4668</v>
      </c>
      <c r="P98" s="196" t="s">
        <v>4669</v>
      </c>
      <c r="Q98" s="196" t="s">
        <v>4670</v>
      </c>
      <c r="R98" s="196" t="s">
        <v>4671</v>
      </c>
      <c r="S98" s="196" t="s">
        <v>4672</v>
      </c>
      <c r="T98" s="196" t="s">
        <v>4673</v>
      </c>
      <c r="U98" s="196" t="s">
        <v>4674</v>
      </c>
      <c r="V98" s="196" t="s">
        <v>4675</v>
      </c>
      <c r="W98" s="196" t="s">
        <v>4676</v>
      </c>
      <c r="AB98" s="196" t="s">
        <v>5302</v>
      </c>
      <c r="AC98" s="196" t="s">
        <v>5304</v>
      </c>
      <c r="AD98" s="196" t="s">
        <v>5305</v>
      </c>
      <c r="AE98" s="196" t="s">
        <v>5306</v>
      </c>
      <c r="AF98" s="196" t="s">
        <v>5307</v>
      </c>
      <c r="AG98" s="196"/>
      <c r="AH98" s="196"/>
      <c r="AI98" s="196" t="s">
        <v>5308</v>
      </c>
      <c r="AJ98" s="196" t="s">
        <v>5309</v>
      </c>
      <c r="AK98" s="196" t="s">
        <v>5311</v>
      </c>
      <c r="AL98" s="196" t="s">
        <v>5314</v>
      </c>
      <c r="AM98" s="196"/>
      <c r="AN98" s="196"/>
      <c r="AO98" s="196" t="s">
        <v>5312</v>
      </c>
      <c r="AP98" s="196" t="s">
        <v>5313</v>
      </c>
      <c r="AQ98" s="196" t="s">
        <v>5315</v>
      </c>
      <c r="AR98" s="196" t="s">
        <v>5316</v>
      </c>
      <c r="AS98" s="196" t="s">
        <v>884</v>
      </c>
      <c r="AT98" s="196" t="s">
        <v>5317</v>
      </c>
      <c r="AU98" s="196"/>
      <c r="AV98" s="196" t="s">
        <v>5318</v>
      </c>
    </row>
    <row r="99" spans="1:48" ht="15.75">
      <c r="A99" s="184" t="s">
        <v>4086</v>
      </c>
      <c r="B99" s="184" t="s">
        <v>4093</v>
      </c>
      <c r="C99" s="184" t="s">
        <v>4103</v>
      </c>
      <c r="D99" s="184" t="s">
        <v>6008</v>
      </c>
      <c r="E99" s="184" t="s">
        <v>4123</v>
      </c>
      <c r="F99" s="184" t="s">
        <v>4131</v>
      </c>
      <c r="G99" s="184" t="s">
        <v>4139</v>
      </c>
      <c r="H99" s="184" t="s">
        <v>4147</v>
      </c>
      <c r="I99" s="184" t="s">
        <v>4155</v>
      </c>
      <c r="J99" s="184"/>
      <c r="N99" s="184" t="s">
        <v>4511</v>
      </c>
      <c r="O99" s="184" t="s">
        <v>4561</v>
      </c>
      <c r="P99" s="184" t="s">
        <v>4571</v>
      </c>
      <c r="Q99" s="184" t="s">
        <v>4583</v>
      </c>
      <c r="R99" s="184" t="s">
        <v>4589</v>
      </c>
      <c r="S99" s="184" t="s">
        <v>4594</v>
      </c>
      <c r="T99" s="184" t="s">
        <v>4600</v>
      </c>
      <c r="U99" s="184" t="s">
        <v>4608</v>
      </c>
      <c r="V99" s="184" t="s">
        <v>4613</v>
      </c>
      <c r="W99" s="184" t="s">
        <v>4617</v>
      </c>
      <c r="AB99" s="184" t="s">
        <v>5316</v>
      </c>
      <c r="AC99" s="184" t="s">
        <v>5319</v>
      </c>
      <c r="AD99" s="184" t="s">
        <v>5320</v>
      </c>
      <c r="AE99" s="184" t="s">
        <v>770</v>
      </c>
      <c r="AF99" s="184" t="s">
        <v>5331</v>
      </c>
      <c r="AG99" s="184"/>
      <c r="AH99" s="184"/>
      <c r="AI99" s="184" t="s">
        <v>5332</v>
      </c>
      <c r="AJ99" s="184" t="s">
        <v>5333</v>
      </c>
      <c r="AK99" s="184" t="s">
        <v>5334</v>
      </c>
      <c r="AL99" s="184" t="s">
        <v>5335</v>
      </c>
      <c r="AM99" s="184"/>
      <c r="AN99" s="184"/>
      <c r="AO99" s="184" t="s">
        <v>5336</v>
      </c>
      <c r="AP99" s="184" t="s">
        <v>5337</v>
      </c>
      <c r="AQ99" s="184" t="s">
        <v>5338</v>
      </c>
      <c r="AR99" s="184" t="s">
        <v>5339</v>
      </c>
      <c r="AS99" s="184" t="s">
        <v>824</v>
      </c>
      <c r="AT99" s="184" t="s">
        <v>699</v>
      </c>
      <c r="AU99" s="184"/>
      <c r="AV99" s="184" t="s">
        <v>5470</v>
      </c>
    </row>
    <row r="100" spans="1:48" ht="15.75">
      <c r="A100" s="184" t="s">
        <v>4087</v>
      </c>
      <c r="B100" s="184" t="s">
        <v>4094</v>
      </c>
      <c r="C100" s="184" t="s">
        <v>4104</v>
      </c>
      <c r="D100" s="184" t="s">
        <v>6009</v>
      </c>
      <c r="E100" s="184" t="s">
        <v>4124</v>
      </c>
      <c r="F100" s="184" t="s">
        <v>4132</v>
      </c>
      <c r="G100" s="184" t="s">
        <v>4140</v>
      </c>
      <c r="H100" s="184" t="s">
        <v>4148</v>
      </c>
      <c r="I100" s="184" t="s">
        <v>4156</v>
      </c>
      <c r="J100" s="184"/>
      <c r="N100" s="184" t="s">
        <v>4512</v>
      </c>
      <c r="O100" s="184" t="s">
        <v>4562</v>
      </c>
      <c r="P100" s="184" t="s">
        <v>4572</v>
      </c>
      <c r="Q100" s="184" t="s">
        <v>4584</v>
      </c>
      <c r="R100" s="184" t="s">
        <v>4590</v>
      </c>
      <c r="S100" s="184" t="s">
        <v>4595</v>
      </c>
      <c r="T100" s="184" t="s">
        <v>4601</v>
      </c>
      <c r="U100" s="184" t="s">
        <v>4609</v>
      </c>
      <c r="V100" s="184" t="s">
        <v>4614</v>
      </c>
      <c r="W100" s="184" t="s">
        <v>4618</v>
      </c>
      <c r="AB100" s="184" t="s">
        <v>5312</v>
      </c>
      <c r="AC100" s="184" t="s">
        <v>5321</v>
      </c>
      <c r="AD100" s="184" t="s">
        <v>5322</v>
      </c>
      <c r="AE100" s="184" t="str">
        <f ca="1">CHOOSE(RANDBETWEEN(1,2),"a Leaf","a Skewer")</f>
        <v>a Leaf</v>
      </c>
      <c r="AF100" s="184" t="s">
        <v>5340</v>
      </c>
      <c r="AG100" s="184"/>
      <c r="AH100" s="184"/>
      <c r="AI100" s="184" t="s">
        <v>5341</v>
      </c>
      <c r="AJ100" s="184" t="s">
        <v>5342</v>
      </c>
      <c r="AK100" s="184" t="s">
        <v>5343</v>
      </c>
      <c r="AL100" s="184" t="s">
        <v>5344</v>
      </c>
      <c r="AM100" s="184"/>
      <c r="AN100" s="184"/>
      <c r="AO100" s="184" t="s">
        <v>5345</v>
      </c>
      <c r="AP100" s="184" t="s">
        <v>5346</v>
      </c>
      <c r="AQ100" s="184" t="s">
        <v>5347</v>
      </c>
      <c r="AR100" s="184" t="s">
        <v>5348</v>
      </c>
      <c r="AS100" s="184" t="s">
        <v>833</v>
      </c>
      <c r="AT100" s="184" t="s">
        <v>701</v>
      </c>
      <c r="AU100" s="184"/>
      <c r="AV100" s="184" t="s">
        <v>5471</v>
      </c>
    </row>
    <row r="101" spans="1:48" ht="15.75">
      <c r="A101" s="184" t="str">
        <f ca="1">CONCATENATE("A large plaza in the shape of a ",CHOOSE(RANDBETWEEN(1,4),"perfect square","trapezoid","triangle","pentagon"))</f>
        <v>A large plaza in the shape of a triangle</v>
      </c>
      <c r="B101" s="184" t="s">
        <v>4095</v>
      </c>
      <c r="C101" s="184" t="s">
        <v>4105</v>
      </c>
      <c r="D101" s="184" t="s">
        <v>6010</v>
      </c>
      <c r="E101" s="184" t="s">
        <v>4125</v>
      </c>
      <c r="F101" s="184" t="s">
        <v>4133</v>
      </c>
      <c r="G101" s="184" t="s">
        <v>4141</v>
      </c>
      <c r="H101" s="184" t="s">
        <v>4149</v>
      </c>
      <c r="I101" s="184" t="s">
        <v>4157</v>
      </c>
      <c r="J101" s="184"/>
      <c r="N101" s="184" t="s">
        <v>4513</v>
      </c>
      <c r="O101" s="184" t="s">
        <v>4563</v>
      </c>
      <c r="P101" s="184" t="s">
        <v>4573</v>
      </c>
      <c r="Q101" s="184" t="s">
        <v>4585</v>
      </c>
      <c r="R101" s="184" t="s">
        <v>4591</v>
      </c>
      <c r="S101" s="184" t="s">
        <v>4596</v>
      </c>
      <c r="T101" s="184" t="s">
        <v>4602</v>
      </c>
      <c r="U101" s="184" t="s">
        <v>4610</v>
      </c>
      <c r="V101" s="184" t="s">
        <v>4615</v>
      </c>
      <c r="W101" s="184" t="s">
        <v>4619</v>
      </c>
      <c r="AB101" s="184" t="s">
        <v>5323</v>
      </c>
      <c r="AC101" s="184" t="s">
        <v>5324</v>
      </c>
      <c r="AD101" s="184" t="s">
        <v>5325</v>
      </c>
      <c r="AE101" s="184" t="s">
        <v>5486</v>
      </c>
      <c r="AF101" s="184" t="s">
        <v>596</v>
      </c>
      <c r="AG101" s="184"/>
      <c r="AH101" s="184"/>
      <c r="AI101" s="184" t="s">
        <v>801</v>
      </c>
      <c r="AJ101" s="184" t="s">
        <v>5349</v>
      </c>
      <c r="AK101" s="184" t="str">
        <f ca="1">CONCATENATE("Sour ",INDEX($AO$99:$AO$118,RANDBETWEEN(1,20))," Juice")</f>
        <v>Sour  Blueberries Juice</v>
      </c>
      <c r="AL101" s="184" t="s">
        <v>5350</v>
      </c>
      <c r="AM101" s="184"/>
      <c r="AN101" s="184"/>
      <c r="AO101" s="184" t="s">
        <v>5351</v>
      </c>
      <c r="AP101" s="184" t="s">
        <v>5352</v>
      </c>
      <c r="AQ101" s="184" t="s">
        <v>5353</v>
      </c>
      <c r="AR101" s="184" t="s">
        <v>5354</v>
      </c>
      <c r="AS101" s="184" t="s">
        <v>5355</v>
      </c>
      <c r="AT101" s="184" t="s">
        <v>562</v>
      </c>
      <c r="AU101" s="184"/>
      <c r="AV101" s="184" t="s">
        <v>5472</v>
      </c>
    </row>
    <row r="102" spans="1:48" ht="15.75">
      <c r="A102" s="184" t="s">
        <v>4088</v>
      </c>
      <c r="B102" s="184" t="s">
        <v>4096</v>
      </c>
      <c r="C102" s="184" t="s">
        <v>4106</v>
      </c>
      <c r="D102" s="184" t="s">
        <v>6011</v>
      </c>
      <c r="E102" s="184" t="s">
        <v>4126</v>
      </c>
      <c r="F102" s="184" t="s">
        <v>4134</v>
      </c>
      <c r="G102" s="184" t="s">
        <v>4142</v>
      </c>
      <c r="H102" s="184" t="s">
        <v>4150</v>
      </c>
      <c r="I102" s="184" t="s">
        <v>4158</v>
      </c>
      <c r="J102" s="184"/>
      <c r="N102" s="184" t="s">
        <v>4514</v>
      </c>
      <c r="O102" s="184" t="s">
        <v>4564</v>
      </c>
      <c r="P102" s="184" t="s">
        <v>4574</v>
      </c>
      <c r="Q102" s="184" t="s">
        <v>4586</v>
      </c>
      <c r="R102" s="184" t="s">
        <v>4592</v>
      </c>
      <c r="S102" s="184" t="s">
        <v>4597</v>
      </c>
      <c r="T102" s="184" t="s">
        <v>4603</v>
      </c>
      <c r="U102" s="184" t="s">
        <v>4611</v>
      </c>
      <c r="V102" s="184" t="s">
        <v>4616</v>
      </c>
      <c r="W102" s="184" t="s">
        <v>4620</v>
      </c>
      <c r="AB102" s="184" t="s">
        <v>5469</v>
      </c>
      <c r="AC102" s="184" t="s">
        <v>5314</v>
      </c>
      <c r="AD102" s="184" t="s">
        <v>5326</v>
      </c>
      <c r="AE102" s="184" t="s">
        <v>5327</v>
      </c>
      <c r="AF102" s="184" t="str">
        <f ca="1">CHOOSE(RANDBETWEEN(1,2),"Milk","Kiefer")</f>
        <v>Milk</v>
      </c>
      <c r="AG102" s="184"/>
      <c r="AH102" s="184"/>
      <c r="AI102" s="184" t="str">
        <f ca="1">CONCATENATE(INDEX($AO$99:$AO$118,RANDBETWEEN(1,20))," Glaze")</f>
        <v xml:space="preserve"> Watermelon Glaze</v>
      </c>
      <c r="AJ102" s="184" t="s">
        <v>5356</v>
      </c>
      <c r="AK102" s="184" t="str">
        <f ca="1">CONCATENATE(CHOOSE(RANDBETWEEN(1,3),"Red Wine","White Wine",INDEX($AO$99:$AO$104,RANDBETWEEN(1,6)))," Vinegar")</f>
        <v>Red Wine Vinegar</v>
      </c>
      <c r="AL102" s="184" t="s">
        <v>5357</v>
      </c>
      <c r="AM102" s="184"/>
      <c r="AN102" s="184"/>
      <c r="AO102" s="184" t="s">
        <v>5358</v>
      </c>
      <c r="AP102" s="184" t="s">
        <v>5359</v>
      </c>
      <c r="AQ102" s="184" t="s">
        <v>5360</v>
      </c>
      <c r="AR102" s="184" t="s">
        <v>5361</v>
      </c>
      <c r="AS102" s="184" t="s">
        <v>5362</v>
      </c>
      <c r="AT102" s="184" t="s">
        <v>546</v>
      </c>
      <c r="AU102" s="184"/>
      <c r="AV102" s="184" t="s">
        <v>5473</v>
      </c>
    </row>
    <row r="103" spans="1:48" ht="15.75">
      <c r="A103" s="184" t="s">
        <v>4089</v>
      </c>
      <c r="B103" s="184" t="s">
        <v>4097</v>
      </c>
      <c r="C103" s="184" t="s">
        <v>4107</v>
      </c>
      <c r="D103" s="184" t="s">
        <v>6012</v>
      </c>
      <c r="E103" s="184" t="s">
        <v>4127</v>
      </c>
      <c r="F103" s="184" t="s">
        <v>4135</v>
      </c>
      <c r="G103" s="184" t="s">
        <v>4143</v>
      </c>
      <c r="H103" s="184" t="s">
        <v>4151</v>
      </c>
      <c r="I103" s="184"/>
      <c r="J103" s="184"/>
      <c r="N103" s="184" t="s">
        <v>4515</v>
      </c>
      <c r="O103" s="184" t="s">
        <v>4565</v>
      </c>
      <c r="P103" s="184" t="s">
        <v>4575</v>
      </c>
      <c r="Q103" s="184" t="s">
        <v>4587</v>
      </c>
      <c r="R103" s="184" t="s">
        <v>1030</v>
      </c>
      <c r="S103" s="184" t="s">
        <v>4598</v>
      </c>
      <c r="T103" s="184" t="s">
        <v>4604</v>
      </c>
      <c r="U103" s="184" t="s">
        <v>4612</v>
      </c>
      <c r="V103" s="184"/>
      <c r="W103" s="184" t="s">
        <v>4621</v>
      </c>
      <c r="AB103" s="184" t="s">
        <v>5315</v>
      </c>
      <c r="AC103" s="184"/>
      <c r="AD103" s="184" t="s">
        <v>5328</v>
      </c>
      <c r="AE103" s="184"/>
      <c r="AF103" s="184" t="str">
        <f ca="1">CHOOSE(RANDBETWEEN(1,3),"Coffee","Tea","Chocolate")</f>
        <v>Coffee</v>
      </c>
      <c r="AG103" s="184"/>
      <c r="AH103" s="184"/>
      <c r="AI103" s="184" t="str">
        <f ca="1">CONCATENATE(INDEX($AO$99:$AO$118,RANDBETWEEN(1,20))," Jam")</f>
        <v>Apple Jam</v>
      </c>
      <c r="AJ103" s="184" t="s">
        <v>5363</v>
      </c>
      <c r="AK103" s="184"/>
      <c r="AL103" s="184" t="s">
        <v>5364</v>
      </c>
      <c r="AM103" s="184"/>
      <c r="AN103" s="184"/>
      <c r="AO103" s="184" t="s">
        <v>551</v>
      </c>
      <c r="AP103" s="184" t="s">
        <v>5365</v>
      </c>
      <c r="AQ103" s="184" t="s">
        <v>5366</v>
      </c>
      <c r="AR103" s="184" t="s">
        <v>5367</v>
      </c>
      <c r="AS103" s="184" t="s">
        <v>5368</v>
      </c>
      <c r="AT103" s="184" t="s">
        <v>5369</v>
      </c>
      <c r="AU103" s="184"/>
      <c r="AV103" s="184" t="s">
        <v>5474</v>
      </c>
    </row>
    <row r="104" spans="1:48" ht="15.75">
      <c r="A104" s="184" t="s">
        <v>4090</v>
      </c>
      <c r="B104" s="184" t="s">
        <v>4098</v>
      </c>
      <c r="C104" s="184" t="s">
        <v>4108</v>
      </c>
      <c r="D104" s="184" t="s">
        <v>6013</v>
      </c>
      <c r="E104" s="184" t="s">
        <v>4128</v>
      </c>
      <c r="F104" s="184" t="s">
        <v>4136</v>
      </c>
      <c r="G104" s="184" t="s">
        <v>4144</v>
      </c>
      <c r="H104" s="184" t="s">
        <v>4152</v>
      </c>
      <c r="I104" s="184"/>
      <c r="J104" s="184"/>
      <c r="N104" s="184" t="s">
        <v>4516</v>
      </c>
      <c r="O104" s="184" t="s">
        <v>4566</v>
      </c>
      <c r="P104" s="184" t="s">
        <v>4576</v>
      </c>
      <c r="Q104" s="184" t="s">
        <v>4588</v>
      </c>
      <c r="R104" s="184" t="s">
        <v>4593</v>
      </c>
      <c r="S104" s="184" t="s">
        <v>4599</v>
      </c>
      <c r="T104" s="184" t="s">
        <v>4605</v>
      </c>
      <c r="U104" s="184"/>
      <c r="V104" s="184"/>
      <c r="W104" s="184" t="s">
        <v>4622</v>
      </c>
      <c r="AB104" s="184" t="s">
        <v>5313</v>
      </c>
      <c r="AC104" s="184"/>
      <c r="AD104" s="184" t="s">
        <v>5329</v>
      </c>
      <c r="AE104" s="184"/>
      <c r="AF104" s="184" t="s">
        <v>5370</v>
      </c>
      <c r="AG104" s="184"/>
      <c r="AH104" s="184"/>
      <c r="AI104" s="184" t="s">
        <v>5310</v>
      </c>
      <c r="AJ104" s="184" t="s">
        <v>5371</v>
      </c>
      <c r="AK104" s="184"/>
      <c r="AL104" s="184" t="s">
        <v>5372</v>
      </c>
      <c r="AM104" s="184"/>
      <c r="AN104" s="184"/>
      <c r="AO104" s="184" t="s">
        <v>5373</v>
      </c>
      <c r="AP104" s="184" t="s">
        <v>5374</v>
      </c>
      <c r="AQ104" s="184" t="s">
        <v>841</v>
      </c>
      <c r="AR104" s="184" t="s">
        <v>5375</v>
      </c>
      <c r="AS104" s="184" t="s">
        <v>722</v>
      </c>
      <c r="AT104" s="184" t="s">
        <v>550</v>
      </c>
      <c r="AU104" s="184"/>
      <c r="AV104" s="184" t="s">
        <v>5475</v>
      </c>
    </row>
    <row r="105" spans="1:48" ht="15.75">
      <c r="A105" s="184" t="s">
        <v>4091</v>
      </c>
      <c r="B105" s="184" t="s">
        <v>4099</v>
      </c>
      <c r="C105" s="184" t="s">
        <v>4109</v>
      </c>
      <c r="D105" s="184" t="s">
        <v>6014</v>
      </c>
      <c r="E105" s="184" t="s">
        <v>4129</v>
      </c>
      <c r="F105" s="184" t="s">
        <v>4137</v>
      </c>
      <c r="G105" s="184" t="s">
        <v>4145</v>
      </c>
      <c r="H105" s="184" t="s">
        <v>4153</v>
      </c>
      <c r="I105" s="184"/>
      <c r="J105" s="184"/>
      <c r="N105" s="184" t="s">
        <v>4517</v>
      </c>
      <c r="O105" s="184" t="s">
        <v>4567</v>
      </c>
      <c r="P105" s="184" t="s">
        <v>4577</v>
      </c>
      <c r="Q105" s="184"/>
      <c r="R105" s="184"/>
      <c r="S105" s="184"/>
      <c r="T105" s="184" t="s">
        <v>4606</v>
      </c>
      <c r="U105" s="184"/>
      <c r="V105" s="184"/>
      <c r="W105" s="184" t="s">
        <v>4623</v>
      </c>
      <c r="AB105" s="184" t="s">
        <v>5468</v>
      </c>
      <c r="AC105" s="184"/>
      <c r="AD105" s="184" t="s">
        <v>5330</v>
      </c>
      <c r="AE105" s="184"/>
      <c r="AF105" s="184" t="s">
        <v>593</v>
      </c>
      <c r="AG105" s="184"/>
      <c r="AH105" s="184"/>
      <c r="AI105" s="184"/>
      <c r="AJ105" s="184" t="s">
        <v>5376</v>
      </c>
      <c r="AK105" s="184"/>
      <c r="AL105" s="184" t="s">
        <v>5377</v>
      </c>
      <c r="AM105" s="184"/>
      <c r="AN105" s="184"/>
      <c r="AO105" s="184" t="s">
        <v>5378</v>
      </c>
      <c r="AP105" s="184" t="str">
        <f ca="1">CONCATENATE(CHOOSE(RANDBETWEEN(1,4),"black","red","string","white")," beans")</f>
        <v>string beans</v>
      </c>
      <c r="AQ105" s="184" t="s">
        <v>5379</v>
      </c>
      <c r="AR105" s="184" t="s">
        <v>5380</v>
      </c>
      <c r="AS105" s="184" t="s">
        <v>720</v>
      </c>
      <c r="AT105" s="184" t="s">
        <v>5381</v>
      </c>
      <c r="AU105" s="184"/>
      <c r="AV105" s="184" t="s">
        <v>5476</v>
      </c>
    </row>
    <row r="106" spans="1:48" ht="15.75">
      <c r="A106" s="184" t="s">
        <v>4092</v>
      </c>
      <c r="B106" s="184" t="s">
        <v>4100</v>
      </c>
      <c r="C106" s="184" t="s">
        <v>4110</v>
      </c>
      <c r="D106" s="184" t="s">
        <v>6015</v>
      </c>
      <c r="E106" s="184" t="s">
        <v>4130</v>
      </c>
      <c r="F106" s="184" t="s">
        <v>4138</v>
      </c>
      <c r="G106" s="184" t="s">
        <v>4146</v>
      </c>
      <c r="H106" s="184" t="s">
        <v>4154</v>
      </c>
      <c r="I106" s="184"/>
      <c r="J106" s="184"/>
      <c r="N106" s="184" t="s">
        <v>4518</v>
      </c>
      <c r="O106" s="184" t="s">
        <v>4568</v>
      </c>
      <c r="P106" s="184" t="s">
        <v>4578</v>
      </c>
      <c r="Q106" s="184"/>
      <c r="R106" s="184"/>
      <c r="S106" s="184"/>
      <c r="T106" s="184" t="s">
        <v>4607</v>
      </c>
      <c r="U106" s="184"/>
      <c r="V106" s="184"/>
      <c r="W106" s="184" t="s">
        <v>4624</v>
      </c>
      <c r="AB106" s="184"/>
      <c r="AC106" s="184"/>
      <c r="AD106" s="184" t="s">
        <v>5382</v>
      </c>
      <c r="AE106" s="184"/>
      <c r="AF106" s="184" t="str">
        <f ca="1">CHOOSE(RANDBETWEEN(1,2),"Spirits","Cocktails")</f>
        <v>Spirits</v>
      </c>
      <c r="AG106" s="184"/>
      <c r="AH106" s="184"/>
      <c r="AI106" s="184"/>
      <c r="AJ106" s="184" t="s">
        <v>5383</v>
      </c>
      <c r="AK106" s="184"/>
      <c r="AL106" s="184" t="s">
        <v>5384</v>
      </c>
      <c r="AM106" s="184"/>
      <c r="AN106" s="184"/>
      <c r="AO106" s="184" t="s">
        <v>5385</v>
      </c>
      <c r="AP106" s="184" t="str">
        <f ca="1">CONCATENATE(CHOOSE(RANDBETWEEN(1,4),"bell","chili","hot","sweet")," peppers")</f>
        <v>bell peppers</v>
      </c>
      <c r="AQ106" s="184" t="s">
        <v>5386</v>
      </c>
      <c r="AR106" s="184" t="s">
        <v>622</v>
      </c>
      <c r="AS106" s="184" t="s">
        <v>839</v>
      </c>
      <c r="AT106" s="184" t="s">
        <v>652</v>
      </c>
      <c r="AU106" s="184"/>
      <c r="AV106" s="184" t="s">
        <v>5477</v>
      </c>
    </row>
    <row r="107" spans="1:48" ht="15.75">
      <c r="A107" s="184"/>
      <c r="B107" s="184" t="s">
        <v>4101</v>
      </c>
      <c r="C107" s="184" t="s">
        <v>4111</v>
      </c>
      <c r="D107" s="184" t="s">
        <v>6016</v>
      </c>
      <c r="E107" s="184"/>
      <c r="F107" s="184"/>
      <c r="G107" s="184"/>
      <c r="H107" s="184"/>
      <c r="I107" s="184"/>
      <c r="J107" s="184"/>
      <c r="N107" s="184" t="s">
        <v>4519</v>
      </c>
      <c r="O107" s="184" t="s">
        <v>4569</v>
      </c>
      <c r="P107" s="184" t="s">
        <v>4579</v>
      </c>
      <c r="Q107" s="184"/>
      <c r="R107" s="184"/>
      <c r="S107" s="184"/>
      <c r="T107" s="184"/>
      <c r="U107" s="184"/>
      <c r="V107" s="184"/>
      <c r="W107" s="184" t="s">
        <v>4625</v>
      </c>
      <c r="AB107" s="184"/>
      <c r="AC107" s="184"/>
      <c r="AD107" s="184" t="s">
        <v>5387</v>
      </c>
      <c r="AE107" s="184"/>
      <c r="AF107" s="184"/>
      <c r="AG107" s="184"/>
      <c r="AH107" s="184"/>
      <c r="AI107" s="184"/>
      <c r="AJ107" s="184" t="s">
        <v>5388</v>
      </c>
      <c r="AK107" s="184"/>
      <c r="AL107" s="184" t="s">
        <v>5389</v>
      </c>
      <c r="AM107" s="184"/>
      <c r="AN107" s="184"/>
      <c r="AO107" s="184" t="s">
        <v>595</v>
      </c>
      <c r="AP107" s="184" t="str">
        <f ca="1">CONCATENATE(CHOOSE(RANDBETWEEN(1,4),"green","red","sweet","yellow")," onions")</f>
        <v>sweet onions</v>
      </c>
      <c r="AQ107" s="184" t="s">
        <v>5390</v>
      </c>
      <c r="AR107" s="184" t="s">
        <v>5391</v>
      </c>
      <c r="AS107" s="184" t="s">
        <v>594</v>
      </c>
      <c r="AT107" s="184" t="s">
        <v>658</v>
      </c>
      <c r="AU107" s="184"/>
      <c r="AV107" s="184" t="s">
        <v>5478</v>
      </c>
    </row>
    <row r="108" spans="1:48" ht="15.75">
      <c r="A108" s="184"/>
      <c r="B108" s="184" t="s">
        <v>4102</v>
      </c>
      <c r="C108" s="184" t="s">
        <v>4112</v>
      </c>
      <c r="D108" s="184" t="s">
        <v>6017</v>
      </c>
      <c r="E108" s="184"/>
      <c r="F108" s="184"/>
      <c r="G108" s="184"/>
      <c r="H108" s="184"/>
      <c r="I108" s="184"/>
      <c r="J108" s="184"/>
      <c r="N108" s="184" t="s">
        <v>4520</v>
      </c>
      <c r="O108" s="184" t="s">
        <v>4570</v>
      </c>
      <c r="P108" s="184" t="s">
        <v>4580</v>
      </c>
      <c r="Q108" s="184"/>
      <c r="R108" s="184"/>
      <c r="S108" s="184"/>
      <c r="T108" s="184"/>
      <c r="U108" s="184"/>
      <c r="V108" s="184"/>
      <c r="W108" s="184" t="s">
        <v>4626</v>
      </c>
      <c r="AB108" s="184"/>
      <c r="AC108" s="184"/>
      <c r="AD108" s="184" t="s">
        <v>5392</v>
      </c>
      <c r="AE108" s="184"/>
      <c r="AF108" s="184"/>
      <c r="AG108" s="184"/>
      <c r="AH108" s="184"/>
      <c r="AI108" s="184"/>
      <c r="AJ108" s="184" t="s">
        <v>5393</v>
      </c>
      <c r="AK108" s="184"/>
      <c r="AL108" s="184" t="s">
        <v>5394</v>
      </c>
      <c r="AM108" s="184"/>
      <c r="AN108" s="184"/>
      <c r="AO108" s="184" t="s">
        <v>5395</v>
      </c>
      <c r="AP108" s="184" t="s">
        <v>5396</v>
      </c>
      <c r="AQ108" s="184" t="s">
        <v>5397</v>
      </c>
      <c r="AR108" s="184" t="s">
        <v>5398</v>
      </c>
      <c r="AS108" s="184" t="s">
        <v>5399</v>
      </c>
      <c r="AT108" s="184" t="s">
        <v>5400</v>
      </c>
      <c r="AU108" s="184"/>
      <c r="AV108" s="184" t="s">
        <v>5481</v>
      </c>
    </row>
    <row r="109" spans="1:48" ht="15.75">
      <c r="A109" s="184"/>
      <c r="B109" s="184"/>
      <c r="C109" s="184" t="s">
        <v>4113</v>
      </c>
      <c r="D109" s="184" t="s">
        <v>6018</v>
      </c>
      <c r="E109" s="184"/>
      <c r="F109" s="184"/>
      <c r="G109" s="184"/>
      <c r="H109" s="184"/>
      <c r="I109" s="184"/>
      <c r="J109" s="184"/>
      <c r="N109" s="184" t="s">
        <v>4521</v>
      </c>
      <c r="O109" s="184"/>
      <c r="P109" s="184" t="s">
        <v>4581</v>
      </c>
      <c r="Q109" s="184"/>
      <c r="R109" s="184"/>
      <c r="S109" s="184"/>
      <c r="T109" s="184"/>
      <c r="U109" s="184"/>
      <c r="V109" s="184"/>
      <c r="W109" s="184" t="s">
        <v>4627</v>
      </c>
      <c r="AB109" s="184"/>
      <c r="AC109" s="184"/>
      <c r="AD109" s="184"/>
      <c r="AE109" s="184"/>
      <c r="AF109" s="184"/>
      <c r="AG109" s="184"/>
      <c r="AH109" s="184"/>
      <c r="AI109" s="184"/>
      <c r="AJ109" s="184" t="s">
        <v>5401</v>
      </c>
      <c r="AK109" s="184"/>
      <c r="AL109" s="184" t="s">
        <v>5402</v>
      </c>
      <c r="AM109" s="184"/>
      <c r="AN109" s="184"/>
      <c r="AO109" s="184" t="s">
        <v>5403</v>
      </c>
      <c r="AP109" s="184" t="s">
        <v>5404</v>
      </c>
      <c r="AQ109" s="184" t="s">
        <v>5405</v>
      </c>
      <c r="AR109" s="184" t="s">
        <v>5406</v>
      </c>
      <c r="AS109" s="184" t="s">
        <v>5407</v>
      </c>
      <c r="AT109" s="184" t="s">
        <v>5408</v>
      </c>
      <c r="AU109" s="184"/>
      <c r="AV109" s="184" t="s">
        <v>5479</v>
      </c>
    </row>
    <row r="110" spans="1:48" ht="15.75">
      <c r="A110" s="184"/>
      <c r="B110" s="184"/>
      <c r="C110" s="184" t="s">
        <v>4114</v>
      </c>
      <c r="D110" s="184" t="s">
        <v>6019</v>
      </c>
      <c r="E110" s="184"/>
      <c r="F110" s="184"/>
      <c r="G110" s="184"/>
      <c r="H110" s="184"/>
      <c r="I110" s="184"/>
      <c r="J110" s="184"/>
      <c r="N110" s="184" t="s">
        <v>4522</v>
      </c>
      <c r="O110" s="184"/>
      <c r="P110" s="184" t="s">
        <v>4582</v>
      </c>
      <c r="Q110" s="184"/>
      <c r="R110" s="184"/>
      <c r="S110" s="184"/>
      <c r="T110" s="184"/>
      <c r="U110" s="184"/>
      <c r="V110" s="184"/>
      <c r="W110" s="184" t="s">
        <v>4628</v>
      </c>
      <c r="AB110" s="184"/>
      <c r="AC110" s="184"/>
      <c r="AD110" s="184"/>
      <c r="AE110" s="184"/>
      <c r="AF110" s="184"/>
      <c r="AG110" s="184"/>
      <c r="AH110" s="184"/>
      <c r="AI110" s="184"/>
      <c r="AJ110" s="184" t="s">
        <v>5409</v>
      </c>
      <c r="AK110" s="184"/>
      <c r="AL110" s="184" t="s">
        <v>5410</v>
      </c>
      <c r="AM110" s="184"/>
      <c r="AN110" s="184"/>
      <c r="AO110" s="184" t="s">
        <v>5411</v>
      </c>
      <c r="AP110" s="184" t="str">
        <f ca="1">CONCATENATE(CHOOSE(RANDBETWEEN(1,4),"green","red","purple","white")," cabbage")</f>
        <v>green cabbage</v>
      </c>
      <c r="AQ110" s="184" t="s">
        <v>5412</v>
      </c>
      <c r="AR110" s="184" t="s">
        <v>5413</v>
      </c>
      <c r="AS110" s="184" t="s">
        <v>5414</v>
      </c>
      <c r="AT110" s="184" t="s">
        <v>5415</v>
      </c>
      <c r="AU110" s="184"/>
      <c r="AV110" s="184" t="s">
        <v>5480</v>
      </c>
    </row>
    <row r="111" spans="1:48" ht="15.75">
      <c r="D111" t="s">
        <v>6020</v>
      </c>
      <c r="N111" s="184" t="s">
        <v>4523</v>
      </c>
      <c r="O111" s="184"/>
      <c r="P111" s="184"/>
      <c r="Q111" s="184"/>
      <c r="R111" s="184"/>
      <c r="S111" s="184"/>
      <c r="T111" s="184"/>
      <c r="U111" s="184"/>
      <c r="V111" s="184"/>
      <c r="W111" s="184" t="s">
        <v>4629</v>
      </c>
      <c r="AB111" s="184"/>
      <c r="AC111" s="184"/>
      <c r="AD111" s="184"/>
      <c r="AE111" s="184"/>
      <c r="AF111" s="184"/>
      <c r="AG111" s="184"/>
      <c r="AH111" s="184"/>
      <c r="AI111" s="184"/>
      <c r="AJ111" s="184"/>
      <c r="AK111" s="184"/>
      <c r="AL111" s="184" t="s">
        <v>5416</v>
      </c>
      <c r="AM111" s="184"/>
      <c r="AN111" s="184"/>
      <c r="AO111" s="184" t="s">
        <v>5417</v>
      </c>
      <c r="AP111" s="184" t="s">
        <v>5418</v>
      </c>
      <c r="AQ111" s="184" t="s">
        <v>5419</v>
      </c>
      <c r="AR111" s="184" t="s">
        <v>5420</v>
      </c>
      <c r="AS111" s="184" t="s">
        <v>5421</v>
      </c>
      <c r="AT111" s="184" t="s">
        <v>5422</v>
      </c>
      <c r="AU111" s="184"/>
      <c r="AV111" s="184"/>
    </row>
    <row r="112" spans="1:48" ht="15.75">
      <c r="D112" t="s">
        <v>6021</v>
      </c>
      <c r="N112" s="184" t="s">
        <v>4524</v>
      </c>
      <c r="O112" s="184"/>
      <c r="P112" s="184"/>
      <c r="Q112" s="184"/>
      <c r="R112" s="184"/>
      <c r="S112" s="184"/>
      <c r="T112" s="184"/>
      <c r="U112" s="184"/>
      <c r="V112" s="184"/>
      <c r="W112" s="184" t="s">
        <v>4630</v>
      </c>
      <c r="AB112" s="184"/>
      <c r="AC112" s="184"/>
      <c r="AD112" s="184"/>
      <c r="AE112" s="184"/>
      <c r="AF112" s="184"/>
      <c r="AG112" s="184"/>
      <c r="AH112" s="184"/>
      <c r="AI112" s="184"/>
      <c r="AJ112" s="184"/>
      <c r="AK112" s="184"/>
      <c r="AL112" s="184" t="s">
        <v>5423</v>
      </c>
      <c r="AM112" s="184"/>
      <c r="AN112" s="184"/>
      <c r="AO112" s="184" t="s">
        <v>5424</v>
      </c>
      <c r="AP112" s="184" t="s">
        <v>5425</v>
      </c>
      <c r="AQ112" s="184" t="s">
        <v>5426</v>
      </c>
      <c r="AR112" s="184" t="s">
        <v>5427</v>
      </c>
      <c r="AS112" s="184" t="s">
        <v>5428</v>
      </c>
      <c r="AT112" s="184" t="s">
        <v>5429</v>
      </c>
      <c r="AU112" s="184"/>
      <c r="AV112" s="184"/>
    </row>
    <row r="113" spans="4:48" ht="15.75">
      <c r="D113" t="s">
        <v>6022</v>
      </c>
      <c r="N113" s="184" t="s">
        <v>4525</v>
      </c>
      <c r="O113" s="184"/>
      <c r="P113" s="184"/>
      <c r="Q113" s="184"/>
      <c r="R113" s="184"/>
      <c r="S113" s="184"/>
      <c r="T113" s="184"/>
      <c r="U113" s="184"/>
      <c r="V113" s="184"/>
      <c r="W113" s="184" t="s">
        <v>4631</v>
      </c>
      <c r="AB113" s="184"/>
      <c r="AC113" s="184"/>
      <c r="AD113" s="184"/>
      <c r="AE113" s="184"/>
      <c r="AF113" s="184"/>
      <c r="AG113" s="184"/>
      <c r="AH113" s="184"/>
      <c r="AI113" s="184"/>
      <c r="AJ113" s="184"/>
      <c r="AK113" s="184"/>
      <c r="AL113" s="184" t="s">
        <v>5430</v>
      </c>
      <c r="AM113" s="184"/>
      <c r="AN113" s="184"/>
      <c r="AO113" s="184" t="s">
        <v>5431</v>
      </c>
      <c r="AP113" s="184" t="s">
        <v>5432</v>
      </c>
      <c r="AQ113" s="184" t="s">
        <v>5433</v>
      </c>
      <c r="AR113" s="184" t="s">
        <v>5434</v>
      </c>
      <c r="AS113" s="184" t="s">
        <v>5435</v>
      </c>
      <c r="AT113" s="184" t="s">
        <v>5436</v>
      </c>
      <c r="AU113" s="184"/>
      <c r="AV113" s="184"/>
    </row>
    <row r="114" spans="4:48" ht="15.75">
      <c r="D114" t="s">
        <v>6023</v>
      </c>
      <c r="N114" s="184" t="s">
        <v>4526</v>
      </c>
      <c r="O114" s="184"/>
      <c r="P114" s="184"/>
      <c r="Q114" s="184"/>
      <c r="R114" s="184"/>
      <c r="S114" s="184"/>
      <c r="T114" s="184"/>
      <c r="U114" s="184"/>
      <c r="V114" s="184"/>
      <c r="W114" s="184" t="s">
        <v>4632</v>
      </c>
      <c r="AB114" s="184"/>
      <c r="AC114" s="184"/>
      <c r="AD114" s="184"/>
      <c r="AE114" s="184"/>
      <c r="AF114" s="184"/>
      <c r="AG114" s="184"/>
      <c r="AH114" s="184"/>
      <c r="AI114" s="184"/>
      <c r="AJ114" s="184"/>
      <c r="AK114" s="184"/>
      <c r="AL114" s="184" t="s">
        <v>5437</v>
      </c>
      <c r="AM114" s="184"/>
      <c r="AN114" s="184"/>
      <c r="AO114" s="184" t="s">
        <v>5438</v>
      </c>
      <c r="AP114" s="184" t="s">
        <v>5439</v>
      </c>
      <c r="AQ114" s="184" t="s">
        <v>5440</v>
      </c>
      <c r="AR114" s="184" t="s">
        <v>5441</v>
      </c>
      <c r="AS114" s="184" t="s">
        <v>5442</v>
      </c>
      <c r="AT114" s="184" t="s">
        <v>5443</v>
      </c>
      <c r="AU114" s="184"/>
      <c r="AV114" s="184"/>
    </row>
    <row r="115" spans="4:48" ht="15.75">
      <c r="D115" t="s">
        <v>5303</v>
      </c>
      <c r="N115" s="184" t="s">
        <v>4527</v>
      </c>
      <c r="O115" s="184"/>
      <c r="P115" s="184"/>
      <c r="Q115" s="184"/>
      <c r="R115" s="184"/>
      <c r="S115" s="184"/>
      <c r="T115" s="184"/>
      <c r="U115" s="184"/>
      <c r="V115" s="184"/>
      <c r="W115" s="184" t="s">
        <v>4633</v>
      </c>
      <c r="AB115" s="184"/>
      <c r="AC115" s="184"/>
      <c r="AD115" s="184"/>
      <c r="AE115" s="184"/>
      <c r="AF115" s="184"/>
      <c r="AG115" s="184"/>
      <c r="AH115" s="184"/>
      <c r="AI115" s="184"/>
      <c r="AJ115" s="184"/>
      <c r="AK115" s="184"/>
      <c r="AL115" s="184" t="s">
        <v>5444</v>
      </c>
      <c r="AM115" s="184"/>
      <c r="AN115" s="184"/>
      <c r="AO115" s="184" t="s">
        <v>5445</v>
      </c>
      <c r="AP115" s="184" t="s">
        <v>5446</v>
      </c>
      <c r="AQ115" s="184" t="s">
        <v>5447</v>
      </c>
      <c r="AR115" s="184" t="s">
        <v>5448</v>
      </c>
      <c r="AS115" s="184" t="s">
        <v>5449</v>
      </c>
      <c r="AT115" s="184" t="s">
        <v>5450</v>
      </c>
      <c r="AU115" s="184"/>
      <c r="AV115" s="184"/>
    </row>
    <row r="116" spans="4:48" ht="15.75">
      <c r="D116" t="s">
        <v>6024</v>
      </c>
      <c r="N116" s="184" t="s">
        <v>4528</v>
      </c>
      <c r="O116" s="184"/>
      <c r="P116" s="184"/>
      <c r="Q116" s="184"/>
      <c r="R116" s="184"/>
      <c r="S116" s="184"/>
      <c r="T116" s="184"/>
      <c r="U116" s="184"/>
      <c r="V116" s="184"/>
      <c r="W116" s="184" t="s">
        <v>4634</v>
      </c>
      <c r="AB116" s="184"/>
      <c r="AC116" s="184"/>
      <c r="AD116" s="184"/>
      <c r="AE116" s="184"/>
      <c r="AF116" s="184"/>
      <c r="AG116" s="184"/>
      <c r="AH116" s="184"/>
      <c r="AI116" s="184"/>
      <c r="AJ116" s="184"/>
      <c r="AK116" s="184"/>
      <c r="AL116" s="184" t="s">
        <v>5451</v>
      </c>
      <c r="AM116" s="184"/>
      <c r="AN116" s="184"/>
      <c r="AO116" s="184" t="s">
        <v>5452</v>
      </c>
      <c r="AP116" s="184" t="s">
        <v>5453</v>
      </c>
      <c r="AQ116" s="184" t="s">
        <v>5454</v>
      </c>
      <c r="AR116" s="184" t="s">
        <v>5455</v>
      </c>
      <c r="AS116" s="184" t="s">
        <v>5456</v>
      </c>
      <c r="AT116" s="184" t="s">
        <v>5457</v>
      </c>
      <c r="AU116" s="184"/>
      <c r="AV116" s="184"/>
    </row>
    <row r="117" spans="4:48" ht="15.75">
      <c r="D117" t="s">
        <v>6025</v>
      </c>
      <c r="N117" s="184" t="s">
        <v>4529</v>
      </c>
      <c r="O117" s="184"/>
      <c r="P117" s="184"/>
      <c r="Q117" s="184"/>
      <c r="R117" s="184"/>
      <c r="S117" s="184"/>
      <c r="T117" s="184"/>
      <c r="U117" s="184"/>
      <c r="V117" s="184"/>
      <c r="W117" s="184" t="s">
        <v>4635</v>
      </c>
      <c r="AB117" s="184"/>
      <c r="AC117" s="184"/>
      <c r="AD117" s="184"/>
      <c r="AE117" s="184"/>
      <c r="AF117" s="184"/>
      <c r="AG117" s="184"/>
      <c r="AH117" s="184"/>
      <c r="AI117" s="184"/>
      <c r="AJ117" s="184"/>
      <c r="AK117" s="184"/>
      <c r="AL117" s="184" t="s">
        <v>5458</v>
      </c>
      <c r="AM117" s="184"/>
      <c r="AN117" s="184"/>
      <c r="AO117" s="184" t="s">
        <v>5459</v>
      </c>
      <c r="AP117" s="184" t="str">
        <f ca="1">CONCATENATE(CHOOSE(RANDBETWEEN(1,4),"butter","iceberg","romaine","weedy")," lettuce")</f>
        <v>butter lettuce</v>
      </c>
      <c r="AQ117" s="184" t="s">
        <v>5460</v>
      </c>
      <c r="AR117" s="184" t="s">
        <v>5461</v>
      </c>
      <c r="AS117" s="184" t="str">
        <f ca="1">CONCATENATE(INDEX($AS$99:$AS$116,RANDBETWEEN(1,18))," sausage")</f>
        <v>Horse sausage</v>
      </c>
      <c r="AT117" s="184" t="s">
        <v>5462</v>
      </c>
      <c r="AU117" s="184"/>
      <c r="AV117" s="184"/>
    </row>
    <row r="118" spans="4:48" ht="15.75">
      <c r="D118" t="s">
        <v>6026</v>
      </c>
      <c r="N118" s="184" t="s">
        <v>4530</v>
      </c>
      <c r="O118" s="184"/>
      <c r="P118" s="184"/>
      <c r="Q118" s="184"/>
      <c r="R118" s="184"/>
      <c r="S118" s="184"/>
      <c r="T118" s="184"/>
      <c r="U118" s="184"/>
      <c r="V118" s="184"/>
      <c r="W118" s="184" t="s">
        <v>4636</v>
      </c>
      <c r="AB118" s="184"/>
      <c r="AC118" s="184"/>
      <c r="AD118" s="184"/>
      <c r="AE118" s="184"/>
      <c r="AF118" s="184"/>
      <c r="AG118" s="184"/>
      <c r="AH118" s="184"/>
      <c r="AI118" s="184"/>
      <c r="AJ118" s="184"/>
      <c r="AK118" s="184"/>
      <c r="AL118" s="184" t="s">
        <v>5463</v>
      </c>
      <c r="AM118" s="184"/>
      <c r="AN118" s="184"/>
      <c r="AO118" s="184" t="s">
        <v>5464</v>
      </c>
      <c r="AP118" s="184" t="str">
        <f ca="1">CONCATENATE(CHOOSE(RANDBETWEEN(1,4),"butternut","pumpkin","summer","zucchini")," squash")</f>
        <v>summer squash</v>
      </c>
      <c r="AQ118" s="184" t="s">
        <v>5465</v>
      </c>
      <c r="AR118" s="184" t="s">
        <v>5466</v>
      </c>
      <c r="AS118" s="184" t="str">
        <f ca="1">CONCATENATE(INDEX($AS$99:$AS$117,RANDBETWEEN(1,19))," and ",INDEX($AS$99:$AS$117,RANDBETWEEN(1,19)))</f>
        <v>Beef and Horse sausage</v>
      </c>
      <c r="AT118" s="184" t="s">
        <v>5467</v>
      </c>
      <c r="AU118" s="184"/>
      <c r="AV118" s="184"/>
    </row>
    <row r="119" spans="4:48" ht="15.75">
      <c r="D119" t="s">
        <v>6027</v>
      </c>
      <c r="N119" s="184" t="s">
        <v>4531</v>
      </c>
      <c r="O119" s="184"/>
      <c r="P119" s="184"/>
      <c r="Q119" s="184"/>
      <c r="R119" s="184"/>
      <c r="S119" s="184"/>
      <c r="T119" s="184"/>
      <c r="U119" s="184"/>
      <c r="V119" s="184"/>
      <c r="W119" s="184" t="s">
        <v>4637</v>
      </c>
      <c r="AB119" s="184"/>
      <c r="AC119" s="184"/>
      <c r="AD119" s="184"/>
      <c r="AE119" s="184"/>
      <c r="AF119" s="184"/>
      <c r="AG119" s="184"/>
      <c r="AH119" s="184"/>
      <c r="AI119" s="184"/>
      <c r="AJ119" s="184"/>
      <c r="AK119" s="184"/>
      <c r="AL119" s="184"/>
      <c r="AM119" s="184"/>
      <c r="AN119" s="184"/>
      <c r="AO119" s="184"/>
      <c r="AP119" s="184"/>
      <c r="AQ119" s="184"/>
      <c r="AR119" s="184"/>
      <c r="AS119" s="184"/>
      <c r="AT119" s="184"/>
      <c r="AU119" s="184"/>
      <c r="AV119" s="184"/>
    </row>
    <row r="120" spans="4:48" ht="15.75">
      <c r="D120" t="s">
        <v>6028</v>
      </c>
      <c r="N120" s="184" t="s">
        <v>4532</v>
      </c>
      <c r="O120" s="184"/>
      <c r="P120" s="184"/>
      <c r="Q120" s="184"/>
      <c r="R120" s="184"/>
      <c r="S120" s="184"/>
      <c r="T120" s="184"/>
      <c r="U120" s="184"/>
      <c r="V120" s="184"/>
      <c r="W120" s="184" t="s">
        <v>4638</v>
      </c>
      <c r="AB120" s="184"/>
      <c r="AC120" s="184"/>
      <c r="AD120" s="184"/>
      <c r="AE120" s="184"/>
      <c r="AF120" s="184"/>
      <c r="AG120" s="184"/>
      <c r="AH120" s="184"/>
      <c r="AI120" s="184"/>
      <c r="AJ120" s="184"/>
      <c r="AK120" s="184"/>
      <c r="AL120" s="184" t="str">
        <f ca="1">INDEX($AB$99:$AB$105,RANDBETWEEN(1,7))</f>
        <v>Unusual Seafood</v>
      </c>
      <c r="AM120" s="184" t="str">
        <f ca="1">IF($AL$120=$AB$99,INDEX($AR$99:$AR$118,RANDBETWEEN(1,20)),IF($AL$120=$AB$100,INDEX($AO$99:$AO$118,RANDBETWEEN(1,20)),IF($AL$120=$AB$101,INDEX($AS$99:$AS$118,RANDBETWEEN(1,20)),IF($AL$120=$AB$102,INDEX($AL$99:$AL$118,RANDBETWEEN(1,20)),IF($AL$120=$AB$103,INDEX($AQ$99:$AQ$118,RANDBETWEEN(1,20)),IF($AL$120=$AB$104,INDEX($AP$99:$AP$118,RANDBETWEEN(1,20)),IF($AL$120=$AB$105,INDEX($AT$99:$AT$118,RANDBETWEEN(1,20)),"")))))))</f>
        <v>Marlin</v>
      </c>
      <c r="AN120" s="184"/>
      <c r="AO120" s="184"/>
      <c r="AP120" s="184"/>
      <c r="AQ120" s="184"/>
      <c r="AR120" s="184"/>
      <c r="AS120" s="184"/>
      <c r="AT120" s="184"/>
      <c r="AU120" s="184"/>
      <c r="AV120" s="184"/>
    </row>
    <row r="121" spans="4:48" ht="15.75">
      <c r="D121" t="s">
        <v>6029</v>
      </c>
      <c r="N121" s="184" t="s">
        <v>4533</v>
      </c>
      <c r="O121" s="184"/>
      <c r="P121" s="184"/>
      <c r="Q121" s="184"/>
      <c r="R121" s="184"/>
      <c r="S121" s="184"/>
      <c r="T121" s="184"/>
      <c r="U121" s="184"/>
      <c r="V121" s="184"/>
      <c r="W121" s="184" t="s">
        <v>4639</v>
      </c>
      <c r="AB121" s="184"/>
      <c r="AC121" s="184"/>
      <c r="AD121" s="184"/>
      <c r="AE121" s="184"/>
      <c r="AF121" s="184"/>
      <c r="AG121" s="184"/>
      <c r="AH121" s="184"/>
      <c r="AI121" s="184"/>
      <c r="AJ121" s="184"/>
      <c r="AK121" s="184"/>
      <c r="AL121" s="184"/>
      <c r="AM121" s="184" t="str">
        <f ca="1">INDEX($AD$99:$AD$108,RANDBETWEEN(1,10))</f>
        <v>Poached</v>
      </c>
      <c r="AN121" s="184"/>
      <c r="AO121" s="184"/>
      <c r="AP121" s="184"/>
      <c r="AQ121" s="184"/>
      <c r="AR121" s="184"/>
      <c r="AS121" s="184"/>
      <c r="AT121" s="184"/>
      <c r="AU121" s="184"/>
      <c r="AV121" s="184"/>
    </row>
    <row r="122" spans="4:48" ht="15.75">
      <c r="D122" t="s">
        <v>1357</v>
      </c>
      <c r="N122" s="184" t="s">
        <v>4534</v>
      </c>
      <c r="O122" s="184"/>
      <c r="P122" s="184"/>
      <c r="Q122" s="184"/>
      <c r="R122" s="184"/>
      <c r="S122" s="184"/>
      <c r="T122" s="184"/>
      <c r="U122" s="184"/>
      <c r="V122" s="184"/>
      <c r="W122" s="184" t="s">
        <v>4640</v>
      </c>
      <c r="AB122" s="184"/>
      <c r="AC122" s="184"/>
      <c r="AD122" s="184"/>
      <c r="AE122" s="184"/>
      <c r="AF122" s="184"/>
      <c r="AG122" s="184"/>
      <c r="AH122" s="184"/>
      <c r="AI122" s="184"/>
      <c r="AJ122" s="184"/>
      <c r="AK122" s="184"/>
      <c r="AL122" s="184" t="str">
        <f ca="1">INDEX($AC$99:$AC$102,RANDBETWEEN(1,4))</f>
        <v>Spicy</v>
      </c>
      <c r="AM122" s="184" t="str">
        <f ca="1">IF($AL$122=$AC$99,INDEX($AI$99:$AI$104,RANDBETWEEN(1,6)),IF($AL$122=$AC$100,INDEX($AJ$99:$AJ$110,RANDBETWEEN(1,12)),IF($AL$122=$AC$101,INDEX($AK$99:$AK$102,RANDBETWEEN(1,4)),IF($AL$122=$AC$102,INDEX($AL$99:$AL$118,RANDBETWEEN(1,20))))))</f>
        <v xml:space="preserve"> Flecks of salamander</v>
      </c>
      <c r="AN122" s="184"/>
      <c r="AO122" s="184"/>
      <c r="AP122" s="184"/>
      <c r="AQ122" s="184"/>
      <c r="AR122" s="184"/>
      <c r="AS122" s="184"/>
      <c r="AT122" s="184"/>
      <c r="AU122" s="184"/>
      <c r="AV122" s="184"/>
    </row>
    <row r="123" spans="4:48" ht="15.75">
      <c r="D123" t="s">
        <v>6030</v>
      </c>
      <c r="N123" s="184" t="s">
        <v>4535</v>
      </c>
      <c r="O123" s="184"/>
      <c r="P123" s="184"/>
      <c r="Q123" s="184"/>
      <c r="R123" s="184"/>
      <c r="S123" s="184"/>
      <c r="T123" s="184"/>
      <c r="U123" s="184"/>
      <c r="V123" s="184"/>
      <c r="W123" s="184" t="s">
        <v>4641</v>
      </c>
      <c r="AB123" s="184"/>
      <c r="AC123" s="184"/>
      <c r="AD123" s="184"/>
      <c r="AE123" s="184"/>
      <c r="AF123" s="184"/>
      <c r="AG123" s="184"/>
      <c r="AH123" s="184"/>
      <c r="AI123" s="184"/>
      <c r="AJ123" s="184"/>
      <c r="AK123" s="184"/>
      <c r="AL123" s="184" t="str">
        <f ca="1">INDEX($AE$99:$AE$102,RANDBETWEEN(1,4))</f>
        <v>Rice</v>
      </c>
      <c r="AM123" s="184" t="str">
        <f ca="1">IF($AL$123=$AE$99,INDEX($AV$99:$AV$110,RANDBETWEEN(1,12)),$AL$123)</f>
        <v>Rice</v>
      </c>
      <c r="AN123" s="184"/>
      <c r="AO123" s="184"/>
      <c r="AP123" s="184"/>
      <c r="AQ123" s="184"/>
      <c r="AR123" s="184"/>
      <c r="AS123" s="184"/>
      <c r="AT123" s="184"/>
      <c r="AU123" s="184"/>
      <c r="AV123" s="184"/>
    </row>
    <row r="124" spans="4:48" ht="15.75">
      <c r="D124" t="s">
        <v>6031</v>
      </c>
      <c r="N124" s="184" t="s">
        <v>4536</v>
      </c>
      <c r="O124" s="184"/>
      <c r="P124" s="184"/>
      <c r="Q124" s="184"/>
      <c r="R124" s="184"/>
      <c r="S124" s="184"/>
      <c r="T124" s="184"/>
      <c r="U124" s="184"/>
      <c r="V124" s="184"/>
      <c r="W124" s="184" t="s">
        <v>4642</v>
      </c>
      <c r="AB124" s="184"/>
      <c r="AC124" s="184"/>
      <c r="AD124" s="184"/>
      <c r="AE124" s="184"/>
      <c r="AF124" s="184"/>
      <c r="AG124" s="184"/>
      <c r="AH124" s="184"/>
      <c r="AI124" s="184"/>
      <c r="AJ124" s="184"/>
      <c r="AK124" s="184"/>
      <c r="AL124" s="184"/>
      <c r="AM124" s="184"/>
      <c r="AN124" s="184"/>
      <c r="AO124" s="184"/>
      <c r="AP124" s="184"/>
      <c r="AQ124" s="184"/>
      <c r="AR124" s="184"/>
      <c r="AS124" s="184"/>
      <c r="AT124" s="184"/>
      <c r="AU124" s="184"/>
      <c r="AV124" s="184"/>
    </row>
    <row r="125" spans="4:48" ht="15.75">
      <c r="D125" t="s">
        <v>6032</v>
      </c>
      <c r="N125" s="184" t="s">
        <v>4537</v>
      </c>
      <c r="O125" s="184"/>
      <c r="P125" s="184"/>
      <c r="Q125" s="184"/>
      <c r="R125" s="184"/>
      <c r="S125" s="184"/>
      <c r="T125" s="184"/>
      <c r="U125" s="184"/>
      <c r="V125" s="184"/>
      <c r="W125" s="184" t="s">
        <v>4643</v>
      </c>
    </row>
    <row r="126" spans="4:48" ht="15.75">
      <c r="D126" t="s">
        <v>6033</v>
      </c>
      <c r="N126" s="184" t="s">
        <v>4538</v>
      </c>
      <c r="O126" s="184"/>
      <c r="P126" s="184"/>
      <c r="Q126" s="184"/>
      <c r="R126" s="184"/>
      <c r="S126" s="184"/>
      <c r="T126" s="184"/>
      <c r="U126" s="184"/>
      <c r="V126" s="184"/>
      <c r="W126" s="184" t="s">
        <v>4644</v>
      </c>
    </row>
    <row r="127" spans="4:48" ht="15.75">
      <c r="D127" t="s">
        <v>6034</v>
      </c>
      <c r="N127" s="184" t="s">
        <v>4539</v>
      </c>
      <c r="O127" s="184"/>
      <c r="P127" s="184"/>
      <c r="Q127" s="184"/>
      <c r="R127" s="184"/>
      <c r="S127" s="184"/>
      <c r="T127" s="184"/>
      <c r="U127" s="184"/>
      <c r="V127" s="184"/>
      <c r="W127" s="184" t="s">
        <v>4645</v>
      </c>
    </row>
    <row r="128" spans="4:48" ht="15.75">
      <c r="D128" t="s">
        <v>6035</v>
      </c>
      <c r="N128" s="184" t="s">
        <v>4540</v>
      </c>
      <c r="O128" s="184"/>
      <c r="P128" s="184"/>
      <c r="Q128" s="184"/>
      <c r="R128" s="184"/>
      <c r="S128" s="184"/>
      <c r="T128" s="184"/>
      <c r="U128" s="184"/>
      <c r="V128" s="184"/>
      <c r="W128" s="184" t="s">
        <v>4646</v>
      </c>
    </row>
    <row r="129" spans="4:23" ht="15.75">
      <c r="D129" t="s">
        <v>6036</v>
      </c>
      <c r="N129" s="184" t="s">
        <v>4541</v>
      </c>
      <c r="O129" s="184"/>
      <c r="P129" s="184"/>
      <c r="Q129" s="184"/>
      <c r="R129" s="184"/>
      <c r="S129" s="184"/>
      <c r="T129" s="184"/>
      <c r="U129" s="184"/>
      <c r="V129" s="184"/>
      <c r="W129" s="184" t="s">
        <v>4647</v>
      </c>
    </row>
    <row r="130" spans="4:23" ht="15.75">
      <c r="D130" t="s">
        <v>6037</v>
      </c>
      <c r="N130" s="184" t="s">
        <v>4542</v>
      </c>
      <c r="O130" s="184"/>
      <c r="P130" s="184"/>
      <c r="Q130" s="184"/>
      <c r="R130" s="184"/>
      <c r="S130" s="184"/>
      <c r="T130" s="184"/>
      <c r="U130" s="184"/>
      <c r="V130" s="184"/>
      <c r="W130" s="184" t="s">
        <v>4648</v>
      </c>
    </row>
    <row r="131" spans="4:23" ht="15.75">
      <c r="D131" t="s">
        <v>6038</v>
      </c>
      <c r="N131" s="184" t="s">
        <v>4543</v>
      </c>
      <c r="O131" s="184"/>
      <c r="P131" s="184"/>
      <c r="Q131" s="184"/>
      <c r="R131" s="184"/>
      <c r="S131" s="184"/>
      <c r="T131" s="184"/>
      <c r="U131" s="184"/>
      <c r="V131" s="184"/>
      <c r="W131" s="184" t="s">
        <v>4649</v>
      </c>
    </row>
    <row r="132" spans="4:23" ht="15.75">
      <c r="D132" t="s">
        <v>6039</v>
      </c>
      <c r="N132" s="184" t="s">
        <v>4544</v>
      </c>
      <c r="O132" s="184"/>
      <c r="P132" s="184"/>
      <c r="Q132" s="184"/>
      <c r="R132" s="184"/>
      <c r="S132" s="184"/>
      <c r="T132" s="184"/>
      <c r="U132" s="184"/>
      <c r="V132" s="184"/>
      <c r="W132" s="184" t="s">
        <v>4650</v>
      </c>
    </row>
    <row r="133" spans="4:23" ht="15.75">
      <c r="D133" t="s">
        <v>6040</v>
      </c>
      <c r="N133" s="184" t="s">
        <v>4545</v>
      </c>
      <c r="O133" s="184"/>
      <c r="P133" s="184"/>
      <c r="Q133" s="184"/>
      <c r="R133" s="184"/>
      <c r="S133" s="184"/>
      <c r="T133" s="184"/>
      <c r="U133" s="184"/>
      <c r="V133" s="184"/>
      <c r="W133" s="184" t="s">
        <v>4651</v>
      </c>
    </row>
    <row r="134" spans="4:23" ht="15.75">
      <c r="D134" t="s">
        <v>6041</v>
      </c>
      <c r="N134" s="184" t="s">
        <v>4546</v>
      </c>
      <c r="O134" s="184"/>
      <c r="P134" s="184"/>
      <c r="Q134" s="184"/>
      <c r="R134" s="184"/>
      <c r="S134" s="184"/>
      <c r="T134" s="184"/>
      <c r="U134" s="184"/>
      <c r="V134" s="184"/>
      <c r="W134" s="184" t="s">
        <v>4652</v>
      </c>
    </row>
    <row r="135" spans="4:23" ht="15.75">
      <c r="D135" t="s">
        <v>6042</v>
      </c>
      <c r="N135" s="184" t="s">
        <v>4547</v>
      </c>
      <c r="O135" s="184"/>
      <c r="P135" s="184"/>
      <c r="Q135" s="184"/>
      <c r="R135" s="184"/>
      <c r="S135" s="184"/>
      <c r="T135" s="184"/>
      <c r="U135" s="184"/>
      <c r="V135" s="184"/>
      <c r="W135" s="184" t="s">
        <v>4653</v>
      </c>
    </row>
    <row r="136" spans="4:23" ht="15.75">
      <c r="D136" t="s">
        <v>6043</v>
      </c>
      <c r="N136" s="184" t="s">
        <v>4548</v>
      </c>
      <c r="W136" s="184" t="s">
        <v>4654</v>
      </c>
    </row>
    <row r="137" spans="4:23" ht="15.75">
      <c r="D137" t="s">
        <v>6044</v>
      </c>
      <c r="N137" s="184" t="s">
        <v>4549</v>
      </c>
      <c r="W137" s="184" t="s">
        <v>4655</v>
      </c>
    </row>
    <row r="138" spans="4:23" ht="15.75">
      <c r="D138" t="s">
        <v>6045</v>
      </c>
      <c r="N138" s="184" t="s">
        <v>4550</v>
      </c>
      <c r="W138" s="184" t="s">
        <v>4656</v>
      </c>
    </row>
    <row r="139" spans="4:23" ht="15.75">
      <c r="D139" t="s">
        <v>6046</v>
      </c>
      <c r="N139" s="184" t="s">
        <v>4551</v>
      </c>
      <c r="W139" s="184" t="s">
        <v>4657</v>
      </c>
    </row>
    <row r="140" spans="4:23" ht="15.75">
      <c r="D140" t="s">
        <v>6047</v>
      </c>
      <c r="N140" s="184" t="s">
        <v>4552</v>
      </c>
      <c r="W140" s="184" t="s">
        <v>4658</v>
      </c>
    </row>
    <row r="141" spans="4:23" ht="15.75">
      <c r="D141" t="s">
        <v>6048</v>
      </c>
      <c r="N141" s="184" t="s">
        <v>4553</v>
      </c>
      <c r="W141" s="184" t="s">
        <v>4659</v>
      </c>
    </row>
    <row r="142" spans="4:23" ht="15.75">
      <c r="D142" t="s">
        <v>6049</v>
      </c>
      <c r="N142" s="184" t="s">
        <v>4554</v>
      </c>
      <c r="W142" s="184" t="s">
        <v>4660</v>
      </c>
    </row>
    <row r="143" spans="4:23" ht="15.75">
      <c r="D143" t="s">
        <v>6050</v>
      </c>
      <c r="N143" s="184" t="s">
        <v>4555</v>
      </c>
      <c r="W143" s="184" t="s">
        <v>4661</v>
      </c>
    </row>
    <row r="144" spans="4:23" ht="15.75">
      <c r="D144" t="s">
        <v>6051</v>
      </c>
      <c r="N144" s="184" t="s">
        <v>4556</v>
      </c>
      <c r="W144" s="184" t="s">
        <v>4662</v>
      </c>
    </row>
    <row r="145" spans="4:23" ht="15.75">
      <c r="D145" t="s">
        <v>6052</v>
      </c>
      <c r="N145" s="184" t="s">
        <v>4557</v>
      </c>
      <c r="W145" s="184" t="s">
        <v>4663</v>
      </c>
    </row>
    <row r="146" spans="4:23" ht="15.75">
      <c r="D146" t="s">
        <v>6053</v>
      </c>
      <c r="N146" s="184" t="s">
        <v>4558</v>
      </c>
      <c r="W146" s="184" t="s">
        <v>4664</v>
      </c>
    </row>
    <row r="147" spans="4:23" ht="15.75">
      <c r="D147" t="s">
        <v>6054</v>
      </c>
      <c r="N147" s="184" t="s">
        <v>4559</v>
      </c>
      <c r="W147" s="184" t="s">
        <v>4665</v>
      </c>
    </row>
    <row r="148" spans="4:23" ht="15.75">
      <c r="D148" t="s">
        <v>6055</v>
      </c>
      <c r="N148" s="184" t="s">
        <v>4560</v>
      </c>
      <c r="W148" s="184" t="s">
        <v>4666</v>
      </c>
    </row>
    <row r="149" spans="4:23">
      <c r="D149" t="s">
        <v>6056</v>
      </c>
    </row>
    <row r="150" spans="4:23">
      <c r="D150" t="s">
        <v>6057</v>
      </c>
    </row>
    <row r="151" spans="4:23">
      <c r="D151" t="s">
        <v>6058</v>
      </c>
    </row>
    <row r="152" spans="4:23">
      <c r="D152" t="s">
        <v>6059</v>
      </c>
    </row>
    <row r="153" spans="4:23">
      <c r="D153" t="s">
        <v>6060</v>
      </c>
    </row>
    <row r="154" spans="4:23">
      <c r="D154" t="s">
        <v>6061</v>
      </c>
    </row>
    <row r="155" spans="4:23">
      <c r="D155" t="s">
        <v>6062</v>
      </c>
    </row>
    <row r="156" spans="4:23">
      <c r="D156" t="s">
        <v>6063</v>
      </c>
    </row>
    <row r="157" spans="4:23">
      <c r="D157" t="s">
        <v>6064</v>
      </c>
    </row>
    <row r="158" spans="4:23">
      <c r="D158" t="s">
        <v>6065</v>
      </c>
    </row>
    <row r="159" spans="4:23">
      <c r="D159" t="s">
        <v>6066</v>
      </c>
    </row>
    <row r="160" spans="4:23">
      <c r="D160" t="s">
        <v>6067</v>
      </c>
    </row>
    <row r="161" spans="4:4">
      <c r="D161" t="s">
        <v>6068</v>
      </c>
    </row>
    <row r="162" spans="4:4">
      <c r="D162" t="s">
        <v>6069</v>
      </c>
    </row>
    <row r="163" spans="4:4">
      <c r="D163" t="s">
        <v>6070</v>
      </c>
    </row>
    <row r="164" spans="4:4">
      <c r="D164" t="s">
        <v>6071</v>
      </c>
    </row>
    <row r="165" spans="4:4">
      <c r="D165" t="s">
        <v>6072</v>
      </c>
    </row>
    <row r="166" spans="4:4">
      <c r="D166" t="s">
        <v>6073</v>
      </c>
    </row>
    <row r="167" spans="4:4">
      <c r="D167" t="s">
        <v>6074</v>
      </c>
    </row>
    <row r="168" spans="4:4">
      <c r="D168" t="s">
        <v>6075</v>
      </c>
    </row>
    <row r="169" spans="4:4">
      <c r="D169" t="s">
        <v>6076</v>
      </c>
    </row>
    <row r="170" spans="4:4">
      <c r="D170" t="s">
        <v>6077</v>
      </c>
    </row>
    <row r="171" spans="4:4">
      <c r="D171" t="s">
        <v>2040</v>
      </c>
    </row>
    <row r="172" spans="4:4">
      <c r="D172" t="s">
        <v>6078</v>
      </c>
    </row>
    <row r="173" spans="4:4">
      <c r="D173" t="s">
        <v>6079</v>
      </c>
    </row>
    <row r="174" spans="4:4">
      <c r="D174" t="s">
        <v>6080</v>
      </c>
    </row>
    <row r="175" spans="4:4">
      <c r="D175" t="s">
        <v>6081</v>
      </c>
    </row>
    <row r="176" spans="4:4">
      <c r="D176" t="s">
        <v>6082</v>
      </c>
    </row>
    <row r="177" spans="4:4">
      <c r="D177" t="s">
        <v>6083</v>
      </c>
    </row>
    <row r="178" spans="4:4">
      <c r="D178" t="s">
        <v>6084</v>
      </c>
    </row>
    <row r="179" spans="4:4">
      <c r="D179" t="s">
        <v>6085</v>
      </c>
    </row>
    <row r="180" spans="4:4">
      <c r="D180" t="s">
        <v>6086</v>
      </c>
    </row>
    <row r="181" spans="4:4">
      <c r="D181" t="s">
        <v>6087</v>
      </c>
    </row>
    <row r="182" spans="4:4">
      <c r="D182" t="s">
        <v>6088</v>
      </c>
    </row>
    <row r="183" spans="4:4">
      <c r="D183" t="s">
        <v>6089</v>
      </c>
    </row>
    <row r="184" spans="4:4">
      <c r="D184" t="s">
        <v>6090</v>
      </c>
    </row>
    <row r="185" spans="4:4">
      <c r="D185" t="s">
        <v>6091</v>
      </c>
    </row>
    <row r="186" spans="4:4">
      <c r="D186" t="s">
        <v>6092</v>
      </c>
    </row>
    <row r="187" spans="4:4">
      <c r="D187" t="s">
        <v>6093</v>
      </c>
    </row>
    <row r="188" spans="4:4">
      <c r="D188" t="s">
        <v>6094</v>
      </c>
    </row>
    <row r="189" spans="4:4">
      <c r="D189" t="s">
        <v>6095</v>
      </c>
    </row>
    <row r="190" spans="4:4">
      <c r="D190" t="s">
        <v>6096</v>
      </c>
    </row>
    <row r="191" spans="4:4">
      <c r="D191" t="s">
        <v>6097</v>
      </c>
    </row>
    <row r="192" spans="4:4">
      <c r="D192" t="s">
        <v>6098</v>
      </c>
    </row>
    <row r="193" spans="4:4">
      <c r="D193" t="s">
        <v>6099</v>
      </c>
    </row>
    <row r="194" spans="4:4">
      <c r="D194" t="s">
        <v>6100</v>
      </c>
    </row>
    <row r="195" spans="4:4">
      <c r="D195" t="s">
        <v>6101</v>
      </c>
    </row>
    <row r="196" spans="4:4">
      <c r="D196" t="s">
        <v>6102</v>
      </c>
    </row>
    <row r="197" spans="4:4">
      <c r="D197" t="s">
        <v>6103</v>
      </c>
    </row>
    <row r="198" spans="4:4">
      <c r="D198" t="s">
        <v>6104</v>
      </c>
    </row>
  </sheetData>
  <mergeCells count="429">
    <mergeCell ref="A40:C40"/>
    <mergeCell ref="D40:G40"/>
    <mergeCell ref="I40:K40"/>
    <mergeCell ref="L40:O40"/>
    <mergeCell ref="Q40:S40"/>
    <mergeCell ref="T40:W40"/>
    <mergeCell ref="A39:C39"/>
    <mergeCell ref="D39:G39"/>
    <mergeCell ref="I39:K39"/>
    <mergeCell ref="L39:O39"/>
    <mergeCell ref="Q39:S39"/>
    <mergeCell ref="T39:W39"/>
    <mergeCell ref="A38:C38"/>
    <mergeCell ref="D38:G38"/>
    <mergeCell ref="I38:K38"/>
    <mergeCell ref="L38:O38"/>
    <mergeCell ref="Q38:S38"/>
    <mergeCell ref="T38:W38"/>
    <mergeCell ref="A37:C37"/>
    <mergeCell ref="D37:G37"/>
    <mergeCell ref="I37:K37"/>
    <mergeCell ref="L37:O37"/>
    <mergeCell ref="Q37:S37"/>
    <mergeCell ref="T37:W37"/>
    <mergeCell ref="A36:C36"/>
    <mergeCell ref="D36:G36"/>
    <mergeCell ref="I36:K36"/>
    <mergeCell ref="L36:O36"/>
    <mergeCell ref="Q36:S36"/>
    <mergeCell ref="T36:W36"/>
    <mergeCell ref="A35:C35"/>
    <mergeCell ref="D35:G35"/>
    <mergeCell ref="I35:K35"/>
    <mergeCell ref="L35:O35"/>
    <mergeCell ref="Q35:S35"/>
    <mergeCell ref="T35:W35"/>
    <mergeCell ref="A34:C34"/>
    <mergeCell ref="D34:G34"/>
    <mergeCell ref="I34:K34"/>
    <mergeCell ref="L34:O34"/>
    <mergeCell ref="Q34:S34"/>
    <mergeCell ref="T34:W34"/>
    <mergeCell ref="A32:C32"/>
    <mergeCell ref="D32:G32"/>
    <mergeCell ref="I32:K32"/>
    <mergeCell ref="L32:O32"/>
    <mergeCell ref="Q32:S32"/>
    <mergeCell ref="T32:W32"/>
    <mergeCell ref="A31:C31"/>
    <mergeCell ref="D31:G31"/>
    <mergeCell ref="I31:K31"/>
    <mergeCell ref="L31:O31"/>
    <mergeCell ref="Q31:S31"/>
    <mergeCell ref="T31:W31"/>
    <mergeCell ref="A30:C30"/>
    <mergeCell ref="D30:G30"/>
    <mergeCell ref="I30:K30"/>
    <mergeCell ref="L30:O30"/>
    <mergeCell ref="Q30:S30"/>
    <mergeCell ref="T30:W30"/>
    <mergeCell ref="Q28:S28"/>
    <mergeCell ref="T28:W28"/>
    <mergeCell ref="A29:C29"/>
    <mergeCell ref="D29:G29"/>
    <mergeCell ref="I29:K29"/>
    <mergeCell ref="L29:O29"/>
    <mergeCell ref="Q29:S29"/>
    <mergeCell ref="T29:W29"/>
    <mergeCell ref="A27:C27"/>
    <mergeCell ref="D27:G27"/>
    <mergeCell ref="I27:K27"/>
    <mergeCell ref="L27:O27"/>
    <mergeCell ref="Q27:S27"/>
    <mergeCell ref="T27:W27"/>
    <mergeCell ref="A26:C26"/>
    <mergeCell ref="D26:G26"/>
    <mergeCell ref="I26:K26"/>
    <mergeCell ref="L26:O26"/>
    <mergeCell ref="Q26:S26"/>
    <mergeCell ref="T26:W26"/>
    <mergeCell ref="A24:C24"/>
    <mergeCell ref="D24:G24"/>
    <mergeCell ref="I24:K24"/>
    <mergeCell ref="L24:O24"/>
    <mergeCell ref="Q24:S24"/>
    <mergeCell ref="T24:W24"/>
    <mergeCell ref="A23:C23"/>
    <mergeCell ref="D23:G23"/>
    <mergeCell ref="I23:K23"/>
    <mergeCell ref="L23:O23"/>
    <mergeCell ref="Q23:S23"/>
    <mergeCell ref="T23:W23"/>
    <mergeCell ref="A22:C22"/>
    <mergeCell ref="D22:G22"/>
    <mergeCell ref="I22:K22"/>
    <mergeCell ref="L22:O22"/>
    <mergeCell ref="Q22:S22"/>
    <mergeCell ref="T22:W22"/>
    <mergeCell ref="A21:C21"/>
    <mergeCell ref="D21:G21"/>
    <mergeCell ref="I21:K21"/>
    <mergeCell ref="L21:O21"/>
    <mergeCell ref="Q21:S21"/>
    <mergeCell ref="T21:W21"/>
    <mergeCell ref="A10:C10"/>
    <mergeCell ref="D10:G10"/>
    <mergeCell ref="I10:K10"/>
    <mergeCell ref="L10:O10"/>
    <mergeCell ref="Q10:S10"/>
    <mergeCell ref="T10:W10"/>
    <mergeCell ref="A20:C20"/>
    <mergeCell ref="D20:G20"/>
    <mergeCell ref="I20:K20"/>
    <mergeCell ref="L20:O20"/>
    <mergeCell ref="Q20:S20"/>
    <mergeCell ref="T20:W20"/>
    <mergeCell ref="A19:C19"/>
    <mergeCell ref="D19:G19"/>
    <mergeCell ref="I19:K19"/>
    <mergeCell ref="L19:O19"/>
    <mergeCell ref="Q19:S19"/>
    <mergeCell ref="T19:W19"/>
    <mergeCell ref="A74:C74"/>
    <mergeCell ref="D74:G74"/>
    <mergeCell ref="I74:K74"/>
    <mergeCell ref="L74:O74"/>
    <mergeCell ref="Q74:S74"/>
    <mergeCell ref="T74:W74"/>
    <mergeCell ref="A73:C73"/>
    <mergeCell ref="D73:G73"/>
    <mergeCell ref="I73:K73"/>
    <mergeCell ref="L73:O73"/>
    <mergeCell ref="Q73:S73"/>
    <mergeCell ref="T73:W73"/>
    <mergeCell ref="A72:C72"/>
    <mergeCell ref="D72:G72"/>
    <mergeCell ref="I72:K72"/>
    <mergeCell ref="L72:O72"/>
    <mergeCell ref="Q72:S72"/>
    <mergeCell ref="T72:W72"/>
    <mergeCell ref="A71:C71"/>
    <mergeCell ref="D71:G71"/>
    <mergeCell ref="I71:K71"/>
    <mergeCell ref="L71:O71"/>
    <mergeCell ref="Q71:S71"/>
    <mergeCell ref="T71:W71"/>
    <mergeCell ref="A70:C70"/>
    <mergeCell ref="D70:G70"/>
    <mergeCell ref="I70:K70"/>
    <mergeCell ref="L70:O70"/>
    <mergeCell ref="Q70:S70"/>
    <mergeCell ref="T70:W70"/>
    <mergeCell ref="A69:C69"/>
    <mergeCell ref="D69:G69"/>
    <mergeCell ref="I69:K69"/>
    <mergeCell ref="L69:O69"/>
    <mergeCell ref="Q69:S69"/>
    <mergeCell ref="T69:W69"/>
    <mergeCell ref="A68:C68"/>
    <mergeCell ref="D68:G68"/>
    <mergeCell ref="I68:K68"/>
    <mergeCell ref="L68:O68"/>
    <mergeCell ref="Q68:S68"/>
    <mergeCell ref="T68:W68"/>
    <mergeCell ref="A67:C67"/>
    <mergeCell ref="D67:G67"/>
    <mergeCell ref="I67:K67"/>
    <mergeCell ref="L67:O67"/>
    <mergeCell ref="Q67:S67"/>
    <mergeCell ref="T67:W67"/>
    <mergeCell ref="A66:C66"/>
    <mergeCell ref="D66:G66"/>
    <mergeCell ref="I66:K66"/>
    <mergeCell ref="L66:O66"/>
    <mergeCell ref="Q66:S66"/>
    <mergeCell ref="T66:W66"/>
    <mergeCell ref="A65:C65"/>
    <mergeCell ref="D65:G65"/>
    <mergeCell ref="I65:K65"/>
    <mergeCell ref="L65:O65"/>
    <mergeCell ref="Q65:S65"/>
    <mergeCell ref="T65:W65"/>
    <mergeCell ref="A63:C63"/>
    <mergeCell ref="D63:G63"/>
    <mergeCell ref="I63:K63"/>
    <mergeCell ref="L63:O63"/>
    <mergeCell ref="Q63:S63"/>
    <mergeCell ref="T63:W63"/>
    <mergeCell ref="Q61:S61"/>
    <mergeCell ref="T61:W61"/>
    <mergeCell ref="A62:C62"/>
    <mergeCell ref="D62:G62"/>
    <mergeCell ref="I62:K62"/>
    <mergeCell ref="L62:O62"/>
    <mergeCell ref="Q62:S62"/>
    <mergeCell ref="T62:W62"/>
    <mergeCell ref="Q59:S59"/>
    <mergeCell ref="T59:W59"/>
    <mergeCell ref="A60:C60"/>
    <mergeCell ref="D60:G60"/>
    <mergeCell ref="I60:K60"/>
    <mergeCell ref="L60:O60"/>
    <mergeCell ref="Q60:S60"/>
    <mergeCell ref="T60:W60"/>
    <mergeCell ref="A58:C58"/>
    <mergeCell ref="D58:G58"/>
    <mergeCell ref="I58:K58"/>
    <mergeCell ref="L58:O58"/>
    <mergeCell ref="Q58:S58"/>
    <mergeCell ref="T58:W58"/>
    <mergeCell ref="Q56:S56"/>
    <mergeCell ref="T56:W56"/>
    <mergeCell ref="A57:C57"/>
    <mergeCell ref="D57:G57"/>
    <mergeCell ref="I57:K57"/>
    <mergeCell ref="L57:O57"/>
    <mergeCell ref="Q57:S57"/>
    <mergeCell ref="T57:W57"/>
    <mergeCell ref="L54:O54"/>
    <mergeCell ref="Q54:S54"/>
    <mergeCell ref="T54:W54"/>
    <mergeCell ref="A55:C55"/>
    <mergeCell ref="D55:G55"/>
    <mergeCell ref="I55:K55"/>
    <mergeCell ref="L55:O55"/>
    <mergeCell ref="Q55:S55"/>
    <mergeCell ref="T55:W55"/>
    <mergeCell ref="D54:G54"/>
    <mergeCell ref="I54:K54"/>
    <mergeCell ref="B83:C83"/>
    <mergeCell ref="F83:G83"/>
    <mergeCell ref="J83:K83"/>
    <mergeCell ref="N83:O83"/>
    <mergeCell ref="R83:S83"/>
    <mergeCell ref="V83:W83"/>
    <mergeCell ref="B82:C82"/>
    <mergeCell ref="F82:G82"/>
    <mergeCell ref="J82:K82"/>
    <mergeCell ref="N82:O82"/>
    <mergeCell ref="R82:S82"/>
    <mergeCell ref="V82:W82"/>
    <mergeCell ref="B81:C81"/>
    <mergeCell ref="F81:G81"/>
    <mergeCell ref="J81:K81"/>
    <mergeCell ref="N81:O81"/>
    <mergeCell ref="R81:S81"/>
    <mergeCell ref="V81:W81"/>
    <mergeCell ref="B79:C79"/>
    <mergeCell ref="F79:G79"/>
    <mergeCell ref="J79:K79"/>
    <mergeCell ref="N79:O79"/>
    <mergeCell ref="R79:S79"/>
    <mergeCell ref="V79:W79"/>
    <mergeCell ref="B78:C78"/>
    <mergeCell ref="F78:G78"/>
    <mergeCell ref="J78:K78"/>
    <mergeCell ref="N78:O78"/>
    <mergeCell ref="R78:S78"/>
    <mergeCell ref="V78:W78"/>
    <mergeCell ref="A76:W76"/>
    <mergeCell ref="B77:C77"/>
    <mergeCell ref="F77:G77"/>
    <mergeCell ref="J77:K77"/>
    <mergeCell ref="N77:O77"/>
    <mergeCell ref="R77:S77"/>
    <mergeCell ref="V77:W77"/>
    <mergeCell ref="A52:C52"/>
    <mergeCell ref="D52:G52"/>
    <mergeCell ref="I52:K52"/>
    <mergeCell ref="L52:O52"/>
    <mergeCell ref="Q52:S52"/>
    <mergeCell ref="T52:W52"/>
    <mergeCell ref="A51:C51"/>
    <mergeCell ref="D51:G51"/>
    <mergeCell ref="I51:K51"/>
    <mergeCell ref="L51:O51"/>
    <mergeCell ref="Q51:S51"/>
    <mergeCell ref="T51:W51"/>
    <mergeCell ref="A50:C50"/>
    <mergeCell ref="D50:G50"/>
    <mergeCell ref="I50:K50"/>
    <mergeCell ref="L50:O50"/>
    <mergeCell ref="Q50:S50"/>
    <mergeCell ref="T50:W50"/>
    <mergeCell ref="A49:C49"/>
    <mergeCell ref="D49:G49"/>
    <mergeCell ref="I49:K49"/>
    <mergeCell ref="L49:O49"/>
    <mergeCell ref="Q49:S49"/>
    <mergeCell ref="T49:W49"/>
    <mergeCell ref="A48:C48"/>
    <mergeCell ref="D48:G48"/>
    <mergeCell ref="I48:K48"/>
    <mergeCell ref="L48:O48"/>
    <mergeCell ref="Q48:S48"/>
    <mergeCell ref="T48:W48"/>
    <mergeCell ref="A47:C47"/>
    <mergeCell ref="D47:G47"/>
    <mergeCell ref="I47:K47"/>
    <mergeCell ref="L47:O47"/>
    <mergeCell ref="Q47:S47"/>
    <mergeCell ref="T47:W47"/>
    <mergeCell ref="A46:C46"/>
    <mergeCell ref="D46:G46"/>
    <mergeCell ref="I46:K46"/>
    <mergeCell ref="L46:O46"/>
    <mergeCell ref="Q46:S46"/>
    <mergeCell ref="T46:W46"/>
    <mergeCell ref="A45:C45"/>
    <mergeCell ref="D45:G45"/>
    <mergeCell ref="I45:K45"/>
    <mergeCell ref="L45:O45"/>
    <mergeCell ref="Q45:S45"/>
    <mergeCell ref="T45:W45"/>
    <mergeCell ref="A44:C44"/>
    <mergeCell ref="D44:G44"/>
    <mergeCell ref="I44:K44"/>
    <mergeCell ref="L44:O44"/>
    <mergeCell ref="Q44:S44"/>
    <mergeCell ref="T44:W44"/>
    <mergeCell ref="A42:W42"/>
    <mergeCell ref="A43:C43"/>
    <mergeCell ref="D43:G43"/>
    <mergeCell ref="I43:K43"/>
    <mergeCell ref="L43:O43"/>
    <mergeCell ref="Q43:S43"/>
    <mergeCell ref="T43:W43"/>
    <mergeCell ref="A8:C8"/>
    <mergeCell ref="D8:G8"/>
    <mergeCell ref="I8:K8"/>
    <mergeCell ref="L8:O8"/>
    <mergeCell ref="Q8:S8"/>
    <mergeCell ref="T8:W8"/>
    <mergeCell ref="A7:C7"/>
    <mergeCell ref="D7:G7"/>
    <mergeCell ref="I7:K7"/>
    <mergeCell ref="L7:O7"/>
    <mergeCell ref="Q7:S7"/>
    <mergeCell ref="T7:W7"/>
    <mergeCell ref="A6:C6"/>
    <mergeCell ref="D6:G6"/>
    <mergeCell ref="I6:K6"/>
    <mergeCell ref="L6:O6"/>
    <mergeCell ref="Q6:S6"/>
    <mergeCell ref="T6:W6"/>
    <mergeCell ref="A5:C5"/>
    <mergeCell ref="D5:G5"/>
    <mergeCell ref="I5:K5"/>
    <mergeCell ref="L5:O5"/>
    <mergeCell ref="Q5:S5"/>
    <mergeCell ref="T5:W5"/>
    <mergeCell ref="A4:C4"/>
    <mergeCell ref="D4:G4"/>
    <mergeCell ref="I4:K4"/>
    <mergeCell ref="L4:O4"/>
    <mergeCell ref="Q4:S4"/>
    <mergeCell ref="T4:W4"/>
    <mergeCell ref="A3:C3"/>
    <mergeCell ref="D3:G3"/>
    <mergeCell ref="I3:K3"/>
    <mergeCell ref="L3:O3"/>
    <mergeCell ref="Q3:S3"/>
    <mergeCell ref="T3:W3"/>
    <mergeCell ref="A1:W1"/>
    <mergeCell ref="A2:C2"/>
    <mergeCell ref="D2:G2"/>
    <mergeCell ref="I2:K2"/>
    <mergeCell ref="L2:O2"/>
    <mergeCell ref="Q2:S2"/>
    <mergeCell ref="T2:W2"/>
    <mergeCell ref="A61:C61"/>
    <mergeCell ref="D61:G61"/>
    <mergeCell ref="I61:K61"/>
    <mergeCell ref="L61:O61"/>
    <mergeCell ref="A28:C28"/>
    <mergeCell ref="D28:G28"/>
    <mergeCell ref="I28:K28"/>
    <mergeCell ref="L28:O28"/>
    <mergeCell ref="A59:C59"/>
    <mergeCell ref="D59:G59"/>
    <mergeCell ref="I59:K59"/>
    <mergeCell ref="L59:O59"/>
    <mergeCell ref="A56:C56"/>
    <mergeCell ref="D56:G56"/>
    <mergeCell ref="I56:K56"/>
    <mergeCell ref="L56:O56"/>
    <mergeCell ref="A54:C54"/>
    <mergeCell ref="A18:C18"/>
    <mergeCell ref="D18:G18"/>
    <mergeCell ref="I18:K18"/>
    <mergeCell ref="L18:O18"/>
    <mergeCell ref="Q18:S18"/>
    <mergeCell ref="T18:W18"/>
    <mergeCell ref="A16:C16"/>
    <mergeCell ref="D16:G16"/>
    <mergeCell ref="I16:K16"/>
    <mergeCell ref="L16:O16"/>
    <mergeCell ref="Q16:S16"/>
    <mergeCell ref="T16:W16"/>
    <mergeCell ref="A15:C15"/>
    <mergeCell ref="D15:G15"/>
    <mergeCell ref="I15:K15"/>
    <mergeCell ref="L15:O15"/>
    <mergeCell ref="Q15:S15"/>
    <mergeCell ref="T15:W15"/>
    <mergeCell ref="A14:C14"/>
    <mergeCell ref="D14:G14"/>
    <mergeCell ref="I14:K14"/>
    <mergeCell ref="L14:O14"/>
    <mergeCell ref="Q14:S14"/>
    <mergeCell ref="T14:W14"/>
    <mergeCell ref="A11:C11"/>
    <mergeCell ref="D11:G11"/>
    <mergeCell ref="I11:K11"/>
    <mergeCell ref="L11:O11"/>
    <mergeCell ref="Q11:S11"/>
    <mergeCell ref="T11:W11"/>
    <mergeCell ref="A13:C13"/>
    <mergeCell ref="D13:G13"/>
    <mergeCell ref="I13:K13"/>
    <mergeCell ref="L13:O13"/>
    <mergeCell ref="Q13:S13"/>
    <mergeCell ref="T13:W13"/>
    <mergeCell ref="A12:C12"/>
    <mergeCell ref="D12:G12"/>
    <mergeCell ref="I12:K12"/>
    <mergeCell ref="L12:O12"/>
    <mergeCell ref="Q12:S12"/>
    <mergeCell ref="T12:W12"/>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zoomScale="80" zoomScaleNormal="80" workbookViewId="0">
      <selection activeCell="C25" sqref="C25"/>
    </sheetView>
  </sheetViews>
  <sheetFormatPr defaultRowHeight="18.75"/>
  <cols>
    <col min="1" max="1" width="19.28515625" style="399" customWidth="1"/>
    <col min="2" max="2" width="18.5703125" style="400" customWidth="1"/>
    <col min="3" max="3" width="76.7109375" style="401" customWidth="1"/>
    <col min="4" max="4" width="9.140625" style="373"/>
    <col min="5" max="5" width="3.85546875" style="373" customWidth="1"/>
    <col min="6" max="12" width="30.7109375" style="373" customWidth="1"/>
    <col min="13" max="16384" width="9.140625" style="373"/>
  </cols>
  <sheetData>
    <row r="1" spans="1:15" ht="24" thickBot="1">
      <c r="A1" s="629" t="s">
        <v>7463</v>
      </c>
      <c r="B1" s="852"/>
      <c r="C1" s="853"/>
    </row>
    <row r="2" spans="1:15" ht="74.25" customHeight="1" thickBot="1">
      <c r="A2" s="374" t="s">
        <v>7464</v>
      </c>
      <c r="B2" s="375" t="str">
        <f ca="1">INDEX('Setting Tables'!$A$1:$A$11,RANDBETWEEN(1,11))</f>
        <v>Unfinished</v>
      </c>
      <c r="C2" s="376" t="str">
        <f ca="1">VLOOKUP($B2,'Setting Tables'!$A$1:$B$11,2,FALSE)</f>
        <v>The creation of the world is ongoing, and may never cease. Some things we take for granted may not yet exist, the laws of reality seem illogical at times, and the half-formed landscape is in a constant state of flux.</v>
      </c>
      <c r="F2" s="373" t="s">
        <v>7465</v>
      </c>
    </row>
    <row r="3" spans="1:15" ht="60" customHeight="1" thickBot="1">
      <c r="A3" s="374" t="s">
        <v>7466</v>
      </c>
      <c r="B3" s="375" t="str">
        <f ca="1">INDEX('Setting Tables'!$A$15:$A$25,RANDBETWEEN(1,11))</f>
        <v>The World is in its Adolescence</v>
      </c>
      <c r="C3" s="376" t="str">
        <f ca="1">VLOOKUP($B3,'Setting Tables'!$A$15:$B$25,2,FALSE)</f>
        <v>Little by little, nature has begun to give way to civilization, and its denizens have begun to sail to distant lands, subjugating other peoples and being subjugated in turn.</v>
      </c>
    </row>
    <row r="4" spans="1:15" ht="60" customHeight="1" thickBot="1">
      <c r="A4" s="374" t="s">
        <v>7467</v>
      </c>
      <c r="B4" s="375" t="str">
        <f ca="1">INDEX('Setting Tables'!$A$29:$A$39,RANDBETWEEN(1,11))</f>
        <v>Not Of This World</v>
      </c>
      <c r="C4" s="376" t="str">
        <f ca="1">VLOOKUP($B4,'Setting Tables'!$A$29:$B$39,2,FALSE)</f>
        <v>The deities of the world are not of this world at all, but rather, came from another place or another time, perhaps fleeing ennui or seeking to settle.</v>
      </c>
    </row>
    <row r="5" spans="1:15" ht="60" customHeight="1" thickBot="1">
      <c r="A5" s="377" t="s">
        <v>7468</v>
      </c>
      <c r="B5" s="375" t="str">
        <f ca="1">INDEX('Setting Tables'!$A$43:$A$53,RANDBETWEEN(1,11))</f>
        <v>Magic is Mundane</v>
      </c>
      <c r="C5" s="376" t="str">
        <f ca="1">VLOOKUP($B5,'Setting Tables'!$A$43:$B$53,2,FALSE)</f>
        <v>Mortals have no magic, it is solely the domain of the world’s deities and lesser supernatural entities.</v>
      </c>
    </row>
    <row r="6" spans="1:15" ht="60" customHeight="1" thickBot="1">
      <c r="A6" s="378" t="s">
        <v>7469</v>
      </c>
      <c r="B6" s="375" t="str">
        <f ca="1">INDEX('Setting Tables'!$A$101:$A$111,RANDBETWEEN(1,11))</f>
        <v>Frozen</v>
      </c>
      <c r="C6" s="376" t="str">
        <f ca="1">VLOOKUP($B6,'Setting Tables'!$A$101:$B$111,2,FALSE)</f>
        <v xml:space="preserve">The world is icy cold, dominated by endless swathes of tundra, vast pine forests, and glacial clusters, here, warm weather is rare, and food is scarce. </v>
      </c>
    </row>
    <row r="7" spans="1:15" s="382" customFormat="1" ht="9.75" customHeight="1" thickBot="1">
      <c r="A7" s="379"/>
      <c r="B7" s="380"/>
      <c r="C7" s="381"/>
    </row>
    <row r="8" spans="1:15" ht="38.25" thickBot="1">
      <c r="A8" s="374" t="s">
        <v>7470</v>
      </c>
      <c r="B8" s="854" t="str">
        <f ca="1">INDEX('Setting Tables'!$B$57:$B$67,RANDBETWEEN(1,11))</f>
        <v>Humans and 2 other species exist in the world.</v>
      </c>
      <c r="C8" s="855"/>
      <c r="F8" s="856" t="s">
        <v>7471</v>
      </c>
      <c r="G8" s="857"/>
      <c r="H8" s="857"/>
      <c r="I8" s="857"/>
      <c r="J8" s="857"/>
      <c r="K8" s="857"/>
      <c r="L8" s="858"/>
    </row>
    <row r="9" spans="1:15" ht="11.25" customHeight="1" thickBot="1">
      <c r="A9" s="373"/>
      <c r="B9" s="373"/>
      <c r="C9" s="373"/>
      <c r="F9" s="859"/>
      <c r="G9" s="860"/>
      <c r="H9" s="860"/>
      <c r="I9" s="860"/>
      <c r="J9" s="860"/>
      <c r="K9" s="860"/>
      <c r="L9" s="861"/>
    </row>
    <row r="10" spans="1:15" ht="38.25" customHeight="1" thickBot="1">
      <c r="A10" s="374" t="s">
        <v>7472</v>
      </c>
      <c r="B10" s="375" t="str">
        <f ca="1">IF(VLOOKUP($B$8,'Setting Tables'!$B$57:$D$67,3,FALSE)&gt;0,INDEX('Setting Tables'!$A$72:$A$82,RANDBETWEEN(1,11)),"")</f>
        <v>Artisan</v>
      </c>
      <c r="C10" s="376" t="str">
        <f ca="1">IF(B10="","",VLOOKUP($B10,'Setting Tables'!$A$72:$B$82,2,FALSE))</f>
        <v>This species is known for its industriousness, secretive demeanor, and talent at craftsmanship.</v>
      </c>
      <c r="E10" s="383" t="str">
        <f t="shared" ref="E10:E22" ca="1" si="0">IF(B10&lt;&gt;"",LEFT(A10,LEN(A10)-10),"")</f>
        <v xml:space="preserve">Species 1 </v>
      </c>
      <c r="F10" s="384" t="str">
        <f ca="1">INDEX($E$10:$E$22,RANDBETWEEN(1,13))</f>
        <v/>
      </c>
      <c r="G10" s="385" t="str">
        <f ca="1">IF(AND(F10&lt;&gt;"",H10&lt;&gt;""),IF(F10&lt;&gt;H10,IF(RANDBETWEEN(0,1)=1,"&lt; "&amp;INDEX('Setting Tables'!$A$87:$A$97,RANDBETWEEN(1,11))&amp;" &lt;","&gt; "&amp;INDEX('Setting Tables'!$A$87:$A$97,RANDBETWEEN(1,11))&amp;" &gt;"),""),"")</f>
        <v/>
      </c>
      <c r="H10" s="386" t="str">
        <f t="shared" ref="H10:L10" ca="1" si="1">INDEX($E$10:$E$22,RANDBETWEEN(1,13))</f>
        <v/>
      </c>
      <c r="I10" s="385" t="str">
        <f ca="1">IF(AND(H10&lt;&gt;"",J10&lt;&gt;""),IF(H10&lt;&gt;J10,IF(RANDBETWEEN(0,1)=1,"&lt; "&amp;INDEX('Setting Tables'!$A$87:$A$97,RANDBETWEEN(1,11))&amp;" &lt;","&gt; "&amp;INDEX('Setting Tables'!$A$87:$A$97,RANDBETWEEN(1,11))&amp;" &gt;"),""),"")</f>
        <v/>
      </c>
      <c r="J10" s="386" t="str">
        <f t="shared" ca="1" si="1"/>
        <v/>
      </c>
      <c r="K10" s="385" t="str">
        <f ca="1">IF(AND(J10&lt;&gt;"",L10&lt;&gt;""),IF(J10&lt;&gt;L10,IF(RANDBETWEEN(0,1)=1,"&lt; "&amp;INDEX('Setting Tables'!$A$87:$A$97,RANDBETWEEN(1,11))&amp;" &lt;","&gt; "&amp;INDEX('Setting Tables'!$A$87:$A$97,RANDBETWEEN(1,11))&amp;" &gt;"),""),"")</f>
        <v/>
      </c>
      <c r="L10" s="387" t="str">
        <f t="shared" ca="1" si="1"/>
        <v/>
      </c>
      <c r="M10" s="388"/>
      <c r="O10" s="388"/>
    </row>
    <row r="11" spans="1:15" ht="38.25" customHeight="1" thickBot="1">
      <c r="A11" s="374" t="s">
        <v>7473</v>
      </c>
      <c r="B11" s="375" t="str">
        <f ca="1">IF(VLOOKUP($B$8,'Setting Tables'!$B$57:$D$67,3,FALSE)&gt;1,INDEX('Setting Tables'!$A$72:$A$82,RANDBETWEEN(1,11)),"")</f>
        <v>Brute</v>
      </c>
      <c r="C11" s="376" t="str">
        <f ca="1">IF(B11="","",VLOOKUP($B11,'Setting Tables'!$A$72:$B$82,2,FALSE))</f>
        <v>This species is known for its prodigal strength, near-endless endurance, and dim wittedness.</v>
      </c>
      <c r="E11" s="383" t="str">
        <f t="shared" ca="1" si="0"/>
        <v xml:space="preserve">Species 2 </v>
      </c>
      <c r="F11" s="389" t="str">
        <f ca="1">IF(AND(F10&lt;&gt;"",F12&lt;&gt;""),IF(F10&lt;&gt;F12,IF(RANDBETWEEN(0,1)=1,"^ "&amp;INDEX('Setting Tables'!$A$87:$A$97,RANDBETWEEN(1,11))&amp;" ^","v "&amp;INDEX('Setting Tables'!$A$87:$A$97,RANDBETWEEN(1,11))&amp;" v"),""),"")</f>
        <v/>
      </c>
      <c r="G11" s="390"/>
      <c r="H11" s="153" t="str">
        <f ca="1">IF(AND(H10&lt;&gt;"",H12&lt;&gt;""),IF(H10&lt;&gt;H12,IF(RANDBETWEEN(0,1)=1,"^ "&amp;INDEX('Setting Tables'!$A$87:$A$97,RANDBETWEEN(1,11))&amp;" ^","v "&amp;INDEX('Setting Tables'!$A$87:$A$97,RANDBETWEEN(1,11))&amp;" v"),""),"")</f>
        <v/>
      </c>
      <c r="I11" s="390"/>
      <c r="J11" s="153" t="str">
        <f ca="1">IF(AND(J10&lt;&gt;"",J12&lt;&gt;""),IF(J10&lt;&gt;J12,IF(RANDBETWEEN(0,1)=1,"^ "&amp;INDEX('Setting Tables'!$A$87:$A$97,RANDBETWEEN(1,11))&amp;" ^","v "&amp;INDEX('Setting Tables'!$A$87:$A$97,RANDBETWEEN(1,11))&amp;" v"),""),"")</f>
        <v/>
      </c>
      <c r="K11" s="390"/>
      <c r="L11" s="391" t="str">
        <f ca="1">IF(AND(L10&lt;&gt;"",L12&lt;&gt;""),IF(L10&lt;&gt;L12,IF(RANDBETWEEN(0,1)=1,"^ "&amp;INDEX('Setting Tables'!$A$87:$A$97,RANDBETWEEN(1,11))&amp;" ^","v "&amp;INDEX('Setting Tables'!$A$87:$A$97,RANDBETWEEN(1,11))&amp;" v"),""),"")</f>
        <v/>
      </c>
    </row>
    <row r="12" spans="1:15" ht="38.25" customHeight="1" thickBot="1">
      <c r="A12" s="374" t="s">
        <v>7474</v>
      </c>
      <c r="B12" s="375" t="str">
        <f ca="1">IF(VLOOKUP($B$8,'Setting Tables'!$B$57:$D$67,3,FALSE)&gt;2,INDEX('Setting Tables'!$A$72:$A$82,RANDBETWEEN(1,11)),"")</f>
        <v>Vermin</v>
      </c>
      <c r="C12" s="376" t="str">
        <f ca="1">IF(B12="","",VLOOKUP($B12,'Setting Tables'!$A$72:$B$82,2,FALSE))</f>
        <v>This species is known for its individual incompetence, short lifespan, and rapid rate of reproduction.</v>
      </c>
      <c r="E12" s="383" t="str">
        <f t="shared" ca="1" si="0"/>
        <v xml:space="preserve">Species 3 </v>
      </c>
      <c r="F12" s="392" t="str">
        <f ca="1">INDEX($E$10:$E$22,RANDBETWEEN(1,13))</f>
        <v/>
      </c>
      <c r="G12" s="153" t="str">
        <f ca="1">IF(AND(F12&lt;&gt;"",H12&lt;&gt;""),IF(F12&lt;&gt;H12,IF(RANDBETWEEN(0,1)=1,"&lt; "&amp;INDEX('Setting Tables'!$A$87:$A$97,RANDBETWEEN(1,11))&amp;" &lt;","&gt; "&amp;INDEX('Setting Tables'!$A$87:$A$97,RANDBETWEEN(1,11))&amp;" &gt;"),""),"")</f>
        <v/>
      </c>
      <c r="H12" s="393" t="str">
        <f ca="1">INDEX($E$10:$E$22,RANDBETWEEN(1,13))</f>
        <v/>
      </c>
      <c r="I12" s="153" t="str">
        <f ca="1">IF(AND(H12&lt;&gt;"",J12&lt;&gt;""),IF(H12&lt;&gt;J12,IF(RANDBETWEEN(0,1)=1,"&lt; "&amp;INDEX('Setting Tables'!$A$87:$A$97,RANDBETWEEN(1,11))&amp;" &lt;","&gt; "&amp;INDEX('Setting Tables'!$A$87:$A$97,RANDBETWEEN(1,11))&amp;" &gt;"),""),"")</f>
        <v/>
      </c>
      <c r="J12" s="393" t="str">
        <f ca="1">INDEX($E$10:$E$22,RANDBETWEEN(1,13))</f>
        <v/>
      </c>
      <c r="K12" s="153" t="str">
        <f ca="1">IF(AND(J12&lt;&gt;"",L12&lt;&gt;""),IF(J12&lt;&gt;L12,IF(RANDBETWEEN(0,1)=1,"&lt; "&amp;INDEX('Setting Tables'!$A$87:$A$97,RANDBETWEEN(1,11))&amp;" &lt;","&gt; "&amp;INDEX('Setting Tables'!$A$87:$A$97,RANDBETWEEN(1,11))&amp;" &gt;"),""),"")</f>
        <v/>
      </c>
      <c r="L12" s="394" t="str">
        <f ca="1">INDEX($E$10:$E$22,RANDBETWEEN(1,13))</f>
        <v/>
      </c>
    </row>
    <row r="13" spans="1:15" ht="38.25" customHeight="1" thickBot="1">
      <c r="A13" s="374" t="s">
        <v>7475</v>
      </c>
      <c r="B13" s="375" t="str">
        <f ca="1">IF(VLOOKUP($B$8,'Setting Tables'!$B$57:$D$67,3,FALSE)&gt;3,INDEX('Setting Tables'!$A$72:$A$82,RANDBETWEEN(1,11)),"")</f>
        <v/>
      </c>
      <c r="C13" s="376" t="str">
        <f ca="1">IF(B13="","",VLOOKUP($B13,'Setting Tables'!$A$72:$B$82,2,FALSE))</f>
        <v/>
      </c>
      <c r="E13" s="383" t="str">
        <f t="shared" ca="1" si="0"/>
        <v/>
      </c>
      <c r="F13" s="389" t="str">
        <f ca="1">IF(AND(F12&lt;&gt;"",F14&lt;&gt;""),IF(F12&lt;&gt;F14,IF(RANDBETWEEN(0,1)=1,"^ "&amp;INDEX('Setting Tables'!$A$87:$A$97,RANDBETWEEN(1,11))&amp;" ^","v "&amp;INDEX('Setting Tables'!$A$87:$A$97,RANDBETWEEN(1,11))&amp;" v"),""),"")</f>
        <v/>
      </c>
      <c r="G13" s="390"/>
      <c r="H13" s="153" t="str">
        <f ca="1">IF(AND(H12&lt;&gt;"",H14&lt;&gt;""),IF(H12&lt;&gt;H14,IF(RANDBETWEEN(0,1)=1,"^ "&amp;INDEX('Setting Tables'!$A$87:$A$97,RANDBETWEEN(1,11))&amp;" ^","v "&amp;INDEX('Setting Tables'!$A$87:$A$97,RANDBETWEEN(1,11))&amp;" v"),""),"")</f>
        <v/>
      </c>
      <c r="I13" s="390"/>
      <c r="J13" s="153" t="str">
        <f ca="1">IF(AND(J12&lt;&gt;"",J14&lt;&gt;""),IF(J12&lt;&gt;J14,IF(RANDBETWEEN(0,1)=1,"^ "&amp;INDEX('Setting Tables'!$A$87:$A$97,RANDBETWEEN(1,11))&amp;" ^","v "&amp;INDEX('Setting Tables'!$A$87:$A$97,RANDBETWEEN(1,11))&amp;" v"),""),"")</f>
        <v/>
      </c>
      <c r="K13" s="390"/>
      <c r="L13" s="391" t="str">
        <f ca="1">IF(AND(L12&lt;&gt;"",L14&lt;&gt;""),IF(L12&lt;&gt;L14,IF(RANDBETWEEN(0,1)=1,"^ "&amp;INDEX('Setting Tables'!$A$87:$A$97,RANDBETWEEN(1,11))&amp;" ^","v "&amp;INDEX('Setting Tables'!$A$87:$A$97,RANDBETWEEN(1,11))&amp;" v"),""),"")</f>
        <v/>
      </c>
    </row>
    <row r="14" spans="1:15" ht="38.25" customHeight="1" thickBot="1">
      <c r="A14" s="374" t="s">
        <v>7476</v>
      </c>
      <c r="B14" s="375" t="str">
        <f ca="1">IF(VLOOKUP($B$8,'Setting Tables'!$B$57:$D$67,3,FALSE)&gt;4,INDEX('Setting Tables'!$A$72:$A$82,RANDBETWEEN(1,11)),"")</f>
        <v/>
      </c>
      <c r="C14" s="376" t="str">
        <f ca="1">IF(B14="","",VLOOKUP($B14,'Setting Tables'!$A$72:$B$82,2,FALSE))</f>
        <v/>
      </c>
      <c r="E14" s="383" t="str">
        <f t="shared" ca="1" si="0"/>
        <v/>
      </c>
      <c r="F14" s="392" t="str">
        <f ca="1">INDEX($E$10:$E$22,RANDBETWEEN(1,13))</f>
        <v/>
      </c>
      <c r="G14" s="153" t="str">
        <f ca="1">IF(AND(F14&lt;&gt;"",H14&lt;&gt;""),IF(F14&lt;&gt;H14,IF(RANDBETWEEN(0,1)=1,"&lt; "&amp;INDEX('Setting Tables'!$A$87:$A$97,RANDBETWEEN(1,11))&amp;" &lt;","&gt; "&amp;INDEX('Setting Tables'!$A$87:$A$97,RANDBETWEEN(1,11))&amp;" &gt;"),""),"")</f>
        <v/>
      </c>
      <c r="H14" s="393" t="str">
        <f ca="1">INDEX($E$10:$E$22,RANDBETWEEN(1,13))</f>
        <v xml:space="preserve">Species 3 </v>
      </c>
      <c r="I14" s="153" t="str">
        <f ca="1">IF(AND(H14&lt;&gt;"",J14&lt;&gt;""),IF(H14&lt;&gt;J14,IF(RANDBETWEEN(0,1)=1,"&lt; "&amp;INDEX('Setting Tables'!$A$87:$A$97,RANDBETWEEN(1,11))&amp;" &lt;","&gt; "&amp;INDEX('Setting Tables'!$A$87:$A$97,RANDBETWEEN(1,11))&amp;" &gt;"),""),"")</f>
        <v/>
      </c>
      <c r="J14" s="393" t="str">
        <f ca="1">INDEX($E$10:$E$22,RANDBETWEEN(1,13))</f>
        <v/>
      </c>
      <c r="K14" s="153" t="str">
        <f ca="1">IF(AND(J14&lt;&gt;"",L14&lt;&gt;""),IF(J14&lt;&gt;L14,IF(RANDBETWEEN(0,1)=1,"&lt; "&amp;INDEX('Setting Tables'!$A$87:$A$97,RANDBETWEEN(1,11))&amp;" &lt;","&gt; "&amp;INDEX('Setting Tables'!$A$87:$A$97,RANDBETWEEN(1,11))&amp;" &gt;"),""),"")</f>
        <v/>
      </c>
      <c r="L14" s="394" t="str">
        <f ca="1">INDEX($E$10:$E$22,RANDBETWEEN(1,13))</f>
        <v/>
      </c>
    </row>
    <row r="15" spans="1:15" ht="38.25" customHeight="1" thickBot="1">
      <c r="A15" s="374" t="s">
        <v>7477</v>
      </c>
      <c r="B15" s="375" t="str">
        <f ca="1">IF(VLOOKUP($B$8,'Setting Tables'!$B$57:$D$67,3,FALSE)&gt;5,INDEX('Setting Tables'!$A$72:$A$82,RANDBETWEEN(1,11)),"")</f>
        <v/>
      </c>
      <c r="C15" s="376" t="str">
        <f ca="1">IF(B15="","",VLOOKUP($B15,'Setting Tables'!$A$72:$B$82,2,FALSE))</f>
        <v/>
      </c>
      <c r="E15" s="383" t="str">
        <f t="shared" ca="1" si="0"/>
        <v/>
      </c>
      <c r="F15" s="389" t="str">
        <f ca="1">IF(AND(F14&lt;&gt;"",F16&lt;&gt;""),IF(F14&lt;&gt;F16,IF(RANDBETWEEN(0,1)=1,"^ "&amp;INDEX('Setting Tables'!$A$87:$A$97,RANDBETWEEN(1,11))&amp;" ^","v "&amp;INDEX('Setting Tables'!$A$87:$A$97,RANDBETWEEN(1,11))&amp;" v"),""),"")</f>
        <v/>
      </c>
      <c r="G15" s="390"/>
      <c r="H15" s="153" t="str">
        <f ca="1">IF(AND(H14&lt;&gt;"",H16&lt;&gt;""),IF(H14&lt;&gt;H16,IF(RANDBETWEEN(0,1)=1,"^ "&amp;INDEX('Setting Tables'!$A$87:$A$97,RANDBETWEEN(1,11))&amp;" ^","v "&amp;INDEX('Setting Tables'!$A$87:$A$97,RANDBETWEEN(1,11))&amp;" v"),""),"")</f>
        <v/>
      </c>
      <c r="I15" s="390"/>
      <c r="J15" s="153" t="str">
        <f ca="1">IF(AND(J14&lt;&gt;"",J16&lt;&gt;""),IF(J14&lt;&gt;J16,IF(RANDBETWEEN(0,1)=1,"^ "&amp;INDEX('Setting Tables'!$A$87:$A$97,RANDBETWEEN(1,11))&amp;" ^","v "&amp;INDEX('Setting Tables'!$A$87:$A$97,RANDBETWEEN(1,11))&amp;" v"),""),"")</f>
        <v/>
      </c>
      <c r="K15" s="390"/>
      <c r="L15" s="391" t="str">
        <f ca="1">IF(AND(L14&lt;&gt;"",L16&lt;&gt;""),IF(L14&lt;&gt;L16,IF(RANDBETWEEN(0,1)=1,"^ "&amp;INDEX('Setting Tables'!$A$87:$A$97,RANDBETWEEN(1,11))&amp;" ^","v "&amp;INDEX('Setting Tables'!$A$87:$A$97,RANDBETWEEN(1,11))&amp;" v"),""),"")</f>
        <v/>
      </c>
    </row>
    <row r="16" spans="1:15" ht="38.25" customHeight="1" thickBot="1">
      <c r="A16" s="374" t="s">
        <v>7478</v>
      </c>
      <c r="B16" s="375" t="str">
        <f ca="1">IF(VLOOKUP($B$8,'Setting Tables'!$B$57:$D$67,3,FALSE)&gt;6,INDEX('Setting Tables'!$A$72:$A$82,RANDBETWEEN(1,11)),"")</f>
        <v/>
      </c>
      <c r="C16" s="376" t="str">
        <f ca="1">IF(B16="","",VLOOKUP($B16,'Setting Tables'!$A$72:$B$82,2,FALSE))</f>
        <v/>
      </c>
      <c r="E16" s="383" t="str">
        <f t="shared" ca="1" si="0"/>
        <v/>
      </c>
      <c r="F16" s="392" t="str">
        <f ca="1">INDEX($E$10:$E$22,RANDBETWEEN(1,13))</f>
        <v/>
      </c>
      <c r="G16" s="153" t="str">
        <f ca="1">IF(AND(F16&lt;&gt;"",H16&lt;&gt;""),IF(F16&lt;&gt;H16,IF(RANDBETWEEN(0,1)=1,"&lt; "&amp;INDEX('Setting Tables'!$A$87:$A$97,RANDBETWEEN(1,11))&amp;" &lt;","&gt; "&amp;INDEX('Setting Tables'!$A$87:$A$97,RANDBETWEEN(1,11))&amp;" &gt;"),""),"")</f>
        <v/>
      </c>
      <c r="H16" s="393" t="str">
        <f ca="1">INDEX($E$10:$E$22,RANDBETWEEN(1,13))</f>
        <v/>
      </c>
      <c r="I16" s="153" t="str">
        <f ca="1">IF(AND(H16&lt;&gt;"",J16&lt;&gt;""),IF(H16&lt;&gt;J16,IF(RANDBETWEEN(0,1)=1,"&lt; "&amp;INDEX('Setting Tables'!$A$87:$A$97,RANDBETWEEN(1,11))&amp;" &lt;","&gt; "&amp;INDEX('Setting Tables'!$A$87:$A$97,RANDBETWEEN(1,11))&amp;" &gt;"),""),"")</f>
        <v/>
      </c>
      <c r="J16" s="393" t="str">
        <f ca="1">INDEX($E$10:$E$22,RANDBETWEEN(1,13))</f>
        <v xml:space="preserve">Species 1 </v>
      </c>
      <c r="K16" s="153" t="str">
        <f ca="1">IF(AND(J16&lt;&gt;"",L16&lt;&gt;""),IF(J16&lt;&gt;L16,IF(RANDBETWEEN(0,1)=1,"&lt; "&amp;INDEX('Setting Tables'!$A$87:$A$97,RANDBETWEEN(1,11))&amp;" &lt;","&gt; "&amp;INDEX('Setting Tables'!$A$87:$A$97,RANDBETWEEN(1,11))&amp;" &gt;"),""),"")</f>
        <v/>
      </c>
      <c r="L16" s="394" t="str">
        <f ca="1">INDEX($E$10:$E$22,RANDBETWEEN(1,13))</f>
        <v/>
      </c>
    </row>
    <row r="17" spans="1:12" ht="38.25" customHeight="1" thickBot="1">
      <c r="A17" s="374" t="s">
        <v>7479</v>
      </c>
      <c r="B17" s="375" t="str">
        <f ca="1">IF(VLOOKUP($B$8,'Setting Tables'!$B$57:$D$67,3,FALSE)&gt;7,INDEX('Setting Tables'!$A$72:$A$82,RANDBETWEEN(1,11)),"")</f>
        <v/>
      </c>
      <c r="C17" s="376" t="str">
        <f ca="1">IF(B17="","",VLOOKUP($B17,'Setting Tables'!$A$72:$B$82,2,FALSE))</f>
        <v/>
      </c>
      <c r="E17" s="383" t="str">
        <f t="shared" ca="1" si="0"/>
        <v/>
      </c>
      <c r="F17" s="389" t="str">
        <f ca="1">IF(AND(F16&lt;&gt;"",F18&lt;&gt;""),IF(F16&lt;&gt;F18,IF(RANDBETWEEN(0,1)=1,"^ "&amp;INDEX('Setting Tables'!$A$87:$A$97,RANDBETWEEN(1,11))&amp;" ^","v "&amp;INDEX('Setting Tables'!$A$87:$A$97,RANDBETWEEN(1,11))&amp;" v"),""),"")</f>
        <v/>
      </c>
      <c r="G17" s="390"/>
      <c r="H17" s="153" t="str">
        <f ca="1">IF(AND(H16&lt;&gt;"",H18&lt;&gt;""),IF(H16&lt;&gt;H18,IF(RANDBETWEEN(0,1)=1,"^ "&amp;INDEX('Setting Tables'!$A$87:$A$97,RANDBETWEEN(1,11))&amp;" ^","v "&amp;INDEX('Setting Tables'!$A$87:$A$97,RANDBETWEEN(1,11))&amp;" v"),""),"")</f>
        <v/>
      </c>
      <c r="I17" s="390"/>
      <c r="J17" s="153" t="str">
        <f ca="1">IF(AND(J16&lt;&gt;"",J18&lt;&gt;""),IF(J16&lt;&gt;J18,IF(RANDBETWEEN(0,1)=1,"^ "&amp;INDEX('Setting Tables'!$A$87:$A$97,RANDBETWEEN(1,11))&amp;" ^","v "&amp;INDEX('Setting Tables'!$A$87:$A$97,RANDBETWEEN(1,11))&amp;" v"),""),"")</f>
        <v/>
      </c>
      <c r="K17" s="390"/>
      <c r="L17" s="391" t="str">
        <f ca="1">IF(AND(L16&lt;&gt;"",L18&lt;&gt;""),IF(L16&lt;&gt;L18,IF(RANDBETWEEN(0,1)=1,"^ "&amp;INDEX('Setting Tables'!$A$87:$A$97,RANDBETWEEN(1,11))&amp;" ^","v "&amp;INDEX('Setting Tables'!$A$87:$A$97,RANDBETWEEN(1,11))&amp;" v"),""),"")</f>
        <v/>
      </c>
    </row>
    <row r="18" spans="1:12" ht="38.25" customHeight="1" thickBot="1">
      <c r="A18" s="374" t="s">
        <v>7480</v>
      </c>
      <c r="B18" s="375" t="str">
        <f ca="1">IF(VLOOKUP($B$8,'Setting Tables'!$B$57:$D$67,3,FALSE)&gt;8,INDEX('Setting Tables'!$A$72:$A$82,RANDBETWEEN(1,11)),"")</f>
        <v/>
      </c>
      <c r="C18" s="376" t="str">
        <f ca="1">IF(B18="","",VLOOKUP($B18,'Setting Tables'!$A$72:$B$82,2,FALSE))</f>
        <v/>
      </c>
      <c r="E18" s="383" t="str">
        <f t="shared" ca="1" si="0"/>
        <v/>
      </c>
      <c r="F18" s="392" t="str">
        <f ca="1">INDEX($E$10:$E$22,RANDBETWEEN(1,13))</f>
        <v/>
      </c>
      <c r="G18" s="153" t="str">
        <f ca="1">IF(AND(F18&lt;&gt;"",H18&lt;&gt;""),IF(F18&lt;&gt;H18,IF(RANDBETWEEN(0,1)=1,"&lt; "&amp;INDEX('Setting Tables'!$A$87:$A$97,RANDBETWEEN(1,11))&amp;" &lt;","&gt; "&amp;INDEX('Setting Tables'!$A$87:$A$97,RANDBETWEEN(1,11))&amp;" &gt;"),""),"")</f>
        <v/>
      </c>
      <c r="H18" s="393" t="str">
        <f t="shared" ref="H18:L18" ca="1" si="2">INDEX($E$10:$E$22,RANDBETWEEN(1,13))</f>
        <v/>
      </c>
      <c r="I18" s="153" t="str">
        <f ca="1">IF(AND(H18&lt;&gt;"",J18&lt;&gt;""),IF(H18&lt;&gt;J18,IF(RANDBETWEEN(0,1)=1,"&lt; "&amp;INDEX('Setting Tables'!$A$87:$A$97,RANDBETWEEN(1,11))&amp;" &lt;","&gt; "&amp;INDEX('Setting Tables'!$A$87:$A$97,RANDBETWEEN(1,11))&amp;" &gt;"),""),"")</f>
        <v/>
      </c>
      <c r="J18" s="393" t="str">
        <f t="shared" ca="1" si="2"/>
        <v/>
      </c>
      <c r="K18" s="153" t="str">
        <f ca="1">IF(AND(J18&lt;&gt;"",L18&lt;&gt;""),IF(J18&lt;&gt;L18,IF(RANDBETWEEN(0,1)=1,"&lt; "&amp;INDEX('Setting Tables'!$A$87:$A$97,RANDBETWEEN(1,11))&amp;" &lt;","&gt; "&amp;INDEX('Setting Tables'!$A$87:$A$97,RANDBETWEEN(1,11))&amp;" &gt;"),""),"")</f>
        <v/>
      </c>
      <c r="L18" s="394" t="str">
        <f t="shared" ca="1" si="2"/>
        <v/>
      </c>
    </row>
    <row r="19" spans="1:12" ht="38.25" customHeight="1" thickBot="1">
      <c r="A19" s="374" t="s">
        <v>7481</v>
      </c>
      <c r="B19" s="375" t="str">
        <f ca="1">IF(VLOOKUP($B$8,'Setting Tables'!$B$57:$D$67,3,FALSE)&gt;9,INDEX('Setting Tables'!$A$72:$A$82,RANDBETWEEN(1,11)),"")</f>
        <v/>
      </c>
      <c r="C19" s="376" t="str">
        <f ca="1">IF(B19="","",VLOOKUP($B19,'Setting Tables'!$A$72:$B$82,2,FALSE))</f>
        <v/>
      </c>
      <c r="E19" s="383" t="str">
        <f t="shared" ca="1" si="0"/>
        <v/>
      </c>
      <c r="F19" s="389" t="str">
        <f ca="1">IF(AND(F18&lt;&gt;"",F20&lt;&gt;""),IF(F18&lt;&gt;F20,IF(RANDBETWEEN(0,1)=1,"^ "&amp;INDEX('Setting Tables'!$A$87:$A$97,RANDBETWEEN(1,11))&amp;" ^","v "&amp;INDEX('Setting Tables'!$A$87:$A$97,RANDBETWEEN(1,11))&amp;" v"),""),"")</f>
        <v/>
      </c>
      <c r="G19" s="390"/>
      <c r="H19" s="153" t="str">
        <f ca="1">IF(AND(H18&lt;&gt;"",H20&lt;&gt;""),IF(H18&lt;&gt;H20,IF(RANDBETWEEN(0,1)=1,"^ "&amp;INDEX('Setting Tables'!$A$87:$A$97,RANDBETWEEN(1,11))&amp;" ^","v "&amp;INDEX('Setting Tables'!$A$87:$A$97,RANDBETWEEN(1,11))&amp;" v"),""),"")</f>
        <v/>
      </c>
      <c r="I19" s="390"/>
      <c r="J19" s="153" t="str">
        <f ca="1">IF(AND(J18&lt;&gt;"",J20&lt;&gt;""),IF(J18&lt;&gt;J20,IF(RANDBETWEEN(0,1)=1,"^ "&amp;INDEX('Setting Tables'!$A$87:$A$97,RANDBETWEEN(1,11))&amp;" ^","v "&amp;INDEX('Setting Tables'!$A$87:$A$97,RANDBETWEEN(1,11))&amp;" v"),""),"")</f>
        <v/>
      </c>
      <c r="K19" s="390"/>
      <c r="L19" s="391" t="str">
        <f ca="1">IF(AND(L18&lt;&gt;"",L20&lt;&gt;""),IF(L18&lt;&gt;L20,IF(RANDBETWEEN(0,1)=1,"^ "&amp;INDEX('Setting Tables'!$A$87:$A$97,RANDBETWEEN(1,11))&amp;" ^","v "&amp;INDEX('Setting Tables'!$A$87:$A$97,RANDBETWEEN(1,11))&amp;" v"),""),"")</f>
        <v/>
      </c>
    </row>
    <row r="20" spans="1:12" ht="38.25" customHeight="1" thickBot="1">
      <c r="A20" s="374" t="s">
        <v>7482</v>
      </c>
      <c r="B20" s="375" t="str">
        <f ca="1">IF(VLOOKUP($B$8,'Setting Tables'!$B$57:$D$67,3,FALSE)&gt;10,INDEX('Setting Tables'!$A$72:$A$82,RANDBETWEEN(1,11)),"")</f>
        <v/>
      </c>
      <c r="C20" s="376" t="str">
        <f ca="1">IF(B20="","",VLOOKUP($B20,'Setting Tables'!$A$72:$B$82,2,FALSE))</f>
        <v/>
      </c>
      <c r="E20" s="383" t="str">
        <f t="shared" ca="1" si="0"/>
        <v/>
      </c>
      <c r="F20" s="392" t="str">
        <f ca="1">INDEX($E$10:$E$22,RANDBETWEEN(1,13))</f>
        <v/>
      </c>
      <c r="G20" s="153" t="str">
        <f ca="1">IF(AND(F20&lt;&gt;"",H20&lt;&gt;""),IF(F20&lt;&gt;H20,IF(RANDBETWEEN(0,1)=1,"&lt; "&amp;INDEX('Setting Tables'!$A$87:$A$97,RANDBETWEEN(1,11))&amp;" &lt;","&gt; "&amp;INDEX('Setting Tables'!$A$87:$A$97,RANDBETWEEN(1,11))&amp;" &gt;"),""),"")</f>
        <v/>
      </c>
      <c r="H20" s="393" t="str">
        <f ca="1">INDEX($E$10:$E$22,RANDBETWEEN(1,13))</f>
        <v/>
      </c>
      <c r="I20" s="153" t="str">
        <f ca="1">IF(AND(H20&lt;&gt;"",J20&lt;&gt;""),IF(H20&lt;&gt;J20,IF(RANDBETWEEN(0,1)=1,"&lt; "&amp;INDEX('Setting Tables'!$A$87:$A$97,RANDBETWEEN(1,11))&amp;" &lt;","&gt; "&amp;INDEX('Setting Tables'!$A$87:$A$97,RANDBETWEEN(1,11))&amp;" &gt;"),""),"")</f>
        <v/>
      </c>
      <c r="J20" s="393" t="str">
        <f ca="1">INDEX($E$10:$E$22,RANDBETWEEN(1,13))</f>
        <v/>
      </c>
      <c r="K20" s="153" t="str">
        <f ca="1">IF(AND(J20&lt;&gt;"",L20&lt;&gt;""),IF(J20&lt;&gt;L20,IF(RANDBETWEEN(0,1)=1,"&lt; "&amp;INDEX('Setting Tables'!$A$87:$A$97,RANDBETWEEN(1,11))&amp;" &lt;","&gt; "&amp;INDEX('Setting Tables'!$A$87:$A$97,RANDBETWEEN(1,11))&amp;" &gt;"),""),"")</f>
        <v/>
      </c>
      <c r="L20" s="394" t="str">
        <f ca="1">INDEX($E$10:$E$22,RANDBETWEEN(1,13))</f>
        <v/>
      </c>
    </row>
    <row r="21" spans="1:12" ht="38.25" customHeight="1" thickBot="1">
      <c r="A21" s="374" t="s">
        <v>7483</v>
      </c>
      <c r="B21" s="375" t="str">
        <f ca="1">IF(VLOOKUP($B$8,'Setting Tables'!$B$57:$D$67,3,FALSE)&gt;11,INDEX('Setting Tables'!$A$72:$A$82,RANDBETWEEN(1,11)),"")</f>
        <v/>
      </c>
      <c r="C21" s="376" t="str">
        <f ca="1">IF(B21="","",VLOOKUP($B21,'Setting Tables'!$A$72:$B$82,2,FALSE))</f>
        <v/>
      </c>
      <c r="E21" s="383" t="str">
        <f t="shared" ca="1" si="0"/>
        <v/>
      </c>
      <c r="F21" s="389" t="str">
        <f ca="1">IF(AND(F20&lt;&gt;"",F22&lt;&gt;""),IF(F20&lt;&gt;F22,IF(RANDBETWEEN(0,1)=1,"^ "&amp;INDEX('Setting Tables'!$A$87:$A$97,RANDBETWEEN(1,11))&amp;" ^","v "&amp;INDEX('Setting Tables'!$A$87:$A$97,RANDBETWEEN(1,11))&amp;" v"),""),"")</f>
        <v/>
      </c>
      <c r="G21" s="390"/>
      <c r="H21" s="153" t="str">
        <f ca="1">IF(AND(H20&lt;&gt;"",H22&lt;&gt;""),IF(H20&lt;&gt;H22,IF(RANDBETWEEN(0,1)=1,"^ "&amp;INDEX('Setting Tables'!$A$87:$A$97,RANDBETWEEN(1,11))&amp;" ^","v "&amp;INDEX('Setting Tables'!$A$87:$A$97,RANDBETWEEN(1,11))&amp;" v"),""),"")</f>
        <v/>
      </c>
      <c r="I21" s="390"/>
      <c r="J21" s="153" t="str">
        <f ca="1">IF(AND(J20&lt;&gt;"",J22&lt;&gt;""),IF(J20&lt;&gt;J22,IF(RANDBETWEEN(0,1)=1,"^ "&amp;INDEX('Setting Tables'!$A$87:$A$97,RANDBETWEEN(1,11))&amp;" ^","v "&amp;INDEX('Setting Tables'!$A$87:$A$97,RANDBETWEEN(1,11))&amp;" v"),""),"")</f>
        <v/>
      </c>
      <c r="K21" s="390"/>
      <c r="L21" s="391" t="str">
        <f ca="1">IF(AND(L20&lt;&gt;"",L22&lt;&gt;""),IF(L20&lt;&gt;L22,IF(RANDBETWEEN(0,1)=1,"^ "&amp;INDEX('Setting Tables'!$A$87:$A$97,RANDBETWEEN(1,11))&amp;" ^","v "&amp;INDEX('Setting Tables'!$A$87:$A$97,RANDBETWEEN(1,11))&amp;" v"),""),"")</f>
        <v/>
      </c>
    </row>
    <row r="22" spans="1:12" ht="38.25" customHeight="1" thickBot="1">
      <c r="A22" s="374" t="s">
        <v>7484</v>
      </c>
      <c r="B22" s="375" t="str">
        <f ca="1">IF(VLOOKUP($B$8,'Setting Tables'!$B$57:$D$67,3,FALSE)&gt;12,INDEX('Setting Tables'!$A$72:$A$82,RANDBETWEEN(1,11)),"")</f>
        <v/>
      </c>
      <c r="C22" s="376" t="str">
        <f ca="1">IF(B22="","",VLOOKUP($B22,'Setting Tables'!$A$72:$B$82,2,FALSE))</f>
        <v/>
      </c>
      <c r="E22" s="383" t="str">
        <f t="shared" ca="1" si="0"/>
        <v/>
      </c>
      <c r="F22" s="395" t="str">
        <f ca="1">INDEX($E$10:$E$22,RANDBETWEEN(1,13))</f>
        <v/>
      </c>
      <c r="G22" s="396" t="str">
        <f ca="1">IF(AND(F22&lt;&gt;"",H22&lt;&gt;""),IF(F22&lt;&gt;H22,IF(RANDBETWEEN(0,1)=1,"&lt; "&amp;INDEX('Setting Tables'!$A$87:$A$97,RANDBETWEEN(1,11))&amp;" &lt;","&gt; "&amp;INDEX('Setting Tables'!$A$87:$A$97,RANDBETWEEN(1,11))&amp;" &gt;"),""),"")</f>
        <v/>
      </c>
      <c r="H22" s="397" t="str">
        <f ca="1">INDEX($E$10:$E$22,RANDBETWEEN(1,13))</f>
        <v/>
      </c>
      <c r="I22" s="396" t="str">
        <f ca="1">IF(AND(H22&lt;&gt;"",J22&lt;&gt;""),IF(H22&lt;&gt;J22,IF(RANDBETWEEN(0,1)=1,"&lt; "&amp;INDEX('Setting Tables'!$A$87:$A$97,RANDBETWEEN(1,11))&amp;" &lt;","&gt; "&amp;INDEX('Setting Tables'!$A$87:$A$97,RANDBETWEEN(1,11))&amp;" &gt;"),""),"")</f>
        <v/>
      </c>
      <c r="J22" s="397" t="str">
        <f ca="1">INDEX($E$10:$E$22,RANDBETWEEN(1,13))</f>
        <v/>
      </c>
      <c r="K22" s="396" t="str">
        <f ca="1">IF(AND(J22&lt;&gt;"",L22&lt;&gt;""),IF(J22&lt;&gt;L22,IF(RANDBETWEEN(0,1)=1,"&lt; "&amp;INDEX('Setting Tables'!$A$87:$A$97,RANDBETWEEN(1,11))&amp;" &lt;","&gt; "&amp;INDEX('Setting Tables'!$A$87:$A$97,RANDBETWEEN(1,11))&amp;" &gt;"),""),"")</f>
        <v/>
      </c>
      <c r="L22" s="398" t="str">
        <f ca="1">INDEX($E$10:$E$22,RANDBETWEEN(1,13))</f>
        <v xml:space="preserve">Species 2 </v>
      </c>
    </row>
    <row r="23" spans="1:12" ht="78.75" customHeight="1" thickBot="1">
      <c r="F23" s="862" t="s">
        <v>7485</v>
      </c>
      <c r="G23" s="863"/>
      <c r="H23" s="863"/>
      <c r="I23" s="863"/>
      <c r="J23" s="863"/>
      <c r="K23" s="863"/>
      <c r="L23" s="864"/>
    </row>
    <row r="24" spans="1:12" ht="38.25" customHeight="1" thickBot="1">
      <c r="F24" s="402" t="s">
        <v>7423</v>
      </c>
      <c r="G24" s="865" t="s">
        <v>7424</v>
      </c>
      <c r="H24" s="866"/>
      <c r="I24" s="867"/>
    </row>
    <row r="25" spans="1:12" ht="38.25" customHeight="1" thickBot="1">
      <c r="F25" s="403" t="s">
        <v>7425</v>
      </c>
      <c r="G25" s="849" t="s">
        <v>7426</v>
      </c>
      <c r="H25" s="850"/>
      <c r="I25" s="851"/>
    </row>
    <row r="26" spans="1:12" ht="38.25" customHeight="1" thickBot="1">
      <c r="F26" s="403" t="s">
        <v>7427</v>
      </c>
      <c r="G26" s="849" t="s">
        <v>7428</v>
      </c>
      <c r="H26" s="850"/>
      <c r="I26" s="851"/>
    </row>
    <row r="27" spans="1:12" ht="38.25" customHeight="1" thickBot="1">
      <c r="F27" s="403" t="s">
        <v>7429</v>
      </c>
      <c r="G27" s="849" t="s">
        <v>7430</v>
      </c>
      <c r="H27" s="850"/>
      <c r="I27" s="851"/>
    </row>
    <row r="28" spans="1:12" ht="38.25" customHeight="1" thickBot="1">
      <c r="F28" s="403" t="s">
        <v>7431</v>
      </c>
      <c r="G28" s="849" t="s">
        <v>7432</v>
      </c>
      <c r="H28" s="850"/>
      <c r="I28" s="851"/>
    </row>
    <row r="29" spans="1:12" ht="38.25" customHeight="1" thickBot="1">
      <c r="F29" s="403" t="s">
        <v>7433</v>
      </c>
      <c r="G29" s="849" t="s">
        <v>7434</v>
      </c>
      <c r="H29" s="850"/>
      <c r="I29" s="851"/>
    </row>
    <row r="30" spans="1:12" ht="38.25" customHeight="1" thickBot="1">
      <c r="F30" s="403" t="s">
        <v>7435</v>
      </c>
      <c r="G30" s="849" t="s">
        <v>7436</v>
      </c>
      <c r="H30" s="850"/>
      <c r="I30" s="851"/>
    </row>
    <row r="31" spans="1:12" ht="38.25" customHeight="1" thickBot="1">
      <c r="F31" s="403" t="s">
        <v>7437</v>
      </c>
      <c r="G31" s="849" t="s">
        <v>7438</v>
      </c>
      <c r="H31" s="850"/>
      <c r="I31" s="851"/>
    </row>
    <row r="32" spans="1:12" ht="38.25" customHeight="1" thickBot="1">
      <c r="F32" s="403" t="s">
        <v>7439</v>
      </c>
      <c r="G32" s="849" t="s">
        <v>7440</v>
      </c>
      <c r="H32" s="850"/>
      <c r="I32" s="851"/>
    </row>
    <row r="33" spans="6:9" s="373" customFormat="1" ht="38.25" customHeight="1" thickBot="1">
      <c r="F33" s="403" t="s">
        <v>7441</v>
      </c>
      <c r="G33" s="849" t="s">
        <v>7442</v>
      </c>
      <c r="H33" s="850"/>
      <c r="I33" s="851"/>
    </row>
    <row r="34" spans="6:9" s="373" customFormat="1" ht="38.25" customHeight="1" thickBot="1">
      <c r="F34" s="403" t="s">
        <v>7443</v>
      </c>
      <c r="G34" s="849" t="s">
        <v>7444</v>
      </c>
      <c r="H34" s="850"/>
      <c r="I34" s="851"/>
    </row>
  </sheetData>
  <mergeCells count="15">
    <mergeCell ref="G25:I25"/>
    <mergeCell ref="A1:C1"/>
    <mergeCell ref="B8:C8"/>
    <mergeCell ref="F8:L9"/>
    <mergeCell ref="F23:L23"/>
    <mergeCell ref="G24:I24"/>
    <mergeCell ref="G32:I32"/>
    <mergeCell ref="G33:I33"/>
    <mergeCell ref="G34:I34"/>
    <mergeCell ref="G26:I26"/>
    <mergeCell ref="G27:I27"/>
    <mergeCell ref="G28:I28"/>
    <mergeCell ref="G29:I29"/>
    <mergeCell ref="G30:I30"/>
    <mergeCell ref="G31:I31"/>
  </mergeCells>
  <conditionalFormatting sqref="F10:L22">
    <cfRule type="containsBlanks" dxfId="5" priority="1">
      <formula>LEN(TRIM(F10))=0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1"/>
  <sheetViews>
    <sheetView workbookViewId="0">
      <selection activeCell="I13" sqref="I13:K13"/>
    </sheetView>
  </sheetViews>
  <sheetFormatPr defaultRowHeight="15"/>
  <cols>
    <col min="6" max="6" width="15.85546875" customWidth="1"/>
    <col min="7" max="7" width="16.7109375" customWidth="1"/>
    <col min="8" max="8" width="4.7109375" customWidth="1"/>
    <col min="14" max="14" width="15.85546875" customWidth="1"/>
    <col min="15" max="15" width="16.7109375" customWidth="1"/>
    <col min="16" max="16" width="4.7109375" customWidth="1"/>
    <col min="22" max="22" width="15.85546875" customWidth="1"/>
    <col min="23" max="23" width="16.7109375" customWidth="1"/>
    <col min="24" max="31" width="9.140625" customWidth="1"/>
  </cols>
  <sheetData>
    <row r="1" spans="1:44" ht="35.1" customHeight="1" thickBot="1">
      <c r="A1" s="868" t="str">
        <f ca="1">CONCATENATE(INDEX($AJ$2:$AJ$51,RANDBETWEEN(1,50)),INDEX($AK$2:$AK$51,RANDBETWEEN(1,50)))</f>
        <v xml:space="preserve"> Warchild.</v>
      </c>
      <c r="B1" s="869"/>
      <c r="C1" s="869"/>
      <c r="D1" s="869"/>
      <c r="E1" s="869"/>
      <c r="F1" s="869"/>
      <c r="G1" s="870"/>
      <c r="H1" s="99"/>
      <c r="I1" s="868" t="str">
        <f ca="1">CONCATENATE(INDEX($AJ$2:$AJ$51,RANDBETWEEN(1,50)),INDEX($AK$2:$AK$51,RANDBETWEEN(1,50)))</f>
        <v>Stormblaze.</v>
      </c>
      <c r="J1" s="869"/>
      <c r="K1" s="869"/>
      <c r="L1" s="869"/>
      <c r="M1" s="869"/>
      <c r="N1" s="869"/>
      <c r="O1" s="870"/>
      <c r="P1" s="99"/>
      <c r="Q1" s="868" t="str">
        <f ca="1">CONCATENATE(INDEX($AJ$2:$AJ$51,RANDBETWEEN(1,50)),INDEX($AK$2:$AK$51,RANDBETWEEN(1,50)))</f>
        <v xml:space="preserve"> Hardpike.</v>
      </c>
      <c r="R1" s="869"/>
      <c r="S1" s="869"/>
      <c r="T1" s="869"/>
      <c r="U1" s="869"/>
      <c r="V1" s="869"/>
      <c r="W1" s="870"/>
      <c r="X1" s="99"/>
      <c r="AJ1" t="s">
        <v>5487</v>
      </c>
      <c r="AK1" t="s">
        <v>5530</v>
      </c>
      <c r="AR1" t="s">
        <v>5666</v>
      </c>
    </row>
    <row r="2" spans="1:44" ht="35.1" customHeight="1">
      <c r="A2" s="625" t="s">
        <v>5698</v>
      </c>
      <c r="B2" s="626"/>
      <c r="C2" s="626"/>
      <c r="D2" s="578" t="str">
        <f ca="1">INDEX($AK$53:$AK$58,RANDBETWEEN(1,6))</f>
        <v>250 people (village).</v>
      </c>
      <c r="E2" s="578"/>
      <c r="F2" s="578"/>
      <c r="G2" s="579"/>
      <c r="H2" s="99"/>
      <c r="I2" s="625" t="s">
        <v>5698</v>
      </c>
      <c r="J2" s="626"/>
      <c r="K2" s="626"/>
      <c r="L2" s="578" t="str">
        <f ca="1">INDEX($AK$53:$AK$58,RANDBETWEEN(1,6))</f>
        <v>100 people (small village).</v>
      </c>
      <c r="M2" s="578"/>
      <c r="N2" s="578"/>
      <c r="O2" s="579"/>
      <c r="P2" s="99"/>
      <c r="Q2" s="625" t="s">
        <v>5698</v>
      </c>
      <c r="R2" s="626"/>
      <c r="S2" s="626"/>
      <c r="T2" s="578" t="str">
        <f ca="1">INDEX($AK$53:$AK$58,RANDBETWEEN(1,6))</f>
        <v>5'000 people (town).</v>
      </c>
      <c r="U2" s="578"/>
      <c r="V2" s="578"/>
      <c r="W2" s="579"/>
      <c r="X2" s="99"/>
      <c r="AJ2" t="s">
        <v>5488</v>
      </c>
      <c r="AK2" t="s">
        <v>5531</v>
      </c>
      <c r="AN2" t="s">
        <v>5699</v>
      </c>
      <c r="AO2" t="s">
        <v>5547</v>
      </c>
      <c r="AP2" t="s">
        <v>5567</v>
      </c>
      <c r="AR2" t="s">
        <v>5667</v>
      </c>
    </row>
    <row r="3" spans="1:44" ht="35.1" customHeight="1">
      <c r="A3" s="618" t="s">
        <v>5697</v>
      </c>
      <c r="B3" s="619"/>
      <c r="C3" s="619"/>
      <c r="D3" s="447" t="str">
        <f ca="1">INDEX($AN$2:$AN$101,RANDBETWEEN(1,100))</f>
        <v>Hill Dwarves</v>
      </c>
      <c r="E3" s="447"/>
      <c r="F3" s="447"/>
      <c r="G3" s="448"/>
      <c r="H3" s="99"/>
      <c r="I3" s="618" t="s">
        <v>5697</v>
      </c>
      <c r="J3" s="619"/>
      <c r="K3" s="619"/>
      <c r="L3" s="447" t="str">
        <f ca="1">INDEX($AN$2:$AN$101,RANDBETWEEN(1,100))</f>
        <v>Wood Elves</v>
      </c>
      <c r="M3" s="447"/>
      <c r="N3" s="447"/>
      <c r="O3" s="448"/>
      <c r="P3" s="99"/>
      <c r="Q3" s="618" t="s">
        <v>5697</v>
      </c>
      <c r="R3" s="619"/>
      <c r="S3" s="619"/>
      <c r="T3" s="447" t="str">
        <f ca="1">INDEX($AN$2:$AN$101,RANDBETWEEN(1,100))</f>
        <v>Humans</v>
      </c>
      <c r="U3" s="447"/>
      <c r="V3" s="447"/>
      <c r="W3" s="448"/>
      <c r="X3" s="99"/>
      <c r="AJ3" t="s">
        <v>5489</v>
      </c>
      <c r="AK3" t="s">
        <v>5532</v>
      </c>
      <c r="AN3" t="s">
        <v>5699</v>
      </c>
      <c r="AO3" t="s">
        <v>5548</v>
      </c>
      <c r="AP3" t="s">
        <v>5568</v>
      </c>
      <c r="AR3" t="s">
        <v>5668</v>
      </c>
    </row>
    <row r="4" spans="1:44" ht="35.1" customHeight="1">
      <c r="A4" s="618" t="s">
        <v>5721</v>
      </c>
      <c r="B4" s="619"/>
      <c r="C4" s="619"/>
      <c r="D4" s="447" t="str">
        <f ca="1">INDEX($AO$2:$AO$21,RANDBETWEEN(1,20))</f>
        <v xml:space="preserve"> Relaxing.</v>
      </c>
      <c r="E4" s="447"/>
      <c r="F4" s="447"/>
      <c r="G4" s="448"/>
      <c r="H4" s="99"/>
      <c r="I4" s="618" t="s">
        <v>5721</v>
      </c>
      <c r="J4" s="619"/>
      <c r="K4" s="619"/>
      <c r="L4" s="447" t="str">
        <f ca="1">INDEX($AO$2:$AO$21,RANDBETWEEN(1,20))</f>
        <v>Quaint.</v>
      </c>
      <c r="M4" s="447"/>
      <c r="N4" s="447"/>
      <c r="O4" s="448"/>
      <c r="P4" s="99"/>
      <c r="Q4" s="618" t="s">
        <v>5721</v>
      </c>
      <c r="R4" s="619"/>
      <c r="S4" s="619"/>
      <c r="T4" s="447" t="str">
        <f ca="1">INDEX($AO$2:$AO$21,RANDBETWEEN(1,20))</f>
        <v xml:space="preserve"> Chaotic.</v>
      </c>
      <c r="U4" s="447"/>
      <c r="V4" s="447"/>
      <c r="W4" s="448"/>
      <c r="X4" s="99"/>
      <c r="AJ4" t="s">
        <v>5490</v>
      </c>
      <c r="AK4" t="s">
        <v>5533</v>
      </c>
      <c r="AN4" t="s">
        <v>5699</v>
      </c>
      <c r="AO4" t="s">
        <v>5549</v>
      </c>
      <c r="AP4" t="s">
        <v>5569</v>
      </c>
      <c r="AR4" t="s">
        <v>5669</v>
      </c>
    </row>
    <row r="5" spans="1:44" ht="35.1" customHeight="1">
      <c r="A5" s="618" t="s">
        <v>5723</v>
      </c>
      <c r="B5" s="619"/>
      <c r="C5" s="619"/>
      <c r="D5" s="447" t="str">
        <f ca="1">INDEX($AP$2:$AP$101,RANDBETWEEN(1,100))</f>
        <v>A notable library.</v>
      </c>
      <c r="E5" s="447"/>
      <c r="F5" s="447"/>
      <c r="G5" s="448"/>
      <c r="H5" s="99"/>
      <c r="I5" s="618" t="s">
        <v>5723</v>
      </c>
      <c r="J5" s="619"/>
      <c r="K5" s="619"/>
      <c r="L5" s="447" t="str">
        <f ca="1">INDEX($AP$2:$AP$101,RANDBETWEEN(1,100))</f>
        <v xml:space="preserve"> A powerful curse.</v>
      </c>
      <c r="M5" s="447"/>
      <c r="N5" s="447"/>
      <c r="O5" s="448"/>
      <c r="P5" s="99"/>
      <c r="Q5" s="618" t="s">
        <v>5723</v>
      </c>
      <c r="R5" s="619"/>
      <c r="S5" s="619"/>
      <c r="T5" s="447" t="str">
        <f ca="1">INDEX($AP$2:$AP$101,RANDBETWEEN(1,100))</f>
        <v xml:space="preserve"> Its noticeable lack of children.</v>
      </c>
      <c r="U5" s="447"/>
      <c r="V5" s="447"/>
      <c r="W5" s="448"/>
      <c r="X5" s="99"/>
      <c r="AJ5" t="s">
        <v>5491</v>
      </c>
      <c r="AK5" t="s">
        <v>5534</v>
      </c>
      <c r="AN5" t="s">
        <v>5699</v>
      </c>
      <c r="AO5" t="s">
        <v>5550</v>
      </c>
      <c r="AP5" t="s">
        <v>5570</v>
      </c>
      <c r="AR5" t="s">
        <v>5670</v>
      </c>
    </row>
    <row r="6" spans="1:44" ht="35.1" customHeight="1" thickBot="1">
      <c r="A6" s="632" t="s">
        <v>5724</v>
      </c>
      <c r="B6" s="633"/>
      <c r="C6" s="633"/>
      <c r="D6" s="445" t="str">
        <f ca="1">INDEX($AR$2:$AR$31,RANDBETWEEN(1,30))</f>
        <v xml:space="preserve"> There are signs of a monster infestation.</v>
      </c>
      <c r="E6" s="445"/>
      <c r="F6" s="445"/>
      <c r="G6" s="446"/>
      <c r="H6" s="99"/>
      <c r="I6" s="632" t="s">
        <v>5724</v>
      </c>
      <c r="J6" s="633"/>
      <c r="K6" s="633"/>
      <c r="L6" s="445" t="str">
        <f ca="1">INDEX($AR$2:$AR$31,RANDBETWEEN(1,30))</f>
        <v xml:space="preserve"> The rewards on the job board are high.</v>
      </c>
      <c r="M6" s="445"/>
      <c r="N6" s="445"/>
      <c r="O6" s="446"/>
      <c r="P6" s="99"/>
      <c r="Q6" s="632" t="s">
        <v>5724</v>
      </c>
      <c r="R6" s="633"/>
      <c r="S6" s="633"/>
      <c r="T6" s="445" t="str">
        <f ca="1">INDEX($AR$2:$AR$31,RANDBETWEEN(1,30))</f>
        <v xml:space="preserve"> The townspeople greet them like heroes.</v>
      </c>
      <c r="U6" s="445"/>
      <c r="V6" s="445"/>
      <c r="W6" s="446"/>
      <c r="X6" s="99"/>
      <c r="AJ6" t="s">
        <v>5492</v>
      </c>
      <c r="AK6" t="s">
        <v>5535</v>
      </c>
      <c r="AN6" t="s">
        <v>5699</v>
      </c>
      <c r="AO6" t="s">
        <v>5551</v>
      </c>
      <c r="AP6" t="s">
        <v>5571</v>
      </c>
      <c r="AR6" t="s">
        <v>5671</v>
      </c>
    </row>
    <row r="7" spans="1:44" ht="15" customHeight="1" thickBot="1">
      <c r="A7" s="233"/>
      <c r="B7" s="233"/>
      <c r="C7" s="233"/>
      <c r="D7" s="185"/>
      <c r="E7" s="185"/>
      <c r="F7" s="185"/>
      <c r="G7" s="185"/>
      <c r="H7" s="99"/>
      <c r="I7" s="233"/>
      <c r="J7" s="233"/>
      <c r="K7" s="233"/>
      <c r="L7" s="185"/>
      <c r="M7" s="185"/>
      <c r="N7" s="185"/>
      <c r="O7" s="185"/>
      <c r="P7" s="99"/>
      <c r="Q7" s="233"/>
      <c r="R7" s="233"/>
      <c r="S7" s="233"/>
      <c r="T7" s="185"/>
      <c r="U7" s="185"/>
      <c r="V7" s="185"/>
      <c r="W7" s="185"/>
      <c r="X7" s="99"/>
      <c r="AJ7" t="s">
        <v>5493</v>
      </c>
      <c r="AK7" t="s">
        <v>5536</v>
      </c>
      <c r="AN7" t="s">
        <v>5699</v>
      </c>
      <c r="AO7" t="s">
        <v>5552</v>
      </c>
      <c r="AP7" t="s">
        <v>5572</v>
      </c>
      <c r="AR7" t="s">
        <v>5672</v>
      </c>
    </row>
    <row r="8" spans="1:44" ht="35.1" customHeight="1" thickBot="1">
      <c r="A8" s="868" t="str">
        <f ca="1">CONCATENATE(INDEX($AJ$2:$AJ$51,RANDBETWEEN(1,50)),INDEX($AK$2:$AK$51,RANDBETWEEN(1,50)))</f>
        <v xml:space="preserve"> Founder's run.</v>
      </c>
      <c r="B8" s="869"/>
      <c r="C8" s="869"/>
      <c r="D8" s="869"/>
      <c r="E8" s="869"/>
      <c r="F8" s="869"/>
      <c r="G8" s="870"/>
      <c r="H8" s="99"/>
      <c r="I8" s="868" t="str">
        <f ca="1">CONCATENATE(INDEX($AJ$2:$AJ$51,RANDBETWEEN(1,50)),INDEX($AK$2:$AK$51,RANDBETWEEN(1,50)))</f>
        <v xml:space="preserve"> Artcombe.</v>
      </c>
      <c r="J8" s="869"/>
      <c r="K8" s="869"/>
      <c r="L8" s="869"/>
      <c r="M8" s="869"/>
      <c r="N8" s="869"/>
      <c r="O8" s="870"/>
      <c r="P8" s="99"/>
      <c r="Q8" s="868" t="str">
        <f ca="1">CONCATENATE(INDEX($AJ$2:$AJ$51,RANDBETWEEN(1,50)),INDEX($AK$2:$AK$51,RANDBETWEEN(1,50)))</f>
        <v>Leafblaze.</v>
      </c>
      <c r="R8" s="869"/>
      <c r="S8" s="869"/>
      <c r="T8" s="869"/>
      <c r="U8" s="869"/>
      <c r="V8" s="869"/>
      <c r="W8" s="870"/>
      <c r="X8" s="99"/>
      <c r="AJ8" t="s">
        <v>5494</v>
      </c>
      <c r="AK8" t="s">
        <v>5537</v>
      </c>
      <c r="AN8" t="s">
        <v>5699</v>
      </c>
      <c r="AO8" t="s">
        <v>5553</v>
      </c>
      <c r="AP8" t="s">
        <v>5573</v>
      </c>
      <c r="AR8" t="s">
        <v>5673</v>
      </c>
    </row>
    <row r="9" spans="1:44" ht="35.1" customHeight="1">
      <c r="A9" s="625" t="s">
        <v>5698</v>
      </c>
      <c r="B9" s="626"/>
      <c r="C9" s="626"/>
      <c r="D9" s="578" t="str">
        <f ca="1">INDEX($AK$53:$AK$58,RANDBETWEEN(1,6))</f>
        <v>25'000 people (city)</v>
      </c>
      <c r="E9" s="578"/>
      <c r="F9" s="578"/>
      <c r="G9" s="579"/>
      <c r="H9" s="99"/>
      <c r="I9" s="625" t="s">
        <v>5698</v>
      </c>
      <c r="J9" s="626"/>
      <c r="K9" s="626"/>
      <c r="L9" s="578" t="str">
        <f ca="1">INDEX($AK$53:$AK$58,RANDBETWEEN(1,6))</f>
        <v>100 people (small village).</v>
      </c>
      <c r="M9" s="578"/>
      <c r="N9" s="578"/>
      <c r="O9" s="579"/>
      <c r="P9" s="99"/>
      <c r="Q9" s="625" t="s">
        <v>5698</v>
      </c>
      <c r="R9" s="626"/>
      <c r="S9" s="626"/>
      <c r="T9" s="578" t="str">
        <f ca="1">INDEX($AK$53:$AK$58,RANDBETWEEN(1,6))</f>
        <v>250 people (village).</v>
      </c>
      <c r="U9" s="578"/>
      <c r="V9" s="578"/>
      <c r="W9" s="579"/>
      <c r="X9" s="99"/>
      <c r="AJ9" t="s">
        <v>5495</v>
      </c>
      <c r="AK9" t="s">
        <v>5538</v>
      </c>
      <c r="AN9" t="s">
        <v>5699</v>
      </c>
      <c r="AO9" t="s">
        <v>5554</v>
      </c>
      <c r="AP9" t="s">
        <v>5574</v>
      </c>
      <c r="AR9" t="s">
        <v>5674</v>
      </c>
    </row>
    <row r="10" spans="1:44" ht="35.1" customHeight="1">
      <c r="A10" s="618" t="s">
        <v>5697</v>
      </c>
      <c r="B10" s="619"/>
      <c r="C10" s="619"/>
      <c r="D10" s="447" t="str">
        <f ca="1">INDEX($AN$2:$AN$101,RANDBETWEEN(1,100))</f>
        <v>Humans</v>
      </c>
      <c r="E10" s="447"/>
      <c r="F10" s="447"/>
      <c r="G10" s="448"/>
      <c r="H10" s="99"/>
      <c r="I10" s="618" t="s">
        <v>5697</v>
      </c>
      <c r="J10" s="619"/>
      <c r="K10" s="619"/>
      <c r="L10" s="447" t="str">
        <f ca="1">INDEX($AN$2:$AN$101,RANDBETWEEN(1,100))</f>
        <v>Humans</v>
      </c>
      <c r="M10" s="447"/>
      <c r="N10" s="447"/>
      <c r="O10" s="448"/>
      <c r="P10" s="99"/>
      <c r="Q10" s="618" t="s">
        <v>5697</v>
      </c>
      <c r="R10" s="619"/>
      <c r="S10" s="619"/>
      <c r="T10" s="447" t="str">
        <f ca="1">INDEX($AN$2:$AN$101,RANDBETWEEN(1,100))</f>
        <v>Humans</v>
      </c>
      <c r="U10" s="447"/>
      <c r="V10" s="447"/>
      <c r="W10" s="448"/>
      <c r="X10" s="99"/>
      <c r="AJ10" t="s">
        <v>5496</v>
      </c>
      <c r="AK10" t="s">
        <v>5539</v>
      </c>
      <c r="AN10" t="s">
        <v>5699</v>
      </c>
      <c r="AO10" t="s">
        <v>5555</v>
      </c>
      <c r="AP10" t="s">
        <v>5575</v>
      </c>
      <c r="AR10" t="s">
        <v>5675</v>
      </c>
    </row>
    <row r="11" spans="1:44" ht="35.1" customHeight="1">
      <c r="A11" s="618" t="s">
        <v>5721</v>
      </c>
      <c r="B11" s="619"/>
      <c r="C11" s="619"/>
      <c r="D11" s="447" t="str">
        <f ca="1">INDEX($AO$2:$AO$21,RANDBETWEEN(1,20))</f>
        <v>Bustling.</v>
      </c>
      <c r="E11" s="447"/>
      <c r="F11" s="447"/>
      <c r="G11" s="448"/>
      <c r="H11" s="99"/>
      <c r="I11" s="618" t="s">
        <v>5721</v>
      </c>
      <c r="J11" s="619"/>
      <c r="K11" s="619"/>
      <c r="L11" s="447" t="str">
        <f ca="1">INDEX($AO$2:$AO$21,RANDBETWEEN(1,20))</f>
        <v xml:space="preserve"> Stifling.</v>
      </c>
      <c r="M11" s="447"/>
      <c r="N11" s="447"/>
      <c r="O11" s="448"/>
      <c r="P11" s="99"/>
      <c r="Q11" s="618" t="s">
        <v>5721</v>
      </c>
      <c r="R11" s="619"/>
      <c r="S11" s="619"/>
      <c r="T11" s="447" t="str">
        <f ca="1">INDEX($AO$2:$AO$21,RANDBETWEEN(1,20))</f>
        <v>Tense.</v>
      </c>
      <c r="U11" s="447"/>
      <c r="V11" s="447"/>
      <c r="W11" s="448"/>
      <c r="X11" s="99"/>
      <c r="AJ11" t="s">
        <v>5497</v>
      </c>
      <c r="AK11" t="s">
        <v>5763</v>
      </c>
      <c r="AN11" t="s">
        <v>5699</v>
      </c>
      <c r="AO11" t="s">
        <v>5556</v>
      </c>
      <c r="AP11" t="s">
        <v>5576</v>
      </c>
      <c r="AR11" t="s">
        <v>5676</v>
      </c>
    </row>
    <row r="12" spans="1:44" ht="35.1" customHeight="1">
      <c r="A12" s="618" t="s">
        <v>5723</v>
      </c>
      <c r="B12" s="619"/>
      <c r="C12" s="619"/>
      <c r="D12" s="447" t="str">
        <f ca="1">INDEX($AP$2:$AP$101,RANDBETWEEN(1,100))</f>
        <v xml:space="preserve"> The nearby vineyards.</v>
      </c>
      <c r="E12" s="447"/>
      <c r="F12" s="447"/>
      <c r="G12" s="448"/>
      <c r="H12" s="99"/>
      <c r="I12" s="618" t="s">
        <v>5723</v>
      </c>
      <c r="J12" s="619"/>
      <c r="K12" s="619"/>
      <c r="L12" s="447" t="str">
        <f ca="1">INDEX($AP$2:$AP$101,RANDBETWEEN(1,100))</f>
        <v xml:space="preserve"> The blistering heat of its forges.</v>
      </c>
      <c r="M12" s="447"/>
      <c r="N12" s="447"/>
      <c r="O12" s="448"/>
      <c r="P12" s="99"/>
      <c r="Q12" s="618" t="s">
        <v>5723</v>
      </c>
      <c r="R12" s="619"/>
      <c r="S12" s="619"/>
      <c r="T12" s="447" t="str">
        <f ca="1">INDEX($AP$2:$AP$101,RANDBETWEEN(1,100))</f>
        <v xml:space="preserve"> A pony mascot with an adorable name.</v>
      </c>
      <c r="U12" s="447"/>
      <c r="V12" s="447"/>
      <c r="W12" s="448"/>
      <c r="X12" s="99"/>
      <c r="AJ12" t="s">
        <v>5498</v>
      </c>
      <c r="AK12" t="s">
        <v>5764</v>
      </c>
      <c r="AN12" t="s">
        <v>5699</v>
      </c>
      <c r="AO12" t="s">
        <v>5557</v>
      </c>
      <c r="AP12" t="s">
        <v>5577</v>
      </c>
      <c r="AR12" t="s">
        <v>5677</v>
      </c>
    </row>
    <row r="13" spans="1:44" ht="35.1" customHeight="1" thickBot="1">
      <c r="A13" s="632" t="s">
        <v>5724</v>
      </c>
      <c r="B13" s="633"/>
      <c r="C13" s="633"/>
      <c r="D13" s="445" t="str">
        <f ca="1">INDEX($AR$2:$AR$31,RANDBETWEEN(1,30))</f>
        <v xml:space="preserve"> A powerful entity offers them a deal there.</v>
      </c>
      <c r="E13" s="445"/>
      <c r="F13" s="445"/>
      <c r="G13" s="446"/>
      <c r="H13" s="99"/>
      <c r="I13" s="632" t="s">
        <v>5724</v>
      </c>
      <c r="J13" s="633"/>
      <c r="K13" s="633"/>
      <c r="L13" s="445" t="str">
        <f ca="1">INDEX($AR$2:$AR$31,RANDBETWEEN(1,30))</f>
        <v xml:space="preserve"> A powerful entity offers them a deal there.</v>
      </c>
      <c r="M13" s="445"/>
      <c r="N13" s="445"/>
      <c r="O13" s="446"/>
      <c r="P13" s="99"/>
      <c r="Q13" s="632" t="s">
        <v>5724</v>
      </c>
      <c r="R13" s="633"/>
      <c r="S13" s="633"/>
      <c r="T13" s="445" t="str">
        <f ca="1">INDEX($AR$2:$AR$31,RANDBETWEEN(1,30))</f>
        <v xml:space="preserve"> One of the inhabitants asked for help with a problem.</v>
      </c>
      <c r="U13" s="445"/>
      <c r="V13" s="445"/>
      <c r="W13" s="446"/>
      <c r="X13" s="99"/>
      <c r="AJ13" t="s">
        <v>5499</v>
      </c>
      <c r="AK13" t="s">
        <v>5765</v>
      </c>
      <c r="AN13" t="s">
        <v>5699</v>
      </c>
      <c r="AO13" t="s">
        <v>5558</v>
      </c>
      <c r="AP13" t="s">
        <v>5578</v>
      </c>
      <c r="AR13" t="s">
        <v>5678</v>
      </c>
    </row>
    <row r="14" spans="1:44" ht="15" customHeight="1" thickBot="1">
      <c r="A14" s="99"/>
      <c r="B14" s="99"/>
      <c r="C14" s="99"/>
      <c r="D14" s="99"/>
      <c r="E14" s="99"/>
      <c r="F14" s="99"/>
      <c r="G14" s="99"/>
      <c r="H14" s="99"/>
      <c r="I14" s="99"/>
      <c r="J14" s="99"/>
      <c r="K14" s="99"/>
      <c r="L14" s="99"/>
      <c r="M14" s="99"/>
      <c r="N14" s="99"/>
      <c r="O14" s="99"/>
      <c r="P14" s="99"/>
      <c r="Q14" s="99"/>
      <c r="R14" s="99"/>
      <c r="S14" s="99"/>
      <c r="T14" s="99"/>
      <c r="U14" s="99"/>
      <c r="V14" s="99"/>
      <c r="W14" s="99"/>
      <c r="X14" s="99"/>
      <c r="AJ14" t="s">
        <v>5500</v>
      </c>
      <c r="AK14" t="s">
        <v>5766</v>
      </c>
      <c r="AN14" t="s">
        <v>5699</v>
      </c>
      <c r="AO14" t="s">
        <v>5559</v>
      </c>
      <c r="AP14" t="s">
        <v>5579</v>
      </c>
      <c r="AR14" t="s">
        <v>5679</v>
      </c>
    </row>
    <row r="15" spans="1:44" ht="35.1" customHeight="1" thickBot="1">
      <c r="A15" s="868" t="str">
        <f ca="1">CONCATENATE(INDEX($AJ$2:$AJ$51,RANDBETWEEN(1,50)),INDEX($AK$2:$AK$51,RANDBETWEEN(1,50)))</f>
        <v xml:space="preserve"> Heartring.</v>
      </c>
      <c r="B15" s="869"/>
      <c r="C15" s="869"/>
      <c r="D15" s="869"/>
      <c r="E15" s="869"/>
      <c r="F15" s="869"/>
      <c r="G15" s="870"/>
      <c r="H15" s="99"/>
      <c r="I15" s="868" t="str">
        <f ca="1">CONCATENATE(INDEX($AJ$2:$AJ$51,RANDBETWEEN(1,50)),INDEX($AK$2:$AK$51,RANDBETWEEN(1,50)))</f>
        <v xml:space="preserve"> Godtown.</v>
      </c>
      <c r="J15" s="869"/>
      <c r="K15" s="869"/>
      <c r="L15" s="869"/>
      <c r="M15" s="869"/>
      <c r="N15" s="869"/>
      <c r="O15" s="870"/>
      <c r="P15" s="99"/>
      <c r="Q15" s="868" t="str">
        <f ca="1">CONCATENATE(INDEX($AJ$2:$AJ$51,RANDBETWEEN(1,50)),INDEX($AK$2:$AK$51,RANDBETWEEN(1,50)))</f>
        <v>Earthlair.</v>
      </c>
      <c r="R15" s="869"/>
      <c r="S15" s="869"/>
      <c r="T15" s="869"/>
      <c r="U15" s="869"/>
      <c r="V15" s="869"/>
      <c r="W15" s="870"/>
      <c r="X15" s="99"/>
      <c r="AJ15" t="s">
        <v>5501</v>
      </c>
      <c r="AK15" t="s">
        <v>5767</v>
      </c>
      <c r="AN15" t="s">
        <v>5699</v>
      </c>
      <c r="AO15" t="s">
        <v>5560</v>
      </c>
      <c r="AP15" t="s">
        <v>5580</v>
      </c>
      <c r="AR15" t="s">
        <v>5680</v>
      </c>
    </row>
    <row r="16" spans="1:44" ht="35.1" customHeight="1">
      <c r="A16" s="625" t="s">
        <v>5698</v>
      </c>
      <c r="B16" s="626"/>
      <c r="C16" s="626"/>
      <c r="D16" s="578" t="str">
        <f ca="1">INDEX($AK$53:$AK$58,RANDBETWEEN(1,6))</f>
        <v>100 people (small village).</v>
      </c>
      <c r="E16" s="578"/>
      <c r="F16" s="578"/>
      <c r="G16" s="579"/>
      <c r="H16" s="99"/>
      <c r="I16" s="625" t="s">
        <v>5698</v>
      </c>
      <c r="J16" s="626"/>
      <c r="K16" s="626"/>
      <c r="L16" s="578" t="str">
        <f ca="1">INDEX($AK$53:$AK$58,RANDBETWEEN(1,6))</f>
        <v>25'000 people (city)</v>
      </c>
      <c r="M16" s="578"/>
      <c r="N16" s="578"/>
      <c r="O16" s="579"/>
      <c r="P16" s="99"/>
      <c r="Q16" s="625" t="s">
        <v>5698</v>
      </c>
      <c r="R16" s="626"/>
      <c r="S16" s="626"/>
      <c r="T16" s="578" t="str">
        <f ca="1">INDEX($AK$53:$AK$58,RANDBETWEEN(1,6))</f>
        <v>50 people (hamlet).</v>
      </c>
      <c r="U16" s="578"/>
      <c r="V16" s="578"/>
      <c r="W16" s="579"/>
      <c r="X16" s="99"/>
      <c r="AJ16" t="s">
        <v>5502</v>
      </c>
      <c r="AK16" t="s">
        <v>5768</v>
      </c>
      <c r="AN16" t="s">
        <v>5699</v>
      </c>
      <c r="AO16" t="s">
        <v>5561</v>
      </c>
      <c r="AP16" t="s">
        <v>5581</v>
      </c>
      <c r="AR16" t="s">
        <v>5681</v>
      </c>
    </row>
    <row r="17" spans="1:44" ht="35.1" customHeight="1">
      <c r="A17" s="618" t="s">
        <v>5697</v>
      </c>
      <c r="B17" s="619"/>
      <c r="C17" s="619"/>
      <c r="D17" s="447" t="str">
        <f ca="1">INDEX($AN$2:$AN$101,RANDBETWEEN(1,100))</f>
        <v>Mountain Dwarves</v>
      </c>
      <c r="E17" s="447"/>
      <c r="F17" s="447"/>
      <c r="G17" s="448"/>
      <c r="H17" s="99"/>
      <c r="I17" s="618" t="s">
        <v>5697</v>
      </c>
      <c r="J17" s="619"/>
      <c r="K17" s="619"/>
      <c r="L17" s="447" t="str">
        <f ca="1">INDEX($AN$2:$AN$101,RANDBETWEEN(1,100))</f>
        <v>Hill Dwarves</v>
      </c>
      <c r="M17" s="447"/>
      <c r="N17" s="447"/>
      <c r="O17" s="448"/>
      <c r="P17" s="99"/>
      <c r="Q17" s="618" t="s">
        <v>5697</v>
      </c>
      <c r="R17" s="619"/>
      <c r="S17" s="619"/>
      <c r="T17" s="447" t="str">
        <f ca="1">INDEX($AN$2:$AN$101,RANDBETWEEN(1,100))</f>
        <v>High Elves</v>
      </c>
      <c r="U17" s="447"/>
      <c r="V17" s="447"/>
      <c r="W17" s="448"/>
      <c r="X17" s="99"/>
      <c r="AJ17" t="s">
        <v>5503</v>
      </c>
      <c r="AK17" t="s">
        <v>5769</v>
      </c>
      <c r="AN17" t="s">
        <v>5699</v>
      </c>
      <c r="AO17" t="s">
        <v>5562</v>
      </c>
      <c r="AP17" t="s">
        <v>5582</v>
      </c>
      <c r="AR17" t="s">
        <v>5682</v>
      </c>
    </row>
    <row r="18" spans="1:44" ht="35.1" customHeight="1">
      <c r="A18" s="618" t="s">
        <v>5721</v>
      </c>
      <c r="B18" s="619"/>
      <c r="C18" s="619"/>
      <c r="D18" s="447" t="str">
        <f ca="1">INDEX($AO$2:$AO$21,RANDBETWEEN(1,20))</f>
        <v xml:space="preserve"> Relaxing.</v>
      </c>
      <c r="E18" s="447"/>
      <c r="F18" s="447"/>
      <c r="G18" s="448"/>
      <c r="H18" s="99"/>
      <c r="I18" s="618" t="s">
        <v>5721</v>
      </c>
      <c r="J18" s="619"/>
      <c r="K18" s="619"/>
      <c r="L18" s="447" t="str">
        <f ca="1">INDEX($AO$2:$AO$21,RANDBETWEEN(1,20))</f>
        <v>Quaint.</v>
      </c>
      <c r="M18" s="447"/>
      <c r="N18" s="447"/>
      <c r="O18" s="448"/>
      <c r="P18" s="99"/>
      <c r="Q18" s="618" t="s">
        <v>5721</v>
      </c>
      <c r="R18" s="619"/>
      <c r="S18" s="619"/>
      <c r="T18" s="447" t="str">
        <f ca="1">INDEX($AO$2:$AO$21,RANDBETWEEN(1,20))</f>
        <v>Bustling.</v>
      </c>
      <c r="U18" s="447"/>
      <c r="V18" s="447"/>
      <c r="W18" s="448"/>
      <c r="X18" s="99"/>
      <c r="AJ18" t="s">
        <v>5504</v>
      </c>
      <c r="AK18" t="s">
        <v>5770</v>
      </c>
      <c r="AN18" t="s">
        <v>5699</v>
      </c>
      <c r="AO18" t="s">
        <v>5563</v>
      </c>
      <c r="AP18" t="s">
        <v>5583</v>
      </c>
      <c r="AR18" t="s">
        <v>5683</v>
      </c>
    </row>
    <row r="19" spans="1:44" ht="35.1" customHeight="1">
      <c r="A19" s="618" t="s">
        <v>5723</v>
      </c>
      <c r="B19" s="619"/>
      <c r="C19" s="619"/>
      <c r="D19" s="447" t="str">
        <f ca="1">INDEX($AP$2:$AP$101,RANDBETWEEN(1,100))</f>
        <v>Its beautiful parks.</v>
      </c>
      <c r="E19" s="447"/>
      <c r="F19" s="447"/>
      <c r="G19" s="448"/>
      <c r="H19" s="99"/>
      <c r="I19" s="618" t="s">
        <v>5723</v>
      </c>
      <c r="J19" s="619"/>
      <c r="K19" s="619"/>
      <c r="L19" s="447" t="str">
        <f ca="1">INDEX($AP$2:$AP$101,RANDBETWEEN(1,100))</f>
        <v xml:space="preserve"> A powerful curse.</v>
      </c>
      <c r="M19" s="447"/>
      <c r="N19" s="447"/>
      <c r="O19" s="448"/>
      <c r="P19" s="99"/>
      <c r="Q19" s="618" t="s">
        <v>5723</v>
      </c>
      <c r="R19" s="619"/>
      <c r="S19" s="619"/>
      <c r="T19" s="447" t="str">
        <f ca="1">INDEX($AP$2:$AP$101,RANDBETWEEN(1,100))</f>
        <v xml:space="preserve"> The slums.</v>
      </c>
      <c r="U19" s="447"/>
      <c r="V19" s="447"/>
      <c r="W19" s="448"/>
      <c r="X19" s="99"/>
      <c r="AJ19" t="s">
        <v>5505</v>
      </c>
      <c r="AK19" t="s">
        <v>5771</v>
      </c>
      <c r="AN19" t="s">
        <v>5699</v>
      </c>
      <c r="AO19" t="s">
        <v>5564</v>
      </c>
      <c r="AP19" t="s">
        <v>5584</v>
      </c>
      <c r="AR19" t="s">
        <v>5684</v>
      </c>
    </row>
    <row r="20" spans="1:44" ht="35.1" customHeight="1" thickBot="1">
      <c r="A20" s="632" t="s">
        <v>5724</v>
      </c>
      <c r="B20" s="633"/>
      <c r="C20" s="633"/>
      <c r="D20" s="445" t="str">
        <f ca="1">INDEX($AR$2:$AR$31,RANDBETWEEN(1,30))</f>
        <v xml:space="preserve"> An enemy has called them out.</v>
      </c>
      <c r="E20" s="445"/>
      <c r="F20" s="445"/>
      <c r="G20" s="446"/>
      <c r="H20" s="99"/>
      <c r="I20" s="632" t="s">
        <v>5724</v>
      </c>
      <c r="J20" s="633"/>
      <c r="K20" s="633"/>
      <c r="L20" s="445" t="str">
        <f ca="1">INDEX($AR$2:$AR$31,RANDBETWEEN(1,30))</f>
        <v xml:space="preserve"> One of the inhabitants asked for help with a problem.</v>
      </c>
      <c r="M20" s="445"/>
      <c r="N20" s="445"/>
      <c r="O20" s="446"/>
      <c r="P20" s="99"/>
      <c r="Q20" s="632" t="s">
        <v>5724</v>
      </c>
      <c r="R20" s="633"/>
      <c r="S20" s="633"/>
      <c r="T20" s="445" t="str">
        <f ca="1">INDEX($AR$2:$AR$31,RANDBETWEEN(1,30))</f>
        <v>Something they want is there.</v>
      </c>
      <c r="U20" s="445"/>
      <c r="V20" s="445"/>
      <c r="W20" s="446"/>
      <c r="X20" s="99"/>
      <c r="AJ20" t="s">
        <v>5506</v>
      </c>
      <c r="AK20" t="s">
        <v>5772</v>
      </c>
      <c r="AN20" t="s">
        <v>5699</v>
      </c>
      <c r="AO20" t="s">
        <v>5565</v>
      </c>
      <c r="AP20" t="s">
        <v>5585</v>
      </c>
      <c r="AR20" t="s">
        <v>5685</v>
      </c>
    </row>
    <row r="21" spans="1:44" ht="15" customHeight="1" thickBot="1">
      <c r="A21" s="99"/>
      <c r="B21" s="99"/>
      <c r="C21" s="99"/>
      <c r="D21" s="99"/>
      <c r="E21" s="99"/>
      <c r="F21" s="99"/>
      <c r="G21" s="99"/>
      <c r="H21" s="99"/>
      <c r="I21" s="99"/>
      <c r="J21" s="99"/>
      <c r="K21" s="99"/>
      <c r="L21" s="99"/>
      <c r="M21" s="99"/>
      <c r="N21" s="99"/>
      <c r="O21" s="99"/>
      <c r="P21" s="99"/>
      <c r="Q21" s="99"/>
      <c r="R21" s="99"/>
      <c r="S21" s="99"/>
      <c r="T21" s="99"/>
      <c r="U21" s="99"/>
      <c r="V21" s="99"/>
      <c r="W21" s="99"/>
      <c r="X21" s="99"/>
      <c r="AJ21" t="s">
        <v>5507</v>
      </c>
      <c r="AK21" t="s">
        <v>5773</v>
      </c>
      <c r="AN21" t="s">
        <v>5699</v>
      </c>
      <c r="AO21" t="s">
        <v>5566</v>
      </c>
      <c r="AP21" t="s">
        <v>5586</v>
      </c>
      <c r="AR21" t="s">
        <v>5686</v>
      </c>
    </row>
    <row r="22" spans="1:44" ht="35.1" customHeight="1" thickBot="1">
      <c r="A22" s="868" t="str">
        <f ca="1">CONCATENATE(INDEX($AJ$2:$AJ$51,RANDBETWEEN(1,50)),INDEX($AK$2:$AK$51,RANDBETWEEN(1,50)))</f>
        <v xml:space="preserve"> Fairhollow.</v>
      </c>
      <c r="B22" s="869"/>
      <c r="C22" s="869"/>
      <c r="D22" s="869"/>
      <c r="E22" s="869"/>
      <c r="F22" s="869"/>
      <c r="G22" s="870"/>
      <c r="H22" s="99"/>
      <c r="I22" s="868" t="str">
        <f ca="1">CONCATENATE(INDEX($AJ$2:$AJ$51,RANDBETWEEN(1,50)),INDEX($AK$2:$AK$51,RANDBETWEEN(1,50)))</f>
        <v xml:space="preserve"> Rageward.</v>
      </c>
      <c r="J22" s="869"/>
      <c r="K22" s="869"/>
      <c r="L22" s="869"/>
      <c r="M22" s="869"/>
      <c r="N22" s="869"/>
      <c r="O22" s="870"/>
      <c r="P22" s="99"/>
      <c r="Q22" s="868" t="str">
        <f ca="1">CONCATENATE(INDEX($AJ$2:$AJ$51,RANDBETWEEN(1,50)),INDEX($AK$2:$AK$51,RANDBETWEEN(1,50)))</f>
        <v xml:space="preserve"> Lionglen.</v>
      </c>
      <c r="R22" s="869"/>
      <c r="S22" s="869"/>
      <c r="T22" s="869"/>
      <c r="U22" s="869"/>
      <c r="V22" s="869"/>
      <c r="W22" s="870"/>
      <c r="X22" s="99"/>
      <c r="AJ22" t="s">
        <v>5508</v>
      </c>
      <c r="AK22" t="s">
        <v>5774</v>
      </c>
      <c r="AN22" t="s">
        <v>5699</v>
      </c>
      <c r="AP22" t="s">
        <v>5587</v>
      </c>
      <c r="AR22" t="s">
        <v>5687</v>
      </c>
    </row>
    <row r="23" spans="1:44" ht="35.1" customHeight="1">
      <c r="A23" s="625" t="s">
        <v>5698</v>
      </c>
      <c r="B23" s="626"/>
      <c r="C23" s="626"/>
      <c r="D23" s="578" t="str">
        <f ca="1">INDEX($AK$53:$AK$58,RANDBETWEEN(1,6))</f>
        <v>100 people (small village).</v>
      </c>
      <c r="E23" s="578"/>
      <c r="F23" s="578"/>
      <c r="G23" s="579"/>
      <c r="H23" s="99"/>
      <c r="I23" s="625" t="s">
        <v>5698</v>
      </c>
      <c r="J23" s="626"/>
      <c r="K23" s="626"/>
      <c r="L23" s="578" t="str">
        <f ca="1">INDEX($AK$53:$AK$58,RANDBETWEEN(1,6))</f>
        <v>1'000 people (small town).</v>
      </c>
      <c r="M23" s="578"/>
      <c r="N23" s="578"/>
      <c r="O23" s="579"/>
      <c r="P23" s="99"/>
      <c r="Q23" s="625" t="s">
        <v>5698</v>
      </c>
      <c r="R23" s="626"/>
      <c r="S23" s="626"/>
      <c r="T23" s="578" t="str">
        <f ca="1">INDEX($AK$53:$AK$58,RANDBETWEEN(1,6))</f>
        <v>1'000 people (small town).</v>
      </c>
      <c r="U23" s="578"/>
      <c r="V23" s="578"/>
      <c r="W23" s="579"/>
      <c r="X23" s="99"/>
      <c r="AJ23" t="s">
        <v>5509</v>
      </c>
      <c r="AK23" t="s">
        <v>5775</v>
      </c>
      <c r="AN23" t="s">
        <v>5699</v>
      </c>
      <c r="AP23" t="s">
        <v>5588</v>
      </c>
      <c r="AR23" t="s">
        <v>5688</v>
      </c>
    </row>
    <row r="24" spans="1:44" ht="35.1" customHeight="1">
      <c r="A24" s="618" t="s">
        <v>5697</v>
      </c>
      <c r="B24" s="619"/>
      <c r="C24" s="619"/>
      <c r="D24" s="447" t="str">
        <f ca="1">INDEX($AN$2:$AN$101,RANDBETWEEN(1,100))</f>
        <v>High Elves</v>
      </c>
      <c r="E24" s="447"/>
      <c r="F24" s="447"/>
      <c r="G24" s="448"/>
      <c r="H24" s="99"/>
      <c r="I24" s="618" t="s">
        <v>5697</v>
      </c>
      <c r="J24" s="619"/>
      <c r="K24" s="619"/>
      <c r="L24" s="447" t="str">
        <f ca="1">INDEX($AN$2:$AN$101,RANDBETWEEN(1,100))</f>
        <v>Mountain Dwarves</v>
      </c>
      <c r="M24" s="447"/>
      <c r="N24" s="447"/>
      <c r="O24" s="448"/>
      <c r="P24" s="99"/>
      <c r="Q24" s="618" t="s">
        <v>5697</v>
      </c>
      <c r="R24" s="619"/>
      <c r="S24" s="619"/>
      <c r="T24" s="447" t="str">
        <f ca="1">INDEX($AN$2:$AN$101,RANDBETWEEN(1,100))</f>
        <v>Hill Dwarves</v>
      </c>
      <c r="U24" s="447"/>
      <c r="V24" s="447"/>
      <c r="W24" s="448"/>
      <c r="X24" s="99"/>
      <c r="AJ24" t="s">
        <v>5462</v>
      </c>
      <c r="AK24" t="s">
        <v>5776</v>
      </c>
      <c r="AN24" t="s">
        <v>5699</v>
      </c>
      <c r="AP24" t="s">
        <v>5589</v>
      </c>
      <c r="AR24" t="s">
        <v>5689</v>
      </c>
    </row>
    <row r="25" spans="1:44" ht="35.1" customHeight="1">
      <c r="A25" s="618" t="s">
        <v>5721</v>
      </c>
      <c r="B25" s="619"/>
      <c r="C25" s="619"/>
      <c r="D25" s="447" t="str">
        <f ca="1">INDEX($AO$2:$AO$21,RANDBETWEEN(1,20))</f>
        <v xml:space="preserve"> Spiritual.</v>
      </c>
      <c r="E25" s="447"/>
      <c r="F25" s="447"/>
      <c r="G25" s="448"/>
      <c r="H25" s="99"/>
      <c r="I25" s="618" t="s">
        <v>5721</v>
      </c>
      <c r="J25" s="619"/>
      <c r="K25" s="619"/>
      <c r="L25" s="447" t="str">
        <f ca="1">INDEX($AO$2:$AO$21,RANDBETWEEN(1,20))</f>
        <v xml:space="preserve"> Grief-stricken.</v>
      </c>
      <c r="M25" s="447"/>
      <c r="N25" s="447"/>
      <c r="O25" s="448"/>
      <c r="P25" s="99"/>
      <c r="Q25" s="618" t="s">
        <v>5721</v>
      </c>
      <c r="R25" s="619"/>
      <c r="S25" s="619"/>
      <c r="T25" s="447" t="str">
        <f ca="1">INDEX($AO$2:$AO$21,RANDBETWEEN(1,20))</f>
        <v xml:space="preserve"> Apathetic.</v>
      </c>
      <c r="U25" s="447"/>
      <c r="V25" s="447"/>
      <c r="W25" s="448"/>
      <c r="X25" s="99"/>
      <c r="AJ25" t="s">
        <v>5510</v>
      </c>
      <c r="AK25" t="s">
        <v>5777</v>
      </c>
      <c r="AN25" t="s">
        <v>5699</v>
      </c>
      <c r="AP25" t="s">
        <v>5590</v>
      </c>
      <c r="AR25" t="s">
        <v>5690</v>
      </c>
    </row>
    <row r="26" spans="1:44" ht="35.1" customHeight="1">
      <c r="A26" s="618" t="s">
        <v>5723</v>
      </c>
      <c r="B26" s="619"/>
      <c r="C26" s="619"/>
      <c r="D26" s="447" t="str">
        <f ca="1">INDEX($AP$2:$AP$101,RANDBETWEEN(1,100))</f>
        <v xml:space="preserve"> A mysterious obelisk towers over other buildings.</v>
      </c>
      <c r="E26" s="447"/>
      <c r="F26" s="447"/>
      <c r="G26" s="448"/>
      <c r="H26" s="99"/>
      <c r="I26" s="618" t="s">
        <v>5723</v>
      </c>
      <c r="J26" s="619"/>
      <c r="K26" s="619"/>
      <c r="L26" s="447" t="str">
        <f ca="1">INDEX($AP$2:$AP$101,RANDBETWEEN(1,100))</f>
        <v xml:space="preserve"> That it is protected by thick stone walls.</v>
      </c>
      <c r="M26" s="447"/>
      <c r="N26" s="447"/>
      <c r="O26" s="448"/>
      <c r="P26" s="99"/>
      <c r="Q26" s="618" t="s">
        <v>5723</v>
      </c>
      <c r="R26" s="619"/>
      <c r="S26" s="619"/>
      <c r="T26" s="447" t="str">
        <f ca="1">INDEX($AP$2:$AP$101,RANDBETWEEN(1,100))</f>
        <v xml:space="preserve"> The nearby vineyards.</v>
      </c>
      <c r="U26" s="447"/>
      <c r="V26" s="447"/>
      <c r="W26" s="448"/>
      <c r="X26" s="99"/>
      <c r="AJ26" t="s">
        <v>5511</v>
      </c>
      <c r="AK26" t="s">
        <v>5778</v>
      </c>
      <c r="AN26" t="s">
        <v>5699</v>
      </c>
      <c r="AP26" t="s">
        <v>5591</v>
      </c>
      <c r="AR26" t="s">
        <v>5691</v>
      </c>
    </row>
    <row r="27" spans="1:44" ht="35.1" customHeight="1" thickBot="1">
      <c r="A27" s="632" t="s">
        <v>5724</v>
      </c>
      <c r="B27" s="633"/>
      <c r="C27" s="633"/>
      <c r="D27" s="445" t="str">
        <f ca="1">INDEX($AR$2:$AR$31,RANDBETWEEN(1,30))</f>
        <v>A dungeon was discovered nearby recently.</v>
      </c>
      <c r="E27" s="445"/>
      <c r="F27" s="445"/>
      <c r="G27" s="446"/>
      <c r="H27" s="99"/>
      <c r="I27" s="632" t="s">
        <v>5724</v>
      </c>
      <c r="J27" s="633"/>
      <c r="K27" s="633"/>
      <c r="L27" s="445" t="str">
        <f ca="1">INDEX($AR$2:$AR$31,RANDBETWEEN(1,30))</f>
        <v>It was mentioned in a letter found on a slain foe.</v>
      </c>
      <c r="M27" s="445"/>
      <c r="N27" s="445"/>
      <c r="O27" s="446"/>
      <c r="P27" s="99"/>
      <c r="Q27" s="632" t="s">
        <v>5724</v>
      </c>
      <c r="R27" s="633"/>
      <c r="S27" s="633"/>
      <c r="T27" s="445" t="str">
        <f ca="1">INDEX($AR$2:$AR$31,RANDBETWEEN(1,30))</f>
        <v xml:space="preserve"> They need help that the settlement can provide.</v>
      </c>
      <c r="U27" s="445"/>
      <c r="V27" s="445"/>
      <c r="W27" s="446"/>
      <c r="X27" s="99"/>
      <c r="AJ27" t="s">
        <v>5512</v>
      </c>
      <c r="AK27" t="s">
        <v>5779</v>
      </c>
      <c r="AN27" t="s">
        <v>5699</v>
      </c>
      <c r="AP27" t="s">
        <v>5592</v>
      </c>
      <c r="AR27" t="s">
        <v>5692</v>
      </c>
    </row>
    <row r="28" spans="1:44" ht="35.1" customHeight="1" thickBot="1">
      <c r="A28" s="99"/>
      <c r="B28" s="99"/>
      <c r="C28" s="99"/>
      <c r="D28" s="99"/>
      <c r="E28" s="99"/>
      <c r="F28" s="99"/>
      <c r="G28" s="99"/>
      <c r="H28" s="99"/>
      <c r="I28" s="99"/>
      <c r="J28" s="99"/>
      <c r="K28" s="99"/>
      <c r="L28" s="99"/>
      <c r="M28" s="99"/>
      <c r="N28" s="99"/>
      <c r="O28" s="99"/>
      <c r="P28" s="99"/>
      <c r="Q28" s="99"/>
      <c r="R28" s="99"/>
      <c r="S28" s="99"/>
      <c r="T28" s="99"/>
      <c r="U28" s="99"/>
      <c r="V28" s="99"/>
      <c r="W28" s="99"/>
      <c r="X28" s="99"/>
      <c r="AJ28" t="s">
        <v>5400</v>
      </c>
      <c r="AK28" t="s">
        <v>5780</v>
      </c>
      <c r="AN28" t="s">
        <v>5699</v>
      </c>
      <c r="AP28" t="s">
        <v>5593</v>
      </c>
      <c r="AR28" t="s">
        <v>5693</v>
      </c>
    </row>
    <row r="29" spans="1:44" ht="35.1" customHeight="1" thickBot="1">
      <c r="A29" s="868" t="str">
        <f ca="1">CONCATENATE(INDEX($AJ$2:$AJ$51,RANDBETWEEN(1,50)),INDEX($AK$2:$AK$51,RANDBETWEEN(1,50)))</f>
        <v xml:space="preserve"> Fallridge.</v>
      </c>
      <c r="B29" s="869"/>
      <c r="C29" s="869"/>
      <c r="D29" s="869"/>
      <c r="E29" s="869"/>
      <c r="F29" s="869"/>
      <c r="G29" s="870"/>
      <c r="H29" s="99"/>
      <c r="I29" s="868" t="str">
        <f ca="1">CONCATENATE(INDEX($AJ$2:$AJ$51,RANDBETWEEN(1,50)),INDEX($AK$2:$AK$51,RANDBETWEEN(1,50)))</f>
        <v xml:space="preserve"> Oakmelt.</v>
      </c>
      <c r="J29" s="869"/>
      <c r="K29" s="869"/>
      <c r="L29" s="869"/>
      <c r="M29" s="869"/>
      <c r="N29" s="869"/>
      <c r="O29" s="870"/>
      <c r="P29" s="99"/>
      <c r="Q29" s="868" t="str">
        <f ca="1">CONCATENATE(INDEX($AJ$2:$AJ$51,RANDBETWEEN(1,50)),INDEX($AK$2:$AK$51,RANDBETWEEN(1,50)))</f>
        <v xml:space="preserve"> Founder's borourgh.</v>
      </c>
      <c r="R29" s="869"/>
      <c r="S29" s="869"/>
      <c r="T29" s="869"/>
      <c r="U29" s="869"/>
      <c r="V29" s="869"/>
      <c r="W29" s="870"/>
      <c r="X29" s="99"/>
      <c r="AJ29" t="s">
        <v>5513</v>
      </c>
      <c r="AK29" t="s">
        <v>5781</v>
      </c>
      <c r="AN29" t="s">
        <v>5699</v>
      </c>
      <c r="AP29" t="s">
        <v>5594</v>
      </c>
      <c r="AR29" t="s">
        <v>5694</v>
      </c>
    </row>
    <row r="30" spans="1:44" ht="35.1" customHeight="1">
      <c r="A30" s="625" t="s">
        <v>5698</v>
      </c>
      <c r="B30" s="626"/>
      <c r="C30" s="626"/>
      <c r="D30" s="578" t="str">
        <f ca="1">INDEX($AK$53:$AK$58,RANDBETWEEN(1,6))</f>
        <v>100 people (small village).</v>
      </c>
      <c r="E30" s="578"/>
      <c r="F30" s="578"/>
      <c r="G30" s="579"/>
      <c r="H30" s="99"/>
      <c r="I30" s="625" t="s">
        <v>5698</v>
      </c>
      <c r="J30" s="626"/>
      <c r="K30" s="626"/>
      <c r="L30" s="578" t="str">
        <f ca="1">INDEX($AK$53:$AK$58,RANDBETWEEN(1,6))</f>
        <v>250 people (village).</v>
      </c>
      <c r="M30" s="578"/>
      <c r="N30" s="578"/>
      <c r="O30" s="579"/>
      <c r="P30" s="99"/>
      <c r="Q30" s="625" t="s">
        <v>5698</v>
      </c>
      <c r="R30" s="626"/>
      <c r="S30" s="626"/>
      <c r="T30" s="578" t="str">
        <f ca="1">INDEX($AK$53:$AK$58,RANDBETWEEN(1,6))</f>
        <v>25'000 people (city)</v>
      </c>
      <c r="U30" s="578"/>
      <c r="V30" s="578"/>
      <c r="W30" s="579"/>
      <c r="X30" s="99"/>
      <c r="AJ30" t="s">
        <v>5514</v>
      </c>
      <c r="AK30" t="s">
        <v>5782</v>
      </c>
      <c r="AN30" t="s">
        <v>5699</v>
      </c>
      <c r="AP30" t="s">
        <v>5595</v>
      </c>
      <c r="AR30" t="s">
        <v>5695</v>
      </c>
    </row>
    <row r="31" spans="1:44" ht="35.1" customHeight="1">
      <c r="A31" s="618" t="s">
        <v>5697</v>
      </c>
      <c r="B31" s="619"/>
      <c r="C31" s="619"/>
      <c r="D31" s="447" t="str">
        <f ca="1">INDEX($AN$2:$AN$101,RANDBETWEEN(1,100))</f>
        <v>Humans</v>
      </c>
      <c r="E31" s="447"/>
      <c r="F31" s="447"/>
      <c r="G31" s="448"/>
      <c r="H31" s="99"/>
      <c r="I31" s="618" t="s">
        <v>5697</v>
      </c>
      <c r="J31" s="619"/>
      <c r="K31" s="619"/>
      <c r="L31" s="447" t="str">
        <f ca="1">INDEX($AN$2:$AN$101,RANDBETWEEN(1,100))</f>
        <v>High Elves</v>
      </c>
      <c r="M31" s="447"/>
      <c r="N31" s="447"/>
      <c r="O31" s="448"/>
      <c r="P31" s="99"/>
      <c r="Q31" s="618" t="s">
        <v>5697</v>
      </c>
      <c r="R31" s="619"/>
      <c r="S31" s="619"/>
      <c r="T31" s="447" t="str">
        <f ca="1">INDEX($AN$2:$AN$101,RANDBETWEEN(1,100))</f>
        <v>Humans</v>
      </c>
      <c r="U31" s="447"/>
      <c r="V31" s="447"/>
      <c r="W31" s="448"/>
      <c r="X31" s="99"/>
      <c r="AJ31" t="s">
        <v>5515</v>
      </c>
      <c r="AK31" t="s">
        <v>5783</v>
      </c>
      <c r="AN31" t="s">
        <v>5699</v>
      </c>
      <c r="AP31" t="s">
        <v>5596</v>
      </c>
      <c r="AR31" t="s">
        <v>5696</v>
      </c>
    </row>
    <row r="32" spans="1:44" ht="35.1" customHeight="1">
      <c r="A32" s="618" t="s">
        <v>5721</v>
      </c>
      <c r="B32" s="619"/>
      <c r="C32" s="619"/>
      <c r="D32" s="447" t="str">
        <f ca="1">INDEX($AO$2:$AO$21,RANDBETWEEN(1,20))</f>
        <v xml:space="preserve"> Heavy.</v>
      </c>
      <c r="E32" s="447"/>
      <c r="F32" s="447"/>
      <c r="G32" s="448"/>
      <c r="H32" s="99"/>
      <c r="I32" s="618" t="s">
        <v>5721</v>
      </c>
      <c r="J32" s="619"/>
      <c r="K32" s="619"/>
      <c r="L32" s="447" t="str">
        <f ca="1">INDEX($AO$2:$AO$21,RANDBETWEEN(1,20))</f>
        <v xml:space="preserve"> Relaxing.</v>
      </c>
      <c r="M32" s="447"/>
      <c r="N32" s="447"/>
      <c r="O32" s="448"/>
      <c r="P32" s="99"/>
      <c r="Q32" s="618" t="s">
        <v>5721</v>
      </c>
      <c r="R32" s="619"/>
      <c r="S32" s="619"/>
      <c r="T32" s="447" t="str">
        <f ca="1">INDEX($AO$2:$AO$21,RANDBETWEEN(1,20))</f>
        <v xml:space="preserve"> Dark.</v>
      </c>
      <c r="U32" s="447"/>
      <c r="V32" s="447"/>
      <c r="W32" s="448"/>
      <c r="X32" s="99"/>
      <c r="AJ32" t="s">
        <v>5516</v>
      </c>
      <c r="AK32" t="s">
        <v>5784</v>
      </c>
      <c r="AN32" t="s">
        <v>5699</v>
      </c>
      <c r="AP32" t="s">
        <v>5597</v>
      </c>
    </row>
    <row r="33" spans="1:42" ht="35.1" customHeight="1">
      <c r="A33" s="618" t="s">
        <v>5723</v>
      </c>
      <c r="B33" s="619"/>
      <c r="C33" s="619"/>
      <c r="D33" s="447" t="str">
        <f ca="1">INDEX($AP$2:$AP$101,RANDBETWEEN(1,100))</f>
        <v>The extensive farmland surrounding it.</v>
      </c>
      <c r="E33" s="447"/>
      <c r="F33" s="447"/>
      <c r="G33" s="448"/>
      <c r="H33" s="99"/>
      <c r="I33" s="618" t="s">
        <v>5723</v>
      </c>
      <c r="J33" s="619"/>
      <c r="K33" s="619"/>
      <c r="L33" s="447" t="str">
        <f ca="1">INDEX($AP$2:$AP$101,RANDBETWEEN(1,100))</f>
        <v xml:space="preserve"> A keep of a noble lord.</v>
      </c>
      <c r="M33" s="447"/>
      <c r="N33" s="447"/>
      <c r="O33" s="448"/>
      <c r="P33" s="99"/>
      <c r="Q33" s="618" t="s">
        <v>5723</v>
      </c>
      <c r="R33" s="619"/>
      <c r="S33" s="619"/>
      <c r="T33" s="447" t="str">
        <f ca="1">INDEX($AP$2:$AP$101,RANDBETWEEN(1,100))</f>
        <v xml:space="preserve"> The use of glowing crystal as streetlamps.</v>
      </c>
      <c r="U33" s="447"/>
      <c r="V33" s="447"/>
      <c r="W33" s="448"/>
      <c r="X33" s="99"/>
      <c r="AJ33" t="s">
        <v>5517</v>
      </c>
      <c r="AK33" t="s">
        <v>5785</v>
      </c>
      <c r="AN33" t="s">
        <v>5699</v>
      </c>
      <c r="AP33" t="s">
        <v>5598</v>
      </c>
    </row>
    <row r="34" spans="1:42" ht="35.1" customHeight="1" thickBot="1">
      <c r="A34" s="632" t="s">
        <v>5724</v>
      </c>
      <c r="B34" s="633"/>
      <c r="C34" s="633"/>
      <c r="D34" s="445" t="str">
        <f ca="1">INDEX($AR$2:$AR$31,RANDBETWEEN(1,30))</f>
        <v xml:space="preserve"> A powerful entity offers them a deal there.</v>
      </c>
      <c r="E34" s="445"/>
      <c r="F34" s="445"/>
      <c r="G34" s="446"/>
      <c r="H34" s="99"/>
      <c r="I34" s="632" t="s">
        <v>5724</v>
      </c>
      <c r="J34" s="633"/>
      <c r="K34" s="633"/>
      <c r="L34" s="445" t="str">
        <f ca="1">INDEX($AR$2:$AR$31,RANDBETWEEN(1,30))</f>
        <v>This is the only settlement with which to resupply within leagues.</v>
      </c>
      <c r="M34" s="445"/>
      <c r="N34" s="445"/>
      <c r="O34" s="446"/>
      <c r="P34" s="99"/>
      <c r="Q34" s="632" t="s">
        <v>5724</v>
      </c>
      <c r="R34" s="633"/>
      <c r="S34" s="633"/>
      <c r="T34" s="445" t="str">
        <f ca="1">INDEX($AR$2:$AR$31,RANDBETWEEN(1,30))</f>
        <v xml:space="preserve"> A child/helpless NPC is in danger and needs help.</v>
      </c>
      <c r="U34" s="445"/>
      <c r="V34" s="445"/>
      <c r="W34" s="446"/>
      <c r="X34" s="99"/>
      <c r="AJ34" t="s">
        <v>5518</v>
      </c>
      <c r="AK34" t="s">
        <v>5786</v>
      </c>
      <c r="AN34" t="s">
        <v>5699</v>
      </c>
      <c r="AP34" t="s">
        <v>5599</v>
      </c>
    </row>
    <row r="35" spans="1:42" ht="35.1" customHeight="1" thickBot="1">
      <c r="A35" s="99"/>
      <c r="B35" s="99"/>
      <c r="C35" s="99"/>
      <c r="D35" s="99"/>
      <c r="E35" s="99"/>
      <c r="F35" s="99"/>
      <c r="G35" s="99"/>
      <c r="H35" s="99"/>
      <c r="I35" s="99"/>
      <c r="J35" s="99"/>
      <c r="K35" s="99"/>
      <c r="L35" s="99"/>
      <c r="M35" s="99"/>
      <c r="N35" s="99"/>
      <c r="O35" s="99"/>
      <c r="P35" s="99"/>
      <c r="Q35" s="99"/>
      <c r="R35" s="99"/>
      <c r="S35" s="99"/>
      <c r="T35" s="99"/>
      <c r="U35" s="99"/>
      <c r="V35" s="99"/>
      <c r="W35" s="99"/>
      <c r="X35" s="99"/>
      <c r="AJ35" t="s">
        <v>5519</v>
      </c>
      <c r="AK35" t="s">
        <v>5787</v>
      </c>
      <c r="AN35" t="s">
        <v>5699</v>
      </c>
      <c r="AP35" t="s">
        <v>5600</v>
      </c>
    </row>
    <row r="36" spans="1:42" ht="35.1" customHeight="1" thickBot="1">
      <c r="A36" s="868" t="str">
        <f ca="1">CONCATENATE(INDEX($AJ$2:$AJ$51,RANDBETWEEN(1,50)),INDEX($AK$2:$AK$51,RANDBETWEEN(1,50)))</f>
        <v xml:space="preserve"> Heartcoil.</v>
      </c>
      <c r="B36" s="869"/>
      <c r="C36" s="869"/>
      <c r="D36" s="869"/>
      <c r="E36" s="869"/>
      <c r="F36" s="869"/>
      <c r="G36" s="870"/>
      <c r="H36" s="99"/>
      <c r="I36" s="868" t="str">
        <f ca="1">CONCATENATE(INDEX($AJ$2:$AJ$51,RANDBETWEEN(1,50)),INDEX($AK$2:$AK$51,RANDBETWEEN(1,50)))</f>
        <v xml:space="preserve"> Fairbrook.</v>
      </c>
      <c r="J36" s="869"/>
      <c r="K36" s="869"/>
      <c r="L36" s="869"/>
      <c r="M36" s="869"/>
      <c r="N36" s="869"/>
      <c r="O36" s="870"/>
      <c r="P36" s="99"/>
      <c r="Q36" s="868" t="str">
        <f ca="1">CONCATENATE(INDEX($AJ$2:$AJ$51,RANDBETWEEN(1,50)),INDEX($AK$2:$AK$51,RANDBETWEEN(1,50)))</f>
        <v xml:space="preserve"> Brinering.</v>
      </c>
      <c r="R36" s="869"/>
      <c r="S36" s="869"/>
      <c r="T36" s="869"/>
      <c r="U36" s="869"/>
      <c r="V36" s="869"/>
      <c r="W36" s="870"/>
      <c r="X36" s="99"/>
      <c r="AJ36" t="s">
        <v>5520</v>
      </c>
      <c r="AK36" t="s">
        <v>5788</v>
      </c>
      <c r="AN36" t="s">
        <v>5699</v>
      </c>
      <c r="AP36" t="s">
        <v>5601</v>
      </c>
    </row>
    <row r="37" spans="1:42" ht="35.1" customHeight="1">
      <c r="A37" s="625" t="s">
        <v>5698</v>
      </c>
      <c r="B37" s="626"/>
      <c r="C37" s="626"/>
      <c r="D37" s="578" t="str">
        <f ca="1">INDEX($AK$53:$AK$58,RANDBETWEEN(1,6))</f>
        <v>5'000 people (town).</v>
      </c>
      <c r="E37" s="578"/>
      <c r="F37" s="578"/>
      <c r="G37" s="579"/>
      <c r="H37" s="99"/>
      <c r="I37" s="625" t="s">
        <v>5698</v>
      </c>
      <c r="J37" s="626"/>
      <c r="K37" s="626"/>
      <c r="L37" s="578" t="str">
        <f ca="1">INDEX($AK$53:$AK$58,RANDBETWEEN(1,6))</f>
        <v>250 people (village).</v>
      </c>
      <c r="M37" s="578"/>
      <c r="N37" s="578"/>
      <c r="O37" s="579"/>
      <c r="P37" s="99"/>
      <c r="Q37" s="625" t="s">
        <v>5698</v>
      </c>
      <c r="R37" s="626"/>
      <c r="S37" s="626"/>
      <c r="T37" s="578" t="str">
        <f ca="1">INDEX($AK$53:$AK$58,RANDBETWEEN(1,6))</f>
        <v>250 people (village).</v>
      </c>
      <c r="U37" s="578"/>
      <c r="V37" s="578"/>
      <c r="W37" s="579"/>
      <c r="X37" s="99"/>
      <c r="AJ37" t="s">
        <v>5521</v>
      </c>
      <c r="AK37" t="s">
        <v>5789</v>
      </c>
      <c r="AN37" t="s">
        <v>5700</v>
      </c>
      <c r="AP37" t="s">
        <v>5602</v>
      </c>
    </row>
    <row r="38" spans="1:42" ht="35.1" customHeight="1">
      <c r="A38" s="618" t="s">
        <v>5697</v>
      </c>
      <c r="B38" s="619"/>
      <c r="C38" s="619"/>
      <c r="D38" s="447" t="str">
        <f ca="1">INDEX($AN$2:$AN$101,RANDBETWEEN(1,100))</f>
        <v>Humans</v>
      </c>
      <c r="E38" s="447"/>
      <c r="F38" s="447"/>
      <c r="G38" s="448"/>
      <c r="H38" s="99"/>
      <c r="I38" s="618" t="s">
        <v>5697</v>
      </c>
      <c r="J38" s="619"/>
      <c r="K38" s="619"/>
      <c r="L38" s="447" t="str">
        <f ca="1">INDEX($AN$2:$AN$101,RANDBETWEEN(1,100))</f>
        <v>Drow</v>
      </c>
      <c r="M38" s="447"/>
      <c r="N38" s="447"/>
      <c r="O38" s="448"/>
      <c r="P38" s="99"/>
      <c r="Q38" s="618" t="s">
        <v>5697</v>
      </c>
      <c r="R38" s="619"/>
      <c r="S38" s="619"/>
      <c r="T38" s="447" t="str">
        <f ca="1">INDEX($AN$2:$AN$101,RANDBETWEEN(1,100))</f>
        <v>High Elves</v>
      </c>
      <c r="U38" s="447"/>
      <c r="V38" s="447"/>
      <c r="W38" s="448"/>
      <c r="X38" s="99"/>
      <c r="AJ38" t="s">
        <v>5522</v>
      </c>
      <c r="AK38" t="s">
        <v>5790</v>
      </c>
      <c r="AN38" t="s">
        <v>5700</v>
      </c>
      <c r="AP38" t="s">
        <v>5603</v>
      </c>
    </row>
    <row r="39" spans="1:42" ht="35.1" customHeight="1">
      <c r="A39" s="618" t="s">
        <v>5721</v>
      </c>
      <c r="B39" s="619"/>
      <c r="C39" s="619"/>
      <c r="D39" s="447" t="str">
        <f ca="1">INDEX($AO$2:$AO$21,RANDBETWEEN(1,20))</f>
        <v xml:space="preserve"> Heavy.</v>
      </c>
      <c r="E39" s="447"/>
      <c r="F39" s="447"/>
      <c r="G39" s="448"/>
      <c r="H39" s="99"/>
      <c r="I39" s="618" t="s">
        <v>5721</v>
      </c>
      <c r="J39" s="619"/>
      <c r="K39" s="619"/>
      <c r="L39" s="447" t="str">
        <f ca="1">INDEX($AO$2:$AO$21,RANDBETWEEN(1,20))</f>
        <v>Decidedly sinister.</v>
      </c>
      <c r="M39" s="447"/>
      <c r="N39" s="447"/>
      <c r="O39" s="448"/>
      <c r="P39" s="99"/>
      <c r="Q39" s="618" t="s">
        <v>5721</v>
      </c>
      <c r="R39" s="619"/>
      <c r="S39" s="619"/>
      <c r="T39" s="447" t="str">
        <f ca="1">INDEX($AO$2:$AO$21,RANDBETWEEN(1,20))</f>
        <v xml:space="preserve"> Tumultuous.</v>
      </c>
      <c r="U39" s="447"/>
      <c r="V39" s="447"/>
      <c r="W39" s="448"/>
      <c r="X39" s="99"/>
      <c r="AJ39" t="s">
        <v>5523</v>
      </c>
      <c r="AK39" t="s">
        <v>5791</v>
      </c>
      <c r="AN39" t="s">
        <v>5700</v>
      </c>
      <c r="AP39" t="s">
        <v>5604</v>
      </c>
    </row>
    <row r="40" spans="1:42" ht="35.1" customHeight="1">
      <c r="A40" s="618" t="s">
        <v>5723</v>
      </c>
      <c r="B40" s="619"/>
      <c r="C40" s="619"/>
      <c r="D40" s="447" t="str">
        <f ca="1">INDEX($AP$2:$AP$101,RANDBETWEEN(1,100))</f>
        <v xml:space="preserve"> A gallows erected in the main square.</v>
      </c>
      <c r="E40" s="447"/>
      <c r="F40" s="447"/>
      <c r="G40" s="448"/>
      <c r="H40" s="99"/>
      <c r="I40" s="618" t="s">
        <v>5723</v>
      </c>
      <c r="J40" s="619"/>
      <c r="K40" s="619"/>
      <c r="L40" s="447" t="str">
        <f ca="1">INDEX($AP$2:$AP$101,RANDBETWEEN(1,100))</f>
        <v xml:space="preserve"> That it is under the protection of friendly elemental spirits.</v>
      </c>
      <c r="M40" s="447"/>
      <c r="N40" s="447"/>
      <c r="O40" s="448"/>
      <c r="P40" s="99"/>
      <c r="Q40" s="618" t="s">
        <v>5723</v>
      </c>
      <c r="R40" s="619"/>
      <c r="S40" s="619"/>
      <c r="T40" s="447" t="str">
        <f ca="1">INDEX($AP$2:$AP$101,RANDBETWEEN(1,100))</f>
        <v xml:space="preserve"> Its tolerance of others.</v>
      </c>
      <c r="U40" s="447"/>
      <c r="V40" s="447"/>
      <c r="W40" s="448"/>
      <c r="X40" s="99"/>
      <c r="AJ40" t="s">
        <v>5524</v>
      </c>
      <c r="AK40" t="s">
        <v>5792</v>
      </c>
      <c r="AN40" t="s">
        <v>5700</v>
      </c>
      <c r="AP40" t="s">
        <v>5605</v>
      </c>
    </row>
    <row r="41" spans="1:42" ht="35.1" customHeight="1" thickBot="1">
      <c r="A41" s="632" t="s">
        <v>5724</v>
      </c>
      <c r="B41" s="633"/>
      <c r="C41" s="633"/>
      <c r="D41" s="445" t="str">
        <f ca="1">INDEX($AR$2:$AR$31,RANDBETWEEN(1,30))</f>
        <v>A thief stole something from them here.</v>
      </c>
      <c r="E41" s="445"/>
      <c r="F41" s="445"/>
      <c r="G41" s="446"/>
      <c r="H41" s="99"/>
      <c r="I41" s="632" t="s">
        <v>5724</v>
      </c>
      <c r="J41" s="633"/>
      <c r="K41" s="633"/>
      <c r="L41" s="445" t="str">
        <f ca="1">INDEX($AR$2:$AR$31,RANDBETWEEN(1,30))</f>
        <v xml:space="preserve"> They need help that the settlement can provide.</v>
      </c>
      <c r="M41" s="445"/>
      <c r="N41" s="445"/>
      <c r="O41" s="446"/>
      <c r="P41" s="99"/>
      <c r="Q41" s="632" t="s">
        <v>5724</v>
      </c>
      <c r="R41" s="633"/>
      <c r="S41" s="633"/>
      <c r="T41" s="445" t="str">
        <f ca="1">INDEX($AR$2:$AR$31,RANDBETWEEN(1,30))</f>
        <v xml:space="preserve"> There are some interesting rumors about their foes.</v>
      </c>
      <c r="U41" s="445"/>
      <c r="V41" s="445"/>
      <c r="W41" s="446"/>
      <c r="X41" s="99"/>
      <c r="AJ41" t="s">
        <v>5525</v>
      </c>
      <c r="AK41" t="s">
        <v>5793</v>
      </c>
      <c r="AN41" t="s">
        <v>5700</v>
      </c>
      <c r="AP41" t="s">
        <v>5606</v>
      </c>
    </row>
    <row r="42" spans="1:42" ht="35.1" customHeight="1">
      <c r="A42" s="99"/>
      <c r="B42" s="99"/>
      <c r="C42" s="99"/>
      <c r="D42" s="99"/>
      <c r="E42" s="99"/>
      <c r="F42" s="99"/>
      <c r="G42" s="99"/>
      <c r="H42" s="99"/>
      <c r="I42" s="99"/>
      <c r="J42" s="99"/>
      <c r="K42" s="99"/>
      <c r="L42" s="99"/>
      <c r="M42" s="99"/>
      <c r="N42" s="99"/>
      <c r="O42" s="99"/>
      <c r="P42" s="99"/>
      <c r="Q42" s="99"/>
      <c r="R42" s="99"/>
      <c r="S42" s="99"/>
      <c r="T42" s="99"/>
      <c r="U42" s="99"/>
      <c r="V42" s="99"/>
      <c r="W42" s="99"/>
      <c r="X42" s="99"/>
      <c r="AJ42" t="s">
        <v>5804</v>
      </c>
      <c r="AK42" t="s">
        <v>5794</v>
      </c>
      <c r="AN42" t="s">
        <v>5701</v>
      </c>
      <c r="AP42" t="s">
        <v>5607</v>
      </c>
    </row>
    <row r="43" spans="1:42">
      <c r="AJ43" t="s">
        <v>5526</v>
      </c>
      <c r="AK43" t="s">
        <v>5795</v>
      </c>
      <c r="AN43" t="s">
        <v>5701</v>
      </c>
      <c r="AP43" t="s">
        <v>5608</v>
      </c>
    </row>
    <row r="44" spans="1:42">
      <c r="AJ44" t="s">
        <v>5527</v>
      </c>
      <c r="AK44" t="s">
        <v>5796</v>
      </c>
      <c r="AN44" t="s">
        <v>5701</v>
      </c>
      <c r="AP44" t="s">
        <v>5609</v>
      </c>
    </row>
    <row r="45" spans="1:42">
      <c r="AJ45" t="s">
        <v>5528</v>
      </c>
      <c r="AK45" t="s">
        <v>5797</v>
      </c>
      <c r="AN45" t="s">
        <v>5701</v>
      </c>
      <c r="AP45" t="s">
        <v>5610</v>
      </c>
    </row>
    <row r="46" spans="1:42">
      <c r="AJ46" t="s">
        <v>5805</v>
      </c>
      <c r="AK46" t="s">
        <v>5798</v>
      </c>
      <c r="AN46" t="s">
        <v>5701</v>
      </c>
      <c r="AP46" t="s">
        <v>5611</v>
      </c>
    </row>
    <row r="47" spans="1:42">
      <c r="AJ47" t="s">
        <v>5806</v>
      </c>
      <c r="AK47" t="s">
        <v>5799</v>
      </c>
      <c r="AN47" t="s">
        <v>5701</v>
      </c>
      <c r="AP47" t="s">
        <v>5612</v>
      </c>
    </row>
    <row r="48" spans="1:42">
      <c r="AJ48" t="s">
        <v>5807</v>
      </c>
      <c r="AK48" t="s">
        <v>5800</v>
      </c>
      <c r="AN48" t="s">
        <v>5701</v>
      </c>
      <c r="AP48" t="s">
        <v>5613</v>
      </c>
    </row>
    <row r="49" spans="36:42">
      <c r="AJ49" t="s">
        <v>5808</v>
      </c>
      <c r="AK49" t="s">
        <v>5801</v>
      </c>
      <c r="AN49" t="s">
        <v>5701</v>
      </c>
      <c r="AP49" t="s">
        <v>5614</v>
      </c>
    </row>
    <row r="50" spans="36:42">
      <c r="AJ50" t="s">
        <v>5529</v>
      </c>
      <c r="AK50" t="s">
        <v>5802</v>
      </c>
      <c r="AN50" t="s">
        <v>5701</v>
      </c>
      <c r="AP50" t="s">
        <v>5615</v>
      </c>
    </row>
    <row r="51" spans="36:42">
      <c r="AJ51" t="s">
        <v>5809</v>
      </c>
      <c r="AK51" t="s">
        <v>5803</v>
      </c>
      <c r="AN51" t="s">
        <v>5702</v>
      </c>
      <c r="AP51" t="s">
        <v>5616</v>
      </c>
    </row>
    <row r="52" spans="36:42">
      <c r="AK52" t="s">
        <v>5540</v>
      </c>
      <c r="AN52" t="s">
        <v>5702</v>
      </c>
      <c r="AP52" t="s">
        <v>5617</v>
      </c>
    </row>
    <row r="53" spans="36:42">
      <c r="AK53" t="s">
        <v>5541</v>
      </c>
      <c r="AN53" t="s">
        <v>5703</v>
      </c>
      <c r="AO53" s="177"/>
      <c r="AP53" t="s">
        <v>5618</v>
      </c>
    </row>
    <row r="54" spans="36:42">
      <c r="AK54" t="s">
        <v>5542</v>
      </c>
      <c r="AN54" t="s">
        <v>5703</v>
      </c>
      <c r="AO54" s="177"/>
      <c r="AP54" t="s">
        <v>5619</v>
      </c>
    </row>
    <row r="55" spans="36:42">
      <c r="AK55" t="s">
        <v>5543</v>
      </c>
      <c r="AN55" t="s">
        <v>5704</v>
      </c>
      <c r="AO55" s="177"/>
      <c r="AP55" t="s">
        <v>5620</v>
      </c>
    </row>
    <row r="56" spans="36:42">
      <c r="AK56" t="s">
        <v>5544</v>
      </c>
      <c r="AN56" t="s">
        <v>5704</v>
      </c>
      <c r="AO56" s="177"/>
      <c r="AP56" t="s">
        <v>5621</v>
      </c>
    </row>
    <row r="57" spans="36:42">
      <c r="AK57" t="s">
        <v>5545</v>
      </c>
      <c r="AN57" t="s">
        <v>5705</v>
      </c>
      <c r="AO57" s="177"/>
      <c r="AP57" t="s">
        <v>5622</v>
      </c>
    </row>
    <row r="58" spans="36:42">
      <c r="AK58" t="s">
        <v>6116</v>
      </c>
      <c r="AN58" t="s">
        <v>5705</v>
      </c>
      <c r="AO58" s="177"/>
      <c r="AP58" t="s">
        <v>5623</v>
      </c>
    </row>
    <row r="59" spans="36:42">
      <c r="AN59" t="s">
        <v>5705</v>
      </c>
      <c r="AO59" s="177"/>
      <c r="AP59" t="s">
        <v>5624</v>
      </c>
    </row>
    <row r="60" spans="36:42">
      <c r="AN60" t="s">
        <v>5705</v>
      </c>
      <c r="AO60" s="177"/>
      <c r="AP60" t="s">
        <v>5625</v>
      </c>
    </row>
    <row r="61" spans="36:42">
      <c r="AN61" t="s">
        <v>5705</v>
      </c>
      <c r="AO61" s="177"/>
      <c r="AP61" t="s">
        <v>5626</v>
      </c>
    </row>
    <row r="62" spans="36:42">
      <c r="AN62" t="s">
        <v>5705</v>
      </c>
      <c r="AO62" s="177"/>
      <c r="AP62" t="s">
        <v>5627</v>
      </c>
    </row>
    <row r="63" spans="36:42">
      <c r="AN63" t="s">
        <v>5705</v>
      </c>
      <c r="AO63" s="177"/>
      <c r="AP63" t="s">
        <v>5628</v>
      </c>
    </row>
    <row r="64" spans="36:42">
      <c r="AN64" t="s">
        <v>5705</v>
      </c>
      <c r="AO64" s="177"/>
      <c r="AP64" t="s">
        <v>5629</v>
      </c>
    </row>
    <row r="65" spans="40:42">
      <c r="AN65" t="s">
        <v>5705</v>
      </c>
      <c r="AO65" s="177"/>
      <c r="AP65" t="s">
        <v>5630</v>
      </c>
    </row>
    <row r="66" spans="40:42">
      <c r="AN66" t="s">
        <v>5705</v>
      </c>
      <c r="AO66" s="177"/>
      <c r="AP66" t="s">
        <v>5631</v>
      </c>
    </row>
    <row r="67" spans="40:42">
      <c r="AN67" t="s">
        <v>5706</v>
      </c>
      <c r="AO67" s="177"/>
      <c r="AP67" t="s">
        <v>5632</v>
      </c>
    </row>
    <row r="68" spans="40:42">
      <c r="AN68" t="s">
        <v>5706</v>
      </c>
      <c r="AO68" s="177"/>
      <c r="AP68" t="s">
        <v>5633</v>
      </c>
    </row>
    <row r="69" spans="40:42">
      <c r="AN69" t="s">
        <v>5706</v>
      </c>
      <c r="AO69" s="177"/>
      <c r="AP69" t="s">
        <v>5634</v>
      </c>
    </row>
    <row r="70" spans="40:42">
      <c r="AN70" t="s">
        <v>5706</v>
      </c>
      <c r="AO70" s="177"/>
      <c r="AP70" t="s">
        <v>5635</v>
      </c>
    </row>
    <row r="71" spans="40:42">
      <c r="AN71" t="s">
        <v>5706</v>
      </c>
      <c r="AO71" s="177"/>
      <c r="AP71" t="s">
        <v>5636</v>
      </c>
    </row>
    <row r="72" spans="40:42">
      <c r="AN72" t="s">
        <v>5707</v>
      </c>
      <c r="AO72" s="177"/>
      <c r="AP72" t="s">
        <v>5637</v>
      </c>
    </row>
    <row r="73" spans="40:42">
      <c r="AN73" t="s">
        <v>5707</v>
      </c>
      <c r="AO73" s="177"/>
      <c r="AP73" t="s">
        <v>5638</v>
      </c>
    </row>
    <row r="74" spans="40:42">
      <c r="AN74" t="s">
        <v>5707</v>
      </c>
      <c r="AO74" s="177"/>
      <c r="AP74" t="s">
        <v>5639</v>
      </c>
    </row>
    <row r="75" spans="40:42">
      <c r="AN75" t="s">
        <v>5708</v>
      </c>
      <c r="AO75" s="177"/>
      <c r="AP75" t="s">
        <v>5640</v>
      </c>
    </row>
    <row r="76" spans="40:42">
      <c r="AN76" t="s">
        <v>5708</v>
      </c>
      <c r="AP76" t="s">
        <v>5641</v>
      </c>
    </row>
    <row r="77" spans="40:42">
      <c r="AN77" t="s">
        <v>5709</v>
      </c>
      <c r="AP77" t="s">
        <v>5642</v>
      </c>
    </row>
    <row r="78" spans="40:42">
      <c r="AN78" t="s">
        <v>5709</v>
      </c>
      <c r="AP78" t="s">
        <v>5643</v>
      </c>
    </row>
    <row r="79" spans="40:42">
      <c r="AN79" t="s">
        <v>5710</v>
      </c>
      <c r="AP79" t="s">
        <v>5644</v>
      </c>
    </row>
    <row r="80" spans="40:42">
      <c r="AN80" t="s">
        <v>5710</v>
      </c>
      <c r="AP80" t="s">
        <v>5645</v>
      </c>
    </row>
    <row r="81" spans="37:42">
      <c r="AN81" t="s">
        <v>1348</v>
      </c>
      <c r="AP81" t="s">
        <v>5646</v>
      </c>
    </row>
    <row r="82" spans="37:42">
      <c r="AN82" t="s">
        <v>5711</v>
      </c>
      <c r="AP82" t="s">
        <v>5647</v>
      </c>
    </row>
    <row r="83" spans="37:42">
      <c r="AK83" t="s">
        <v>5546</v>
      </c>
      <c r="AN83" t="s">
        <v>5711</v>
      </c>
      <c r="AP83" t="s">
        <v>5648</v>
      </c>
    </row>
    <row r="84" spans="37:42">
      <c r="AN84" t="s">
        <v>5711</v>
      </c>
      <c r="AP84" t="s">
        <v>5649</v>
      </c>
    </row>
    <row r="85" spans="37:42">
      <c r="AN85" t="s">
        <v>5711</v>
      </c>
      <c r="AP85" t="s">
        <v>5650</v>
      </c>
    </row>
    <row r="86" spans="37:42">
      <c r="AN86" t="s">
        <v>5711</v>
      </c>
      <c r="AP86" t="s">
        <v>5651</v>
      </c>
    </row>
    <row r="87" spans="37:42">
      <c r="AN87" t="s">
        <v>5712</v>
      </c>
      <c r="AP87" t="s">
        <v>5652</v>
      </c>
    </row>
    <row r="88" spans="37:42">
      <c r="AN88" t="s">
        <v>5712</v>
      </c>
      <c r="AP88" t="s">
        <v>5653</v>
      </c>
    </row>
    <row r="89" spans="37:42">
      <c r="AN89" t="s">
        <v>5712</v>
      </c>
      <c r="AP89" t="s">
        <v>5654</v>
      </c>
    </row>
    <row r="90" spans="37:42">
      <c r="AN90" t="s">
        <v>5713</v>
      </c>
      <c r="AP90" t="s">
        <v>5655</v>
      </c>
    </row>
    <row r="91" spans="37:42">
      <c r="AN91" t="s">
        <v>5713</v>
      </c>
      <c r="AP91" t="s">
        <v>5656</v>
      </c>
    </row>
    <row r="92" spans="37:42">
      <c r="AN92" t="s">
        <v>5714</v>
      </c>
      <c r="AP92" t="s">
        <v>5657</v>
      </c>
    </row>
    <row r="93" spans="37:42">
      <c r="AN93" t="s">
        <v>5714</v>
      </c>
      <c r="AP93" t="s">
        <v>5658</v>
      </c>
    </row>
    <row r="94" spans="37:42">
      <c r="AN94" t="s">
        <v>5715</v>
      </c>
      <c r="AP94" t="s">
        <v>5659</v>
      </c>
    </row>
    <row r="95" spans="37:42">
      <c r="AN95" t="s">
        <v>5715</v>
      </c>
      <c r="AP95" t="s">
        <v>5660</v>
      </c>
    </row>
    <row r="96" spans="37:42">
      <c r="AN96" t="s">
        <v>5716</v>
      </c>
      <c r="AP96" t="s">
        <v>5661</v>
      </c>
    </row>
    <row r="97" spans="40:42">
      <c r="AN97" t="s">
        <v>5716</v>
      </c>
      <c r="AP97" t="s">
        <v>5662</v>
      </c>
    </row>
    <row r="98" spans="40:42">
      <c r="AN98" t="s">
        <v>5717</v>
      </c>
      <c r="AP98" t="s">
        <v>5663</v>
      </c>
    </row>
    <row r="99" spans="40:42">
      <c r="AN99" t="s">
        <v>5718</v>
      </c>
      <c r="AP99" t="s">
        <v>5664</v>
      </c>
    </row>
    <row r="100" spans="40:42">
      <c r="AN100" t="s">
        <v>5719</v>
      </c>
      <c r="AP100" t="s">
        <v>5665</v>
      </c>
    </row>
    <row r="101" spans="40:42">
      <c r="AN101" t="s">
        <v>5720</v>
      </c>
      <c r="AP101" t="s">
        <v>5722</v>
      </c>
    </row>
  </sheetData>
  <mergeCells count="198">
    <mergeCell ref="A41:C41"/>
    <mergeCell ref="D41:G41"/>
    <mergeCell ref="I41:K41"/>
    <mergeCell ref="L41:O41"/>
    <mergeCell ref="Q41:S41"/>
    <mergeCell ref="T41:W41"/>
    <mergeCell ref="A40:C40"/>
    <mergeCell ref="D40:G40"/>
    <mergeCell ref="I40:K40"/>
    <mergeCell ref="L40:O40"/>
    <mergeCell ref="Q40:S40"/>
    <mergeCell ref="T40:W40"/>
    <mergeCell ref="A39:C39"/>
    <mergeCell ref="D39:G39"/>
    <mergeCell ref="I39:K39"/>
    <mergeCell ref="L39:O39"/>
    <mergeCell ref="Q39:S39"/>
    <mergeCell ref="T39:W39"/>
    <mergeCell ref="A38:C38"/>
    <mergeCell ref="D38:G38"/>
    <mergeCell ref="I38:K38"/>
    <mergeCell ref="L38:O38"/>
    <mergeCell ref="Q38:S38"/>
    <mergeCell ref="T38:W38"/>
    <mergeCell ref="A36:G36"/>
    <mergeCell ref="I36:O36"/>
    <mergeCell ref="Q36:W36"/>
    <mergeCell ref="A37:C37"/>
    <mergeCell ref="D37:G37"/>
    <mergeCell ref="I37:K37"/>
    <mergeCell ref="L37:O37"/>
    <mergeCell ref="Q37:S37"/>
    <mergeCell ref="T37:W37"/>
    <mergeCell ref="A34:C34"/>
    <mergeCell ref="D34:G34"/>
    <mergeCell ref="I34:K34"/>
    <mergeCell ref="L34:O34"/>
    <mergeCell ref="Q34:S34"/>
    <mergeCell ref="T34:W34"/>
    <mergeCell ref="A33:C33"/>
    <mergeCell ref="D33:G33"/>
    <mergeCell ref="I33:K33"/>
    <mergeCell ref="L33:O33"/>
    <mergeCell ref="Q33:S33"/>
    <mergeCell ref="T33:W33"/>
    <mergeCell ref="A32:C32"/>
    <mergeCell ref="D32:G32"/>
    <mergeCell ref="I32:K32"/>
    <mergeCell ref="L32:O32"/>
    <mergeCell ref="Q32:S32"/>
    <mergeCell ref="T32:W32"/>
    <mergeCell ref="A31:C31"/>
    <mergeCell ref="D31:G31"/>
    <mergeCell ref="I31:K31"/>
    <mergeCell ref="L31:O31"/>
    <mergeCell ref="Q31:S31"/>
    <mergeCell ref="T31:W31"/>
    <mergeCell ref="A29:G29"/>
    <mergeCell ref="I29:O29"/>
    <mergeCell ref="Q29:W29"/>
    <mergeCell ref="A30:C30"/>
    <mergeCell ref="D30:G30"/>
    <mergeCell ref="I30:K30"/>
    <mergeCell ref="L30:O30"/>
    <mergeCell ref="Q30:S30"/>
    <mergeCell ref="T30:W30"/>
    <mergeCell ref="Q25:S25"/>
    <mergeCell ref="T25:W25"/>
    <mergeCell ref="Q26:S26"/>
    <mergeCell ref="T26:W26"/>
    <mergeCell ref="Q27:S27"/>
    <mergeCell ref="T27:W27"/>
    <mergeCell ref="Q20:S20"/>
    <mergeCell ref="T20:W20"/>
    <mergeCell ref="Q22:W22"/>
    <mergeCell ref="Q23:S23"/>
    <mergeCell ref="T23:W23"/>
    <mergeCell ref="Q24:S24"/>
    <mergeCell ref="T24:W24"/>
    <mergeCell ref="Q17:S17"/>
    <mergeCell ref="T17:W17"/>
    <mergeCell ref="Q18:S18"/>
    <mergeCell ref="T18:W18"/>
    <mergeCell ref="Q19:S19"/>
    <mergeCell ref="T19:W19"/>
    <mergeCell ref="Q12:S12"/>
    <mergeCell ref="T12:W12"/>
    <mergeCell ref="Q13:S13"/>
    <mergeCell ref="T13:W13"/>
    <mergeCell ref="Q15:W15"/>
    <mergeCell ref="Q16:S16"/>
    <mergeCell ref="T16:W16"/>
    <mergeCell ref="Q9:S9"/>
    <mergeCell ref="T9:W9"/>
    <mergeCell ref="Q10:S10"/>
    <mergeCell ref="T10:W10"/>
    <mergeCell ref="Q11:S11"/>
    <mergeCell ref="T11:W11"/>
    <mergeCell ref="T4:W4"/>
    <mergeCell ref="Q5:S5"/>
    <mergeCell ref="T5:W5"/>
    <mergeCell ref="Q6:S6"/>
    <mergeCell ref="T6:W6"/>
    <mergeCell ref="Q8:W8"/>
    <mergeCell ref="I26:K26"/>
    <mergeCell ref="L26:O26"/>
    <mergeCell ref="I27:K27"/>
    <mergeCell ref="L27:O27"/>
    <mergeCell ref="Q1:W1"/>
    <mergeCell ref="Q2:S2"/>
    <mergeCell ref="T2:W2"/>
    <mergeCell ref="Q3:S3"/>
    <mergeCell ref="T3:W3"/>
    <mergeCell ref="Q4:S4"/>
    <mergeCell ref="I22:O22"/>
    <mergeCell ref="I23:K23"/>
    <mergeCell ref="L23:O23"/>
    <mergeCell ref="I24:K24"/>
    <mergeCell ref="L24:O24"/>
    <mergeCell ref="I25:K25"/>
    <mergeCell ref="L25:O25"/>
    <mergeCell ref="I18:K18"/>
    <mergeCell ref="L18:O18"/>
    <mergeCell ref="I19:K19"/>
    <mergeCell ref="L19:O19"/>
    <mergeCell ref="I20:K20"/>
    <mergeCell ref="L20:O20"/>
    <mergeCell ref="I13:K13"/>
    <mergeCell ref="L13:O13"/>
    <mergeCell ref="I15:O15"/>
    <mergeCell ref="I16:K16"/>
    <mergeCell ref="L16:O16"/>
    <mergeCell ref="I17:K17"/>
    <mergeCell ref="L17:O17"/>
    <mergeCell ref="I10:K10"/>
    <mergeCell ref="L10:O10"/>
    <mergeCell ref="I11:K11"/>
    <mergeCell ref="L11:O11"/>
    <mergeCell ref="I12:K12"/>
    <mergeCell ref="L12:O12"/>
    <mergeCell ref="L5:O5"/>
    <mergeCell ref="I6:K6"/>
    <mergeCell ref="L6:O6"/>
    <mergeCell ref="I8:O8"/>
    <mergeCell ref="I9:K9"/>
    <mergeCell ref="L9:O9"/>
    <mergeCell ref="A27:C27"/>
    <mergeCell ref="D27:G27"/>
    <mergeCell ref="I1:O1"/>
    <mergeCell ref="I2:K2"/>
    <mergeCell ref="L2:O2"/>
    <mergeCell ref="I3:K3"/>
    <mergeCell ref="L3:O3"/>
    <mergeCell ref="I4:K4"/>
    <mergeCell ref="L4:O4"/>
    <mergeCell ref="I5:K5"/>
    <mergeCell ref="A24:C24"/>
    <mergeCell ref="D24:G24"/>
    <mergeCell ref="A25:C25"/>
    <mergeCell ref="D25:G25"/>
    <mergeCell ref="A26:C26"/>
    <mergeCell ref="D26:G26"/>
    <mergeCell ref="A19:C19"/>
    <mergeCell ref="D19:G19"/>
    <mergeCell ref="A20:C20"/>
    <mergeCell ref="D20:G20"/>
    <mergeCell ref="A22:G22"/>
    <mergeCell ref="A23:C23"/>
    <mergeCell ref="D23:G23"/>
    <mergeCell ref="A15:G15"/>
    <mergeCell ref="A16:C16"/>
    <mergeCell ref="D16:G16"/>
    <mergeCell ref="A17:C17"/>
    <mergeCell ref="D17:G17"/>
    <mergeCell ref="A18:C18"/>
    <mergeCell ref="D18:G18"/>
    <mergeCell ref="A11:C11"/>
    <mergeCell ref="D11:G11"/>
    <mergeCell ref="A12:C12"/>
    <mergeCell ref="D12:G12"/>
    <mergeCell ref="A13:C13"/>
    <mergeCell ref="D13:G13"/>
    <mergeCell ref="A9:C9"/>
    <mergeCell ref="D9:G9"/>
    <mergeCell ref="A10:C10"/>
    <mergeCell ref="D10:G10"/>
    <mergeCell ref="A8:G8"/>
    <mergeCell ref="A5:C5"/>
    <mergeCell ref="D5:G5"/>
    <mergeCell ref="A6:C6"/>
    <mergeCell ref="D6:G6"/>
    <mergeCell ref="A1:G1"/>
    <mergeCell ref="A2:C2"/>
    <mergeCell ref="D2:G2"/>
    <mergeCell ref="A3:C3"/>
    <mergeCell ref="D3:G3"/>
    <mergeCell ref="A4:C4"/>
    <mergeCell ref="D4:G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J7" sqref="J7"/>
    </sheetView>
  </sheetViews>
  <sheetFormatPr defaultColWidth="17.28515625" defaultRowHeight="15.75" customHeight="1"/>
  <cols>
    <col min="1" max="1" width="16.140625" style="250" customWidth="1"/>
    <col min="2" max="2" width="2.28515625" style="250" customWidth="1"/>
    <col min="3" max="3" width="16.140625" style="250" customWidth="1"/>
    <col min="4" max="4" width="2.28515625" style="250" customWidth="1"/>
    <col min="5" max="5" width="16.140625" style="250" customWidth="1"/>
    <col min="6" max="6" width="2.28515625" style="250" customWidth="1"/>
    <col min="7" max="7" width="16.140625" style="250" customWidth="1"/>
    <col min="8" max="8" width="2.28515625" style="250" customWidth="1"/>
    <col min="9" max="9" width="16.140625" style="250" customWidth="1"/>
    <col min="10" max="16384" width="17.28515625" style="250"/>
  </cols>
  <sheetData>
    <row r="1" spans="1:9" ht="80.099999999999994" customHeight="1">
      <c r="A1" s="234" t="str">
        <f ca="1">IF(RAND()&lt;Freq,"The "&amp;VLOOKUP(RANDBETWEEN(1,20),Table,8)&amp;" "&amp;VLOOKUP(RANDBETWEEN(1,20),Table,9),"")</f>
        <v>The River of Despair</v>
      </c>
      <c r="B1" s="269" t="str">
        <f ca="1">IF(AND(A1&lt;&gt;"",C1&lt;&gt;""),"--","")</f>
        <v>--</v>
      </c>
      <c r="C1" s="236" t="str">
        <f ca="1">IF(RAND()&lt;Freq,"The "&amp;VLOOKUP(RANDBETWEEN(1,20),Table,8)&amp;" "&amp;VLOOKUP(RANDBETWEEN(1,20),Table,9),"")</f>
        <v>The Lake of the Lost</v>
      </c>
      <c r="D1" s="269" t="str">
        <f ca="1">IF(AND(C1&lt;&gt;"",E1&lt;&gt;""),"--","")</f>
        <v>--</v>
      </c>
      <c r="E1" s="236" t="str">
        <f ca="1">IF(RAND()&lt;Freq,"The "&amp;VLOOKUP(RANDBETWEEN(1,20),Table,8)&amp;" "&amp;VLOOKUP(RANDBETWEEN(1,20),Table,9),"")</f>
        <v>The Forest of Gold</v>
      </c>
      <c r="F1" s="269" t="str">
        <f ca="1">IF(AND(E1&lt;&gt;"",G1&lt;&gt;""),"--","")</f>
        <v>--</v>
      </c>
      <c r="G1" s="236" t="str">
        <f ca="1">IF(RAND()&lt;Freq,"The "&amp;VLOOKUP(RANDBETWEEN(1,20),Table,8)&amp;" "&amp;VLOOKUP(RANDBETWEEN(1,20),Table,9),"")</f>
        <v>The Battlefield of the Dragon</v>
      </c>
      <c r="H1" s="269" t="str">
        <f ca="1">IF(AND(G1&lt;&gt;"",I1&lt;&gt;""),"--","")</f>
        <v>--</v>
      </c>
      <c r="I1" s="237" t="str">
        <f ca="1">IF(RAND()&lt;Freq,"The "&amp;VLOOKUP(RANDBETWEEN(1,20),Table,8)&amp;" "&amp;VLOOKUP(RANDBETWEEN(1,20),Table,9),"")</f>
        <v>The Ruins of Despair</v>
      </c>
    </row>
    <row r="2" spans="1:9" ht="15">
      <c r="A2" s="270" t="str">
        <f ca="1">IF(AND(A1&lt;&gt;"",A3&lt;&gt;""),"|","")</f>
        <v>|</v>
      </c>
      <c r="B2" s="271" t="str">
        <f ca="1">IF(AND(C1&lt;&gt;"",A3&lt;&gt;"",A1="",C3=""),"/",IF(AND(A1&lt;&gt;"",C3&lt;&gt;"",A3="",C1=""),"\",""))</f>
        <v/>
      </c>
      <c r="C2" s="272" t="str">
        <f ca="1">IF(AND(C1&lt;&gt;"",C3&lt;&gt;""),"|","")</f>
        <v>|</v>
      </c>
      <c r="D2" s="271" t="str">
        <f ca="1">IF(AND(E1&lt;&gt;"",C3&lt;&gt;"",C1="",E3=""),"/",IF(AND(C1&lt;&gt;"",E3&lt;&gt;"",C3="",E1=""),"\",""))</f>
        <v/>
      </c>
      <c r="E2" s="272" t="str">
        <f ca="1">IF(AND(E1&lt;&gt;"",E3&lt;&gt;""),"|","")</f>
        <v>|</v>
      </c>
      <c r="F2" s="271" t="str">
        <f ca="1">IF(AND(G1&lt;&gt;"",E3&lt;&gt;"",E1="",G3=""),"/",IF(AND(E1&lt;&gt;"",G3&lt;&gt;"",E3="",G1=""),"\",""))</f>
        <v/>
      </c>
      <c r="G2" s="272" t="str">
        <f ca="1">IF(AND(G1&lt;&gt;"",G3&lt;&gt;""),"|","")</f>
        <v>|</v>
      </c>
      <c r="H2" s="271" t="str">
        <f ca="1">IF(AND(I1&lt;&gt;"",G3&lt;&gt;"",G1="",I3=""),"/",IF(AND(G1&lt;&gt;"",I3&lt;&gt;"",G3="",I1=""),"\",""))</f>
        <v/>
      </c>
      <c r="I2" s="273" t="str">
        <f ca="1">IF(AND(I1&lt;&gt;"",I3&lt;&gt;""),"|","")</f>
        <v/>
      </c>
    </row>
    <row r="3" spans="1:9" ht="80.099999999999994" customHeight="1">
      <c r="A3" s="242" t="str">
        <f ca="1">IF(RAND()&lt;Freq,"The "&amp;VLOOKUP(RANDBETWEEN(1,20),Table,8)&amp;" "&amp;VLOOKUP(RANDBETWEEN(1,20),Table,9),"")</f>
        <v>The Lake of Iron</v>
      </c>
      <c r="B3" s="272" t="str">
        <f ca="1">IF(AND(A3&lt;&gt;"",C3&lt;&gt;""),"--","")</f>
        <v>--</v>
      </c>
      <c r="C3" s="234" t="str">
        <f ca="1">IF(RAND()&lt;Freq,"The "&amp;VLOOKUP(RANDBETWEEN(1,20),Table,8)&amp;" "&amp;VLOOKUP(RANDBETWEEN(1,20),Table,9),"")</f>
        <v>The Forest of Doom</v>
      </c>
      <c r="D3" s="269" t="str">
        <f ca="1">IF(AND(C3&lt;&gt;"",E3&lt;&gt;""),"--","")</f>
        <v>--</v>
      </c>
      <c r="E3" s="236" t="str">
        <f ca="1">IF(RAND()&lt;Freq,"The "&amp;VLOOKUP(RANDBETWEEN(1,20),Table,8)&amp;" "&amp;VLOOKUP(RANDBETWEEN(1,20),Table,9),"")</f>
        <v>The Battlefield of Glass</v>
      </c>
      <c r="F3" s="269" t="str">
        <f ca="1">IF(AND(E3&lt;&gt;"",G3&lt;&gt;""),"--","")</f>
        <v>--</v>
      </c>
      <c r="G3" s="237" t="str">
        <f ca="1">IF(RAND()&lt;Freq,"The "&amp;VLOOKUP(RANDBETWEEN(1,20),Table,8)&amp;" "&amp;VLOOKUP(RANDBETWEEN(1,20),Table,9),"")</f>
        <v>The Shores of Blood</v>
      </c>
      <c r="H3" s="272" t="str">
        <f ca="1">IF(AND(G3&lt;&gt;"",I3&lt;&gt;""),"--","")</f>
        <v/>
      </c>
      <c r="I3" s="244" t="str">
        <f ca="1">IF(RAND()&lt;Freq,"The "&amp;VLOOKUP(RANDBETWEEN(1,20),Table,8)&amp;" "&amp;VLOOKUP(RANDBETWEEN(1,20),Table,9),"")</f>
        <v/>
      </c>
    </row>
    <row r="4" spans="1:9" ht="15">
      <c r="A4" s="270" t="str">
        <f ca="1">IF(AND(A3&lt;&gt;"",A5&lt;&gt;""),"|","")</f>
        <v>|</v>
      </c>
      <c r="B4" s="271" t="str">
        <f ca="1">IF(AND(C3&lt;&gt;"",A5&lt;&gt;"",A3="",C5=""),"/",IF(AND(A3&lt;&gt;"",C5&lt;&gt;"",A5="",C3=""),"\",""))</f>
        <v/>
      </c>
      <c r="C4" s="270" t="str">
        <f ca="1">IF(AND(C3&lt;&gt;"",C5&lt;&gt;""),"|","")</f>
        <v>|</v>
      </c>
      <c r="D4" s="271" t="str">
        <f ca="1">IF(AND(E3&lt;&gt;"",C5&lt;&gt;"",C3="",E5=""),"/",IF(AND(C3&lt;&gt;"",E5&lt;&gt;"",C5="",E3=""),"\",""))</f>
        <v/>
      </c>
      <c r="E4" s="272" t="str">
        <f ca="1">IF(AND(E3&lt;&gt;"",E5&lt;&gt;""),"|","")</f>
        <v/>
      </c>
      <c r="F4" s="271" t="str">
        <f ca="1">IF(AND(G3&lt;&gt;"",E5&lt;&gt;"",E3="",G5=""),"/",IF(AND(E3&lt;&gt;"",G5&lt;&gt;"",E5="",G3=""),"\",""))</f>
        <v/>
      </c>
      <c r="G4" s="273" t="str">
        <f ca="1">IF(AND(G3&lt;&gt;"",G5&lt;&gt;""),"|","")</f>
        <v/>
      </c>
      <c r="H4" s="271" t="str">
        <f ca="1">IF(AND(I3&lt;&gt;"",G5&lt;&gt;"",G3="",I5=""),"/",IF(AND(G3&lt;&gt;"",I5&lt;&gt;"",G5="",I3=""),"\",""))</f>
        <v>\</v>
      </c>
      <c r="I4" s="273" t="str">
        <f ca="1">IF(AND(I3&lt;&gt;"",I5&lt;&gt;""),"|","")</f>
        <v/>
      </c>
    </row>
    <row r="5" spans="1:9" ht="80.099999999999994" customHeight="1">
      <c r="A5" s="242" t="str">
        <f ca="1">IF(RAND()&lt;Freq,"The "&amp;VLOOKUP(RANDBETWEEN(1,20),Table,8)&amp;" "&amp;VLOOKUP(RANDBETWEEN(1,20),Table,9),"")</f>
        <v>The Cliffs of Fear</v>
      </c>
      <c r="B5" s="272" t="str">
        <f ca="1">IF(AND(A5&lt;&gt;"",C5&lt;&gt;""),"--","")</f>
        <v>--</v>
      </c>
      <c r="C5" s="242" t="str">
        <f ca="1">IF(RAND()&lt;Freq,"The "&amp;VLOOKUP(RANDBETWEEN(1,20),Table,8)&amp;" "&amp;VLOOKUP(RANDBETWEEN(1,20),Table,9),"")</f>
        <v>The Temple of the Lost</v>
      </c>
      <c r="D5" s="272" t="str">
        <f ca="1">IF(AND(C5&lt;&gt;"",E5&lt;&gt;""),"--","")</f>
        <v/>
      </c>
      <c r="E5" s="243" t="str">
        <f ca="1">IF(RAND()&lt;Freq,"The "&amp;VLOOKUP(RANDBETWEEN(1,20),Table,8)&amp;" "&amp;VLOOKUP(RANDBETWEEN(1,20),Table,9),"")</f>
        <v/>
      </c>
      <c r="F5" s="272" t="str">
        <f ca="1">IF(AND(E5&lt;&gt;"",G5&lt;&gt;""),"--","")</f>
        <v/>
      </c>
      <c r="G5" s="244" t="str">
        <f ca="1">IF(RAND()&lt;Freq,"The "&amp;VLOOKUP(RANDBETWEEN(1,20),Table,8)&amp;" "&amp;VLOOKUP(RANDBETWEEN(1,20),Table,9),"")</f>
        <v/>
      </c>
      <c r="H5" s="272" t="str">
        <f ca="1">IF(AND(G5&lt;&gt;"",I5&lt;&gt;""),"--","")</f>
        <v/>
      </c>
      <c r="I5" s="244" t="str">
        <f ca="1">IF(RAND()&lt;Freq,"The "&amp;VLOOKUP(RANDBETWEEN(1,20),Table,8)&amp;" "&amp;VLOOKUP(RANDBETWEEN(1,20),Table,9),"")</f>
        <v>The Forest of Iron</v>
      </c>
    </row>
    <row r="6" spans="1:9" ht="15">
      <c r="A6" s="270" t="str">
        <f ca="1">IF(AND(A5&lt;&gt;"",A7&lt;&gt;""),"|","")</f>
        <v/>
      </c>
      <c r="B6" s="271" t="str">
        <f ca="1">IF(AND(C5&lt;&gt;"",A7&lt;&gt;"",A5="",C7=""),"/",IF(AND(A5&lt;&gt;"",C7&lt;&gt;"",A7="",C5=""),"\",""))</f>
        <v/>
      </c>
      <c r="C6" s="270" t="str">
        <f ca="1">IF(AND(C5&lt;&gt;"",C7&lt;&gt;""),"|","")</f>
        <v/>
      </c>
      <c r="D6" s="271" t="str">
        <f ca="1">IF(AND(E5&lt;&gt;"",C7&lt;&gt;"",C5="",E7=""),"/",IF(AND(C5&lt;&gt;"",E7&lt;&gt;"",C7="",E5=""),"\",""))</f>
        <v>\</v>
      </c>
      <c r="E6" s="272" t="str">
        <f ca="1">IF(AND(E5&lt;&gt;"",E7&lt;&gt;""),"|","")</f>
        <v/>
      </c>
      <c r="F6" s="271" t="str">
        <f ca="1">IF(AND(G5&lt;&gt;"",E7&lt;&gt;"",E5="",G7=""),"/",IF(AND(E5&lt;&gt;"",G7&lt;&gt;"",E7="",G5=""),"\",""))</f>
        <v/>
      </c>
      <c r="G6" s="273" t="str">
        <f ca="1">IF(AND(G5&lt;&gt;"",G7&lt;&gt;""),"|","")</f>
        <v/>
      </c>
      <c r="H6" s="271" t="str">
        <f ca="1">IF(AND(I5&lt;&gt;"",G7&lt;&gt;"",G5="",I7=""),"/",IF(AND(G5&lt;&gt;"",I7&lt;&gt;"",G7="",I5=""),"\",""))</f>
        <v/>
      </c>
      <c r="I6" s="273" t="str">
        <f ca="1">IF(AND(I5&lt;&gt;"",I7&lt;&gt;""),"|","")</f>
        <v>|</v>
      </c>
    </row>
    <row r="7" spans="1:9" ht="80.099999999999994" customHeight="1">
      <c r="A7" s="242" t="str">
        <f ca="1">IF(RAND()&lt;Freq,"The "&amp;VLOOKUP(RANDBETWEEN(1,20),Table,8)&amp;" "&amp;VLOOKUP(RANDBETWEEN(1,20),Table,9),"")</f>
        <v/>
      </c>
      <c r="B7" s="272" t="str">
        <f ca="1">IF(AND(A7&lt;&gt;"",C7&lt;&gt;""),"--","")</f>
        <v/>
      </c>
      <c r="C7" s="246" t="str">
        <f ca="1">IF(RAND()&lt;Freq,"The "&amp;VLOOKUP(RANDBETWEEN(1,20),Table,8)&amp;" "&amp;VLOOKUP(RANDBETWEEN(1,20),Table,9),"")</f>
        <v/>
      </c>
      <c r="D7" s="274" t="str">
        <f ca="1">IF(AND(C7&lt;&gt;"",E7&lt;&gt;""),"--","")</f>
        <v/>
      </c>
      <c r="E7" s="248" t="str">
        <f ca="1">IF(RAND()&lt;Freq,"The "&amp;VLOOKUP(RANDBETWEEN(1,20),Table,8)&amp;" "&amp;VLOOKUP(RANDBETWEEN(1,20),Table,9),"")</f>
        <v>The Village of the Dead</v>
      </c>
      <c r="F7" s="274" t="str">
        <f ca="1">IF(AND(E7&lt;&gt;"",G7&lt;&gt;""),"--","")</f>
        <v/>
      </c>
      <c r="G7" s="249" t="str">
        <f ca="1">IF(RAND()&lt;Freq,"The "&amp;VLOOKUP(RANDBETWEEN(1,20),Table,8)&amp;" "&amp;VLOOKUP(RANDBETWEEN(1,20),Table,9),"")</f>
        <v/>
      </c>
      <c r="H7" s="272" t="str">
        <f ca="1">IF(AND(G7&lt;&gt;"",I7&lt;&gt;""),"--","")</f>
        <v/>
      </c>
      <c r="I7" s="244" t="str">
        <f ca="1">IF(RAND()&lt;Freq,"The "&amp;VLOOKUP(RANDBETWEEN(1,20),Table,8)&amp;" "&amp;VLOOKUP(RANDBETWEEN(1,20),Table,9),"")</f>
        <v>The Temple of Blood</v>
      </c>
    </row>
    <row r="8" spans="1:9" ht="15">
      <c r="A8" s="270" t="str">
        <f ca="1">IF(AND(A7&lt;&gt;"",A9&lt;&gt;""),"|","")</f>
        <v/>
      </c>
      <c r="B8" s="271" t="str">
        <f ca="1">IF(AND(C7&lt;&gt;"",A9&lt;&gt;"",A7="",C9=""),"/",IF(AND(A7&lt;&gt;"",C9&lt;&gt;"",A9="",C7=""),"\",""))</f>
        <v/>
      </c>
      <c r="C8" s="272" t="str">
        <f ca="1">IF(AND(C7&lt;&gt;"",C9&lt;&gt;""),"|","")</f>
        <v/>
      </c>
      <c r="D8" s="271" t="str">
        <f ca="1">IF(AND(E7&lt;&gt;"",C9&lt;&gt;"",C7="",E9=""),"/",IF(AND(C7&lt;&gt;"",E9&lt;&gt;"",C9="",E7=""),"\",""))</f>
        <v/>
      </c>
      <c r="E8" s="272" t="str">
        <f ca="1">IF(AND(E7&lt;&gt;"",E9&lt;&gt;""),"|","")</f>
        <v>|</v>
      </c>
      <c r="F8" s="271" t="str">
        <f ca="1">IF(AND(G7&lt;&gt;"",E9&lt;&gt;"",E7="",G9=""),"/",IF(AND(E7&lt;&gt;"",G9&lt;&gt;"",E9="",G7=""),"\",""))</f>
        <v/>
      </c>
      <c r="G8" s="272" t="str">
        <f ca="1">IF(AND(G7&lt;&gt;"",G9&lt;&gt;""),"|","")</f>
        <v/>
      </c>
      <c r="H8" s="271" t="str">
        <f ca="1">IF(AND(I7&lt;&gt;"",G9&lt;&gt;"",G7="",I9=""),"/",IF(AND(G7&lt;&gt;"",I9&lt;&gt;"",G9="",I7=""),"\",""))</f>
        <v/>
      </c>
      <c r="I8" s="273" t="str">
        <f ca="1">IF(AND(I7&lt;&gt;"",I9&lt;&gt;""),"|","")</f>
        <v>|</v>
      </c>
    </row>
    <row r="9" spans="1:9" ht="80.099999999999994" customHeight="1">
      <c r="A9" s="246" t="str">
        <f ca="1">IF(RAND()&lt;Freq,"The "&amp;VLOOKUP(RANDBETWEEN(1,20),Table,8)&amp;" "&amp;VLOOKUP(RANDBETWEEN(1,20),Table,9),"")</f>
        <v>The Ruins of Bones</v>
      </c>
      <c r="B9" s="274" t="str">
        <f ca="1">IF(AND(A9&lt;&gt;"",C9&lt;&gt;""),"--","")</f>
        <v>--</v>
      </c>
      <c r="C9" s="248" t="str">
        <f ca="1">IF(RAND()&lt;Freq,"The "&amp;VLOOKUP(RANDBETWEEN(1,20),Table,8)&amp;" "&amp;VLOOKUP(RANDBETWEEN(1,20),Table,9),"")</f>
        <v>The Forest of Death</v>
      </c>
      <c r="D9" s="274" t="str">
        <f ca="1">IF(AND(C9&lt;&gt;"",E9&lt;&gt;""),"--","")</f>
        <v>--</v>
      </c>
      <c r="E9" s="248" t="str">
        <f ca="1">IF(RAND()&lt;Freq,"The "&amp;VLOOKUP(RANDBETWEEN(1,20),Table,8)&amp;" "&amp;VLOOKUP(RANDBETWEEN(1,20),Table,9),"")</f>
        <v>The Lake of Ghosts</v>
      </c>
      <c r="F9" s="274" t="str">
        <f ca="1">IF(AND(E9&lt;&gt;"",G9&lt;&gt;""),"--","")</f>
        <v>--</v>
      </c>
      <c r="G9" s="248" t="str">
        <f ca="1">IF(RAND()&lt;Freq,"The "&amp;VLOOKUP(RANDBETWEEN(1,20),Table,8)&amp;" "&amp;VLOOKUP(RANDBETWEEN(1,20),Table,9),"")</f>
        <v>The Mountain of Demons</v>
      </c>
      <c r="H9" s="274" t="str">
        <f ca="1">IF(AND(G9&lt;&gt;"",I9&lt;&gt;""),"--","")</f>
        <v>--</v>
      </c>
      <c r="I9" s="249" t="str">
        <f ca="1">IF(RAND()&lt;Freq,"The "&amp;VLOOKUP(RANDBETWEEN(1,20),Table,8)&amp;" "&amp;VLOOKUP(RANDBETWEEN(1,20),Table,9),"")</f>
        <v>The City of Doom</v>
      </c>
    </row>
  </sheetData>
  <conditionalFormatting sqref="A1:I9">
    <cfRule type="containsBlanks" dxfId="4" priority="1">
      <formula>LEN(TRIM(A1))=0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1"/>
  <sheetViews>
    <sheetView workbookViewId="0">
      <pane xSplit="1" topLeftCell="B1" activePane="topRight" state="frozen"/>
      <selection activeCell="I23" sqref="I23"/>
      <selection pane="topRight" activeCell="K11" sqref="K11:O11"/>
    </sheetView>
  </sheetViews>
  <sheetFormatPr defaultColWidth="13.28515625" defaultRowHeight="15"/>
  <cols>
    <col min="1" max="7" width="13.28515625" style="7"/>
    <col min="8" max="8" width="3.7109375" style="36" customWidth="1"/>
    <col min="9" max="15" width="13.28515625" style="7"/>
    <col min="16" max="16" width="3.7109375" style="36" customWidth="1"/>
    <col min="17" max="23" width="13.28515625" style="7"/>
    <col min="24" max="24" width="13.28515625" style="36"/>
    <col min="25" max="16384" width="13.28515625" style="7"/>
  </cols>
  <sheetData>
    <row r="1" spans="1:24" s="36" customFormat="1" ht="15.75" thickBot="1"/>
    <row r="2" spans="1:24" ht="39.950000000000003" customHeight="1">
      <c r="A2" s="552">
        <v>1</v>
      </c>
      <c r="B2" s="200" t="s">
        <v>2416</v>
      </c>
      <c r="C2" s="503" t="str">
        <f ca="1">CONCATENATE(INDEX('NPC''s'!$I$106:$I$115,RANDBETWEEN(1,10))," in stature, with a ",INDEX('NPC''s'!$J$106:$J$125,RANDBETWEEN(1,20))," body, and ",INDEX('NPC''s'!$K$106:$K$111,RANDBETWEEN(1,6)))</f>
        <v>WELL ABOVE AVERAGE in stature, with a WIDE AND PONDEROUS body, and DELICATE HANDS.</v>
      </c>
      <c r="D2" s="504"/>
      <c r="E2" s="504"/>
      <c r="F2" s="504"/>
      <c r="G2" s="505"/>
      <c r="I2" s="552">
        <v>2</v>
      </c>
      <c r="J2" s="200" t="s">
        <v>2416</v>
      </c>
      <c r="K2" s="503" t="str">
        <f ca="1">CONCATENATE(INDEX('NPC''s'!$I$106:$I$115,RANDBETWEEN(1,10))," in stature, with a ",INDEX('NPC''s'!$J$106:$J$125,RANDBETWEEN(1,20))," body, and ",INDEX('NPC''s'!$K$106:$K$111,RANDBETWEEN(1,6)))</f>
        <v>UNUSUALLY TALL in stature, with a SLIGHTLY OVERWEIGHT body, and A LIGHT TOUCH.</v>
      </c>
      <c r="L2" s="504"/>
      <c r="M2" s="504"/>
      <c r="N2" s="504"/>
      <c r="O2" s="505"/>
      <c r="Q2" s="552">
        <v>3</v>
      </c>
      <c r="R2" s="200" t="s">
        <v>2416</v>
      </c>
      <c r="S2" s="503" t="str">
        <f ca="1">CONCATENATE(INDEX('NPC''s'!$I$106:$I$115,RANDBETWEEN(1,10))," in stature, with a ",INDEX('NPC''s'!$J$106:$J$125,RANDBETWEEN(1,20))," body, and ",INDEX('NPC''s'!$K$106:$K$111,RANDBETWEEN(1,6)))</f>
        <v>UNUSUALLY TALL in stature, with a LITHE AND LEAN body, and A LIGHT TOUCH.</v>
      </c>
      <c r="T2" s="504"/>
      <c r="U2" s="504"/>
      <c r="V2" s="504"/>
      <c r="W2" s="505"/>
    </row>
    <row r="3" spans="1:24" s="17" customFormat="1" ht="39.950000000000003" customHeight="1">
      <c r="A3" s="553"/>
      <c r="B3" s="201" t="s">
        <v>2415</v>
      </c>
      <c r="C3" s="506" t="str">
        <f ca="1">CONCATENATE(INDEX('NPC''s'!$B$106:$B$125,RANDBETWEEN(1,20)),", ",INDEX('NPC''s'!$C$106:$C$117,RANDBETWEEN(1,12)),", and ",INDEX('NPC''s'!$D$106:$D$115,RANDBETWEEN(1,10)),". They have ",INDEX('NPC''s'!$H$106:$H$113,RANDBETWEEN(1,8)),", ",INDEX('NPC''s'!$E$106:$E$117,RANDBETWEEN(1,12)),", ",INDEX('NPC''s'!$F$106:$F$113,RANDBETWEEN(1,8)),", and ",INDEX('NPC''s'!$G$106:$G$125,RANDBETWEEN(1,20)))</f>
        <v>WATCHFUL EYES, OVER-SIZED EARS, and ROTTING TEETH. They have HIGH CHEEKBONES, AN ANGULAR NOSE, A SQUARE JAW, and WAVY HAIR</v>
      </c>
      <c r="D3" s="507"/>
      <c r="E3" s="507"/>
      <c r="F3" s="507"/>
      <c r="G3" s="508"/>
      <c r="H3" s="187"/>
      <c r="I3" s="553"/>
      <c r="J3" s="201" t="s">
        <v>2415</v>
      </c>
      <c r="K3" s="506" t="str">
        <f ca="1">CONCATENATE(INDEX('NPC''s'!$B$106:$B$125,RANDBETWEEN(1,20)),", ",INDEX('NPC''s'!$C$106:$C$117,RANDBETWEEN(1,12)),", and ",INDEX('NPC''s'!$D$106:$D$115,RANDBETWEEN(1,10)),". They have ",INDEX('NPC''s'!$H$106:$H$113,RANDBETWEEN(1,8)),", ",INDEX('NPC''s'!$E$106:$E$117,RANDBETWEEN(1,12)),", ",INDEX('NPC''s'!$F$106:$F$113,RANDBETWEEN(1,8)),", and ",INDEX('NPC''s'!$G$106:$G$125,RANDBETWEEN(1,20)))</f>
        <v>WIDE EYES, ELABORATELY PIERCED EARS, and PURSED LIPS. They have AN UNPLEASANT POSTULE, A ROUND NOSE, A DIMPLE ON THE CHIN, and AN OUTDATED HAIRSTYLE</v>
      </c>
      <c r="L3" s="507"/>
      <c r="M3" s="507"/>
      <c r="N3" s="507"/>
      <c r="O3" s="508"/>
      <c r="P3" s="187"/>
      <c r="Q3" s="553"/>
      <c r="R3" s="201" t="s">
        <v>2415</v>
      </c>
      <c r="S3" s="506" t="str">
        <f ca="1">CONCATENATE(INDEX('NPC''s'!$B$106:$B$125,RANDBETWEEN(1,20)),", ",INDEX('NPC''s'!$C$106:$C$117,RANDBETWEEN(1,12)),", and ",INDEX('NPC''s'!$D$106:$D$115,RANDBETWEEN(1,10)),". They have ",INDEX('NPC''s'!$H$106:$H$113,RANDBETWEEN(1,8)),", ",INDEX('NPC''s'!$E$106:$E$117,RANDBETWEEN(1,12)),", ",INDEX('NPC''s'!$F$106:$F$113,RANDBETWEEN(1,8)),", and ",INDEX('NPC''s'!$G$106:$G$125,RANDBETWEEN(1,20)))</f>
        <v>HOODED EYES, EARS WITH IMPROBABLE TUFTS OF HAIR, and CROOKED TEETH. They have A LARGE MOLE, AN ANGULAR NOSE, AN UNDERBITE, and POOFY HAIR</v>
      </c>
      <c r="T3" s="507"/>
      <c r="U3" s="507"/>
      <c r="V3" s="507"/>
      <c r="W3" s="508"/>
      <c r="X3" s="187"/>
    </row>
    <row r="4" spans="1:24" s="17" customFormat="1" ht="39.950000000000003" customHeight="1">
      <c r="A4" s="553"/>
      <c r="B4" s="201" t="s">
        <v>2417</v>
      </c>
      <c r="C4" s="506" t="str">
        <f ca="1">CONCATENATE(INDEX('NPC''s'!$M$106:$M$117,RANDBETWEEN(1,12)),", made of ",INDEX('NPC''s'!$N$106:$N$115,RANDBETWEEN(1,10)))</f>
        <v>AN ORNATE BELT, made of IRON</v>
      </c>
      <c r="D4" s="507"/>
      <c r="E4" s="507"/>
      <c r="F4" s="507"/>
      <c r="G4" s="508"/>
      <c r="H4" s="187"/>
      <c r="I4" s="553"/>
      <c r="J4" s="201" t="s">
        <v>2417</v>
      </c>
      <c r="K4" s="506" t="str">
        <f ca="1">CONCATENATE(INDEX('NPC''s'!$M$106:$M$117,RANDBETWEEN(1,12)),", made of ",INDEX('NPC''s'!$N$106:$N$115,RANDBETWEEN(1,10)))</f>
        <v>A BROOCH, made of SILVER</v>
      </c>
      <c r="L4" s="507"/>
      <c r="M4" s="507"/>
      <c r="N4" s="507"/>
      <c r="O4" s="508"/>
      <c r="P4" s="187"/>
      <c r="Q4" s="553"/>
      <c r="R4" s="201" t="s">
        <v>2417</v>
      </c>
      <c r="S4" s="506" t="str">
        <f ca="1">CONCATENATE(INDEX('NPC''s'!$M$106:$M$117,RANDBETWEEN(1,12)),", made of ",INDEX('NPC''s'!$N$106:$N$115,RANDBETWEEN(1,10)))</f>
        <v>A LARGE CHAIN AROUND NECK, made of LEATHER</v>
      </c>
      <c r="T4" s="507"/>
      <c r="U4" s="507"/>
      <c r="V4" s="507"/>
      <c r="W4" s="508"/>
      <c r="X4" s="187"/>
    </row>
    <row r="5" spans="1:24" s="17" customFormat="1" ht="39.950000000000003" customHeight="1">
      <c r="A5" s="553"/>
      <c r="B5" s="201" t="s">
        <v>2418</v>
      </c>
      <c r="C5" s="506" t="str">
        <f ca="1">CONCATENATE(INDEX('NPC''s'!$O$106:$O$113,RANDBETWEEN(1,8)))</f>
        <v>FADED, BUT GOOD CONDITION</v>
      </c>
      <c r="D5" s="507"/>
      <c r="E5" s="507"/>
      <c r="F5" s="507"/>
      <c r="G5" s="508"/>
      <c r="H5" s="187"/>
      <c r="I5" s="553"/>
      <c r="J5" s="201" t="s">
        <v>2418</v>
      </c>
      <c r="K5" s="506" t="str">
        <f ca="1">CONCATENATE(INDEX('NPC''s'!$O$106:$O$113,RANDBETWEEN(1,8)))</f>
        <v>CRISP AND NEW</v>
      </c>
      <c r="L5" s="507"/>
      <c r="M5" s="507"/>
      <c r="N5" s="507"/>
      <c r="O5" s="508"/>
      <c r="P5" s="187"/>
      <c r="Q5" s="553"/>
      <c r="R5" s="201" t="s">
        <v>2418</v>
      </c>
      <c r="S5" s="506" t="str">
        <f ca="1">CONCATENATE(INDEX('NPC''s'!$O$106:$O$113,RANDBETWEEN(1,8)))</f>
        <v>TORN IN PLACES; MISSING BUTTONS</v>
      </c>
      <c r="T5" s="507"/>
      <c r="U5" s="507"/>
      <c r="V5" s="507"/>
      <c r="W5" s="508"/>
      <c r="X5" s="187"/>
    </row>
    <row r="6" spans="1:24" s="17" customFormat="1" ht="39.950000000000003" customHeight="1">
      <c r="A6" s="553"/>
      <c r="B6" s="201" t="s">
        <v>2435</v>
      </c>
      <c r="C6" s="506" t="str">
        <f ca="1">CONCATENATE(INDEX('NPC''s'!$S$106:$S$113,RANDBETWEEN(1,8)))</f>
        <v>CASUAL OBSERVER</v>
      </c>
      <c r="D6" s="507"/>
      <c r="E6" s="507"/>
      <c r="F6" s="507"/>
      <c r="G6" s="508"/>
      <c r="H6" s="187"/>
      <c r="I6" s="553"/>
      <c r="J6" s="201" t="s">
        <v>2435</v>
      </c>
      <c r="K6" s="506" t="str">
        <f ca="1">CONCATENATE(INDEX('NPC''s'!$S$106:$S$113,RANDBETWEEN(1,8)))</f>
        <v>OPEN-MINDED SEEKER</v>
      </c>
      <c r="L6" s="507"/>
      <c r="M6" s="507"/>
      <c r="N6" s="507"/>
      <c r="O6" s="508"/>
      <c r="P6" s="187"/>
      <c r="Q6" s="553"/>
      <c r="R6" s="201" t="s">
        <v>2435</v>
      </c>
      <c r="S6" s="506" t="str">
        <f ca="1">CONCATENATE(INDEX('NPC''s'!$S$106:$S$113,RANDBETWEEN(1,8)))</f>
        <v>BROKEN HERETIC</v>
      </c>
      <c r="T6" s="507"/>
      <c r="U6" s="507"/>
      <c r="V6" s="507"/>
      <c r="W6" s="508"/>
      <c r="X6" s="187"/>
    </row>
    <row r="7" spans="1:24" s="17" customFormat="1" ht="39.950000000000003" customHeight="1">
      <c r="A7" s="553"/>
      <c r="B7" s="201" t="s">
        <v>2420</v>
      </c>
      <c r="C7" s="506" t="str">
        <f ca="1">CONCATENATE(INDEX('NPC''s'!$T$106:$T$111,RANDBETWEEN(1,6)))</f>
        <v>OTHER GENDERS</v>
      </c>
      <c r="D7" s="507"/>
      <c r="E7" s="507"/>
      <c r="F7" s="507"/>
      <c r="G7" s="508"/>
      <c r="H7" s="187"/>
      <c r="I7" s="553"/>
      <c r="J7" s="201" t="s">
        <v>2420</v>
      </c>
      <c r="K7" s="506" t="str">
        <f ca="1">CONCATENATE(INDEX('NPC''s'!$T$106:$T$111,RANDBETWEEN(1,6)))</f>
        <v>HALFLINGS</v>
      </c>
      <c r="L7" s="507"/>
      <c r="M7" s="507"/>
      <c r="N7" s="507"/>
      <c r="O7" s="508"/>
      <c r="P7" s="187"/>
      <c r="Q7" s="553"/>
      <c r="R7" s="201" t="s">
        <v>2420</v>
      </c>
      <c r="S7" s="506" t="str">
        <f ca="1">CONCATENATE(INDEX('NPC''s'!$T$106:$T$111,RANDBETWEEN(1,6)))</f>
        <v>OTHER GENDERS</v>
      </c>
      <c r="T7" s="507"/>
      <c r="U7" s="507"/>
      <c r="V7" s="507"/>
      <c r="W7" s="508"/>
      <c r="X7" s="187"/>
    </row>
    <row r="8" spans="1:24" s="17" customFormat="1" ht="39.950000000000003" customHeight="1" thickBot="1">
      <c r="A8" s="554"/>
      <c r="B8" s="202" t="s">
        <v>2419</v>
      </c>
      <c r="C8" s="509" t="str">
        <f ca="1">CONCATENATE("Their current mood is ",INDEX('NPC''s'!$R$106:$R$125,RANDBETWEEN(1,20)),". When calm, they are ",INDEX('NPC''s'!$P$106:$P$137,RANDBETWEEN(1,32)),", and when stressed they are ",INDEX('NPC''s'!$Q$106:$Q$137,RANDBETWEEN(1,32)))</f>
        <v>Their current mood is FOCUSED. When calm, they are AGREEABLE, and when stressed they are MANIPULATIVE</v>
      </c>
      <c r="D8" s="510"/>
      <c r="E8" s="510"/>
      <c r="F8" s="510"/>
      <c r="G8" s="511"/>
      <c r="H8" s="187"/>
      <c r="I8" s="554"/>
      <c r="J8" s="202" t="s">
        <v>2419</v>
      </c>
      <c r="K8" s="509" t="str">
        <f ca="1">CONCATENATE("Their current mood is ",INDEX('NPC''s'!$R$106:$R$125,RANDBETWEEN(1,20)),". When calm, they are ",INDEX('NPC''s'!$P$106:$P$137,RANDBETWEEN(1,32)),", and when stressed they are ",INDEX('NPC''s'!$Q$106:$Q$137,RANDBETWEEN(1,32)))</f>
        <v>Their current mood is INDIFFERENT. When calm, they are SOPHISTICATED, and when stressed they are SECRETIVE</v>
      </c>
      <c r="L8" s="510"/>
      <c r="M8" s="510"/>
      <c r="N8" s="510"/>
      <c r="O8" s="511"/>
      <c r="P8" s="187"/>
      <c r="Q8" s="554"/>
      <c r="R8" s="202" t="s">
        <v>2419</v>
      </c>
      <c r="S8" s="509" t="str">
        <f ca="1">CONCATENATE("Their current mood is ",INDEX('NPC''s'!$R$106:$R$125,RANDBETWEEN(1,20)),". When calm, they are ",INDEX('NPC''s'!$P$106:$P$137,RANDBETWEEN(1,32)),", and when stressed they are ",INDEX('NPC''s'!$Q$106:$Q$137,RANDBETWEEN(1,32)))</f>
        <v>Their current mood is INDIFFERENT. When calm, they are CHEERFUL, and when stressed they are SPITEFUL</v>
      </c>
      <c r="T8" s="510"/>
      <c r="U8" s="510"/>
      <c r="V8" s="510"/>
      <c r="W8" s="511"/>
      <c r="X8" s="187"/>
    </row>
    <row r="9" spans="1:24" s="281" customFormat="1" ht="15" customHeight="1" thickBot="1">
      <c r="A9" s="187"/>
    </row>
    <row r="10" spans="1:24" s="18" customFormat="1" ht="39.950000000000003" customHeight="1">
      <c r="A10" s="552">
        <v>4</v>
      </c>
      <c r="B10" s="200" t="s">
        <v>2416</v>
      </c>
      <c r="C10" s="503" t="str">
        <f ca="1">CONCATENATE(INDEX('NPC''s'!$I$106:$I$115,RANDBETWEEN(1,10))," in stature, with a ",INDEX('NPC''s'!$J$106:$J$125,RANDBETWEEN(1,20))," body, and ",INDEX('NPC''s'!$K$106:$K$111,RANDBETWEEN(1,6)))</f>
        <v>SLIGHTLY ABOVE AVERAGE in stature, with a THIN AND PETITE body, and A LIGHT TOUCH.</v>
      </c>
      <c r="D10" s="504"/>
      <c r="E10" s="504"/>
      <c r="F10" s="504"/>
      <c r="G10" s="505"/>
      <c r="H10" s="281"/>
      <c r="I10" s="552">
        <v>5</v>
      </c>
      <c r="J10" s="200" t="s">
        <v>2416</v>
      </c>
      <c r="K10" s="503" t="str">
        <f ca="1">CONCATENATE(INDEX('NPC''s'!$I$106:$I$115,RANDBETWEEN(1,10))," in stature, with a ",INDEX('NPC''s'!$J$106:$J$125,RANDBETWEEN(1,20))," body, and ",INDEX('NPC''s'!$K$106:$K$111,RANDBETWEEN(1,6)))</f>
        <v>SHORT in stature, with a GROTESQUELY OBESE body, and ROUGH HANDS.</v>
      </c>
      <c r="L10" s="504"/>
      <c r="M10" s="504"/>
      <c r="N10" s="504"/>
      <c r="O10" s="505"/>
      <c r="P10" s="281"/>
      <c r="Q10" s="552">
        <v>6</v>
      </c>
      <c r="R10" s="200" t="s">
        <v>2416</v>
      </c>
      <c r="S10" s="503" t="str">
        <f ca="1">CONCATENATE(INDEX('NPC''s'!$I$106:$I$115,RANDBETWEEN(1,10))," in stature, with a ",INDEX('NPC''s'!$J$106:$J$125,RANDBETWEEN(1,20))," body, and ",INDEX('NPC''s'!$K$106:$K$111,RANDBETWEEN(1,6)))</f>
        <v>UNUSUALLY TALL in stature, with a BIG AND BROAD body, and ROUGH HANDS.</v>
      </c>
      <c r="T10" s="504"/>
      <c r="U10" s="504"/>
      <c r="V10" s="504"/>
      <c r="W10" s="505"/>
      <c r="X10" s="281"/>
    </row>
    <row r="11" spans="1:24" s="18" customFormat="1" ht="39.950000000000003" customHeight="1">
      <c r="A11" s="553"/>
      <c r="B11" s="201" t="s">
        <v>2415</v>
      </c>
      <c r="C11" s="506" t="str">
        <f ca="1">CONCATENATE(INDEX('NPC''s'!$B$106:$B$125,RANDBETWEEN(1,20)),", ",INDEX('NPC''s'!$C$106:$C$117,RANDBETWEEN(1,12)),", and ",INDEX('NPC''s'!$D$106:$D$115,RANDBETWEEN(1,10)),". They have ",INDEX('NPC''s'!$H$106:$H$113,RANDBETWEEN(1,8)),", ",INDEX('NPC''s'!$E$106:$E$117,RANDBETWEEN(1,12)),", ",INDEX('NPC''s'!$F$106:$F$113,RANDBETWEEN(1,8)),", and ",INDEX('NPC''s'!$G$106:$G$125,RANDBETWEEN(1,20)))</f>
        <v>DARK EYES, UNEVEN EARS, and PURSED LIPS. They have FRECKLES, A WIDE NOSE, AN UNDERBITE, and LUSH HAIR</v>
      </c>
      <c r="D11" s="507"/>
      <c r="E11" s="507"/>
      <c r="F11" s="507"/>
      <c r="G11" s="508"/>
      <c r="H11" s="281"/>
      <c r="I11" s="553"/>
      <c r="J11" s="201" t="s">
        <v>2415</v>
      </c>
      <c r="K11" s="506" t="str">
        <f ca="1">CONCATENATE(INDEX('NPC''s'!$B$106:$B$125,RANDBETWEEN(1,20)),", ",INDEX('NPC''s'!$C$106:$C$117,RANDBETWEEN(1,12)),", and ",INDEX('NPC''s'!$D$106:$D$115,RANDBETWEEN(1,10)),". They have ",INDEX('NPC''s'!$H$106:$H$113,RANDBETWEEN(1,8)),", ",INDEX('NPC''s'!$E$106:$E$117,RANDBETWEEN(1,12)),", ",INDEX('NPC''s'!$F$106:$F$113,RANDBETWEEN(1,8)),", and ",INDEX('NPC''s'!$G$106:$G$125,RANDBETWEEN(1,20)))</f>
        <v>EYES OF TWO DIFFERENT COLORS, HAIRY EARS, and CROOKED TEETH. They have TERRIBLE SCARRING, A HAWK-LIKE NOSE, A CLEFT CHIN, and THICK HAIR</v>
      </c>
      <c r="L11" s="507"/>
      <c r="M11" s="507"/>
      <c r="N11" s="507"/>
      <c r="O11" s="508"/>
      <c r="P11" s="281"/>
      <c r="Q11" s="553"/>
      <c r="R11" s="201" t="s">
        <v>2415</v>
      </c>
      <c r="S11" s="506" t="str">
        <f ca="1">CONCATENATE(INDEX('NPC''s'!$B$106:$B$125,RANDBETWEEN(1,20)),", ",INDEX('NPC''s'!$C$106:$C$117,RANDBETWEEN(1,12)),", and ",INDEX('NPC''s'!$D$106:$D$115,RANDBETWEEN(1,10)),". They have ",INDEX('NPC''s'!$H$106:$H$113,RANDBETWEEN(1,8)),", ",INDEX('NPC''s'!$E$106:$E$117,RANDBETWEEN(1,12)),", ",INDEX('NPC''s'!$F$106:$F$113,RANDBETWEEN(1,8)),", and ",INDEX('NPC''s'!$G$106:$G$125,RANDBETWEEN(1,20)))</f>
        <v>WATERY EYES, POINTY EARS, and CROOKED TEETH. They have CHUBBY CHEEKS, AN ANGULAR NOSE, A DIMPLE ON THE CHIN, and THICK HAIR</v>
      </c>
      <c r="T11" s="507"/>
      <c r="U11" s="507"/>
      <c r="V11" s="507"/>
      <c r="W11" s="508"/>
      <c r="X11" s="281"/>
    </row>
    <row r="12" spans="1:24" s="18" customFormat="1" ht="39.950000000000003" customHeight="1">
      <c r="A12" s="553"/>
      <c r="B12" s="201" t="s">
        <v>2417</v>
      </c>
      <c r="C12" s="506" t="str">
        <f ca="1">CONCATENATE(INDEX('NPC''s'!$M$106:$M$117,RANDBETWEEN(1,12)),", made of ",INDEX('NPC''s'!$N$106:$N$115,RANDBETWEEN(1,10)))</f>
        <v>A RING, made of IRON</v>
      </c>
      <c r="D12" s="507"/>
      <c r="E12" s="507"/>
      <c r="F12" s="507"/>
      <c r="G12" s="508"/>
      <c r="H12" s="281"/>
      <c r="I12" s="553"/>
      <c r="J12" s="201" t="s">
        <v>2417</v>
      </c>
      <c r="K12" s="506" t="str">
        <f ca="1">CONCATENATE(INDEX('NPC''s'!$M$106:$M$117,RANDBETWEEN(1,12)),", made of ",INDEX('NPC''s'!$N$106:$N$115,RANDBETWEEN(1,10)))</f>
        <v>SEVERAL RINGS, made of STONE</v>
      </c>
      <c r="L12" s="507"/>
      <c r="M12" s="507"/>
      <c r="N12" s="507"/>
      <c r="O12" s="508"/>
      <c r="P12" s="281"/>
      <c r="Q12" s="553"/>
      <c r="R12" s="201" t="s">
        <v>2417</v>
      </c>
      <c r="S12" s="506" t="str">
        <f ca="1">CONCATENATE(INDEX('NPC''s'!$M$106:$M$117,RANDBETWEEN(1,12)),", made of ",INDEX('NPC''s'!$N$106:$N$115,RANDBETWEEN(1,10)))</f>
        <v>SEVERAL RINGS, made of SILVER</v>
      </c>
      <c r="T12" s="507"/>
      <c r="U12" s="507"/>
      <c r="V12" s="507"/>
      <c r="W12" s="508"/>
      <c r="X12" s="281"/>
    </row>
    <row r="13" spans="1:24" s="18" customFormat="1" ht="39.950000000000003" customHeight="1">
      <c r="A13" s="553"/>
      <c r="B13" s="201" t="s">
        <v>2418</v>
      </c>
      <c r="C13" s="506" t="str">
        <f ca="1">CONCATENATE(INDEX('NPC''s'!$O$106:$O$113,RANDBETWEEN(1,8)))</f>
        <v>TATTERED AND WORN</v>
      </c>
      <c r="D13" s="507"/>
      <c r="E13" s="507"/>
      <c r="F13" s="507"/>
      <c r="G13" s="508"/>
      <c r="H13" s="281"/>
      <c r="I13" s="553"/>
      <c r="J13" s="201" t="s">
        <v>2418</v>
      </c>
      <c r="K13" s="506" t="str">
        <f ca="1">CONCATENATE(INDEX('NPC''s'!$O$106:$O$113,RANDBETWEEN(1,8)))</f>
        <v>HIGHEST QUALITY</v>
      </c>
      <c r="L13" s="507"/>
      <c r="M13" s="507"/>
      <c r="N13" s="507"/>
      <c r="O13" s="508"/>
      <c r="P13" s="281"/>
      <c r="Q13" s="553"/>
      <c r="R13" s="201" t="s">
        <v>2418</v>
      </c>
      <c r="S13" s="506" t="str">
        <f ca="1">CONCATENATE(INDEX('NPC''s'!$O$106:$O$113,RANDBETWEEN(1,8)))</f>
        <v>TATTERED AND WORN</v>
      </c>
      <c r="T13" s="507"/>
      <c r="U13" s="507"/>
      <c r="V13" s="507"/>
      <c r="W13" s="508"/>
      <c r="X13" s="281"/>
    </row>
    <row r="14" spans="1:24" s="18" customFormat="1" ht="39.950000000000003" customHeight="1">
      <c r="A14" s="553"/>
      <c r="B14" s="201" t="s">
        <v>2435</v>
      </c>
      <c r="C14" s="506" t="str">
        <f ca="1">CONCATENATE(INDEX('NPC''s'!$S$106:$S$113,RANDBETWEEN(1,8)))</f>
        <v>OUTSPOKEN CYNIC</v>
      </c>
      <c r="D14" s="507"/>
      <c r="E14" s="507"/>
      <c r="F14" s="507"/>
      <c r="G14" s="508"/>
      <c r="H14" s="281"/>
      <c r="I14" s="553"/>
      <c r="J14" s="201" t="s">
        <v>2435</v>
      </c>
      <c r="K14" s="506" t="str">
        <f ca="1">CONCATENATE(INDEX('NPC''s'!$S$106:$S$113,RANDBETWEEN(1,8)))</f>
        <v>OUTSPOKEN CYNIC</v>
      </c>
      <c r="L14" s="507"/>
      <c r="M14" s="507"/>
      <c r="N14" s="507"/>
      <c r="O14" s="508"/>
      <c r="P14" s="281"/>
      <c r="Q14" s="553"/>
      <c r="R14" s="201" t="s">
        <v>2435</v>
      </c>
      <c r="S14" s="506" t="str">
        <f ca="1">CONCATENATE(INDEX('NPC''s'!$S$106:$S$113,RANDBETWEEN(1,8)))</f>
        <v>OUTSPOKEN CYNIC</v>
      </c>
      <c r="T14" s="507"/>
      <c r="U14" s="507"/>
      <c r="V14" s="507"/>
      <c r="W14" s="508"/>
      <c r="X14" s="281"/>
    </row>
    <row r="15" spans="1:24" ht="39.950000000000003" customHeight="1">
      <c r="A15" s="553"/>
      <c r="B15" s="201" t="s">
        <v>2420</v>
      </c>
      <c r="C15" s="506" t="str">
        <f ca="1">CONCATENATE(INDEX('NPC''s'!$T$106:$T$111,RANDBETWEEN(1,6)))</f>
        <v>HALFLINGS</v>
      </c>
      <c r="D15" s="507"/>
      <c r="E15" s="507"/>
      <c r="F15" s="507"/>
      <c r="G15" s="508"/>
      <c r="I15" s="553"/>
      <c r="J15" s="201" t="s">
        <v>2420</v>
      </c>
      <c r="K15" s="506" t="str">
        <f ca="1">CONCATENATE(INDEX('NPC''s'!$T$106:$T$111,RANDBETWEEN(1,6)))</f>
        <v>HALFLINGS</v>
      </c>
      <c r="L15" s="507"/>
      <c r="M15" s="507"/>
      <c r="N15" s="507"/>
      <c r="O15" s="508"/>
      <c r="Q15" s="553"/>
      <c r="R15" s="201" t="s">
        <v>2420</v>
      </c>
      <c r="S15" s="506" t="str">
        <f ca="1">CONCATENATE(INDEX('NPC''s'!$T$106:$T$111,RANDBETWEEN(1,6)))</f>
        <v>OTHER GENDERS</v>
      </c>
      <c r="T15" s="507"/>
      <c r="U15" s="507"/>
      <c r="V15" s="507"/>
      <c r="W15" s="508"/>
    </row>
    <row r="16" spans="1:24" ht="39.950000000000003" customHeight="1" thickBot="1">
      <c r="A16" s="554"/>
      <c r="B16" s="202" t="s">
        <v>2419</v>
      </c>
      <c r="C16" s="509" t="str">
        <f ca="1">CONCATENATE("Their current mood is ",INDEX('NPC''s'!$R$106:$R$125,RANDBETWEEN(1,20)),". When calm, they are ",INDEX('NPC''s'!$P$106:$P$137,RANDBETWEEN(1,32)),", and when stressed they are ",INDEX('NPC''s'!$Q$106:$Q$137,RANDBETWEEN(1,32)))</f>
        <v>Their current mood is BORED. When calm, they are CAREFREE, and when stressed they are SCORNFUL</v>
      </c>
      <c r="D16" s="510"/>
      <c r="E16" s="510"/>
      <c r="F16" s="510"/>
      <c r="G16" s="511"/>
      <c r="I16" s="554"/>
      <c r="J16" s="202" t="s">
        <v>2419</v>
      </c>
      <c r="K16" s="509" t="str">
        <f ca="1">CONCATENATE("Their current mood is ",INDEX('NPC''s'!$R$106:$R$125,RANDBETWEEN(1,20)),". When calm, they are ",INDEX('NPC''s'!$P$106:$P$137,RANDBETWEEN(1,32)),", and when stressed they are ",INDEX('NPC''s'!$Q$106:$Q$137,RANDBETWEEN(1,32)))</f>
        <v>Their current mood is DISAGREEABLE. When calm, they are DRIVEN, and when stressed they are BELLIGERENT</v>
      </c>
      <c r="L16" s="510"/>
      <c r="M16" s="510"/>
      <c r="N16" s="510"/>
      <c r="O16" s="511"/>
      <c r="Q16" s="554"/>
      <c r="R16" s="202" t="s">
        <v>2419</v>
      </c>
      <c r="S16" s="509" t="str">
        <f ca="1">CONCATENATE("Their current mood is ",INDEX('NPC''s'!$R$106:$R$125,RANDBETWEEN(1,20)),". When calm, they are ",INDEX('NPC''s'!$P$106:$P$137,RANDBETWEEN(1,32)),", and when stressed they are ",INDEX('NPC''s'!$Q$106:$Q$137,RANDBETWEEN(1,32)))</f>
        <v>Their current mood is HAPPY. When calm, they are COMPASSIONATE, and when stressed they are BELLIGERENT</v>
      </c>
      <c r="T16" s="510"/>
      <c r="U16" s="510"/>
      <c r="V16" s="510"/>
      <c r="W16" s="511"/>
    </row>
    <row r="17" spans="1:23" s="36" customFormat="1" ht="15" customHeight="1" thickBot="1">
      <c r="A17" s="187"/>
    </row>
    <row r="18" spans="1:23" ht="39.950000000000003" customHeight="1">
      <c r="A18" s="552">
        <v>7</v>
      </c>
      <c r="B18" s="200" t="s">
        <v>2416</v>
      </c>
      <c r="C18" s="503" t="str">
        <f ca="1">CONCATENATE(INDEX('NPC''s'!$I$106:$I$115,RANDBETWEEN(1,10))," in stature, with a ",INDEX('NPC''s'!$J$106:$J$125,RANDBETWEEN(1,20))," body, and ",INDEX('NPC''s'!$K$106:$K$111,RANDBETWEEN(1,6)))</f>
        <v>SLIGHTLY ABOVE AVERAGE in stature, with a THIN AND WIRY body, and ROUGH HANDS.</v>
      </c>
      <c r="D18" s="504"/>
      <c r="E18" s="504"/>
      <c r="F18" s="504"/>
      <c r="G18" s="505"/>
      <c r="I18" s="552">
        <v>8</v>
      </c>
      <c r="J18" s="200" t="s">
        <v>2416</v>
      </c>
      <c r="K18" s="503" t="str">
        <f ca="1">CONCATENATE(INDEX('NPC''s'!$I$106:$I$115,RANDBETWEEN(1,10))," in stature, with a ",INDEX('NPC''s'!$J$106:$J$125,RANDBETWEEN(1,20))," body, and ",INDEX('NPC''s'!$K$106:$K$111,RANDBETWEEN(1,6)))</f>
        <v>SHORT in stature, with a GROTESQUELY OBESE body, and DELICATE HANDS.</v>
      </c>
      <c r="L18" s="504"/>
      <c r="M18" s="504"/>
      <c r="N18" s="504"/>
      <c r="O18" s="505"/>
      <c r="Q18" s="552">
        <v>9</v>
      </c>
      <c r="R18" s="200" t="s">
        <v>2416</v>
      </c>
      <c r="S18" s="503" t="str">
        <f ca="1">CONCATENATE(INDEX('NPC''s'!$I$106:$I$115,RANDBETWEEN(1,10))," in stature, with a ",INDEX('NPC''s'!$J$106:$J$125,RANDBETWEEN(1,20))," body, and ",INDEX('NPC''s'!$K$106:$K$111,RANDBETWEEN(1,6)))</f>
        <v>AVERAGE  in stature, with a SINEWY AND STRONG body, and SOFT HANDS.</v>
      </c>
      <c r="T18" s="504"/>
      <c r="U18" s="504"/>
      <c r="V18" s="504"/>
      <c r="W18" s="505"/>
    </row>
    <row r="19" spans="1:23" ht="39.950000000000003" customHeight="1">
      <c r="A19" s="553"/>
      <c r="B19" s="201" t="s">
        <v>2415</v>
      </c>
      <c r="C19" s="506" t="str">
        <f ca="1">CONCATENATE(INDEX('NPC''s'!$B$106:$B$125,RANDBETWEEN(1,20)),", ",INDEX('NPC''s'!$C$106:$C$117,RANDBETWEEN(1,12)),", and ",INDEX('NPC''s'!$D$106:$D$115,RANDBETWEEN(1,10)),". They have ",INDEX('NPC''s'!$H$106:$H$113,RANDBETWEEN(1,8)),", ",INDEX('NPC''s'!$E$106:$E$117,RANDBETWEEN(1,12)),", ",INDEX('NPC''s'!$F$106:$F$113,RANDBETWEEN(1,8)),", and ",INDEX('NPC''s'!$G$106:$G$125,RANDBETWEEN(1,20)))</f>
        <v>HOODED EYES, SMALL EARS, and FULL LIPS. They have TERRIBLE SCARRING, A BROKEN NOSE, A SQUARE JAW, and A SHAVED HEAD</v>
      </c>
      <c r="D19" s="507"/>
      <c r="E19" s="507"/>
      <c r="F19" s="507"/>
      <c r="G19" s="508"/>
      <c r="I19" s="553"/>
      <c r="J19" s="201" t="s">
        <v>2415</v>
      </c>
      <c r="K19" s="506" t="str">
        <f ca="1">CONCATENATE(INDEX('NPC''s'!$B$106:$B$125,RANDBETWEEN(1,20)),", ",INDEX('NPC''s'!$C$106:$C$117,RANDBETWEEN(1,12)),", and ",INDEX('NPC''s'!$D$106:$D$115,RANDBETWEEN(1,10)),". They have ",INDEX('NPC''s'!$H$106:$H$113,RANDBETWEEN(1,8)),", ",INDEX('NPC''s'!$E$106:$E$117,RANDBETWEEN(1,12)),", ",INDEX('NPC''s'!$F$106:$F$113,RANDBETWEEN(1,8)),", and ",INDEX('NPC''s'!$G$106:$G$125,RANDBETWEEN(1,20)))</f>
        <v>WILD EYES, EARS WITH IMPROBABLE TUFTS OF HAIR, and BUCK TEETH. They have CHUBBY CHEEKS, A ROUND NOSE, A SHARP JAWLINE, and AN UNUSUAL HAIRSTYLE</v>
      </c>
      <c r="L19" s="507"/>
      <c r="M19" s="507"/>
      <c r="N19" s="507"/>
      <c r="O19" s="508"/>
      <c r="Q19" s="553"/>
      <c r="R19" s="201" t="s">
        <v>2415</v>
      </c>
      <c r="S19" s="506" t="str">
        <f ca="1">CONCATENATE(INDEX('NPC''s'!$B$106:$B$125,RANDBETWEEN(1,20)),", ",INDEX('NPC''s'!$C$106:$C$117,RANDBETWEEN(1,12)),", and ",INDEX('NPC''s'!$D$106:$D$115,RANDBETWEEN(1,10)),". They have ",INDEX('NPC''s'!$H$106:$H$113,RANDBETWEEN(1,8)),", ",INDEX('NPC''s'!$E$106:$E$117,RANDBETWEEN(1,12)),", ",INDEX('NPC''s'!$F$106:$F$113,RANDBETWEEN(1,8)),", and ",INDEX('NPC''s'!$G$106:$G$125,RANDBETWEEN(1,20)))</f>
        <v>A LAZY EYE, SMALL EARS, and ONE+ FALSE TEETH. They have TIGHT, DRAWN CHEEKS, A WIDE NOSE, A ROUNDED CHIN, and GREASY HAIR</v>
      </c>
      <c r="T19" s="507"/>
      <c r="U19" s="507"/>
      <c r="V19" s="507"/>
      <c r="W19" s="508"/>
    </row>
    <row r="20" spans="1:23" ht="39.950000000000003" customHeight="1">
      <c r="A20" s="553"/>
      <c r="B20" s="201" t="s">
        <v>2417</v>
      </c>
      <c r="C20" s="506" t="str">
        <f ca="1">CONCATENATE(INDEX('NPC''s'!$M$106:$M$117,RANDBETWEEN(1,12)),", made of ",INDEX('NPC''s'!$N$106:$N$115,RANDBETWEEN(1,10)))</f>
        <v>SEVERAL RINGS, made of PEWTER</v>
      </c>
      <c r="D20" s="507"/>
      <c r="E20" s="507"/>
      <c r="F20" s="507"/>
      <c r="G20" s="508"/>
      <c r="I20" s="553"/>
      <c r="J20" s="201" t="s">
        <v>2417</v>
      </c>
      <c r="K20" s="506" t="str">
        <f ca="1">CONCATENATE(INDEX('NPC''s'!$M$106:$M$117,RANDBETWEEN(1,12)),", made of ",INDEX('NPC''s'!$N$106:$N$115,RANDBETWEEN(1,10)))</f>
        <v>AN EARING, made of LEATHER</v>
      </c>
      <c r="L20" s="507"/>
      <c r="M20" s="507"/>
      <c r="N20" s="507"/>
      <c r="O20" s="508"/>
      <c r="Q20" s="553"/>
      <c r="R20" s="201" t="s">
        <v>2417</v>
      </c>
      <c r="S20" s="506" t="str">
        <f ca="1">CONCATENATE(INDEX('NPC''s'!$M$106:$M$117,RANDBETWEEN(1,12)),", made of ",INDEX('NPC''s'!$N$106:$N$115,RANDBETWEEN(1,10)))</f>
        <v>AN EARING, made of WOOD</v>
      </c>
      <c r="T20" s="507"/>
      <c r="U20" s="507"/>
      <c r="V20" s="507"/>
      <c r="W20" s="508"/>
    </row>
    <row r="21" spans="1:23" ht="39.950000000000003" customHeight="1">
      <c r="A21" s="553"/>
      <c r="B21" s="201" t="s">
        <v>2418</v>
      </c>
      <c r="C21" s="506" t="str">
        <f ca="1">CONCATENATE(INDEX('NPC''s'!$O$106:$O$113,RANDBETWEEN(1,8)))</f>
        <v>CRISP AND NEW</v>
      </c>
      <c r="D21" s="507"/>
      <c r="E21" s="507"/>
      <c r="F21" s="507"/>
      <c r="G21" s="508"/>
      <c r="I21" s="553"/>
      <c r="J21" s="201" t="s">
        <v>2418</v>
      </c>
      <c r="K21" s="506" t="str">
        <f ca="1">CONCATENATE(INDEX('NPC''s'!$O$106:$O$113,RANDBETWEEN(1,8)))</f>
        <v>FASHIONABLE AND HIP</v>
      </c>
      <c r="L21" s="507"/>
      <c r="M21" s="507"/>
      <c r="N21" s="507"/>
      <c r="O21" s="508"/>
      <c r="Q21" s="553"/>
      <c r="R21" s="201" t="s">
        <v>2418</v>
      </c>
      <c r="S21" s="506" t="str">
        <f ca="1">CONCATENATE(INDEX('NPC''s'!$O$106:$O$113,RANDBETWEEN(1,8)))</f>
        <v>HIGHEST QUALITY</v>
      </c>
      <c r="T21" s="507"/>
      <c r="U21" s="507"/>
      <c r="V21" s="507"/>
      <c r="W21" s="508"/>
    </row>
    <row r="22" spans="1:23" ht="39.950000000000003" customHeight="1">
      <c r="A22" s="553"/>
      <c r="B22" s="201" t="s">
        <v>2435</v>
      </c>
      <c r="C22" s="506" t="str">
        <f ca="1">CONCATENATE(INDEX('NPC''s'!$S$106:$S$113,RANDBETWEEN(1,8)))</f>
        <v>CASUAL OBSERVER</v>
      </c>
      <c r="D22" s="507"/>
      <c r="E22" s="507"/>
      <c r="F22" s="507"/>
      <c r="G22" s="508"/>
      <c r="I22" s="553"/>
      <c r="J22" s="201" t="s">
        <v>2435</v>
      </c>
      <c r="K22" s="506" t="str">
        <f ca="1">CONCATENATE(INDEX('NPC''s'!$S$106:$S$113,RANDBETWEEN(1,8)))</f>
        <v>OUTSPOKEN CYNIC</v>
      </c>
      <c r="L22" s="507"/>
      <c r="M22" s="507"/>
      <c r="N22" s="507"/>
      <c r="O22" s="508"/>
      <c r="Q22" s="553"/>
      <c r="R22" s="201" t="s">
        <v>2435</v>
      </c>
      <c r="S22" s="506" t="str">
        <f ca="1">CONCATENATE(INDEX('NPC''s'!$S$106:$S$113,RANDBETWEEN(1,8)))</f>
        <v>CASUAL OBSERVER</v>
      </c>
      <c r="T22" s="507"/>
      <c r="U22" s="507"/>
      <c r="V22" s="507"/>
      <c r="W22" s="508"/>
    </row>
    <row r="23" spans="1:23" ht="39.950000000000003" customHeight="1">
      <c r="A23" s="553"/>
      <c r="B23" s="201" t="s">
        <v>2420</v>
      </c>
      <c r="C23" s="506" t="str">
        <f ca="1">CONCATENATE(INDEX('NPC''s'!$T$106:$T$111,RANDBETWEEN(1,6)))</f>
        <v>CHILDREN</v>
      </c>
      <c r="D23" s="507"/>
      <c r="E23" s="507"/>
      <c r="F23" s="507"/>
      <c r="G23" s="508"/>
      <c r="I23" s="553"/>
      <c r="J23" s="201" t="s">
        <v>2420</v>
      </c>
      <c r="K23" s="506" t="str">
        <f ca="1">CONCATENATE(INDEX('NPC''s'!$T$106:$T$111,RANDBETWEEN(1,6)))</f>
        <v>BEGGARS</v>
      </c>
      <c r="L23" s="507"/>
      <c r="M23" s="507"/>
      <c r="N23" s="507"/>
      <c r="O23" s="508"/>
      <c r="Q23" s="553"/>
      <c r="R23" s="201" t="s">
        <v>2420</v>
      </c>
      <c r="S23" s="506" t="str">
        <f ca="1">CONCATENATE(INDEX('NPC''s'!$T$106:$T$111,RANDBETWEEN(1,6)))</f>
        <v>HALFLINGS</v>
      </c>
      <c r="T23" s="507"/>
      <c r="U23" s="507"/>
      <c r="V23" s="507"/>
      <c r="W23" s="508"/>
    </row>
    <row r="24" spans="1:23" ht="39.950000000000003" customHeight="1" thickBot="1">
      <c r="A24" s="554"/>
      <c r="B24" s="202" t="s">
        <v>2419</v>
      </c>
      <c r="C24" s="509" t="str">
        <f ca="1">CONCATENATE("Their current mood is ",INDEX('NPC''s'!$R$106:$R$125,RANDBETWEEN(1,20)),". When calm, they are ",INDEX('NPC''s'!$P$106:$P$137,RANDBETWEEN(1,32)),", and when stressed they are ",INDEX('NPC''s'!$Q$106:$Q$137,RANDBETWEEN(1,32)))</f>
        <v>Their current mood is HAPPY. When calm, they are DRIVEN, and when stressed they are OBSESSIVE</v>
      </c>
      <c r="D24" s="510"/>
      <c r="E24" s="510"/>
      <c r="F24" s="510"/>
      <c r="G24" s="511"/>
      <c r="I24" s="554"/>
      <c r="J24" s="202" t="s">
        <v>2419</v>
      </c>
      <c r="K24" s="509" t="str">
        <f ca="1">CONCATENATE("Their current mood is ",INDEX('NPC''s'!$R$106:$R$125,RANDBETWEEN(1,20)),". When calm, they are ",INDEX('NPC''s'!$P$106:$P$137,RANDBETWEEN(1,32)),", and when stressed they are ",INDEX('NPC''s'!$Q$106:$Q$137,RANDBETWEEN(1,32)))</f>
        <v>Their current mood is HAPPY. When calm, they are CAUTIOUS, and when stressed they are AUTHORITARIAN</v>
      </c>
      <c r="L24" s="510"/>
      <c r="M24" s="510"/>
      <c r="N24" s="510"/>
      <c r="O24" s="511"/>
      <c r="Q24" s="554"/>
      <c r="R24" s="202" t="s">
        <v>2419</v>
      </c>
      <c r="S24" s="509" t="str">
        <f ca="1">CONCATENATE("Their current mood is ",INDEX('NPC''s'!$R$106:$R$125,RANDBETWEEN(1,20)),". When calm, they are ",INDEX('NPC''s'!$P$106:$P$137,RANDBETWEEN(1,32)),", and when stressed they are ",INDEX('NPC''s'!$Q$106:$Q$137,RANDBETWEEN(1,32)))</f>
        <v>Their current mood is HAPPY. When calm, they are UNINTERESTED, and when stressed they are BRAVE</v>
      </c>
      <c r="T24" s="510"/>
      <c r="U24" s="510"/>
      <c r="V24" s="510"/>
      <c r="W24" s="511"/>
    </row>
    <row r="25" spans="1:23" s="36" customFormat="1" ht="15" customHeight="1" thickBot="1">
      <c r="A25" s="187"/>
    </row>
    <row r="26" spans="1:23" ht="39.950000000000003" customHeight="1">
      <c r="A26" s="552">
        <v>10</v>
      </c>
      <c r="B26" s="200" t="s">
        <v>2416</v>
      </c>
      <c r="C26" s="503" t="str">
        <f ca="1">CONCATENATE(INDEX('NPC''s'!$I$106:$I$115,RANDBETWEEN(1,10))," in stature, with a ",INDEX('NPC''s'!$J$106:$J$125,RANDBETWEEN(1,20))," body, and ",INDEX('NPC''s'!$K$106:$K$111,RANDBETWEEN(1,6)))</f>
        <v>SLIGHTLY ABOVE AVERAGE in stature, with a LITHE AND LEAN body, and A LIGHT TOUCH.</v>
      </c>
      <c r="D26" s="504"/>
      <c r="E26" s="504"/>
      <c r="F26" s="504"/>
      <c r="G26" s="505"/>
      <c r="I26" s="552">
        <v>11</v>
      </c>
      <c r="J26" s="200" t="s">
        <v>2416</v>
      </c>
      <c r="K26" s="503" t="str">
        <f ca="1">CONCATENATE(INDEX('NPC''s'!$I$106:$I$115,RANDBETWEEN(1,10))," in stature, with a ",INDEX('NPC''s'!$J$106:$J$125,RANDBETWEEN(1,20))," body, and ",INDEX('NPC''s'!$K$106:$K$111,RANDBETWEEN(1,6)))</f>
        <v>SLIGHTLY ABOVE AVERAGE in stature, with a THIN AND DELICATE body, and ROUGH HANDS.</v>
      </c>
      <c r="L26" s="504"/>
      <c r="M26" s="504"/>
      <c r="N26" s="504"/>
      <c r="O26" s="505"/>
      <c r="Q26" s="552">
        <v>12</v>
      </c>
      <c r="R26" s="200" t="s">
        <v>2416</v>
      </c>
      <c r="S26" s="503" t="str">
        <f ca="1">CONCATENATE(INDEX('NPC''s'!$I$106:$I$115,RANDBETWEEN(1,10))," in stature, with a ",INDEX('NPC''s'!$J$106:$J$125,RANDBETWEEN(1,20))," body, and ",INDEX('NPC''s'!$K$106:$K$111,RANDBETWEEN(1,6)))</f>
        <v>SHORT in stature, with a FLABBY AND WEAK body, and POWERFUL HANDS.</v>
      </c>
      <c r="T26" s="504"/>
      <c r="U26" s="504"/>
      <c r="V26" s="504"/>
      <c r="W26" s="505"/>
    </row>
    <row r="27" spans="1:23" ht="39.950000000000003" customHeight="1">
      <c r="A27" s="553"/>
      <c r="B27" s="201" t="s">
        <v>2415</v>
      </c>
      <c r="C27" s="506" t="str">
        <f ca="1">CONCATENATE(INDEX('NPC''s'!$B$106:$B$125,RANDBETWEEN(1,20)),", ",INDEX('NPC''s'!$C$106:$C$117,RANDBETWEEN(1,12)),", and ",INDEX('NPC''s'!$D$106:$D$115,RANDBETWEEN(1,10)),". They have ",INDEX('NPC''s'!$H$106:$H$113,RANDBETWEEN(1,8)),", ",INDEX('NPC''s'!$E$106:$E$117,RANDBETWEEN(1,12)),", ",INDEX('NPC''s'!$F$106:$F$113,RANDBETWEEN(1,8)),", and ",INDEX('NPC''s'!$G$106:$G$125,RANDBETWEEN(1,20)))</f>
        <v>DISTANT EYES, OVER-SIZED EARS, and PURSED LIPS. They have A LARGE MOLE, A DELICATE NOSE, A ROUND JAW, and CURLY HAIR</v>
      </c>
      <c r="D27" s="507"/>
      <c r="E27" s="507"/>
      <c r="F27" s="507"/>
      <c r="G27" s="508"/>
      <c r="I27" s="553"/>
      <c r="J27" s="201" t="s">
        <v>2415</v>
      </c>
      <c r="K27" s="506" t="str">
        <f ca="1">CONCATENATE(INDEX('NPC''s'!$B$106:$B$125,RANDBETWEEN(1,20)),", ",INDEX('NPC''s'!$C$106:$C$117,RANDBETWEEN(1,12)),", and ",INDEX('NPC''s'!$D$106:$D$115,RANDBETWEEN(1,10)),". They have ",INDEX('NPC''s'!$H$106:$H$113,RANDBETWEEN(1,8)),", ",INDEX('NPC''s'!$E$106:$E$117,RANDBETWEEN(1,12)),", ",INDEX('NPC''s'!$F$106:$F$113,RANDBETWEEN(1,8)),", and ",INDEX('NPC''s'!$G$106:$G$125,RANDBETWEEN(1,20)))</f>
        <v>WILD EYES, OVER-SIZED EARS, and ROTTING TEETH. They have TIGHT, DRAWN CHEEKS, AN ANGULAR NOSE, A PRONOUNCED CHIN, and THICK HAIR</v>
      </c>
      <c r="L27" s="507"/>
      <c r="M27" s="507"/>
      <c r="N27" s="507"/>
      <c r="O27" s="508"/>
      <c r="Q27" s="553"/>
      <c r="R27" s="201" t="s">
        <v>2415</v>
      </c>
      <c r="S27" s="506" t="str">
        <f ca="1">CONCATENATE(INDEX('NPC''s'!$B$106:$B$125,RANDBETWEEN(1,20)),", ",INDEX('NPC''s'!$C$106:$C$117,RANDBETWEEN(1,12)),", and ",INDEX('NPC''s'!$D$106:$D$115,RANDBETWEEN(1,10)),". They have ",INDEX('NPC''s'!$H$106:$H$113,RANDBETWEEN(1,8)),", ",INDEX('NPC''s'!$E$106:$E$117,RANDBETWEEN(1,12)),", ",INDEX('NPC''s'!$F$106:$F$113,RANDBETWEEN(1,8)),", and ",INDEX('NPC''s'!$G$106:$G$125,RANDBETWEEN(1,20)))</f>
        <v>BRIGHT EYES, HAIRY EARS, and CROOKED TEETH. They have TERRIBLE SCARRING, A DELICATE NOSE, AN UNDERBITE, and VERY LONG HAIR</v>
      </c>
      <c r="T27" s="507"/>
      <c r="U27" s="507"/>
      <c r="V27" s="507"/>
      <c r="W27" s="508"/>
    </row>
    <row r="28" spans="1:23" ht="39.950000000000003" customHeight="1">
      <c r="A28" s="553"/>
      <c r="B28" s="201" t="s">
        <v>2417</v>
      </c>
      <c r="C28" s="506" t="str">
        <f ca="1">CONCATENATE(INDEX('NPC''s'!$M$106:$M$117,RANDBETWEEN(1,12)),", made of ",INDEX('NPC''s'!$N$106:$N$115,RANDBETWEEN(1,10)))</f>
        <v>AN ORNATE BELT, made of GOLD</v>
      </c>
      <c r="D28" s="507"/>
      <c r="E28" s="507"/>
      <c r="F28" s="507"/>
      <c r="G28" s="508"/>
      <c r="I28" s="553"/>
      <c r="J28" s="201" t="s">
        <v>2417</v>
      </c>
      <c r="K28" s="506" t="str">
        <f ca="1">CONCATENATE(INDEX('NPC''s'!$M$106:$M$117,RANDBETWEEN(1,12)),", made of ",INDEX('NPC''s'!$N$106:$N$115,RANDBETWEEN(1,10)))</f>
        <v>SEVERAL RINGS, made of HEMP</v>
      </c>
      <c r="L28" s="507"/>
      <c r="M28" s="507"/>
      <c r="N28" s="507"/>
      <c r="O28" s="508"/>
      <c r="Q28" s="553"/>
      <c r="R28" s="201" t="s">
        <v>2417</v>
      </c>
      <c r="S28" s="506" t="str">
        <f ca="1">CONCATENATE(INDEX('NPC''s'!$M$106:$M$117,RANDBETWEEN(1,12)),", made of ",INDEX('NPC''s'!$N$106:$N$115,RANDBETWEEN(1,10)))</f>
        <v>A BROOCH, made of PEWTER</v>
      </c>
      <c r="T28" s="507"/>
      <c r="U28" s="507"/>
      <c r="V28" s="507"/>
      <c r="W28" s="508"/>
    </row>
    <row r="29" spans="1:23" ht="39.950000000000003" customHeight="1">
      <c r="A29" s="553"/>
      <c r="B29" s="201" t="s">
        <v>2418</v>
      </c>
      <c r="C29" s="506" t="str">
        <f ca="1">CONCATENATE(INDEX('NPC''s'!$O$106:$O$113,RANDBETWEEN(1,8)))</f>
        <v>CRISP AND NEW</v>
      </c>
      <c r="D29" s="507"/>
      <c r="E29" s="507"/>
      <c r="F29" s="507"/>
      <c r="G29" s="508"/>
      <c r="I29" s="553"/>
      <c r="J29" s="201" t="s">
        <v>2418</v>
      </c>
      <c r="K29" s="506" t="str">
        <f ca="1">CONCATENATE(INDEX('NPC''s'!$O$106:$O$113,RANDBETWEEN(1,8)))</f>
        <v>CRISP AND NEW</v>
      </c>
      <c r="L29" s="507"/>
      <c r="M29" s="507"/>
      <c r="N29" s="507"/>
      <c r="O29" s="508"/>
      <c r="Q29" s="553"/>
      <c r="R29" s="201" t="s">
        <v>2418</v>
      </c>
      <c r="S29" s="506" t="str">
        <f ca="1">CONCATENATE(INDEX('NPC''s'!$O$106:$O$113,RANDBETWEEN(1,8)))</f>
        <v>TORN IN PLACES; MISSING BUTTONS</v>
      </c>
      <c r="T29" s="507"/>
      <c r="U29" s="507"/>
      <c r="V29" s="507"/>
      <c r="W29" s="508"/>
    </row>
    <row r="30" spans="1:23" ht="39.950000000000003" customHeight="1">
      <c r="A30" s="553"/>
      <c r="B30" s="201" t="s">
        <v>2435</v>
      </c>
      <c r="C30" s="506" t="str">
        <f ca="1">CONCATENATE(INDEX('NPC''s'!$S$106:$S$113,RANDBETWEEN(1,8)))</f>
        <v>OUTSPOKEN CYNIC</v>
      </c>
      <c r="D30" s="507"/>
      <c r="E30" s="507"/>
      <c r="F30" s="507"/>
      <c r="G30" s="508"/>
      <c r="I30" s="553"/>
      <c r="J30" s="201" t="s">
        <v>2435</v>
      </c>
      <c r="K30" s="506" t="str">
        <f ca="1">CONCATENATE(INDEX('NPC''s'!$S$106:$S$113,RANDBETWEEN(1,8)))</f>
        <v>QUIET, TRUE BELIEVER</v>
      </c>
      <c r="L30" s="507"/>
      <c r="M30" s="507"/>
      <c r="N30" s="507"/>
      <c r="O30" s="508"/>
      <c r="Q30" s="553"/>
      <c r="R30" s="201" t="s">
        <v>2435</v>
      </c>
      <c r="S30" s="506" t="str">
        <f ca="1">CONCATENATE(INDEX('NPC''s'!$S$106:$S$113,RANDBETWEEN(1,8)))</f>
        <v>QUIET, TRUE BELIEVER</v>
      </c>
      <c r="T30" s="507"/>
      <c r="U30" s="507"/>
      <c r="V30" s="507"/>
      <c r="W30" s="508"/>
    </row>
    <row r="31" spans="1:23" ht="39.950000000000003" customHeight="1">
      <c r="A31" s="553"/>
      <c r="B31" s="201" t="s">
        <v>2420</v>
      </c>
      <c r="C31" s="506" t="str">
        <f ca="1">CONCATENATE(INDEX('NPC''s'!$T$106:$T$111,RANDBETWEEN(1,6)))</f>
        <v>CHILDREN</v>
      </c>
      <c r="D31" s="507"/>
      <c r="E31" s="507"/>
      <c r="F31" s="507"/>
      <c r="G31" s="508"/>
      <c r="I31" s="553"/>
      <c r="J31" s="201" t="s">
        <v>2420</v>
      </c>
      <c r="K31" s="506" t="str">
        <f ca="1">CONCATENATE(INDEX('NPC''s'!$T$106:$T$111,RANDBETWEEN(1,6)))</f>
        <v>FISHERS</v>
      </c>
      <c r="L31" s="507"/>
      <c r="M31" s="507"/>
      <c r="N31" s="507"/>
      <c r="O31" s="508"/>
      <c r="Q31" s="553"/>
      <c r="R31" s="201" t="s">
        <v>2420</v>
      </c>
      <c r="S31" s="506" t="str">
        <f ca="1">CONCATENATE(INDEX('NPC''s'!$T$106:$T$111,RANDBETWEEN(1,6)))</f>
        <v>FISHERS</v>
      </c>
      <c r="T31" s="507"/>
      <c r="U31" s="507"/>
      <c r="V31" s="507"/>
      <c r="W31" s="508"/>
    </row>
    <row r="32" spans="1:23" ht="39.950000000000003" customHeight="1" thickBot="1">
      <c r="A32" s="554"/>
      <c r="B32" s="202" t="s">
        <v>2419</v>
      </c>
      <c r="C32" s="509" t="str">
        <f ca="1">CONCATENATE("Their current mood is ",INDEX('NPC''s'!$R$106:$R$125,RANDBETWEEN(1,20)),". When calm, they are ",INDEX('NPC''s'!$P$106:$P$137,RANDBETWEEN(1,32)),", and when stressed they are ",INDEX('NPC''s'!$Q$106:$Q$137,RANDBETWEEN(1,32)))</f>
        <v>Their current mood is GLOOMY. When calm, they are FUN-LOVING, and when stressed they are MANIPULATIVE</v>
      </c>
      <c r="D32" s="510"/>
      <c r="E32" s="510"/>
      <c r="F32" s="510"/>
      <c r="G32" s="511"/>
      <c r="I32" s="554"/>
      <c r="J32" s="202" t="s">
        <v>2419</v>
      </c>
      <c r="K32" s="509" t="str">
        <f ca="1">CONCATENATE("Their current mood is ",INDEX('NPC''s'!$R$106:$R$125,RANDBETWEEN(1,20)),". When calm, they are ",INDEX('NPC''s'!$P$106:$P$137,RANDBETWEEN(1,32)),", and when stressed they are ",INDEX('NPC''s'!$Q$106:$Q$137,RANDBETWEEN(1,32)))</f>
        <v>Their current mood is TIRED. When calm, they are EAGER, and when stressed they are PUSHY</v>
      </c>
      <c r="L32" s="510"/>
      <c r="M32" s="510"/>
      <c r="N32" s="510"/>
      <c r="O32" s="511"/>
      <c r="Q32" s="554"/>
      <c r="R32" s="202" t="s">
        <v>2419</v>
      </c>
      <c r="S32" s="509" t="str">
        <f ca="1">CONCATENATE("Their current mood is ",INDEX('NPC''s'!$R$106:$R$125,RANDBETWEEN(1,20)),". When calm, they are ",INDEX('NPC''s'!$P$106:$P$137,RANDBETWEEN(1,32)),", and when stressed they are ",INDEX('NPC''s'!$Q$106:$Q$137,RANDBETWEEN(1,32)))</f>
        <v>Their current mood is AGREEABLE. When calm, they are CAREFREE, and when stressed they are COURAGEOUS</v>
      </c>
      <c r="T32" s="510"/>
      <c r="U32" s="510"/>
      <c r="V32" s="510"/>
      <c r="W32" s="511"/>
    </row>
    <row r="33" spans="1:23" s="36" customFormat="1" ht="15" customHeight="1" thickBot="1">
      <c r="A33" s="187"/>
    </row>
    <row r="34" spans="1:23" ht="39.950000000000003" customHeight="1">
      <c r="A34" s="552">
        <v>13</v>
      </c>
      <c r="B34" s="200" t="s">
        <v>2416</v>
      </c>
      <c r="C34" s="503" t="str">
        <f ca="1">CONCATENATE(INDEX('NPC''s'!$I$106:$I$115,RANDBETWEEN(1,10))," in stature, with a ",INDEX('NPC''s'!$J$106:$J$125,RANDBETWEEN(1,20))," body, and ",INDEX('NPC''s'!$K$106:$K$111,RANDBETWEEN(1,6)))</f>
        <v>AVERAGE  in stature, with a FLABBY AND WEAK body, and A HEAVY TOUCH.</v>
      </c>
      <c r="D34" s="504"/>
      <c r="E34" s="504"/>
      <c r="F34" s="504"/>
      <c r="G34" s="505"/>
      <c r="I34" s="552">
        <v>14</v>
      </c>
      <c r="J34" s="200" t="s">
        <v>2416</v>
      </c>
      <c r="K34" s="503" t="str">
        <f ca="1">CONCATENATE(INDEX('NPC''s'!$I$106:$I$115,RANDBETWEEN(1,10))," in stature, with a ",INDEX('NPC''s'!$J$106:$J$125,RANDBETWEEN(1,20))," body, and ",INDEX('NPC''s'!$K$106:$K$111,RANDBETWEEN(1,6)))</f>
        <v>UNUSUALLY SHORT in stature, with a BIG AND BROAD body, and DELICATE HANDS.</v>
      </c>
      <c r="L34" s="504"/>
      <c r="M34" s="504"/>
      <c r="N34" s="504"/>
      <c r="O34" s="505"/>
      <c r="Q34" s="552">
        <v>15</v>
      </c>
      <c r="R34" s="200" t="s">
        <v>2416</v>
      </c>
      <c r="S34" s="503" t="str">
        <f ca="1">CONCATENATE(INDEX('NPC''s'!$I$106:$I$115,RANDBETWEEN(1,10))," in stature, with a ",INDEX('NPC''s'!$J$106:$J$125,RANDBETWEEN(1,20))," body, and ",INDEX('NPC''s'!$K$106:$K$111,RANDBETWEEN(1,6)))</f>
        <v>AVERAGE  in stature, with a OF AVERAGE BUILD body, and ROUGH HANDS.</v>
      </c>
      <c r="T34" s="504"/>
      <c r="U34" s="504"/>
      <c r="V34" s="504"/>
      <c r="W34" s="505"/>
    </row>
    <row r="35" spans="1:23" ht="39.950000000000003" customHeight="1">
      <c r="A35" s="553"/>
      <c r="B35" s="201" t="s">
        <v>2415</v>
      </c>
      <c r="C35" s="506" t="str">
        <f ca="1">CONCATENATE(INDEX('NPC''s'!$B$106:$B$125,RANDBETWEEN(1,20)),", ",INDEX('NPC''s'!$C$106:$C$117,RANDBETWEEN(1,12)),", and ",INDEX('NPC''s'!$D$106:$D$115,RANDBETWEEN(1,10)),". They have ",INDEX('NPC''s'!$H$106:$H$113,RANDBETWEEN(1,8)),", ",INDEX('NPC''s'!$E$106:$E$117,RANDBETWEEN(1,12)),", ",INDEX('NPC''s'!$F$106:$F$113,RANDBETWEEN(1,8)),", and ",INDEX('NPC''s'!$G$106:$G$125,RANDBETWEEN(1,20)))</f>
        <v>SLEEPY EYES, HAIRY EARS, and PURSED LIPS. They have FRECKLES, A BROAD NOSE, A CLEFT CHIN, and THICK HAIR</v>
      </c>
      <c r="D35" s="507"/>
      <c r="E35" s="507"/>
      <c r="F35" s="507"/>
      <c r="G35" s="508"/>
      <c r="I35" s="553"/>
      <c r="J35" s="201" t="s">
        <v>2415</v>
      </c>
      <c r="K35" s="506" t="str">
        <f ca="1">CONCATENATE(INDEX('NPC''s'!$B$106:$B$125,RANDBETWEEN(1,20)),", ",INDEX('NPC''s'!$C$106:$C$117,RANDBETWEEN(1,12)),", and ",INDEX('NPC''s'!$D$106:$D$115,RANDBETWEEN(1,10)),". They have ",INDEX('NPC''s'!$H$106:$H$113,RANDBETWEEN(1,8)),", ",INDEX('NPC''s'!$E$106:$E$117,RANDBETWEEN(1,12)),", ",INDEX('NPC''s'!$F$106:$F$113,RANDBETWEEN(1,8)),", and ",INDEX('NPC''s'!$G$106:$G$125,RANDBETWEEN(1,20)))</f>
        <v>EYES OF TWO DIFFERENT COLORS, OVER-SIZED EARS, and FULL LIPS. They have CHUBBY CHEEKS, A ROUND NOSE, A SHARP JAWLINE, and SHORT-CROPPED HAIR</v>
      </c>
      <c r="L35" s="507"/>
      <c r="M35" s="507"/>
      <c r="N35" s="507"/>
      <c r="O35" s="508"/>
      <c r="Q35" s="553"/>
      <c r="R35" s="201" t="s">
        <v>2415</v>
      </c>
      <c r="S35" s="506" t="str">
        <f ca="1">CONCATENATE(INDEX('NPC''s'!$B$106:$B$125,RANDBETWEEN(1,20)),", ",INDEX('NPC''s'!$C$106:$C$117,RANDBETWEEN(1,12)),", and ",INDEX('NPC''s'!$D$106:$D$115,RANDBETWEEN(1,10)),". They have ",INDEX('NPC''s'!$H$106:$H$113,RANDBETWEEN(1,8)),", ",INDEX('NPC''s'!$E$106:$E$117,RANDBETWEEN(1,12)),", ",INDEX('NPC''s'!$F$106:$F$113,RANDBETWEEN(1,8)),", and ",INDEX('NPC''s'!$G$106:$G$125,RANDBETWEEN(1,20)))</f>
        <v>A LAZY EYE, UNEVEN EARS, and THEIR MOUTH HANGS OPEN. They have A BEAUTY MARK, A NARROW NOSE, AN UNDERBITE, and WISPY HAIR</v>
      </c>
      <c r="T35" s="507"/>
      <c r="U35" s="507"/>
      <c r="V35" s="507"/>
      <c r="W35" s="508"/>
    </row>
    <row r="36" spans="1:23" ht="39.950000000000003" customHeight="1">
      <c r="A36" s="553"/>
      <c r="B36" s="201" t="s">
        <v>2417</v>
      </c>
      <c r="C36" s="506" t="str">
        <f ca="1">CONCATENATE(INDEX('NPC''s'!$M$106:$M$117,RANDBETWEEN(1,12)),", made of ",INDEX('NPC''s'!$N$106:$N$115,RANDBETWEEN(1,10)))</f>
        <v>A LARGE CHAIN AROUND NECK, made of GOLD</v>
      </c>
      <c r="D36" s="507"/>
      <c r="E36" s="507"/>
      <c r="F36" s="507"/>
      <c r="G36" s="508"/>
      <c r="I36" s="553"/>
      <c r="J36" s="201" t="s">
        <v>2417</v>
      </c>
      <c r="K36" s="506" t="str">
        <f ca="1">CONCATENATE(INDEX('NPC''s'!$M$106:$M$117,RANDBETWEEN(1,12)),", made of ",INDEX('NPC''s'!$N$106:$N$115,RANDBETWEEN(1,10)))</f>
        <v>A BROOCH, made of STONE</v>
      </c>
      <c r="L36" s="507"/>
      <c r="M36" s="507"/>
      <c r="N36" s="507"/>
      <c r="O36" s="508"/>
      <c r="Q36" s="553"/>
      <c r="R36" s="201" t="s">
        <v>2417</v>
      </c>
      <c r="S36" s="506" t="str">
        <f ca="1">CONCATENATE(INDEX('NPC''s'!$M$106:$M$117,RANDBETWEEN(1,12)),", made of ",INDEX('NPC''s'!$N$106:$N$115,RANDBETWEEN(1,10)))</f>
        <v>AN EARING, made of IRON</v>
      </c>
      <c r="T36" s="507"/>
      <c r="U36" s="507"/>
      <c r="V36" s="507"/>
      <c r="W36" s="508"/>
    </row>
    <row r="37" spans="1:23" ht="39.950000000000003" customHeight="1">
      <c r="A37" s="553"/>
      <c r="B37" s="201" t="s">
        <v>2418</v>
      </c>
      <c r="C37" s="506" t="str">
        <f ca="1">CONCATENATE(INDEX('NPC''s'!$O$106:$O$113,RANDBETWEEN(1,8)))</f>
        <v>TORN IN PLACES; MISSING BUTTONS</v>
      </c>
      <c r="D37" s="507"/>
      <c r="E37" s="507"/>
      <c r="F37" s="507"/>
      <c r="G37" s="508"/>
      <c r="I37" s="553"/>
      <c r="J37" s="201" t="s">
        <v>2418</v>
      </c>
      <c r="K37" s="506" t="str">
        <f ca="1">CONCATENATE(INDEX('NPC''s'!$O$106:$O$113,RANDBETWEEN(1,8)))</f>
        <v>FADED, BUT GOOD CONDITION</v>
      </c>
      <c r="L37" s="507"/>
      <c r="M37" s="507"/>
      <c r="N37" s="507"/>
      <c r="O37" s="508"/>
      <c r="Q37" s="553"/>
      <c r="R37" s="201" t="s">
        <v>2418</v>
      </c>
      <c r="S37" s="506" t="str">
        <f ca="1">CONCATENATE(INDEX('NPC''s'!$O$106:$O$113,RANDBETWEEN(1,8)))</f>
        <v>A BIT OLD-FASHIONED</v>
      </c>
      <c r="T37" s="507"/>
      <c r="U37" s="507"/>
      <c r="V37" s="507"/>
      <c r="W37" s="508"/>
    </row>
    <row r="38" spans="1:23" ht="39.950000000000003" customHeight="1">
      <c r="A38" s="553"/>
      <c r="B38" s="201" t="s">
        <v>2435</v>
      </c>
      <c r="C38" s="506" t="str">
        <f ca="1">CONCATENATE(INDEX('NPC''s'!$S$106:$S$113,RANDBETWEEN(1,8)))</f>
        <v>OUTSPOKEN CYNIC</v>
      </c>
      <c r="D38" s="507"/>
      <c r="E38" s="507"/>
      <c r="F38" s="507"/>
      <c r="G38" s="508"/>
      <c r="I38" s="553"/>
      <c r="J38" s="201" t="s">
        <v>2435</v>
      </c>
      <c r="K38" s="506" t="str">
        <f ca="1">CONCATENATE(INDEX('NPC''s'!$S$106:$S$113,RANDBETWEEN(1,8)))</f>
        <v>OUTSPOKEN CYNIC</v>
      </c>
      <c r="L38" s="507"/>
      <c r="M38" s="507"/>
      <c r="N38" s="507"/>
      <c r="O38" s="508"/>
      <c r="Q38" s="553"/>
      <c r="R38" s="201" t="s">
        <v>2435</v>
      </c>
      <c r="S38" s="506" t="str">
        <f ca="1">CONCATENATE(INDEX('NPC''s'!$S$106:$S$113,RANDBETWEEN(1,8)))</f>
        <v>FANATICAL TRUE BELIEVER</v>
      </c>
      <c r="T38" s="507"/>
      <c r="U38" s="507"/>
      <c r="V38" s="507"/>
      <c r="W38" s="508"/>
    </row>
    <row r="39" spans="1:23" ht="39.950000000000003" customHeight="1">
      <c r="A39" s="553"/>
      <c r="B39" s="201" t="s">
        <v>2420</v>
      </c>
      <c r="C39" s="506" t="str">
        <f ca="1">CONCATENATE(INDEX('NPC''s'!$T$106:$T$111,RANDBETWEEN(1,6)))</f>
        <v>BEGGARS</v>
      </c>
      <c r="D39" s="507"/>
      <c r="E39" s="507"/>
      <c r="F39" s="507"/>
      <c r="G39" s="508"/>
      <c r="I39" s="553"/>
      <c r="J39" s="201" t="s">
        <v>2420</v>
      </c>
      <c r="K39" s="506" t="str">
        <f ca="1">CONCATENATE(INDEX('NPC''s'!$T$106:$T$111,RANDBETWEEN(1,6)))</f>
        <v>BEGGARS</v>
      </c>
      <c r="L39" s="507"/>
      <c r="M39" s="507"/>
      <c r="N39" s="507"/>
      <c r="O39" s="508"/>
      <c r="Q39" s="553"/>
      <c r="R39" s="201" t="s">
        <v>2420</v>
      </c>
      <c r="S39" s="506" t="str">
        <f ca="1">CONCATENATE(INDEX('NPC''s'!$T$106:$T$111,RANDBETWEEN(1,6)))</f>
        <v>OTHER GENDERS</v>
      </c>
      <c r="T39" s="507"/>
      <c r="U39" s="507"/>
      <c r="V39" s="507"/>
      <c r="W39" s="508"/>
    </row>
    <row r="40" spans="1:23" ht="39.950000000000003" customHeight="1" thickBot="1">
      <c r="A40" s="554"/>
      <c r="B40" s="202" t="s">
        <v>2419</v>
      </c>
      <c r="C40" s="509" t="str">
        <f ca="1">CONCATENATE("Their current mood is ",INDEX('NPC''s'!$R$106:$R$125,RANDBETWEEN(1,20)),". When calm, they are ",INDEX('NPC''s'!$P$106:$P$137,RANDBETWEEN(1,32)),", and when stressed they are ",INDEX('NPC''s'!$Q$106:$Q$137,RANDBETWEEN(1,32)))</f>
        <v>Their current mood is FRIENDLY. When calm, they are ARTISTIC, and when stressed they are COWARDLY</v>
      </c>
      <c r="D40" s="510"/>
      <c r="E40" s="510"/>
      <c r="F40" s="510"/>
      <c r="G40" s="511"/>
      <c r="I40" s="554"/>
      <c r="J40" s="202" t="s">
        <v>2419</v>
      </c>
      <c r="K40" s="509" t="str">
        <f ca="1">CONCATENATE("Their current mood is ",INDEX('NPC''s'!$R$106:$R$125,RANDBETWEEN(1,20)),". When calm, they are ",INDEX('NPC''s'!$P$106:$P$137,RANDBETWEEN(1,32)),", and when stressed they are ",INDEX('NPC''s'!$Q$106:$Q$137,RANDBETWEEN(1,32)))</f>
        <v>Their current mood is CURIOUS. When calm, they are FUNNY, and when stressed they are PUSHY</v>
      </c>
      <c r="L40" s="510"/>
      <c r="M40" s="510"/>
      <c r="N40" s="510"/>
      <c r="O40" s="511"/>
      <c r="Q40" s="554"/>
      <c r="R40" s="202" t="s">
        <v>2419</v>
      </c>
      <c r="S40" s="509" t="str">
        <f ca="1">CONCATENATE("Their current mood is ",INDEX('NPC''s'!$R$106:$R$125,RANDBETWEEN(1,20)),". When calm, they are ",INDEX('NPC''s'!$P$106:$P$137,RANDBETWEEN(1,32)),", and when stressed they are ",INDEX('NPC''s'!$Q$106:$Q$137,RANDBETWEEN(1,32)))</f>
        <v>Their current mood is HAPPY. When calm, they are BOASTFUL, and when stressed they are DETERMINED</v>
      </c>
      <c r="T40" s="510"/>
      <c r="U40" s="510"/>
      <c r="V40" s="510"/>
      <c r="W40" s="511"/>
    </row>
    <row r="41" spans="1:23" s="36" customFormat="1" ht="15" customHeight="1" thickBot="1">
      <c r="A41" s="187"/>
    </row>
    <row r="42" spans="1:23" ht="39.950000000000003" customHeight="1">
      <c r="A42" s="552">
        <v>16</v>
      </c>
      <c r="B42" s="200" t="s">
        <v>2416</v>
      </c>
      <c r="C42" s="503" t="str">
        <f ca="1">CONCATENATE(INDEX('NPC''s'!$I$106:$I$115,RANDBETWEEN(1,10))," in stature, with a ",INDEX('NPC''s'!$J$106:$J$125,RANDBETWEEN(1,20))," body, and ",INDEX('NPC''s'!$K$106:$K$111,RANDBETWEEN(1,6)))</f>
        <v>AVERAGE  in stature, with a THIN AND DELICATE body, and A LIGHT TOUCH.</v>
      </c>
      <c r="D42" s="504"/>
      <c r="E42" s="504"/>
      <c r="F42" s="504"/>
      <c r="G42" s="505"/>
      <c r="I42" s="552">
        <v>17</v>
      </c>
      <c r="J42" s="200" t="s">
        <v>2416</v>
      </c>
      <c r="K42" s="503" t="str">
        <f ca="1">CONCATENATE(INDEX('NPC''s'!$I$106:$I$115,RANDBETWEEN(1,10))," in stature, with a ",INDEX('NPC''s'!$J$106:$J$125,RANDBETWEEN(1,20))," body, and ",INDEX('NPC''s'!$K$106:$K$111,RANDBETWEEN(1,6)))</f>
        <v>AVERAGE  in stature, with a WIDE AND PONDEROUS body, and A LIGHT TOUCH.</v>
      </c>
      <c r="L42" s="504"/>
      <c r="M42" s="504"/>
      <c r="N42" s="504"/>
      <c r="O42" s="505"/>
      <c r="Q42" s="552">
        <v>18</v>
      </c>
      <c r="R42" s="200" t="s">
        <v>2416</v>
      </c>
      <c r="S42" s="503" t="str">
        <f ca="1">CONCATENATE(INDEX('NPC''s'!$I$106:$I$115,RANDBETWEEN(1,10))," in stature, with a ",INDEX('NPC''s'!$J$106:$J$125,RANDBETWEEN(1,20))," body, and ",INDEX('NPC''s'!$K$106:$K$111,RANDBETWEEN(1,6)))</f>
        <v>SLIGHTLY ABOVE AVERAGE in stature, with a THIN AND PETITE body, and DELICATE HANDS.</v>
      </c>
      <c r="T42" s="504"/>
      <c r="U42" s="504"/>
      <c r="V42" s="504"/>
      <c r="W42" s="505"/>
    </row>
    <row r="43" spans="1:23" ht="39.950000000000003" customHeight="1">
      <c r="A43" s="553"/>
      <c r="B43" s="201" t="s">
        <v>2415</v>
      </c>
      <c r="C43" s="506" t="str">
        <f ca="1">CONCATENATE(INDEX('NPC''s'!$B$106:$B$125,RANDBETWEEN(1,20)),", ",INDEX('NPC''s'!$C$106:$C$117,RANDBETWEEN(1,12)),", and ",INDEX('NPC''s'!$D$106:$D$115,RANDBETWEEN(1,10)),". They have ",INDEX('NPC''s'!$H$106:$H$113,RANDBETWEEN(1,8)),", ",INDEX('NPC''s'!$E$106:$E$117,RANDBETWEEN(1,12)),", ",INDEX('NPC''s'!$F$106:$F$113,RANDBETWEEN(1,8)),", and ",INDEX('NPC''s'!$G$106:$G$125,RANDBETWEEN(1,20)))</f>
        <v>COLD EYES, OVER-SIZED EARS, and THEIR MOUTH HANGS OPEN. They have TERRIBLE SCARRING, A NARROW NOSE, AN UNDERBITE, and WIRY HAIR</v>
      </c>
      <c r="D43" s="507"/>
      <c r="E43" s="507"/>
      <c r="F43" s="507"/>
      <c r="G43" s="508"/>
      <c r="I43" s="553"/>
      <c r="J43" s="201" t="s">
        <v>2415</v>
      </c>
      <c r="K43" s="506" t="str">
        <f ca="1">CONCATENATE(INDEX('NPC''s'!$B$106:$B$125,RANDBETWEEN(1,20)),", ",INDEX('NPC''s'!$C$106:$C$117,RANDBETWEEN(1,12)),", and ",INDEX('NPC''s'!$D$106:$D$115,RANDBETWEEN(1,10)),". They have ",INDEX('NPC''s'!$H$106:$H$113,RANDBETWEEN(1,8)),", ",INDEX('NPC''s'!$E$106:$E$117,RANDBETWEEN(1,12)),", ",INDEX('NPC''s'!$F$106:$F$113,RANDBETWEEN(1,8)),", and ",INDEX('NPC''s'!$G$106:$G$125,RANDBETWEEN(1,20)))</f>
        <v>COLD EYES, SHORT EAR LOBES, and BROKEN/MISSING TEETH. They have AN UNPLEASANT POSTULE, A WIDE NOSE, AN UNDERBITE, and LUSH HAIR</v>
      </c>
      <c r="L43" s="507"/>
      <c r="M43" s="507"/>
      <c r="N43" s="507"/>
      <c r="O43" s="508"/>
      <c r="Q43" s="553"/>
      <c r="R43" s="201" t="s">
        <v>2415</v>
      </c>
      <c r="S43" s="506" t="str">
        <f ca="1">CONCATENATE(INDEX('NPC''s'!$B$106:$B$125,RANDBETWEEN(1,20)),", ",INDEX('NPC''s'!$C$106:$C$117,RANDBETWEEN(1,12)),", and ",INDEX('NPC''s'!$D$106:$D$115,RANDBETWEEN(1,10)),". They have ",INDEX('NPC''s'!$H$106:$H$113,RANDBETWEEN(1,8)),", ",INDEX('NPC''s'!$E$106:$E$117,RANDBETWEEN(1,12)),", ",INDEX('NPC''s'!$F$106:$F$113,RANDBETWEEN(1,8)),", and ",INDEX('NPC''s'!$G$106:$G$125,RANDBETWEEN(1,20)))</f>
        <v>SMILING EYES, CAULIFLOWER EARS, and ROTTING TEETH. They have A BEAUTY MARK, A NARROW NOSE, A SHARP JAWLINE, and VERY LONG HAIR</v>
      </c>
      <c r="T43" s="507"/>
      <c r="U43" s="507"/>
      <c r="V43" s="507"/>
      <c r="W43" s="508"/>
    </row>
    <row r="44" spans="1:23" ht="39.950000000000003" customHeight="1">
      <c r="A44" s="553"/>
      <c r="B44" s="201" t="s">
        <v>2417</v>
      </c>
      <c r="C44" s="506" t="str">
        <f ca="1">CONCATENATE(INDEX('NPC''s'!$M$106:$M$117,RANDBETWEEN(1,12)),", made of ",INDEX('NPC''s'!$N$106:$N$115,RANDBETWEEN(1,10)))</f>
        <v>A NOSE RING, made of GOLD</v>
      </c>
      <c r="D44" s="507"/>
      <c r="E44" s="507"/>
      <c r="F44" s="507"/>
      <c r="G44" s="508"/>
      <c r="I44" s="553"/>
      <c r="J44" s="201" t="s">
        <v>2417</v>
      </c>
      <c r="K44" s="506" t="str">
        <f ca="1">CONCATENATE(INDEX('NPC''s'!$M$106:$M$117,RANDBETWEEN(1,12)),", made of ",INDEX('NPC''s'!$N$106:$N$115,RANDBETWEEN(1,10)))</f>
        <v>AN EARING, made of WOOD</v>
      </c>
      <c r="L44" s="507"/>
      <c r="M44" s="507"/>
      <c r="N44" s="507"/>
      <c r="O44" s="508"/>
      <c r="Q44" s="553"/>
      <c r="R44" s="201" t="s">
        <v>2417</v>
      </c>
      <c r="S44" s="506" t="str">
        <f ca="1">CONCATENATE(INDEX('NPC''s'!$M$106:$M$117,RANDBETWEEN(1,12)),", made of ",INDEX('NPC''s'!$N$106:$N$115,RANDBETWEEN(1,10)))</f>
        <v>TWO EARINGS, made of IRON</v>
      </c>
      <c r="T44" s="507"/>
      <c r="U44" s="507"/>
      <c r="V44" s="507"/>
      <c r="W44" s="508"/>
    </row>
    <row r="45" spans="1:23" ht="39.950000000000003" customHeight="1">
      <c r="A45" s="553"/>
      <c r="B45" s="201" t="s">
        <v>2418</v>
      </c>
      <c r="C45" s="506" t="str">
        <f ca="1">CONCATENATE(INDEX('NPC''s'!$O$106:$O$113,RANDBETWEEN(1,8)))</f>
        <v>FASHIONABLE AND HIP</v>
      </c>
      <c r="D45" s="507"/>
      <c r="E45" s="507"/>
      <c r="F45" s="507"/>
      <c r="G45" s="508"/>
      <c r="I45" s="553"/>
      <c r="J45" s="201" t="s">
        <v>2418</v>
      </c>
      <c r="K45" s="506" t="str">
        <f ca="1">CONCATENATE(INDEX('NPC''s'!$O$106:$O$113,RANDBETWEEN(1,8)))</f>
        <v>FADED, BUT GOOD CONDITION</v>
      </c>
      <c r="L45" s="507"/>
      <c r="M45" s="507"/>
      <c r="N45" s="507"/>
      <c r="O45" s="508"/>
      <c r="Q45" s="553"/>
      <c r="R45" s="201" t="s">
        <v>2418</v>
      </c>
      <c r="S45" s="506" t="str">
        <f ca="1">CONCATENATE(INDEX('NPC''s'!$O$106:$O$113,RANDBETWEEN(1,8)))</f>
        <v>A BIT OLD-FASHIONED</v>
      </c>
      <c r="T45" s="507"/>
      <c r="U45" s="507"/>
      <c r="V45" s="507"/>
      <c r="W45" s="508"/>
    </row>
    <row r="46" spans="1:23" ht="39.950000000000003" customHeight="1">
      <c r="A46" s="553"/>
      <c r="B46" s="201" t="s">
        <v>2435</v>
      </c>
      <c r="C46" s="506" t="str">
        <f ca="1">CONCATENATE(INDEX('NPC''s'!$S$106:$S$113,RANDBETWEEN(1,8)))</f>
        <v>QUIET, TRUE BELIEVER</v>
      </c>
      <c r="D46" s="507"/>
      <c r="E46" s="507"/>
      <c r="F46" s="507"/>
      <c r="G46" s="508"/>
      <c r="I46" s="553"/>
      <c r="J46" s="201" t="s">
        <v>2435</v>
      </c>
      <c r="K46" s="506" t="str">
        <f ca="1">CONCATENATE(INDEX('NPC''s'!$S$106:$S$113,RANDBETWEEN(1,8)))</f>
        <v>FANATICAL TRUE BELIEVER</v>
      </c>
      <c r="L46" s="507"/>
      <c r="M46" s="507"/>
      <c r="N46" s="507"/>
      <c r="O46" s="508"/>
      <c r="Q46" s="553"/>
      <c r="R46" s="201" t="s">
        <v>2435</v>
      </c>
      <c r="S46" s="506" t="str">
        <f ca="1">CONCATENATE(INDEX('NPC''s'!$S$106:$S$113,RANDBETWEEN(1,8)))</f>
        <v>BROKEN HERETIC</v>
      </c>
      <c r="T46" s="507"/>
      <c r="U46" s="507"/>
      <c r="V46" s="507"/>
      <c r="W46" s="508"/>
    </row>
    <row r="47" spans="1:23" ht="39.950000000000003" customHeight="1">
      <c r="A47" s="553"/>
      <c r="B47" s="201" t="s">
        <v>2420</v>
      </c>
      <c r="C47" s="506" t="str">
        <f ca="1">CONCATENATE(INDEX('NPC''s'!$T$106:$T$111,RANDBETWEEN(1,6)))</f>
        <v>RULING/AUTHORITY FIGURES</v>
      </c>
      <c r="D47" s="507"/>
      <c r="E47" s="507"/>
      <c r="F47" s="507"/>
      <c r="G47" s="508"/>
      <c r="I47" s="553"/>
      <c r="J47" s="201" t="s">
        <v>2420</v>
      </c>
      <c r="K47" s="506" t="str">
        <f ca="1">CONCATENATE(INDEX('NPC''s'!$T$106:$T$111,RANDBETWEEN(1,6)))</f>
        <v>FISHERS</v>
      </c>
      <c r="L47" s="507"/>
      <c r="M47" s="507"/>
      <c r="N47" s="507"/>
      <c r="O47" s="508"/>
      <c r="Q47" s="553"/>
      <c r="R47" s="201" t="s">
        <v>2420</v>
      </c>
      <c r="S47" s="506" t="str">
        <f ca="1">CONCATENATE(INDEX('NPC''s'!$T$106:$T$111,RANDBETWEEN(1,6)))</f>
        <v>RULING/AUTHORITY FIGURES</v>
      </c>
      <c r="T47" s="507"/>
      <c r="U47" s="507"/>
      <c r="V47" s="507"/>
      <c r="W47" s="508"/>
    </row>
    <row r="48" spans="1:23" ht="39.950000000000003" customHeight="1" thickBot="1">
      <c r="A48" s="554"/>
      <c r="B48" s="202" t="s">
        <v>2419</v>
      </c>
      <c r="C48" s="509" t="str">
        <f ca="1">CONCATENATE("Their current mood is ",INDEX('NPC''s'!$R$106:$R$125,RANDBETWEEN(1,20)),". When calm, they are ",INDEX('NPC''s'!$P$106:$P$137,RANDBETWEEN(1,32)),", and when stressed they are ",INDEX('NPC''s'!$Q$106:$Q$137,RANDBETWEEN(1,32)))</f>
        <v>Their current mood is AGREEABLE. When calm, they are DOUR, and when stressed they are COWARDLY</v>
      </c>
      <c r="D48" s="510"/>
      <c r="E48" s="510"/>
      <c r="F48" s="510"/>
      <c r="G48" s="511"/>
      <c r="I48" s="554"/>
      <c r="J48" s="202" t="s">
        <v>2419</v>
      </c>
      <c r="K48" s="509" t="str">
        <f ca="1">CONCATENATE("Their current mood is ",INDEX('NPC''s'!$R$106:$R$125,RANDBETWEEN(1,20)),". When calm, they are ",INDEX('NPC''s'!$P$106:$P$137,RANDBETWEEN(1,32)),", and when stressed they are ",INDEX('NPC''s'!$Q$106:$Q$137,RANDBETWEEN(1,32)))</f>
        <v>Their current mood is AGREEABLE. When calm, they are SOPHISTICATED, and when stressed they are GLUTTONOUS</v>
      </c>
      <c r="L48" s="510"/>
      <c r="M48" s="510"/>
      <c r="N48" s="510"/>
      <c r="O48" s="511"/>
      <c r="Q48" s="554"/>
      <c r="R48" s="202" t="s">
        <v>2419</v>
      </c>
      <c r="S48" s="509" t="str">
        <f ca="1">CONCATENATE("Their current mood is ",INDEX('NPC''s'!$R$106:$R$125,RANDBETWEEN(1,20)),". When calm, they are ",INDEX('NPC''s'!$P$106:$P$137,RANDBETWEEN(1,32)),", and when stressed they are ",INDEX('NPC''s'!$Q$106:$Q$137,RANDBETWEEN(1,32)))</f>
        <v>Their current mood is GLOOMY. When calm, they are OUTSPOKEN, and when stressed they are AUTHORITARIAN</v>
      </c>
      <c r="T48" s="510"/>
      <c r="U48" s="510"/>
      <c r="V48" s="510"/>
      <c r="W48" s="511"/>
    </row>
    <row r="49" spans="1:23" s="36" customFormat="1" ht="15" customHeight="1" thickBot="1">
      <c r="A49" s="187"/>
    </row>
    <row r="50" spans="1:23" ht="39.950000000000003" customHeight="1">
      <c r="A50" s="552">
        <v>19</v>
      </c>
      <c r="B50" s="200" t="s">
        <v>2416</v>
      </c>
      <c r="C50" s="503" t="str">
        <f ca="1">CONCATENATE(INDEX('NPC''s'!$I$106:$I$115,RANDBETWEEN(1,10))," in stature, with a ",INDEX('NPC''s'!$J$106:$J$125,RANDBETWEEN(1,20))," body, and ",INDEX('NPC''s'!$K$106:$K$111,RANDBETWEEN(1,6)))</f>
        <v>UNUSUALLY TALL in stature, with a STOCKY AND STRONG body, and A HEAVY TOUCH.</v>
      </c>
      <c r="D50" s="504"/>
      <c r="E50" s="504"/>
      <c r="F50" s="504"/>
      <c r="G50" s="505"/>
      <c r="I50" s="552">
        <v>20</v>
      </c>
      <c r="J50" s="200" t="s">
        <v>2416</v>
      </c>
      <c r="K50" s="503" t="str">
        <f ca="1">CONCATENATE(INDEX('NPC''s'!$I$106:$I$115,RANDBETWEEN(1,10))," in stature, with a ",INDEX('NPC''s'!$J$106:$J$125,RANDBETWEEN(1,20))," body, and ",INDEX('NPC''s'!$K$106:$K$111,RANDBETWEEN(1,6)))</f>
        <v>SLIGHTLY ABOVE AVERAGE in stature, with a SLIGHTLY OVERWEIGHT body, and DELICATE HANDS.</v>
      </c>
      <c r="L50" s="504"/>
      <c r="M50" s="504"/>
      <c r="N50" s="504"/>
      <c r="O50" s="505"/>
      <c r="Q50" s="552">
        <v>21</v>
      </c>
      <c r="R50" s="200" t="s">
        <v>2416</v>
      </c>
      <c r="S50" s="503" t="str">
        <f ca="1">CONCATENATE(INDEX('NPC''s'!$I$106:$I$115,RANDBETWEEN(1,10))," in stature, with a ",INDEX('NPC''s'!$J$106:$J$125,RANDBETWEEN(1,20))," body, and ",INDEX('NPC''s'!$K$106:$K$111,RANDBETWEEN(1,6)))</f>
        <v>SLIGHTLY BELOW AVERAGE in stature, with a SINEWY AND STRONG body, and A HEAVY TOUCH.</v>
      </c>
      <c r="T50" s="504"/>
      <c r="U50" s="504"/>
      <c r="V50" s="504"/>
      <c r="W50" s="505"/>
    </row>
    <row r="51" spans="1:23" ht="39.950000000000003" customHeight="1">
      <c r="A51" s="553"/>
      <c r="B51" s="201" t="s">
        <v>2415</v>
      </c>
      <c r="C51" s="506" t="str">
        <f ca="1">CONCATENATE(INDEX('NPC''s'!$B$106:$B$125,RANDBETWEEN(1,20)),", ",INDEX('NPC''s'!$C$106:$C$117,RANDBETWEEN(1,12)),", and ",INDEX('NPC''s'!$D$106:$D$115,RANDBETWEEN(1,10)),". They have ",INDEX('NPC''s'!$H$106:$H$113,RANDBETWEEN(1,8)),", ",INDEX('NPC''s'!$E$106:$E$117,RANDBETWEEN(1,12)),", ",INDEX('NPC''s'!$F$106:$F$113,RANDBETWEEN(1,8)),", and ",INDEX('NPC''s'!$G$106:$G$125,RANDBETWEEN(1,20)))</f>
        <v>SLEEPY EYES, HAIRY EARS, and CROOKED TEETH. They have FRECKLES, A WIDE NOSE, A DIMPLE ON THE CHIN, and WISPY HAIR</v>
      </c>
      <c r="D51" s="507"/>
      <c r="E51" s="507"/>
      <c r="F51" s="507"/>
      <c r="G51" s="508"/>
      <c r="I51" s="553"/>
      <c r="J51" s="201" t="s">
        <v>2415</v>
      </c>
      <c r="K51" s="506" t="str">
        <f ca="1">CONCATENATE(INDEX('NPC''s'!$B$106:$B$125,RANDBETWEEN(1,20)),", ",INDEX('NPC''s'!$C$106:$C$117,RANDBETWEEN(1,12)),", and ",INDEX('NPC''s'!$D$106:$D$115,RANDBETWEEN(1,10)),". They have ",INDEX('NPC''s'!$H$106:$H$113,RANDBETWEEN(1,8)),", ",INDEX('NPC''s'!$E$106:$E$117,RANDBETWEEN(1,12)),", ",INDEX('NPC''s'!$F$106:$F$113,RANDBETWEEN(1,8)),", and ",INDEX('NPC''s'!$G$106:$G$125,RANDBETWEEN(1,20)))</f>
        <v>SLIGHTLY CROSSED EYES, EARS WITH IMPROBABLE TUFTS OF HAIR, and ONE+ FALSE TEETH. They have FRECKLES, A WIDE NOSE, A SQUARE JAW, and STRAIGHT HAIR</v>
      </c>
      <c r="L51" s="507"/>
      <c r="M51" s="507"/>
      <c r="N51" s="507"/>
      <c r="O51" s="508"/>
      <c r="Q51" s="553"/>
      <c r="R51" s="201" t="s">
        <v>2415</v>
      </c>
      <c r="S51" s="506" t="str">
        <f ca="1">CONCATENATE(INDEX('NPC''s'!$B$106:$B$125,RANDBETWEEN(1,20)),", ",INDEX('NPC''s'!$C$106:$C$117,RANDBETWEEN(1,12)),", and ",INDEX('NPC''s'!$D$106:$D$115,RANDBETWEEN(1,10)),". They have ",INDEX('NPC''s'!$H$106:$H$113,RANDBETWEEN(1,8)),", ",INDEX('NPC''s'!$E$106:$E$117,RANDBETWEEN(1,12)),", ",INDEX('NPC''s'!$F$106:$F$113,RANDBETWEEN(1,8)),", and ",INDEX('NPC''s'!$G$106:$G$125,RANDBETWEEN(1,20)))</f>
        <v>DISTANT EYES, CAULIFLOWER EARS, and CROOKED TEETH. They have HIGH CHEEKBONES, A WIDE NOSE, A CLEFT CHIN, and A HIGH-MAINTANENCE HAIRSTYLE</v>
      </c>
      <c r="T51" s="507"/>
      <c r="U51" s="507"/>
      <c r="V51" s="507"/>
      <c r="W51" s="508"/>
    </row>
    <row r="52" spans="1:23" ht="39.950000000000003" customHeight="1">
      <c r="A52" s="553"/>
      <c r="B52" s="201" t="s">
        <v>2417</v>
      </c>
      <c r="C52" s="506" t="str">
        <f ca="1">CONCATENATE(INDEX('NPC''s'!$M$106:$M$117,RANDBETWEEN(1,12)),", made of ",INDEX('NPC''s'!$N$106:$N$115,RANDBETWEEN(1,10)))</f>
        <v>A NOSE RING, made of COPPER</v>
      </c>
      <c r="D52" s="507"/>
      <c r="E52" s="507"/>
      <c r="F52" s="507"/>
      <c r="G52" s="508"/>
      <c r="I52" s="553"/>
      <c r="J52" s="201" t="s">
        <v>2417</v>
      </c>
      <c r="K52" s="506" t="str">
        <f ca="1">CONCATENATE(INDEX('NPC''s'!$M$106:$M$117,RANDBETWEEN(1,12)),", made of ",INDEX('NPC''s'!$N$106:$N$115,RANDBETWEEN(1,10)))</f>
        <v>SEVERAL RINGS, made of PEWTER</v>
      </c>
      <c r="L52" s="507"/>
      <c r="M52" s="507"/>
      <c r="N52" s="507"/>
      <c r="O52" s="508"/>
      <c r="Q52" s="553"/>
      <c r="R52" s="201" t="s">
        <v>2417</v>
      </c>
      <c r="S52" s="506" t="str">
        <f ca="1">CONCATENATE(INDEX('NPC''s'!$M$106:$M$117,RANDBETWEEN(1,12)),", made of ",INDEX('NPC''s'!$N$106:$N$115,RANDBETWEEN(1,10)))</f>
        <v>SEVERAL RINGS, made of COPPER</v>
      </c>
      <c r="T52" s="507"/>
      <c r="U52" s="507"/>
      <c r="V52" s="507"/>
      <c r="W52" s="508"/>
    </row>
    <row r="53" spans="1:23" ht="39.950000000000003" customHeight="1">
      <c r="A53" s="553"/>
      <c r="B53" s="201" t="s">
        <v>2418</v>
      </c>
      <c r="C53" s="506" t="str">
        <f ca="1">CONCATENATE(INDEX('NPC''s'!$O$106:$O$113,RANDBETWEEN(1,8)))</f>
        <v>FASHIONABLE AND HIP</v>
      </c>
      <c r="D53" s="507"/>
      <c r="E53" s="507"/>
      <c r="F53" s="507"/>
      <c r="G53" s="508"/>
      <c r="I53" s="553"/>
      <c r="J53" s="201" t="s">
        <v>2418</v>
      </c>
      <c r="K53" s="506" t="str">
        <f ca="1">CONCATENATE(INDEX('NPC''s'!$O$106:$O$113,RANDBETWEEN(1,8)))</f>
        <v>FASHIONABLE AND HIP</v>
      </c>
      <c r="L53" s="507"/>
      <c r="M53" s="507"/>
      <c r="N53" s="507"/>
      <c r="O53" s="508"/>
      <c r="Q53" s="553"/>
      <c r="R53" s="201" t="s">
        <v>2418</v>
      </c>
      <c r="S53" s="506" t="str">
        <f ca="1">CONCATENATE(INDEX('NPC''s'!$O$106:$O$113,RANDBETWEEN(1,8)))</f>
        <v>CRISP AND NEW</v>
      </c>
      <c r="T53" s="507"/>
      <c r="U53" s="507"/>
      <c r="V53" s="507"/>
      <c r="W53" s="508"/>
    </row>
    <row r="54" spans="1:23" ht="39.950000000000003" customHeight="1">
      <c r="A54" s="553"/>
      <c r="B54" s="201" t="s">
        <v>2435</v>
      </c>
      <c r="C54" s="506" t="str">
        <f ca="1">CONCATENATE(INDEX('NPC''s'!$S$106:$S$113,RANDBETWEEN(1,8)))</f>
        <v>FANATICAL TRUE BELIEVER</v>
      </c>
      <c r="D54" s="507"/>
      <c r="E54" s="507"/>
      <c r="F54" s="507"/>
      <c r="G54" s="508"/>
      <c r="I54" s="553"/>
      <c r="J54" s="201" t="s">
        <v>2435</v>
      </c>
      <c r="K54" s="506" t="str">
        <f ca="1">CONCATENATE(INDEX('NPC''s'!$S$106:$S$113,RANDBETWEEN(1,8)))</f>
        <v>QUIET, TRUE BELIEVER</v>
      </c>
      <c r="L54" s="507"/>
      <c r="M54" s="507"/>
      <c r="N54" s="507"/>
      <c r="O54" s="508"/>
      <c r="Q54" s="553"/>
      <c r="R54" s="201" t="s">
        <v>2435</v>
      </c>
      <c r="S54" s="506" t="str">
        <f ca="1">CONCATENATE(INDEX('NPC''s'!$S$106:$S$113,RANDBETWEEN(1,8)))</f>
        <v>OUTSPOKEN CYNIC</v>
      </c>
      <c r="T54" s="507"/>
      <c r="U54" s="507"/>
      <c r="V54" s="507"/>
      <c r="W54" s="508"/>
    </row>
    <row r="55" spans="1:23" ht="39.950000000000003" customHeight="1">
      <c r="A55" s="553"/>
      <c r="B55" s="201" t="s">
        <v>2420</v>
      </c>
      <c r="C55" s="506" t="str">
        <f ca="1">CONCATENATE(INDEX('NPC''s'!$T$106:$T$111,RANDBETWEEN(1,6)))</f>
        <v>BEGGARS</v>
      </c>
      <c r="D55" s="507"/>
      <c r="E55" s="507"/>
      <c r="F55" s="507"/>
      <c r="G55" s="508"/>
      <c r="I55" s="553"/>
      <c r="J55" s="201" t="s">
        <v>2420</v>
      </c>
      <c r="K55" s="506" t="str">
        <f ca="1">CONCATENATE(INDEX('NPC''s'!$T$106:$T$111,RANDBETWEEN(1,6)))</f>
        <v>RULING/AUTHORITY FIGURES</v>
      </c>
      <c r="L55" s="507"/>
      <c r="M55" s="507"/>
      <c r="N55" s="507"/>
      <c r="O55" s="508"/>
      <c r="Q55" s="553"/>
      <c r="R55" s="201" t="s">
        <v>2420</v>
      </c>
      <c r="S55" s="506" t="str">
        <f ca="1">CONCATENATE(INDEX('NPC''s'!$T$106:$T$111,RANDBETWEEN(1,6)))</f>
        <v>BEGGARS</v>
      </c>
      <c r="T55" s="507"/>
      <c r="U55" s="507"/>
      <c r="V55" s="507"/>
      <c r="W55" s="508"/>
    </row>
    <row r="56" spans="1:23" ht="39.950000000000003" customHeight="1" thickBot="1">
      <c r="A56" s="554"/>
      <c r="B56" s="202" t="s">
        <v>2419</v>
      </c>
      <c r="C56" s="509" t="str">
        <f ca="1">CONCATENATE("Their current mood is ",INDEX('NPC''s'!$R$106:$R$125,RANDBETWEEN(1,20)),". When calm, they are ",INDEX('NPC''s'!$P$106:$P$137,RANDBETWEEN(1,32)),", and when stressed they are ",INDEX('NPC''s'!$Q$106:$Q$137,RANDBETWEEN(1,32)))</f>
        <v>Their current mood is GLOOMY. When calm, they are ANGRY, and when stressed they are COWARDLY</v>
      </c>
      <c r="D56" s="510"/>
      <c r="E56" s="510"/>
      <c r="F56" s="510"/>
      <c r="G56" s="511"/>
      <c r="I56" s="554"/>
      <c r="J56" s="202" t="s">
        <v>2419</v>
      </c>
      <c r="K56" s="509" t="str">
        <f ca="1">CONCATENATE("Their current mood is ",INDEX('NPC''s'!$R$106:$R$125,RANDBETWEEN(1,20)),". When calm, they are ",INDEX('NPC''s'!$P$106:$P$137,RANDBETWEEN(1,32)),", and when stressed they are ",INDEX('NPC''s'!$Q$106:$Q$137,RANDBETWEEN(1,32)))</f>
        <v>Their current mood is ANGRY. When calm, they are RESERVED, and when stressed they are SECRETIVE</v>
      </c>
      <c r="L56" s="510"/>
      <c r="M56" s="510"/>
      <c r="N56" s="510"/>
      <c r="O56" s="511"/>
      <c r="Q56" s="554"/>
      <c r="R56" s="202" t="s">
        <v>2419</v>
      </c>
      <c r="S56" s="509" t="str">
        <f ca="1">CONCATENATE("Their current mood is ",INDEX('NPC''s'!$R$106:$R$125,RANDBETWEEN(1,20)),". When calm, they are ",INDEX('NPC''s'!$P$106:$P$137,RANDBETWEEN(1,32)),", and when stressed they are ",INDEX('NPC''s'!$Q$106:$Q$137,RANDBETWEEN(1,32)))</f>
        <v>Their current mood is DESPONDANT. When calm, they are UNINTERESTED, and when stressed they are DESTRUCTIVE</v>
      </c>
      <c r="T56" s="510"/>
      <c r="U56" s="510"/>
      <c r="V56" s="510"/>
      <c r="W56" s="511"/>
    </row>
    <row r="57" spans="1:23" s="36" customFormat="1" ht="15" customHeight="1" thickBot="1">
      <c r="A57" s="187"/>
    </row>
    <row r="58" spans="1:23" ht="39.950000000000003" customHeight="1">
      <c r="A58" s="552">
        <v>22</v>
      </c>
      <c r="B58" s="200" t="s">
        <v>2416</v>
      </c>
      <c r="C58" s="503" t="str">
        <f ca="1">CONCATENATE(INDEX('NPC''s'!$I$106:$I$115,RANDBETWEEN(1,10))," in stature, with a ",INDEX('NPC''s'!$J$106:$J$125,RANDBETWEEN(1,20))," body, and ",INDEX('NPC''s'!$K$106:$K$111,RANDBETWEEN(1,6)))</f>
        <v>AVERAGE  in stature, with a BONEY body, and ROUGH HANDS.</v>
      </c>
      <c r="D58" s="504"/>
      <c r="E58" s="504"/>
      <c r="F58" s="504"/>
      <c r="G58" s="505"/>
      <c r="I58" s="552">
        <v>23</v>
      </c>
      <c r="J58" s="200" t="s">
        <v>2416</v>
      </c>
      <c r="K58" s="503" t="str">
        <f ca="1">CONCATENATE(INDEX('NPC''s'!$I$106:$I$115,RANDBETWEEN(1,10))," in stature, with a ",INDEX('NPC''s'!$J$106:$J$125,RANDBETWEEN(1,20))," body, and ",INDEX('NPC''s'!$K$106:$K$111,RANDBETWEEN(1,6)))</f>
        <v>AVERAGE  in stature, with a COVERED IN HAIR body, and A HEAVY TOUCH.</v>
      </c>
      <c r="L58" s="504"/>
      <c r="M58" s="504"/>
      <c r="N58" s="504"/>
      <c r="O58" s="505"/>
      <c r="Q58" s="552">
        <v>24</v>
      </c>
      <c r="R58" s="200" t="s">
        <v>2416</v>
      </c>
      <c r="S58" s="503" t="str">
        <f ca="1">CONCATENATE(INDEX('NPC''s'!$I$106:$I$115,RANDBETWEEN(1,10))," in stature, with a ",INDEX('NPC''s'!$J$106:$J$125,RANDBETWEEN(1,20))," body, and ",INDEX('NPC''s'!$K$106:$K$111,RANDBETWEEN(1,6)))</f>
        <v>AVERAGE  in stature, with a PUDGY body, and A LIGHT TOUCH.</v>
      </c>
      <c r="T58" s="504"/>
      <c r="U58" s="504"/>
      <c r="V58" s="504"/>
      <c r="W58" s="505"/>
    </row>
    <row r="59" spans="1:23" ht="39.950000000000003" customHeight="1">
      <c r="A59" s="553"/>
      <c r="B59" s="201" t="s">
        <v>2415</v>
      </c>
      <c r="C59" s="506" t="str">
        <f ca="1">CONCATENATE(INDEX('NPC''s'!$B$106:$B$125,RANDBETWEEN(1,20)),", ",INDEX('NPC''s'!$C$106:$C$117,RANDBETWEEN(1,12)),", and ",INDEX('NPC''s'!$D$106:$D$115,RANDBETWEEN(1,10)),". They have ",INDEX('NPC''s'!$H$106:$H$113,RANDBETWEEN(1,8)),", ",INDEX('NPC''s'!$E$106:$E$117,RANDBETWEEN(1,12)),", ",INDEX('NPC''s'!$F$106:$F$113,RANDBETWEEN(1,8)),", and ",INDEX('NPC''s'!$G$106:$G$125,RANDBETWEEN(1,20)))</f>
        <v>BEADY EYES, POINTY EARS, and PURSED LIPS. They have FRECKLES, A CROOKED NOSE, A SHARP JAWLINE, and A HIGH-MAINTANENCE HAIRSTYLE</v>
      </c>
      <c r="D59" s="507"/>
      <c r="E59" s="507"/>
      <c r="F59" s="507"/>
      <c r="G59" s="508"/>
      <c r="I59" s="553"/>
      <c r="J59" s="201" t="s">
        <v>2415</v>
      </c>
      <c r="K59" s="506" t="str">
        <f ca="1">CONCATENATE(INDEX('NPC''s'!$B$106:$B$125,RANDBETWEEN(1,20)),", ",INDEX('NPC''s'!$C$106:$C$117,RANDBETWEEN(1,12)),", and ",INDEX('NPC''s'!$D$106:$D$115,RANDBETWEEN(1,10)),". They have ",INDEX('NPC''s'!$H$106:$H$113,RANDBETWEEN(1,8)),", ",INDEX('NPC''s'!$E$106:$E$117,RANDBETWEEN(1,12)),", ",INDEX('NPC''s'!$F$106:$F$113,RANDBETWEEN(1,8)),", and ",INDEX('NPC''s'!$G$106:$G$125,RANDBETWEEN(1,20)))</f>
        <v>WATCHFUL EYES, LONG EAR LOBES, and PURSED LIPS. They have HIGH CHEEKBONES, A BULBOUS NOSE, A CLEFT CHIN, and AN UNUSUAL HAIRSTYLE</v>
      </c>
      <c r="L59" s="507"/>
      <c r="M59" s="507"/>
      <c r="N59" s="507"/>
      <c r="O59" s="508"/>
      <c r="Q59" s="553"/>
      <c r="R59" s="201" t="s">
        <v>2415</v>
      </c>
      <c r="S59" s="506" t="str">
        <f ca="1">CONCATENATE(INDEX('NPC''s'!$B$106:$B$125,RANDBETWEEN(1,20)),", ",INDEX('NPC''s'!$C$106:$C$117,RANDBETWEEN(1,12)),", and ",INDEX('NPC''s'!$D$106:$D$115,RANDBETWEEN(1,10)),". They have ",INDEX('NPC''s'!$H$106:$H$113,RANDBETWEEN(1,8)),", ",INDEX('NPC''s'!$E$106:$E$117,RANDBETWEEN(1,12)),", ",INDEX('NPC''s'!$F$106:$F$113,RANDBETWEEN(1,8)),", and ",INDEX('NPC''s'!$G$106:$G$125,RANDBETWEEN(1,20)))</f>
        <v>CLOSE-SET EYES, UNEVEN EARS, and CROOKED TEETH. They have FRECKLES, A LONG NOSE, A PRONOUNCED CHIN, and VERY LONG HAIR</v>
      </c>
      <c r="T59" s="507"/>
      <c r="U59" s="507"/>
      <c r="V59" s="507"/>
      <c r="W59" s="508"/>
    </row>
    <row r="60" spans="1:23" ht="39.950000000000003" customHeight="1">
      <c r="A60" s="553"/>
      <c r="B60" s="201" t="s">
        <v>2417</v>
      </c>
      <c r="C60" s="506" t="str">
        <f ca="1">CONCATENATE(INDEX('NPC''s'!$M$106:$M$117,RANDBETWEEN(1,12)),", made of ",INDEX('NPC''s'!$N$106:$N$115,RANDBETWEEN(1,10)))</f>
        <v>A NOSE RING, made of COPPER</v>
      </c>
      <c r="D60" s="507"/>
      <c r="E60" s="507"/>
      <c r="F60" s="507"/>
      <c r="G60" s="508"/>
      <c r="I60" s="553"/>
      <c r="J60" s="201" t="s">
        <v>2417</v>
      </c>
      <c r="K60" s="506" t="str">
        <f ca="1">CONCATENATE(INDEX('NPC''s'!$M$106:$M$117,RANDBETWEEN(1,12)),", made of ",INDEX('NPC''s'!$N$106:$N$115,RANDBETWEEN(1,10)))</f>
        <v>A TIGHT CHOKER, made of STONE</v>
      </c>
      <c r="L60" s="507"/>
      <c r="M60" s="507"/>
      <c r="N60" s="507"/>
      <c r="O60" s="508"/>
      <c r="Q60" s="553"/>
      <c r="R60" s="201" t="s">
        <v>2417</v>
      </c>
      <c r="S60" s="506" t="str">
        <f ca="1">CONCATENATE(INDEX('NPC''s'!$M$106:$M$117,RANDBETWEEN(1,12)),", made of ",INDEX('NPC''s'!$N$106:$N$115,RANDBETWEEN(1,10)))</f>
        <v>A BRACELET, made of STONE</v>
      </c>
      <c r="T60" s="507"/>
      <c r="U60" s="507"/>
      <c r="V60" s="507"/>
      <c r="W60" s="508"/>
    </row>
    <row r="61" spans="1:23" ht="39.950000000000003" customHeight="1">
      <c r="A61" s="553"/>
      <c r="B61" s="201" t="s">
        <v>2418</v>
      </c>
      <c r="C61" s="506" t="str">
        <f ca="1">CONCATENATE(INDEX('NPC''s'!$O$106:$O$113,RANDBETWEEN(1,8)))</f>
        <v>TORN IN PLACES; MISSING BUTTONS</v>
      </c>
      <c r="D61" s="507"/>
      <c r="E61" s="507"/>
      <c r="F61" s="507"/>
      <c r="G61" s="508"/>
      <c r="I61" s="553"/>
      <c r="J61" s="201" t="s">
        <v>2418</v>
      </c>
      <c r="K61" s="506" t="str">
        <f ca="1">CONCATENATE(INDEX('NPC''s'!$O$106:$O$113,RANDBETWEEN(1,8)))</f>
        <v>CRISP AND NEW</v>
      </c>
      <c r="L61" s="507"/>
      <c r="M61" s="507"/>
      <c r="N61" s="507"/>
      <c r="O61" s="508"/>
      <c r="Q61" s="553"/>
      <c r="R61" s="201" t="s">
        <v>2418</v>
      </c>
      <c r="S61" s="506" t="str">
        <f ca="1">CONCATENATE(INDEX('NPC''s'!$O$106:$O$113,RANDBETWEEN(1,8)))</f>
        <v>FADED AND PATCHED</v>
      </c>
      <c r="T61" s="507"/>
      <c r="U61" s="507"/>
      <c r="V61" s="507"/>
      <c r="W61" s="508"/>
    </row>
    <row r="62" spans="1:23" ht="39.950000000000003" customHeight="1">
      <c r="A62" s="553"/>
      <c r="B62" s="201" t="s">
        <v>2435</v>
      </c>
      <c r="C62" s="506" t="str">
        <f ca="1">CONCATENATE(INDEX('NPC''s'!$S$106:$S$113,RANDBETWEEN(1,8)))</f>
        <v>BROKEN HERETIC</v>
      </c>
      <c r="D62" s="507"/>
      <c r="E62" s="507"/>
      <c r="F62" s="507"/>
      <c r="G62" s="508"/>
      <c r="I62" s="553"/>
      <c r="J62" s="201" t="s">
        <v>2435</v>
      </c>
      <c r="K62" s="506" t="str">
        <f ca="1">CONCATENATE(INDEX('NPC''s'!$S$106:$S$113,RANDBETWEEN(1,8)))</f>
        <v>OPEN-MINDED SEEKER</v>
      </c>
      <c r="L62" s="507"/>
      <c r="M62" s="507"/>
      <c r="N62" s="507"/>
      <c r="O62" s="508"/>
      <c r="Q62" s="553"/>
      <c r="R62" s="201" t="s">
        <v>2435</v>
      </c>
      <c r="S62" s="506" t="str">
        <f ca="1">CONCATENATE(INDEX('NPC''s'!$S$106:$S$113,RANDBETWEEN(1,8)))</f>
        <v>FANATICAL TRUE BELIEVER</v>
      </c>
      <c r="T62" s="507"/>
      <c r="U62" s="507"/>
      <c r="V62" s="507"/>
      <c r="W62" s="508"/>
    </row>
    <row r="63" spans="1:23" ht="39.950000000000003" customHeight="1">
      <c r="A63" s="553"/>
      <c r="B63" s="201" t="s">
        <v>2420</v>
      </c>
      <c r="C63" s="506" t="str">
        <f ca="1">CONCATENATE(INDEX('NPC''s'!$T$106:$T$111,RANDBETWEEN(1,6)))</f>
        <v>FISHERS</v>
      </c>
      <c r="D63" s="507"/>
      <c r="E63" s="507"/>
      <c r="F63" s="507"/>
      <c r="G63" s="508"/>
      <c r="I63" s="553"/>
      <c r="J63" s="201" t="s">
        <v>2420</v>
      </c>
      <c r="K63" s="506" t="str">
        <f ca="1">CONCATENATE(INDEX('NPC''s'!$T$106:$T$111,RANDBETWEEN(1,6)))</f>
        <v>OTHER GENDERS</v>
      </c>
      <c r="L63" s="507"/>
      <c r="M63" s="507"/>
      <c r="N63" s="507"/>
      <c r="O63" s="508"/>
      <c r="Q63" s="553"/>
      <c r="R63" s="201" t="s">
        <v>2420</v>
      </c>
      <c r="S63" s="506" t="str">
        <f ca="1">CONCATENATE(INDEX('NPC''s'!$T$106:$T$111,RANDBETWEEN(1,6)))</f>
        <v>FISHERS</v>
      </c>
      <c r="T63" s="507"/>
      <c r="U63" s="507"/>
      <c r="V63" s="507"/>
      <c r="W63" s="508"/>
    </row>
    <row r="64" spans="1:23" ht="39.950000000000003" customHeight="1" thickBot="1">
      <c r="A64" s="554"/>
      <c r="B64" s="202" t="s">
        <v>2419</v>
      </c>
      <c r="C64" s="509" t="str">
        <f ca="1">CONCATENATE("Their current mood is ",INDEX('NPC''s'!$R$106:$R$125,RANDBETWEEN(1,20)),". When calm, they are ",INDEX('NPC''s'!$P$106:$P$137,RANDBETWEEN(1,32)),", and when stressed they are ",INDEX('NPC''s'!$Q$106:$Q$137,RANDBETWEEN(1,32)))</f>
        <v>Their current mood is GLOOMY. When calm, they are LAZY, and when stressed they are DETERMINED</v>
      </c>
      <c r="D64" s="510"/>
      <c r="E64" s="510"/>
      <c r="F64" s="510"/>
      <c r="G64" s="511"/>
      <c r="I64" s="554"/>
      <c r="J64" s="202" t="s">
        <v>2419</v>
      </c>
      <c r="K64" s="509" t="str">
        <f ca="1">CONCATENATE("Their current mood is ",INDEX('NPC''s'!$R$106:$R$125,RANDBETWEEN(1,20)),". When calm, they are ",INDEX('NPC''s'!$P$106:$P$137,RANDBETWEEN(1,32)),", and when stressed they are ",INDEX('NPC''s'!$Q$106:$Q$137,RANDBETWEEN(1,32)))</f>
        <v>Their current mood is WITHDRAWN. When calm, they are COMPASSIONATE, and when stressed they are COMPULSIVE</v>
      </c>
      <c r="L64" s="510"/>
      <c r="M64" s="510"/>
      <c r="N64" s="510"/>
      <c r="O64" s="511"/>
      <c r="Q64" s="554"/>
      <c r="R64" s="202" t="s">
        <v>2419</v>
      </c>
      <c r="S64" s="509" t="str">
        <f ca="1">CONCATENATE("Their current mood is ",INDEX('NPC''s'!$R$106:$R$125,RANDBETWEEN(1,20)),". When calm, they are ",INDEX('NPC''s'!$P$106:$P$137,RANDBETWEEN(1,32)),", and when stressed they are ",INDEX('NPC''s'!$Q$106:$Q$137,RANDBETWEEN(1,32)))</f>
        <v>Their current mood is HOPEFUL. When calm, they are FUNNY, and when stressed they are INTOLERANT</v>
      </c>
      <c r="T64" s="510"/>
      <c r="U64" s="510"/>
      <c r="V64" s="510"/>
      <c r="W64" s="511"/>
    </row>
    <row r="65" spans="1:23" s="36" customFormat="1" ht="15" customHeight="1" thickBot="1">
      <c r="A65" s="187"/>
    </row>
    <row r="66" spans="1:23" ht="39.950000000000003" customHeight="1">
      <c r="A66" s="552">
        <v>25</v>
      </c>
      <c r="B66" s="200" t="s">
        <v>2416</v>
      </c>
      <c r="C66" s="503" t="str">
        <f ca="1">CONCATENATE(INDEX('NPC''s'!$I$106:$I$115,RANDBETWEEN(1,10))," in stature, with a ",INDEX('NPC''s'!$J$106:$J$125,RANDBETWEEN(1,20))," body, and ",INDEX('NPC''s'!$K$106:$K$111,RANDBETWEEN(1,6)))</f>
        <v>SLIGHTLY ABOVE AVERAGE in stature, with a FLABBY AND WEAK body, and POWERFUL HANDS.</v>
      </c>
      <c r="D66" s="504"/>
      <c r="E66" s="504"/>
      <c r="F66" s="504"/>
      <c r="G66" s="505"/>
      <c r="I66" s="552">
        <v>26</v>
      </c>
      <c r="J66" s="200" t="s">
        <v>2416</v>
      </c>
      <c r="K66" s="503" t="str">
        <f ca="1">CONCATENATE(INDEX('NPC''s'!$I$106:$I$115,RANDBETWEEN(1,10))," in stature, with a ",INDEX('NPC''s'!$J$106:$J$125,RANDBETWEEN(1,20))," body, and ",INDEX('NPC''s'!$K$106:$K$111,RANDBETWEEN(1,6)))</f>
        <v>AVERAGE  in stature, with a GROTESQUELY OBESE body, and ROUGH HANDS.</v>
      </c>
      <c r="L66" s="504"/>
      <c r="M66" s="504"/>
      <c r="N66" s="504"/>
      <c r="O66" s="505"/>
      <c r="Q66" s="552">
        <v>27</v>
      </c>
      <c r="R66" s="200" t="s">
        <v>2416</v>
      </c>
      <c r="S66" s="503" t="str">
        <f ca="1">CONCATENATE(INDEX('NPC''s'!$I$106:$I$115,RANDBETWEEN(1,10))," in stature, with a ",INDEX('NPC''s'!$J$106:$J$125,RANDBETWEEN(1,20))," body, and ",INDEX('NPC''s'!$K$106:$K$111,RANDBETWEEN(1,6)))</f>
        <v>AVERAGE  in stature, with a THIN AND WIRY body, and POWERFUL HANDS.</v>
      </c>
      <c r="T66" s="504"/>
      <c r="U66" s="504"/>
      <c r="V66" s="504"/>
      <c r="W66" s="505"/>
    </row>
    <row r="67" spans="1:23" ht="39.950000000000003" customHeight="1">
      <c r="A67" s="553"/>
      <c r="B67" s="201" t="s">
        <v>2415</v>
      </c>
      <c r="C67" s="506" t="str">
        <f ca="1">CONCATENATE(INDEX('NPC''s'!$B$106:$B$125,RANDBETWEEN(1,20)),", ",INDEX('NPC''s'!$C$106:$C$117,RANDBETWEEN(1,12)),", and ",INDEX('NPC''s'!$D$106:$D$115,RANDBETWEEN(1,10)),". They have ",INDEX('NPC''s'!$H$106:$H$113,RANDBETWEEN(1,8)),", ",INDEX('NPC''s'!$E$106:$E$117,RANDBETWEEN(1,12)),", ",INDEX('NPC''s'!$F$106:$F$113,RANDBETWEEN(1,8)),", and ",INDEX('NPC''s'!$G$106:$G$125,RANDBETWEEN(1,20)))</f>
        <v>WATERY EYES, CAULIFLOWER EARS, and DRY, CRACKED LIPS. They have TIGHT, DRAWN CHEEKS, A CROOKED NOSE, A ROUND JAW, and WISPY HAIR</v>
      </c>
      <c r="D67" s="507"/>
      <c r="E67" s="507"/>
      <c r="F67" s="507"/>
      <c r="G67" s="508"/>
      <c r="I67" s="553"/>
      <c r="J67" s="201" t="s">
        <v>2415</v>
      </c>
      <c r="K67" s="506" t="str">
        <f ca="1">CONCATENATE(INDEX('NPC''s'!$B$106:$B$125,RANDBETWEEN(1,20)),", ",INDEX('NPC''s'!$C$106:$C$117,RANDBETWEEN(1,12)),", and ",INDEX('NPC''s'!$D$106:$D$115,RANDBETWEEN(1,10)),". They have ",INDEX('NPC''s'!$H$106:$H$113,RANDBETWEEN(1,8)),", ",INDEX('NPC''s'!$E$106:$E$117,RANDBETWEEN(1,12)),", ",INDEX('NPC''s'!$F$106:$F$113,RANDBETWEEN(1,8)),", and ",INDEX('NPC''s'!$G$106:$G$125,RANDBETWEEN(1,20)))</f>
        <v>PIERCING EYES, JUG-HANDLE EARS, and BUCK TEETH. They have CHUBBY CHEEKS, A BUTTON NOSE, A PRONOUNCED CHIN, and SHORT-CROPPED HAIR</v>
      </c>
      <c r="L67" s="507"/>
      <c r="M67" s="507"/>
      <c r="N67" s="507"/>
      <c r="O67" s="508"/>
      <c r="Q67" s="553"/>
      <c r="R67" s="201" t="s">
        <v>2415</v>
      </c>
      <c r="S67" s="506" t="str">
        <f ca="1">CONCATENATE(INDEX('NPC''s'!$B$106:$B$125,RANDBETWEEN(1,20)),", ",INDEX('NPC''s'!$C$106:$C$117,RANDBETWEEN(1,12)),", and ",INDEX('NPC''s'!$D$106:$D$115,RANDBETWEEN(1,10)),". They have ",INDEX('NPC''s'!$H$106:$H$113,RANDBETWEEN(1,8)),", ",INDEX('NPC''s'!$E$106:$E$117,RANDBETWEEN(1,12)),", ",INDEX('NPC''s'!$F$106:$F$113,RANDBETWEEN(1,8)),", and ",INDEX('NPC''s'!$G$106:$G$125,RANDBETWEEN(1,20)))</f>
        <v>HOODED EYES, OVER-SIZED EARS, and PURSED LIPS. They have CHUBBY CHEEKS, AN ANGULAR NOSE, A DIMPLE ON THE CHIN, and UNRULY HAIR</v>
      </c>
      <c r="T67" s="507"/>
      <c r="U67" s="507"/>
      <c r="V67" s="507"/>
      <c r="W67" s="508"/>
    </row>
    <row r="68" spans="1:23" ht="39.950000000000003" customHeight="1">
      <c r="A68" s="553"/>
      <c r="B68" s="201" t="s">
        <v>2417</v>
      </c>
      <c r="C68" s="506" t="str">
        <f ca="1">CONCATENATE(INDEX('NPC''s'!$M$106:$M$117,RANDBETWEEN(1,12)),", made of ",INDEX('NPC''s'!$N$106:$N$115,RANDBETWEEN(1,10)))</f>
        <v>A LARGE CHAIN AROUND NECK, made of LEATHER</v>
      </c>
      <c r="D68" s="507"/>
      <c r="E68" s="507"/>
      <c r="F68" s="507"/>
      <c r="G68" s="508"/>
      <c r="I68" s="553"/>
      <c r="J68" s="201" t="s">
        <v>2417</v>
      </c>
      <c r="K68" s="506" t="str">
        <f ca="1">CONCATENATE(INDEX('NPC''s'!$M$106:$M$117,RANDBETWEEN(1,12)),", made of ",INDEX('NPC''s'!$N$106:$N$115,RANDBETWEEN(1,10)))</f>
        <v>A MEDALLION, made of PEWTER</v>
      </c>
      <c r="L68" s="507"/>
      <c r="M68" s="507"/>
      <c r="N68" s="507"/>
      <c r="O68" s="508"/>
      <c r="Q68" s="553"/>
      <c r="R68" s="201" t="s">
        <v>2417</v>
      </c>
      <c r="S68" s="506" t="str">
        <f ca="1">CONCATENATE(INDEX('NPC''s'!$M$106:$M$117,RANDBETWEEN(1,12)),", made of ",INDEX('NPC''s'!$N$106:$N$115,RANDBETWEEN(1,10)))</f>
        <v>SEVERAL RINGS, made of SILVER</v>
      </c>
      <c r="T68" s="507"/>
      <c r="U68" s="507"/>
      <c r="V68" s="507"/>
      <c r="W68" s="508"/>
    </row>
    <row r="69" spans="1:23" ht="39.950000000000003" customHeight="1">
      <c r="A69" s="553"/>
      <c r="B69" s="201" t="s">
        <v>2418</v>
      </c>
      <c r="C69" s="506" t="str">
        <f ca="1">CONCATENATE(INDEX('NPC''s'!$O$106:$O$113,RANDBETWEEN(1,8)))</f>
        <v>CRISP AND NEW</v>
      </c>
      <c r="D69" s="507"/>
      <c r="E69" s="507"/>
      <c r="F69" s="507"/>
      <c r="G69" s="508"/>
      <c r="I69" s="553"/>
      <c r="J69" s="201" t="s">
        <v>2418</v>
      </c>
      <c r="K69" s="506" t="str">
        <f ca="1">CONCATENATE(INDEX('NPC''s'!$O$106:$O$113,RANDBETWEEN(1,8)))</f>
        <v>A BIT OLD-FASHIONED</v>
      </c>
      <c r="L69" s="507"/>
      <c r="M69" s="507"/>
      <c r="N69" s="507"/>
      <c r="O69" s="508"/>
      <c r="Q69" s="553"/>
      <c r="R69" s="201" t="s">
        <v>2418</v>
      </c>
      <c r="S69" s="506" t="str">
        <f ca="1">CONCATENATE(INDEX('NPC''s'!$O$106:$O$113,RANDBETWEEN(1,8)))</f>
        <v>FADED AND PATCHED</v>
      </c>
      <c r="T69" s="507"/>
      <c r="U69" s="507"/>
      <c r="V69" s="507"/>
      <c r="W69" s="508"/>
    </row>
    <row r="70" spans="1:23" ht="39.950000000000003" customHeight="1">
      <c r="A70" s="553"/>
      <c r="B70" s="201" t="s">
        <v>2435</v>
      </c>
      <c r="C70" s="506" t="str">
        <f ca="1">CONCATENATE(INDEX('NPC''s'!$S$106:$S$113,RANDBETWEEN(1,8)))</f>
        <v>OUTSPOKEN CYNIC</v>
      </c>
      <c r="D70" s="507"/>
      <c r="E70" s="507"/>
      <c r="F70" s="507"/>
      <c r="G70" s="508"/>
      <c r="I70" s="553"/>
      <c r="J70" s="201" t="s">
        <v>2435</v>
      </c>
      <c r="K70" s="506" t="str">
        <f ca="1">CONCATENATE(INDEX('NPC''s'!$S$106:$S$113,RANDBETWEEN(1,8)))</f>
        <v>CAUTIOUS LISTENER</v>
      </c>
      <c r="L70" s="507"/>
      <c r="M70" s="507"/>
      <c r="N70" s="507"/>
      <c r="O70" s="508"/>
      <c r="Q70" s="553"/>
      <c r="R70" s="201" t="s">
        <v>2435</v>
      </c>
      <c r="S70" s="506" t="str">
        <f ca="1">CONCATENATE(INDEX('NPC''s'!$S$106:$S$113,RANDBETWEEN(1,8)))</f>
        <v>QUIET, TRUE BELIEVER</v>
      </c>
      <c r="T70" s="507"/>
      <c r="U70" s="507"/>
      <c r="V70" s="507"/>
      <c r="W70" s="508"/>
    </row>
    <row r="71" spans="1:23" ht="39.950000000000003" customHeight="1">
      <c r="A71" s="553"/>
      <c r="B71" s="201" t="s">
        <v>2420</v>
      </c>
      <c r="C71" s="506" t="str">
        <f ca="1">CONCATENATE(INDEX('NPC''s'!$T$106:$T$111,RANDBETWEEN(1,6)))</f>
        <v>BEGGARS</v>
      </c>
      <c r="D71" s="507"/>
      <c r="E71" s="507"/>
      <c r="F71" s="507"/>
      <c r="G71" s="508"/>
      <c r="I71" s="553"/>
      <c r="J71" s="201" t="s">
        <v>2420</v>
      </c>
      <c r="K71" s="506" t="str">
        <f ca="1">CONCATENATE(INDEX('NPC''s'!$T$106:$T$111,RANDBETWEEN(1,6)))</f>
        <v>CHILDREN</v>
      </c>
      <c r="L71" s="507"/>
      <c r="M71" s="507"/>
      <c r="N71" s="507"/>
      <c r="O71" s="508"/>
      <c r="Q71" s="553"/>
      <c r="R71" s="201" t="s">
        <v>2420</v>
      </c>
      <c r="S71" s="506" t="str">
        <f ca="1">CONCATENATE(INDEX('NPC''s'!$T$106:$T$111,RANDBETWEEN(1,6)))</f>
        <v>RULING/AUTHORITY FIGURES</v>
      </c>
      <c r="T71" s="507"/>
      <c r="U71" s="507"/>
      <c r="V71" s="507"/>
      <c r="W71" s="508"/>
    </row>
    <row r="72" spans="1:23" ht="39.950000000000003" customHeight="1" thickBot="1">
      <c r="A72" s="554"/>
      <c r="B72" s="202" t="s">
        <v>2419</v>
      </c>
      <c r="C72" s="509" t="str">
        <f ca="1">CONCATENATE("Their current mood is ",INDEX('NPC''s'!$R$106:$R$125,RANDBETWEEN(1,20)),". When calm, they are ",INDEX('NPC''s'!$P$106:$P$137,RANDBETWEEN(1,32)),", and when stressed they are ",INDEX('NPC''s'!$Q$106:$Q$137,RANDBETWEEN(1,32)))</f>
        <v>Their current mood is INDIFFERENT. When calm, they are FEARFUL, and when stressed they are CALCULATING</v>
      </c>
      <c r="D72" s="510"/>
      <c r="E72" s="510"/>
      <c r="F72" s="510"/>
      <c r="G72" s="511"/>
      <c r="I72" s="554"/>
      <c r="J72" s="202" t="s">
        <v>2419</v>
      </c>
      <c r="K72" s="509" t="str">
        <f ca="1">CONCATENATE("Their current mood is ",INDEX('NPC''s'!$R$106:$R$125,RANDBETWEEN(1,20)),". When calm, they are ",INDEX('NPC''s'!$P$106:$P$137,RANDBETWEEN(1,32)),", and when stressed they are ",INDEX('NPC''s'!$Q$106:$Q$137,RANDBETWEEN(1,32)))</f>
        <v>Their current mood is DISAGREEABLE. When calm, they are FUN-LOVING, and when stressed they are BRAVE</v>
      </c>
      <c r="L72" s="510"/>
      <c r="M72" s="510"/>
      <c r="N72" s="510"/>
      <c r="O72" s="511"/>
      <c r="Q72" s="554"/>
      <c r="R72" s="202" t="s">
        <v>2419</v>
      </c>
      <c r="S72" s="509" t="str">
        <f ca="1">CONCATENATE("Their current mood is ",INDEX('NPC''s'!$R$106:$R$125,RANDBETWEEN(1,20)),". When calm, they are ",INDEX('NPC''s'!$P$106:$P$137,RANDBETWEEN(1,32)),", and when stressed they are ",INDEX('NPC''s'!$Q$106:$Q$137,RANDBETWEEN(1,32)))</f>
        <v>Their current mood is NERVOUS. When calm, they are CAREFREE, and when stressed they are SECRETIVE</v>
      </c>
      <c r="T72" s="510"/>
      <c r="U72" s="510"/>
      <c r="V72" s="510"/>
      <c r="W72" s="511"/>
    </row>
    <row r="73" spans="1:23" s="36" customFormat="1" ht="15" customHeight="1" thickBot="1">
      <c r="A73" s="187"/>
    </row>
    <row r="74" spans="1:23" ht="39.950000000000003" customHeight="1">
      <c r="A74" s="552">
        <v>28</v>
      </c>
      <c r="B74" s="200" t="s">
        <v>2416</v>
      </c>
      <c r="C74" s="503" t="str">
        <f ca="1">CONCATENATE(INDEX('NPC''s'!$I$106:$I$115,RANDBETWEEN(1,10))," in stature, with a ",INDEX('NPC''s'!$J$106:$J$125,RANDBETWEEN(1,20))," body, and ",INDEX('NPC''s'!$K$106:$K$111,RANDBETWEEN(1,6)))</f>
        <v>SLIGHTLY ABOVE AVERAGE in stature, with a WELL-MUSCLED body, and DELICATE HANDS.</v>
      </c>
      <c r="D74" s="504"/>
      <c r="E74" s="504"/>
      <c r="F74" s="504"/>
      <c r="G74" s="505"/>
      <c r="I74" s="552">
        <v>29</v>
      </c>
      <c r="J74" s="200" t="s">
        <v>2416</v>
      </c>
      <c r="K74" s="503" t="str">
        <f ca="1">CONCATENATE(INDEX('NPC''s'!$I$106:$I$115,RANDBETWEEN(1,10))," in stature, with a ",INDEX('NPC''s'!$J$106:$J$125,RANDBETWEEN(1,20))," body, and ",INDEX('NPC''s'!$K$106:$K$111,RANDBETWEEN(1,6)))</f>
        <v>SLIGHTLY ABOVE AVERAGE in stature, with a LEAN AND LANKY body, and A LIGHT TOUCH.</v>
      </c>
      <c r="L74" s="504"/>
      <c r="M74" s="504"/>
      <c r="N74" s="504"/>
      <c r="O74" s="505"/>
      <c r="Q74" s="552">
        <v>30</v>
      </c>
      <c r="R74" s="200" t="s">
        <v>2416</v>
      </c>
      <c r="S74" s="503" t="str">
        <f ca="1">CONCATENATE(INDEX('NPC''s'!$I$106:$I$115,RANDBETWEEN(1,10))," in stature, with a ",INDEX('NPC''s'!$J$106:$J$125,RANDBETWEEN(1,20))," body, and ",INDEX('NPC''s'!$K$106:$K$111,RANDBETWEEN(1,6)))</f>
        <v>UNUSUALLY TALL in stature, with a LEAN AND LANKY body, and SOFT HANDS.</v>
      </c>
      <c r="T74" s="504"/>
      <c r="U74" s="504"/>
      <c r="V74" s="504"/>
      <c r="W74" s="505"/>
    </row>
    <row r="75" spans="1:23" ht="39.950000000000003" customHeight="1">
      <c r="A75" s="553"/>
      <c r="B75" s="201" t="s">
        <v>2415</v>
      </c>
      <c r="C75" s="506" t="str">
        <f ca="1">CONCATENATE(INDEX('NPC''s'!$B$106:$B$125,RANDBETWEEN(1,20)),", ",INDEX('NPC''s'!$C$106:$C$117,RANDBETWEEN(1,12)),", and ",INDEX('NPC''s'!$D$106:$D$115,RANDBETWEEN(1,10)),". They have ",INDEX('NPC''s'!$H$106:$H$113,RANDBETWEEN(1,8)),", ",INDEX('NPC''s'!$E$106:$E$117,RANDBETWEEN(1,12)),", ",INDEX('NPC''s'!$F$106:$F$113,RANDBETWEEN(1,8)),", and ",INDEX('NPC''s'!$G$106:$G$125,RANDBETWEEN(1,20)))</f>
        <v>SMILING EYES, OVER-SIZED EARS, and BROKEN/MISSING TEETH. They have FRECKLES, A NARROW NOSE, A DIMPLE ON THE CHIN, and VERY LONG HAIR</v>
      </c>
      <c r="D75" s="507"/>
      <c r="E75" s="507"/>
      <c r="F75" s="507"/>
      <c r="G75" s="508"/>
      <c r="I75" s="553"/>
      <c r="J75" s="201" t="s">
        <v>2415</v>
      </c>
      <c r="K75" s="506" t="str">
        <f ca="1">CONCATENATE(INDEX('NPC''s'!$B$106:$B$125,RANDBETWEEN(1,20)),", ",INDEX('NPC''s'!$C$106:$C$117,RANDBETWEEN(1,12)),", and ",INDEX('NPC''s'!$D$106:$D$115,RANDBETWEEN(1,10)),". They have ",INDEX('NPC''s'!$H$106:$H$113,RANDBETWEEN(1,8)),", ",INDEX('NPC''s'!$E$106:$E$117,RANDBETWEEN(1,12)),", ",INDEX('NPC''s'!$F$106:$F$113,RANDBETWEEN(1,8)),", and ",INDEX('NPC''s'!$G$106:$G$125,RANDBETWEEN(1,20)))</f>
        <v>PENETRATING EYES, LONG EAR LOBES, and ROTTING TEETH. They have HIGH CHEEKBONES, A LONG NOSE, A ROUND JAW, and VERY LONG HAIR</v>
      </c>
      <c r="L75" s="507"/>
      <c r="M75" s="507"/>
      <c r="N75" s="507"/>
      <c r="O75" s="508"/>
      <c r="Q75" s="553"/>
      <c r="R75" s="201" t="s">
        <v>2415</v>
      </c>
      <c r="S75" s="506" t="str">
        <f ca="1">CONCATENATE(INDEX('NPC''s'!$B$106:$B$125,RANDBETWEEN(1,20)),", ",INDEX('NPC''s'!$C$106:$C$117,RANDBETWEEN(1,12)),", and ",INDEX('NPC''s'!$D$106:$D$115,RANDBETWEEN(1,10)),". They have ",INDEX('NPC''s'!$H$106:$H$113,RANDBETWEEN(1,8)),", ",INDEX('NPC''s'!$E$106:$E$117,RANDBETWEEN(1,12)),", ",INDEX('NPC''s'!$F$106:$F$113,RANDBETWEEN(1,8)),", and ",INDEX('NPC''s'!$G$106:$G$125,RANDBETWEEN(1,20)))</f>
        <v>COLD EYES, SHORT EAR LOBES, and BROKEN/MISSING TEETH. They have FRECKLES, A LONG NOSE, AN UNDERBITE, and WISPY HAIR</v>
      </c>
      <c r="T75" s="507"/>
      <c r="U75" s="507"/>
      <c r="V75" s="507"/>
      <c r="W75" s="508"/>
    </row>
    <row r="76" spans="1:23" ht="39.950000000000003" customHeight="1">
      <c r="A76" s="553"/>
      <c r="B76" s="201" t="s">
        <v>2417</v>
      </c>
      <c r="C76" s="506" t="str">
        <f ca="1">CONCATENATE(INDEX('NPC''s'!$M$106:$M$117,RANDBETWEEN(1,12)),", made of ",INDEX('NPC''s'!$N$106:$N$115,RANDBETWEEN(1,10)))</f>
        <v>A MEDALLION, made of HEMP</v>
      </c>
      <c r="D76" s="507"/>
      <c r="E76" s="507"/>
      <c r="F76" s="507"/>
      <c r="G76" s="508"/>
      <c r="I76" s="553"/>
      <c r="J76" s="201" t="s">
        <v>2417</v>
      </c>
      <c r="K76" s="506" t="str">
        <f ca="1">CONCATENATE(INDEX('NPC''s'!$M$106:$M$117,RANDBETWEEN(1,12)),", made of ",INDEX('NPC''s'!$N$106:$N$115,RANDBETWEEN(1,10)))</f>
        <v>A MEDALLION, made of BRONZE</v>
      </c>
      <c r="L76" s="507"/>
      <c r="M76" s="507"/>
      <c r="N76" s="507"/>
      <c r="O76" s="508"/>
      <c r="Q76" s="553"/>
      <c r="R76" s="201" t="s">
        <v>2417</v>
      </c>
      <c r="S76" s="506" t="str">
        <f ca="1">CONCATENATE(INDEX('NPC''s'!$M$106:$M$117,RANDBETWEEN(1,12)),", made of ",INDEX('NPC''s'!$N$106:$N$115,RANDBETWEEN(1,10)))</f>
        <v>A LARGE CHAIN AROUND NECK, made of PEWTER</v>
      </c>
      <c r="T76" s="507"/>
      <c r="U76" s="507"/>
      <c r="V76" s="507"/>
      <c r="W76" s="508"/>
    </row>
    <row r="77" spans="1:23" ht="39.950000000000003" customHeight="1">
      <c r="A77" s="553"/>
      <c r="B77" s="201" t="s">
        <v>2418</v>
      </c>
      <c r="C77" s="506" t="str">
        <f ca="1">CONCATENATE(INDEX('NPC''s'!$O$106:$O$113,RANDBETWEEN(1,8)))</f>
        <v>CRISP AND NEW</v>
      </c>
      <c r="D77" s="507"/>
      <c r="E77" s="507"/>
      <c r="F77" s="507"/>
      <c r="G77" s="508"/>
      <c r="I77" s="553"/>
      <c r="J77" s="201" t="s">
        <v>2418</v>
      </c>
      <c r="K77" s="506" t="str">
        <f ca="1">CONCATENATE(INDEX('NPC''s'!$O$106:$O$113,RANDBETWEEN(1,8)))</f>
        <v>FASHIONABLE AND HIP</v>
      </c>
      <c r="L77" s="507"/>
      <c r="M77" s="507"/>
      <c r="N77" s="507"/>
      <c r="O77" s="508"/>
      <c r="Q77" s="553"/>
      <c r="R77" s="201" t="s">
        <v>2418</v>
      </c>
      <c r="S77" s="506" t="str">
        <f ca="1">CONCATENATE(INDEX('NPC''s'!$O$106:$O$113,RANDBETWEEN(1,8)))</f>
        <v>TATTERED AND WORN</v>
      </c>
      <c r="T77" s="507"/>
      <c r="U77" s="507"/>
      <c r="V77" s="507"/>
      <c r="W77" s="508"/>
    </row>
    <row r="78" spans="1:23" ht="39.950000000000003" customHeight="1">
      <c r="A78" s="553"/>
      <c r="B78" s="201" t="s">
        <v>2435</v>
      </c>
      <c r="C78" s="506" t="str">
        <f ca="1">CONCATENATE(INDEX('NPC''s'!$S$106:$S$113,RANDBETWEEN(1,8)))</f>
        <v>CASUAL OBSERVER</v>
      </c>
      <c r="D78" s="507"/>
      <c r="E78" s="507"/>
      <c r="F78" s="507"/>
      <c r="G78" s="508"/>
      <c r="I78" s="553"/>
      <c r="J78" s="201" t="s">
        <v>2435</v>
      </c>
      <c r="K78" s="506" t="str">
        <f ca="1">CONCATENATE(INDEX('NPC''s'!$S$106:$S$113,RANDBETWEEN(1,8)))</f>
        <v>FANATICAL TRUE BELIEVER</v>
      </c>
      <c r="L78" s="507"/>
      <c r="M78" s="507"/>
      <c r="N78" s="507"/>
      <c r="O78" s="508"/>
      <c r="Q78" s="553"/>
      <c r="R78" s="201" t="s">
        <v>2435</v>
      </c>
      <c r="S78" s="506" t="str">
        <f ca="1">CONCATENATE(INDEX('NPC''s'!$S$106:$S$113,RANDBETWEEN(1,8)))</f>
        <v>OPEN-MINDED SEEKER</v>
      </c>
      <c r="T78" s="507"/>
      <c r="U78" s="507"/>
      <c r="V78" s="507"/>
      <c r="W78" s="508"/>
    </row>
    <row r="79" spans="1:23" ht="39.950000000000003" customHeight="1">
      <c r="A79" s="553"/>
      <c r="B79" s="201" t="s">
        <v>2420</v>
      </c>
      <c r="C79" s="506" t="str">
        <f ca="1">CONCATENATE(INDEX('NPC''s'!$T$106:$T$111,RANDBETWEEN(1,6)))</f>
        <v>RULING/AUTHORITY FIGURES</v>
      </c>
      <c r="D79" s="507"/>
      <c r="E79" s="507"/>
      <c r="F79" s="507"/>
      <c r="G79" s="508"/>
      <c r="I79" s="553"/>
      <c r="J79" s="201" t="s">
        <v>2420</v>
      </c>
      <c r="K79" s="506" t="str">
        <f ca="1">CONCATENATE(INDEX('NPC''s'!$T$106:$T$111,RANDBETWEEN(1,6)))</f>
        <v>HALFLINGS</v>
      </c>
      <c r="L79" s="507"/>
      <c r="M79" s="507"/>
      <c r="N79" s="507"/>
      <c r="O79" s="508"/>
      <c r="Q79" s="553"/>
      <c r="R79" s="201" t="s">
        <v>2420</v>
      </c>
      <c r="S79" s="506" t="str">
        <f ca="1">CONCATENATE(INDEX('NPC''s'!$T$106:$T$111,RANDBETWEEN(1,6)))</f>
        <v>RULING/AUTHORITY FIGURES</v>
      </c>
      <c r="T79" s="507"/>
      <c r="U79" s="507"/>
      <c r="V79" s="507"/>
      <c r="W79" s="508"/>
    </row>
    <row r="80" spans="1:23" ht="39.950000000000003" customHeight="1" thickBot="1">
      <c r="A80" s="554"/>
      <c r="B80" s="202" t="s">
        <v>2419</v>
      </c>
      <c r="C80" s="509" t="str">
        <f ca="1">CONCATENATE("Their current mood is ",INDEX('NPC''s'!$R$106:$R$125,RANDBETWEEN(1,20)),". When calm, they are ",INDEX('NPC''s'!$P$106:$P$137,RANDBETWEEN(1,32)),", and when stressed they are ",INDEX('NPC''s'!$Q$106:$Q$137,RANDBETWEEN(1,32)))</f>
        <v>Their current mood is AGITATED. When calm, they are FUNNY, and when stressed they are MANIPULATIVE</v>
      </c>
      <c r="D80" s="510"/>
      <c r="E80" s="510"/>
      <c r="F80" s="510"/>
      <c r="G80" s="511"/>
      <c r="I80" s="554"/>
      <c r="J80" s="202" t="s">
        <v>2419</v>
      </c>
      <c r="K80" s="509" t="str">
        <f ca="1">CONCATENATE("Their current mood is ",INDEX('NPC''s'!$R$106:$R$125,RANDBETWEEN(1,20)),". When calm, they are ",INDEX('NPC''s'!$P$106:$P$137,RANDBETWEEN(1,32)),", and when stressed they are ",INDEX('NPC''s'!$Q$106:$Q$137,RANDBETWEEN(1,32)))</f>
        <v>Their current mood is EAGER. When calm, they are SOPHISTICATED, and when stressed they are COWARDLY</v>
      </c>
      <c r="L80" s="510"/>
      <c r="M80" s="510"/>
      <c r="N80" s="510"/>
      <c r="O80" s="511"/>
      <c r="Q80" s="554"/>
      <c r="R80" s="202" t="s">
        <v>2419</v>
      </c>
      <c r="S80" s="509" t="str">
        <f ca="1">CONCATENATE("Their current mood is ",INDEX('NPC''s'!$R$106:$R$125,RANDBETWEEN(1,20)),". When calm, they are ",INDEX('NPC''s'!$P$106:$P$137,RANDBETWEEN(1,32)),", and when stressed they are ",INDEX('NPC''s'!$Q$106:$Q$137,RANDBETWEEN(1,32)))</f>
        <v>Their current mood is GLOOMY. When calm, they are DEVOUT, and when stressed they are AUTHORITARIAN</v>
      </c>
      <c r="T80" s="510"/>
      <c r="U80" s="510"/>
      <c r="V80" s="510"/>
      <c r="W80" s="511"/>
    </row>
    <row r="81" spans="1:2" ht="20.100000000000001" customHeight="1">
      <c r="A81" s="19"/>
      <c r="B81" s="17"/>
    </row>
    <row r="82" spans="1:2" ht="20.100000000000001" customHeight="1">
      <c r="A82" s="19"/>
      <c r="B82" s="17"/>
    </row>
    <row r="83" spans="1:2" ht="20.100000000000001" customHeight="1">
      <c r="A83" s="19"/>
      <c r="B83" s="17"/>
    </row>
    <row r="84" spans="1:2" ht="20.100000000000001" customHeight="1">
      <c r="A84" s="19"/>
      <c r="B84" s="17"/>
    </row>
    <row r="85" spans="1:2" ht="20.100000000000001" customHeight="1">
      <c r="A85" s="19"/>
      <c r="B85" s="17"/>
    </row>
    <row r="86" spans="1:2" ht="20.100000000000001" customHeight="1">
      <c r="A86" s="19"/>
      <c r="B86" s="17"/>
    </row>
    <row r="87" spans="1:2" ht="20.100000000000001" customHeight="1">
      <c r="A87" s="19"/>
      <c r="B87" s="17"/>
    </row>
    <row r="88" spans="1:2" ht="20.100000000000001" customHeight="1">
      <c r="A88" s="19"/>
      <c r="B88" s="17"/>
    </row>
    <row r="89" spans="1:2" ht="20.100000000000001" customHeight="1">
      <c r="A89" s="19"/>
      <c r="B89" s="17"/>
    </row>
    <row r="90" spans="1:2" ht="20.100000000000001" customHeight="1">
      <c r="A90" s="19"/>
      <c r="B90" s="17"/>
    </row>
    <row r="91" spans="1:2" ht="20.100000000000001" customHeight="1">
      <c r="A91" s="19"/>
      <c r="B91" s="17"/>
    </row>
    <row r="92" spans="1:2" ht="20.100000000000001" customHeight="1">
      <c r="A92" s="19"/>
      <c r="B92" s="17"/>
    </row>
    <row r="93" spans="1:2" ht="20.100000000000001" customHeight="1">
      <c r="A93" s="19"/>
      <c r="B93" s="17"/>
    </row>
    <row r="94" spans="1:2" ht="20.100000000000001" customHeight="1">
      <c r="A94" s="19"/>
      <c r="B94" s="17"/>
    </row>
    <row r="95" spans="1:2" ht="20.100000000000001" customHeight="1">
      <c r="A95" s="19"/>
      <c r="B95" s="17"/>
    </row>
    <row r="96" spans="1:2" ht="20.100000000000001" customHeight="1">
      <c r="A96" s="19"/>
      <c r="B96" s="17"/>
    </row>
    <row r="97" spans="1:24" ht="20.100000000000001" customHeight="1">
      <c r="A97" s="19"/>
      <c r="B97" s="17"/>
    </row>
    <row r="98" spans="1:24" ht="20.100000000000001" customHeight="1">
      <c r="A98" s="19"/>
      <c r="B98" s="17"/>
    </row>
    <row r="99" spans="1:24" ht="20.100000000000001" customHeight="1">
      <c r="A99" s="19"/>
      <c r="B99" s="17"/>
    </row>
    <row r="100" spans="1:24" ht="20.100000000000001" customHeight="1">
      <c r="A100" s="19"/>
      <c r="B100" s="17"/>
    </row>
    <row r="101" spans="1:24" ht="20.100000000000001" customHeight="1">
      <c r="A101" s="19"/>
      <c r="B101" s="17"/>
    </row>
    <row r="102" spans="1:24" ht="20.100000000000001" customHeight="1">
      <c r="A102" s="19"/>
      <c r="B102" s="17"/>
    </row>
    <row r="105" spans="1:24" s="10" customFormat="1">
      <c r="B105" s="14" t="s">
        <v>244</v>
      </c>
      <c r="C105" s="14" t="s">
        <v>245</v>
      </c>
      <c r="D105" s="14" t="s">
        <v>246</v>
      </c>
      <c r="E105" s="14" t="s">
        <v>247</v>
      </c>
      <c r="F105" s="14" t="s">
        <v>248</v>
      </c>
      <c r="G105" s="14" t="s">
        <v>249</v>
      </c>
      <c r="H105" s="282" t="s">
        <v>250</v>
      </c>
      <c r="I105" s="14" t="s">
        <v>251</v>
      </c>
      <c r="J105" s="14" t="s">
        <v>252</v>
      </c>
      <c r="K105" s="14" t="s">
        <v>253</v>
      </c>
      <c r="L105" s="14" t="s">
        <v>254</v>
      </c>
      <c r="M105" s="14" t="s">
        <v>255</v>
      </c>
      <c r="N105" s="14" t="s">
        <v>258</v>
      </c>
      <c r="O105" s="14" t="s">
        <v>266</v>
      </c>
      <c r="P105" s="282" t="s">
        <v>267</v>
      </c>
      <c r="Q105" s="14" t="s">
        <v>268</v>
      </c>
      <c r="R105" s="14" t="s">
        <v>269</v>
      </c>
      <c r="S105" s="14" t="s">
        <v>270</v>
      </c>
      <c r="T105" s="14" t="s">
        <v>271</v>
      </c>
      <c r="U105" s="14" t="s">
        <v>272</v>
      </c>
      <c r="X105" s="178"/>
    </row>
    <row r="106" spans="1:24" s="8" customFormat="1">
      <c r="A106" s="8">
        <v>1</v>
      </c>
      <c r="B106" s="15" t="s">
        <v>279</v>
      </c>
      <c r="C106" s="15" t="s">
        <v>297</v>
      </c>
      <c r="D106" s="15" t="s">
        <v>308</v>
      </c>
      <c r="E106" s="15" t="s">
        <v>317</v>
      </c>
      <c r="F106" s="15" t="s">
        <v>329</v>
      </c>
      <c r="G106" s="15" t="s">
        <v>337</v>
      </c>
      <c r="H106" s="283" t="s">
        <v>357</v>
      </c>
      <c r="I106" s="15" t="s">
        <v>365</v>
      </c>
      <c r="J106" s="15" t="s">
        <v>370</v>
      </c>
      <c r="K106" s="15" t="s">
        <v>483</v>
      </c>
      <c r="L106" s="15" t="s">
        <v>489</v>
      </c>
      <c r="M106" s="15" t="s">
        <v>2421</v>
      </c>
      <c r="N106" s="15" t="s">
        <v>259</v>
      </c>
      <c r="O106" s="15" t="s">
        <v>265</v>
      </c>
      <c r="P106" s="283" t="s">
        <v>397</v>
      </c>
      <c r="Q106" s="15" t="s">
        <v>429</v>
      </c>
      <c r="R106" s="15" t="s">
        <v>407</v>
      </c>
      <c r="S106" s="15" t="s">
        <v>473</v>
      </c>
      <c r="T106" s="15" t="s">
        <v>527</v>
      </c>
      <c r="U106" s="15" t="s">
        <v>504</v>
      </c>
      <c r="X106" s="39"/>
    </row>
    <row r="107" spans="1:24" s="8" customFormat="1">
      <c r="A107" s="8">
        <v>2</v>
      </c>
      <c r="B107" s="15" t="s">
        <v>280</v>
      </c>
      <c r="C107" s="15" t="s">
        <v>278</v>
      </c>
      <c r="D107" s="15" t="s">
        <v>309</v>
      </c>
      <c r="E107" s="15" t="s">
        <v>318</v>
      </c>
      <c r="F107" s="15" t="s">
        <v>330</v>
      </c>
      <c r="G107" s="15" t="s">
        <v>338</v>
      </c>
      <c r="H107" s="283" t="s">
        <v>358</v>
      </c>
      <c r="I107" s="15" t="s">
        <v>366</v>
      </c>
      <c r="J107" s="15" t="s">
        <v>371</v>
      </c>
      <c r="K107" s="15" t="s">
        <v>484</v>
      </c>
      <c r="L107" s="15" t="s">
        <v>1120</v>
      </c>
      <c r="M107" s="15" t="s">
        <v>256</v>
      </c>
      <c r="N107" s="15" t="s">
        <v>260</v>
      </c>
      <c r="O107" s="15" t="s">
        <v>390</v>
      </c>
      <c r="P107" s="283" t="s">
        <v>398</v>
      </c>
      <c r="Q107" s="15" t="s">
        <v>430</v>
      </c>
      <c r="R107" s="15" t="s">
        <v>422</v>
      </c>
      <c r="S107" s="15" t="s">
        <v>474</v>
      </c>
      <c r="T107" s="15" t="str">
        <f ca="1">CHOOSE(RANDBETWEEN(1,3),"CHILDREN","TEENAGERS","ELDERLY")</f>
        <v>CHILDREN</v>
      </c>
      <c r="U107" s="15" t="s">
        <v>505</v>
      </c>
      <c r="X107" s="39"/>
    </row>
    <row r="108" spans="1:24" s="8" customFormat="1">
      <c r="A108" s="8">
        <v>3</v>
      </c>
      <c r="B108" s="15" t="s">
        <v>277</v>
      </c>
      <c r="C108" s="15" t="s">
        <v>298</v>
      </c>
      <c r="D108" s="15" t="s">
        <v>310</v>
      </c>
      <c r="E108" s="15" t="s">
        <v>319</v>
      </c>
      <c r="F108" s="15" t="s">
        <v>331</v>
      </c>
      <c r="G108" s="15" t="s">
        <v>339</v>
      </c>
      <c r="H108" s="283" t="s">
        <v>359</v>
      </c>
      <c r="I108" s="15" t="s">
        <v>367</v>
      </c>
      <c r="J108" s="15" t="s">
        <v>372</v>
      </c>
      <c r="K108" s="15" t="s">
        <v>524</v>
      </c>
      <c r="L108" s="15" t="s">
        <v>491</v>
      </c>
      <c r="M108" s="15" t="s">
        <v>2422</v>
      </c>
      <c r="N108" s="15" t="s">
        <v>261</v>
      </c>
      <c r="O108" s="15" t="s">
        <v>391</v>
      </c>
      <c r="P108" s="283" t="s">
        <v>399</v>
      </c>
      <c r="Q108" s="15" t="s">
        <v>431</v>
      </c>
      <c r="R108" s="15" t="s">
        <v>458</v>
      </c>
      <c r="S108" s="15" t="s">
        <v>475</v>
      </c>
      <c r="T108" s="15" t="str">
        <f ca="1">CHOOSE(RANDBETWEEN(1,3),"RULING/AUTHORITY FIGURES","POWERFUL/RICH","DESTITUTE/POOR")</f>
        <v>RULING/AUTHORITY FIGURES</v>
      </c>
      <c r="U108" s="15" t="s">
        <v>506</v>
      </c>
      <c r="X108" s="39"/>
    </row>
    <row r="109" spans="1:24" s="8" customFormat="1">
      <c r="A109" s="8">
        <v>4</v>
      </c>
      <c r="B109" s="15" t="s">
        <v>281</v>
      </c>
      <c r="C109" s="15" t="s">
        <v>299</v>
      </c>
      <c r="D109" s="15" t="s">
        <v>311</v>
      </c>
      <c r="E109" s="15" t="s">
        <v>320</v>
      </c>
      <c r="F109" s="15" t="s">
        <v>332</v>
      </c>
      <c r="G109" s="15" t="s">
        <v>340</v>
      </c>
      <c r="H109" s="283" t="s">
        <v>360</v>
      </c>
      <c r="I109" s="15" t="s">
        <v>540</v>
      </c>
      <c r="J109" s="15" t="s">
        <v>373</v>
      </c>
      <c r="K109" s="15" t="s">
        <v>485</v>
      </c>
      <c r="L109" s="15" t="s">
        <v>492</v>
      </c>
      <c r="M109" s="15" t="s">
        <v>2423</v>
      </c>
      <c r="N109" s="15" t="s">
        <v>262</v>
      </c>
      <c r="O109" s="15" t="s">
        <v>392</v>
      </c>
      <c r="P109" s="283" t="s">
        <v>400</v>
      </c>
      <c r="Q109" s="15" t="s">
        <v>432</v>
      </c>
      <c r="R109" s="15" t="s">
        <v>403</v>
      </c>
      <c r="S109" s="15" t="s">
        <v>476</v>
      </c>
      <c r="T109" s="15" t="str">
        <f ca="1">CHOOSE(RANDBETWEEN(1,3),"BEGGARS","DRUNKS","DRUG-USERS")</f>
        <v>BEGGARS</v>
      </c>
      <c r="U109" s="15" t="s">
        <v>507</v>
      </c>
      <c r="X109" s="39"/>
    </row>
    <row r="110" spans="1:24" s="8" customFormat="1">
      <c r="A110" s="8">
        <v>5</v>
      </c>
      <c r="B110" s="15" t="s">
        <v>282</v>
      </c>
      <c r="C110" s="15" t="s">
        <v>300</v>
      </c>
      <c r="D110" s="15" t="s">
        <v>312</v>
      </c>
      <c r="E110" s="15" t="s">
        <v>321</v>
      </c>
      <c r="F110" s="15" t="s">
        <v>333</v>
      </c>
      <c r="G110" s="15" t="s">
        <v>341</v>
      </c>
      <c r="H110" s="283" t="s">
        <v>361</v>
      </c>
      <c r="I110" s="15" t="s">
        <v>368</v>
      </c>
      <c r="J110" s="15" t="s">
        <v>374</v>
      </c>
      <c r="K110" s="15" t="s">
        <v>486</v>
      </c>
      <c r="L110" s="15" t="s">
        <v>493</v>
      </c>
      <c r="M110" s="15" t="s">
        <v>2424</v>
      </c>
      <c r="N110" s="15" t="s">
        <v>263</v>
      </c>
      <c r="O110" s="15" t="s">
        <v>393</v>
      </c>
      <c r="P110" s="283" t="s">
        <v>401</v>
      </c>
      <c r="Q110" s="15" t="s">
        <v>433</v>
      </c>
      <c r="R110" s="15" t="s">
        <v>459</v>
      </c>
      <c r="S110" s="15" t="s">
        <v>477</v>
      </c>
      <c r="T110" s="15" t="str">
        <f ca="1">CHOOSE(RANDBETWEEN(1,12),"FARMERS","ARTISTS/ACTORS","CLERGY","SOLDIERS","FISHERS","HARLOTS","MINERS","MERCHANTS","SCHOLARS","SHEPHARDS","SAILORS","WIZARDS")</f>
        <v>FISHERS</v>
      </c>
      <c r="U110" s="15" t="s">
        <v>508</v>
      </c>
      <c r="X110" s="39"/>
    </row>
    <row r="111" spans="1:24" s="8" customFormat="1">
      <c r="A111" s="8">
        <v>6</v>
      </c>
      <c r="B111" s="15" t="s">
        <v>283</v>
      </c>
      <c r="C111" s="15" t="s">
        <v>301</v>
      </c>
      <c r="D111" s="15" t="s">
        <v>313</v>
      </c>
      <c r="E111" s="15" t="s">
        <v>322</v>
      </c>
      <c r="F111" s="15" t="s">
        <v>334</v>
      </c>
      <c r="G111" s="15" t="s">
        <v>342</v>
      </c>
      <c r="H111" s="283" t="s">
        <v>362</v>
      </c>
      <c r="I111" s="15" t="s">
        <v>369</v>
      </c>
      <c r="J111" s="15" t="s">
        <v>375</v>
      </c>
      <c r="K111" s="15" t="s">
        <v>487</v>
      </c>
      <c r="L111" s="15" t="s">
        <v>1120</v>
      </c>
      <c r="M111" s="15" t="s">
        <v>2425</v>
      </c>
      <c r="N111" s="15" t="s">
        <v>264</v>
      </c>
      <c r="O111" s="15" t="s">
        <v>394</v>
      </c>
      <c r="P111" s="283" t="s">
        <v>402</v>
      </c>
      <c r="Q111" s="15" t="s">
        <v>434</v>
      </c>
      <c r="R111" s="15" t="s">
        <v>460</v>
      </c>
      <c r="S111" s="15" t="s">
        <v>478</v>
      </c>
      <c r="T111" s="15" t="str">
        <f ca="1">CHOOSE(RANDBETWEEN(1,8),"DWARVES","ELVES","GNOMES","GOBLINS","HALF-BREEDS","HALFLINGS","HUMANS","REPTILIANS")</f>
        <v>HALFLINGS</v>
      </c>
      <c r="U111" s="15" t="s">
        <v>481</v>
      </c>
      <c r="X111" s="39"/>
    </row>
    <row r="112" spans="1:24" s="8" customFormat="1">
      <c r="A112" s="8">
        <v>7</v>
      </c>
      <c r="B112" s="15" t="s">
        <v>284</v>
      </c>
      <c r="C112" s="15" t="s">
        <v>302</v>
      </c>
      <c r="D112" s="15" t="s">
        <v>314</v>
      </c>
      <c r="E112" s="15" t="s">
        <v>323</v>
      </c>
      <c r="F112" s="15" t="s">
        <v>335</v>
      </c>
      <c r="G112" s="15" t="s">
        <v>343</v>
      </c>
      <c r="H112" s="283" t="s">
        <v>363</v>
      </c>
      <c r="I112" s="16" t="s">
        <v>541</v>
      </c>
      <c r="J112" s="15" t="s">
        <v>376</v>
      </c>
      <c r="K112" s="16" t="s">
        <v>273</v>
      </c>
      <c r="L112" s="15" t="s">
        <v>495</v>
      </c>
      <c r="M112" s="15" t="s">
        <v>2426</v>
      </c>
      <c r="N112" s="16" t="s">
        <v>2431</v>
      </c>
      <c r="O112" s="15" t="s">
        <v>395</v>
      </c>
      <c r="P112" s="283" t="s">
        <v>403</v>
      </c>
      <c r="Q112" s="15" t="s">
        <v>435</v>
      </c>
      <c r="R112" s="15" t="s">
        <v>461</v>
      </c>
      <c r="S112" s="15" t="s">
        <v>479</v>
      </c>
      <c r="T112" s="16" t="s">
        <v>273</v>
      </c>
      <c r="U112" s="15" t="s">
        <v>482</v>
      </c>
      <c r="X112" s="39"/>
    </row>
    <row r="113" spans="1:24" s="8" customFormat="1">
      <c r="A113" s="8">
        <v>8</v>
      </c>
      <c r="B113" s="15" t="s">
        <v>285</v>
      </c>
      <c r="C113" s="15" t="s">
        <v>303</v>
      </c>
      <c r="D113" s="15" t="s">
        <v>315</v>
      </c>
      <c r="E113" s="15" t="s">
        <v>324</v>
      </c>
      <c r="F113" s="15" t="s">
        <v>336</v>
      </c>
      <c r="G113" s="15" t="s">
        <v>344</v>
      </c>
      <c r="H113" s="283" t="s">
        <v>364</v>
      </c>
      <c r="I113" s="16" t="s">
        <v>367</v>
      </c>
      <c r="J113" s="15" t="s">
        <v>377</v>
      </c>
      <c r="K113" s="16" t="s">
        <v>273</v>
      </c>
      <c r="L113" s="15" t="s">
        <v>496</v>
      </c>
      <c r="M113" s="15" t="s">
        <v>257</v>
      </c>
      <c r="N113" s="16" t="s">
        <v>2432</v>
      </c>
      <c r="O113" s="15" t="s">
        <v>396</v>
      </c>
      <c r="P113" s="283" t="s">
        <v>404</v>
      </c>
      <c r="Q113" s="15" t="s">
        <v>436</v>
      </c>
      <c r="R113" s="15" t="s">
        <v>462</v>
      </c>
      <c r="S113" s="15" t="s">
        <v>480</v>
      </c>
      <c r="T113" s="16" t="s">
        <v>273</v>
      </c>
      <c r="U113" s="15" t="s">
        <v>509</v>
      </c>
      <c r="X113" s="39"/>
    </row>
    <row r="114" spans="1:24" s="8" customFormat="1">
      <c r="A114" s="8">
        <v>9</v>
      </c>
      <c r="B114" s="15" t="s">
        <v>488</v>
      </c>
      <c r="C114" s="15" t="s">
        <v>304</v>
      </c>
      <c r="D114" s="15" t="s">
        <v>316</v>
      </c>
      <c r="E114" s="15" t="s">
        <v>325</v>
      </c>
      <c r="F114" s="16" t="s">
        <v>273</v>
      </c>
      <c r="G114" s="15" t="s">
        <v>345</v>
      </c>
      <c r="H114" s="284" t="s">
        <v>273</v>
      </c>
      <c r="I114" s="16" t="s">
        <v>540</v>
      </c>
      <c r="J114" s="15" t="s">
        <v>378</v>
      </c>
      <c r="K114" s="16" t="s">
        <v>273</v>
      </c>
      <c r="L114" s="15" t="s">
        <v>497</v>
      </c>
      <c r="M114" s="15" t="s">
        <v>2427</v>
      </c>
      <c r="N114" s="16" t="s">
        <v>2433</v>
      </c>
      <c r="O114" s="16" t="s">
        <v>273</v>
      </c>
      <c r="P114" s="283" t="s">
        <v>405</v>
      </c>
      <c r="Q114" s="15" t="s">
        <v>437</v>
      </c>
      <c r="R114" s="15" t="s">
        <v>463</v>
      </c>
      <c r="S114" s="16" t="s">
        <v>273</v>
      </c>
      <c r="T114" s="16" t="s">
        <v>273</v>
      </c>
      <c r="U114" s="15" t="s">
        <v>510</v>
      </c>
      <c r="X114" s="39"/>
    </row>
    <row r="115" spans="1:24" s="8" customFormat="1">
      <c r="A115" s="8">
        <v>10</v>
      </c>
      <c r="B115" s="15" t="s">
        <v>286</v>
      </c>
      <c r="C115" s="15" t="s">
        <v>305</v>
      </c>
      <c r="D115" s="15" t="s">
        <v>538</v>
      </c>
      <c r="E115" s="15" t="s">
        <v>326</v>
      </c>
      <c r="F115" s="16" t="s">
        <v>273</v>
      </c>
      <c r="G115" s="15" t="s">
        <v>346</v>
      </c>
      <c r="H115" s="284" t="s">
        <v>273</v>
      </c>
      <c r="I115" s="16" t="s">
        <v>367</v>
      </c>
      <c r="J115" s="15" t="s">
        <v>379</v>
      </c>
      <c r="K115" s="16" t="s">
        <v>273</v>
      </c>
      <c r="L115" s="15" t="s">
        <v>1120</v>
      </c>
      <c r="M115" s="15" t="s">
        <v>2428</v>
      </c>
      <c r="N115" s="16" t="s">
        <v>2434</v>
      </c>
      <c r="O115" s="16" t="s">
        <v>273</v>
      </c>
      <c r="P115" s="283" t="s">
        <v>406</v>
      </c>
      <c r="Q115" s="15" t="s">
        <v>438</v>
      </c>
      <c r="R115" s="15" t="s">
        <v>464</v>
      </c>
      <c r="S115" s="16" t="s">
        <v>273</v>
      </c>
      <c r="T115" s="16"/>
      <c r="U115" s="15" t="s">
        <v>511</v>
      </c>
      <c r="X115" s="39"/>
    </row>
    <row r="116" spans="1:24" s="8" customFormat="1">
      <c r="A116" s="8">
        <v>11</v>
      </c>
      <c r="B116" s="15" t="s">
        <v>287</v>
      </c>
      <c r="C116" s="15" t="s">
        <v>306</v>
      </c>
      <c r="D116" s="16"/>
      <c r="E116" s="15" t="s">
        <v>327</v>
      </c>
      <c r="F116" s="16" t="s">
        <v>273</v>
      </c>
      <c r="G116" s="15" t="s">
        <v>347</v>
      </c>
      <c r="H116" s="284" t="s">
        <v>273</v>
      </c>
      <c r="I116" s="16" t="s">
        <v>273</v>
      </c>
      <c r="J116" s="15" t="s">
        <v>380</v>
      </c>
      <c r="K116" s="16" t="s">
        <v>273</v>
      </c>
      <c r="L116" s="15" t="s">
        <v>499</v>
      </c>
      <c r="M116" s="15" t="s">
        <v>2429</v>
      </c>
      <c r="N116" s="16" t="s">
        <v>273</v>
      </c>
      <c r="O116" s="16" t="s">
        <v>273</v>
      </c>
      <c r="P116" s="283" t="s">
        <v>407</v>
      </c>
      <c r="Q116" s="15" t="s">
        <v>439</v>
      </c>
      <c r="R116" s="15" t="s">
        <v>465</v>
      </c>
      <c r="S116" s="16" t="s">
        <v>273</v>
      </c>
      <c r="T116" s="16"/>
      <c r="U116" s="15" t="s">
        <v>512</v>
      </c>
      <c r="X116" s="39"/>
    </row>
    <row r="117" spans="1:24" s="8" customFormat="1">
      <c r="A117" s="8">
        <v>12</v>
      </c>
      <c r="B117" s="15" t="s">
        <v>288</v>
      </c>
      <c r="C117" s="15" t="s">
        <v>307</v>
      </c>
      <c r="D117" s="16" t="s">
        <v>273</v>
      </c>
      <c r="E117" s="15" t="s">
        <v>328</v>
      </c>
      <c r="F117" s="16" t="s">
        <v>273</v>
      </c>
      <c r="G117" s="15" t="s">
        <v>348</v>
      </c>
      <c r="H117" s="284" t="s">
        <v>273</v>
      </c>
      <c r="I117" s="16" t="s">
        <v>273</v>
      </c>
      <c r="J117" s="15" t="s">
        <v>381</v>
      </c>
      <c r="K117" s="16" t="s">
        <v>273</v>
      </c>
      <c r="L117" s="15" t="s">
        <v>500</v>
      </c>
      <c r="M117" s="15" t="s">
        <v>2430</v>
      </c>
      <c r="N117" s="16" t="s">
        <v>273</v>
      </c>
      <c r="O117" s="16" t="s">
        <v>273</v>
      </c>
      <c r="P117" s="283" t="s">
        <v>408</v>
      </c>
      <c r="Q117" s="15" t="s">
        <v>440</v>
      </c>
      <c r="R117" s="15" t="s">
        <v>466</v>
      </c>
      <c r="S117" s="16" t="s">
        <v>273</v>
      </c>
      <c r="T117" s="16" t="s">
        <v>273</v>
      </c>
      <c r="U117" s="15" t="s">
        <v>513</v>
      </c>
      <c r="X117" s="39"/>
    </row>
    <row r="118" spans="1:24" s="8" customFormat="1">
      <c r="A118" s="8">
        <v>13</v>
      </c>
      <c r="B118" s="15" t="s">
        <v>289</v>
      </c>
      <c r="C118" s="16" t="s">
        <v>273</v>
      </c>
      <c r="D118" s="16" t="s">
        <v>273</v>
      </c>
      <c r="E118" s="16" t="s">
        <v>273</v>
      </c>
      <c r="F118" s="16" t="s">
        <v>273</v>
      </c>
      <c r="G118" s="15" t="s">
        <v>349</v>
      </c>
      <c r="H118" s="284" t="s">
        <v>273</v>
      </c>
      <c r="I118" s="16" t="s">
        <v>273</v>
      </c>
      <c r="J118" s="15" t="s">
        <v>382</v>
      </c>
      <c r="K118" s="16" t="s">
        <v>273</v>
      </c>
      <c r="L118" s="15" t="s">
        <v>501</v>
      </c>
      <c r="M118" s="16" t="s">
        <v>273</v>
      </c>
      <c r="N118" s="16" t="s">
        <v>273</v>
      </c>
      <c r="O118" s="16" t="s">
        <v>273</v>
      </c>
      <c r="P118" s="283" t="s">
        <v>409</v>
      </c>
      <c r="Q118" s="15" t="s">
        <v>441</v>
      </c>
      <c r="R118" s="15" t="s">
        <v>467</v>
      </c>
      <c r="S118" s="16" t="s">
        <v>273</v>
      </c>
      <c r="T118" s="16" t="s">
        <v>273</v>
      </c>
      <c r="U118" s="15" t="s">
        <v>515</v>
      </c>
      <c r="X118" s="39"/>
    </row>
    <row r="119" spans="1:24" s="8" customFormat="1">
      <c r="A119" s="8">
        <v>14</v>
      </c>
      <c r="B119" s="15" t="s">
        <v>290</v>
      </c>
      <c r="C119" s="16" t="s">
        <v>273</v>
      </c>
      <c r="D119" s="16" t="s">
        <v>273</v>
      </c>
      <c r="E119" s="16" t="s">
        <v>273</v>
      </c>
      <c r="F119" s="16" t="s">
        <v>273</v>
      </c>
      <c r="G119" s="15" t="s">
        <v>350</v>
      </c>
      <c r="H119" s="284" t="s">
        <v>273</v>
      </c>
      <c r="I119" s="16" t="s">
        <v>273</v>
      </c>
      <c r="J119" s="15" t="s">
        <v>383</v>
      </c>
      <c r="K119" s="16" t="s">
        <v>273</v>
      </c>
      <c r="L119" s="16" t="s">
        <v>502</v>
      </c>
      <c r="M119" s="16" t="s">
        <v>273</v>
      </c>
      <c r="N119" s="16" t="s">
        <v>273</v>
      </c>
      <c r="O119" s="16" t="s">
        <v>273</v>
      </c>
      <c r="P119" s="283" t="s">
        <v>410</v>
      </c>
      <c r="Q119" s="15" t="s">
        <v>409</v>
      </c>
      <c r="R119" s="15" t="s">
        <v>429</v>
      </c>
      <c r="S119" s="16" t="s">
        <v>273</v>
      </c>
      <c r="T119" s="16" t="s">
        <v>273</v>
      </c>
      <c r="U119" s="15" t="s">
        <v>514</v>
      </c>
      <c r="X119" s="39"/>
    </row>
    <row r="120" spans="1:24" s="8" customFormat="1">
      <c r="A120" s="8">
        <v>15</v>
      </c>
      <c r="B120" s="15" t="s">
        <v>291</v>
      </c>
      <c r="C120" s="16" t="s">
        <v>273</v>
      </c>
      <c r="D120" s="16" t="s">
        <v>273</v>
      </c>
      <c r="E120" s="16" t="s">
        <v>273</v>
      </c>
      <c r="F120" s="16" t="s">
        <v>273</v>
      </c>
      <c r="G120" s="15" t="s">
        <v>351</v>
      </c>
      <c r="H120" s="284" t="s">
        <v>273</v>
      </c>
      <c r="I120" s="16" t="s">
        <v>273</v>
      </c>
      <c r="J120" s="15" t="s">
        <v>384</v>
      </c>
      <c r="K120" s="16" t="s">
        <v>273</v>
      </c>
      <c r="L120" s="16" t="s">
        <v>1120</v>
      </c>
      <c r="M120" s="16" t="s">
        <v>273</v>
      </c>
      <c r="N120" s="16" t="s">
        <v>273</v>
      </c>
      <c r="O120" s="16" t="s">
        <v>273</v>
      </c>
      <c r="P120" s="283" t="s">
        <v>411</v>
      </c>
      <c r="Q120" s="15" t="s">
        <v>442</v>
      </c>
      <c r="R120" s="15" t="s">
        <v>468</v>
      </c>
      <c r="S120" s="16" t="s">
        <v>273</v>
      </c>
      <c r="T120" s="16" t="s">
        <v>273</v>
      </c>
      <c r="U120" s="15" t="s">
        <v>516</v>
      </c>
      <c r="X120" s="39"/>
    </row>
    <row r="121" spans="1:24" s="8" customFormat="1">
      <c r="A121" s="8">
        <v>16</v>
      </c>
      <c r="B121" s="15" t="s">
        <v>292</v>
      </c>
      <c r="C121" s="16" t="s">
        <v>273</v>
      </c>
      <c r="D121" s="16" t="s">
        <v>273</v>
      </c>
      <c r="E121" s="16" t="s">
        <v>273</v>
      </c>
      <c r="F121" s="16" t="s">
        <v>273</v>
      </c>
      <c r="G121" s="15" t="s">
        <v>352</v>
      </c>
      <c r="H121" s="284" t="s">
        <v>273</v>
      </c>
      <c r="I121" s="16" t="s">
        <v>273</v>
      </c>
      <c r="J121" s="15" t="s">
        <v>385</v>
      </c>
      <c r="K121" s="16" t="s">
        <v>273</v>
      </c>
      <c r="L121" s="15" t="s">
        <v>494</v>
      </c>
      <c r="M121" s="16" t="s">
        <v>273</v>
      </c>
      <c r="N121" s="16" t="s">
        <v>273</v>
      </c>
      <c r="O121" s="16" t="s">
        <v>273</v>
      </c>
      <c r="P121" s="283" t="s">
        <v>412</v>
      </c>
      <c r="Q121" s="15" t="s">
        <v>443</v>
      </c>
      <c r="R121" s="15" t="s">
        <v>469</v>
      </c>
      <c r="S121" s="16" t="s">
        <v>273</v>
      </c>
      <c r="T121" s="16" t="s">
        <v>273</v>
      </c>
      <c r="U121" s="15" t="s">
        <v>517</v>
      </c>
      <c r="X121" s="39"/>
    </row>
    <row r="122" spans="1:24" s="8" customFormat="1">
      <c r="A122" s="8">
        <v>17</v>
      </c>
      <c r="B122" s="15" t="s">
        <v>293</v>
      </c>
      <c r="C122" s="16" t="s">
        <v>273</v>
      </c>
      <c r="D122" s="16" t="s">
        <v>273</v>
      </c>
      <c r="E122" s="16" t="s">
        <v>273</v>
      </c>
      <c r="F122" s="16" t="s">
        <v>273</v>
      </c>
      <c r="G122" s="15" t="s">
        <v>353</v>
      </c>
      <c r="H122" s="284" t="s">
        <v>273</v>
      </c>
      <c r="I122" s="16" t="s">
        <v>273</v>
      </c>
      <c r="J122" s="15" t="s">
        <v>386</v>
      </c>
      <c r="K122" s="16" t="s">
        <v>273</v>
      </c>
      <c r="L122" s="15" t="s">
        <v>490</v>
      </c>
      <c r="M122" s="16" t="s">
        <v>273</v>
      </c>
      <c r="N122" s="16" t="s">
        <v>273</v>
      </c>
      <c r="O122" s="16" t="s">
        <v>273</v>
      </c>
      <c r="P122" s="283" t="s">
        <v>413</v>
      </c>
      <c r="Q122" s="15" t="s">
        <v>444</v>
      </c>
      <c r="R122" s="15" t="s">
        <v>409</v>
      </c>
      <c r="S122" s="16" t="s">
        <v>273</v>
      </c>
      <c r="T122" s="16" t="s">
        <v>273</v>
      </c>
      <c r="U122" s="15" t="s">
        <v>518</v>
      </c>
      <c r="X122" s="39"/>
    </row>
    <row r="123" spans="1:24" s="8" customFormat="1">
      <c r="A123" s="8">
        <v>18</v>
      </c>
      <c r="B123" s="15" t="s">
        <v>294</v>
      </c>
      <c r="C123" s="16" t="s">
        <v>273</v>
      </c>
      <c r="D123" s="16" t="s">
        <v>273</v>
      </c>
      <c r="E123" s="16" t="s">
        <v>273</v>
      </c>
      <c r="F123" s="16" t="s">
        <v>273</v>
      </c>
      <c r="G123" s="15" t="s">
        <v>354</v>
      </c>
      <c r="H123" s="284" t="s">
        <v>273</v>
      </c>
      <c r="I123" s="16" t="s">
        <v>273</v>
      </c>
      <c r="J123" s="15" t="s">
        <v>387</v>
      </c>
      <c r="K123" s="16" t="s">
        <v>273</v>
      </c>
      <c r="L123" s="16" t="s">
        <v>1120</v>
      </c>
      <c r="M123" s="16" t="s">
        <v>273</v>
      </c>
      <c r="N123" s="16" t="s">
        <v>273</v>
      </c>
      <c r="O123" s="16" t="s">
        <v>273</v>
      </c>
      <c r="P123" s="283" t="s">
        <v>414</v>
      </c>
      <c r="Q123" s="15" t="s">
        <v>445</v>
      </c>
      <c r="R123" s="15" t="s">
        <v>470</v>
      </c>
      <c r="S123" s="16" t="s">
        <v>273</v>
      </c>
      <c r="T123" s="16" t="s">
        <v>273</v>
      </c>
      <c r="U123" s="15" t="s">
        <v>519</v>
      </c>
      <c r="X123" s="39"/>
    </row>
    <row r="124" spans="1:24" s="8" customFormat="1">
      <c r="A124" s="8">
        <v>19</v>
      </c>
      <c r="B124" s="15" t="s">
        <v>295</v>
      </c>
      <c r="C124" s="16" t="s">
        <v>273</v>
      </c>
      <c r="D124" s="16" t="s">
        <v>273</v>
      </c>
      <c r="E124" s="16" t="s">
        <v>273</v>
      </c>
      <c r="F124" s="16" t="s">
        <v>273</v>
      </c>
      <c r="G124" s="15" t="s">
        <v>355</v>
      </c>
      <c r="H124" s="284" t="s">
        <v>273</v>
      </c>
      <c r="I124" s="16" t="s">
        <v>273</v>
      </c>
      <c r="J124" s="15" t="s">
        <v>388</v>
      </c>
      <c r="K124" s="16" t="s">
        <v>273</v>
      </c>
      <c r="L124" s="16" t="s">
        <v>526</v>
      </c>
      <c r="M124" s="16" t="s">
        <v>273</v>
      </c>
      <c r="N124" s="16" t="s">
        <v>273</v>
      </c>
      <c r="O124" s="16" t="s">
        <v>273</v>
      </c>
      <c r="P124" s="283" t="s">
        <v>415</v>
      </c>
      <c r="Q124" s="15" t="s">
        <v>446</v>
      </c>
      <c r="R124" s="15" t="s">
        <v>471</v>
      </c>
      <c r="S124" s="16" t="s">
        <v>273</v>
      </c>
      <c r="T124" s="16" t="s">
        <v>273</v>
      </c>
      <c r="U124" s="15" t="s">
        <v>520</v>
      </c>
      <c r="X124" s="39"/>
    </row>
    <row r="125" spans="1:24" s="8" customFormat="1">
      <c r="A125" s="8">
        <v>20</v>
      </c>
      <c r="B125" s="15" t="s">
        <v>296</v>
      </c>
      <c r="C125" s="16" t="s">
        <v>273</v>
      </c>
      <c r="D125" s="16" t="s">
        <v>273</v>
      </c>
      <c r="E125" s="16" t="s">
        <v>273</v>
      </c>
      <c r="F125" s="16" t="s">
        <v>273</v>
      </c>
      <c r="G125" s="15" t="s">
        <v>356</v>
      </c>
      <c r="H125" s="284" t="s">
        <v>273</v>
      </c>
      <c r="I125" s="16" t="s">
        <v>273</v>
      </c>
      <c r="J125" s="15" t="s">
        <v>389</v>
      </c>
      <c r="K125" s="16" t="s">
        <v>273</v>
      </c>
      <c r="L125" s="15" t="s">
        <v>498</v>
      </c>
      <c r="M125" s="16" t="s">
        <v>273</v>
      </c>
      <c r="N125" s="16" t="s">
        <v>273</v>
      </c>
      <c r="O125" s="16" t="s">
        <v>273</v>
      </c>
      <c r="P125" s="283" t="s">
        <v>416</v>
      </c>
      <c r="Q125" s="15" t="s">
        <v>447</v>
      </c>
      <c r="R125" s="15" t="s">
        <v>472</v>
      </c>
      <c r="S125" s="16" t="s">
        <v>273</v>
      </c>
      <c r="T125" s="16" t="s">
        <v>273</v>
      </c>
      <c r="U125" s="15" t="s">
        <v>521</v>
      </c>
      <c r="X125" s="39"/>
    </row>
    <row r="126" spans="1:24" s="8" customFormat="1">
      <c r="A126" s="8">
        <v>21</v>
      </c>
      <c r="B126" s="16" t="s">
        <v>273</v>
      </c>
      <c r="C126" s="16" t="s">
        <v>273</v>
      </c>
      <c r="D126" s="16" t="s">
        <v>273</v>
      </c>
      <c r="E126" s="16" t="s">
        <v>273</v>
      </c>
      <c r="F126" s="16" t="s">
        <v>273</v>
      </c>
      <c r="G126" s="16" t="s">
        <v>273</v>
      </c>
      <c r="H126" s="284" t="s">
        <v>273</v>
      </c>
      <c r="I126" s="16" t="s">
        <v>273</v>
      </c>
      <c r="J126" s="16" t="s">
        <v>273</v>
      </c>
      <c r="K126" s="16" t="s">
        <v>273</v>
      </c>
      <c r="L126" s="16" t="s">
        <v>273</v>
      </c>
      <c r="M126" s="16" t="s">
        <v>273</v>
      </c>
      <c r="N126" s="16" t="s">
        <v>273</v>
      </c>
      <c r="O126" s="16" t="s">
        <v>273</v>
      </c>
      <c r="P126" s="283" t="s">
        <v>417</v>
      </c>
      <c r="Q126" s="15" t="s">
        <v>448</v>
      </c>
      <c r="R126" s="16" t="s">
        <v>273</v>
      </c>
      <c r="S126" s="16" t="s">
        <v>273</v>
      </c>
      <c r="T126" s="16" t="s">
        <v>273</v>
      </c>
      <c r="U126" s="16" t="s">
        <v>273</v>
      </c>
      <c r="X126" s="39"/>
    </row>
    <row r="127" spans="1:24" s="8" customFormat="1">
      <c r="A127" s="8">
        <v>22</v>
      </c>
      <c r="B127" s="16" t="s">
        <v>273</v>
      </c>
      <c r="C127" s="16" t="s">
        <v>273</v>
      </c>
      <c r="D127" s="16" t="s">
        <v>273</v>
      </c>
      <c r="E127" s="16" t="s">
        <v>273</v>
      </c>
      <c r="F127" s="16" t="s">
        <v>273</v>
      </c>
      <c r="G127" s="16" t="s">
        <v>273</v>
      </c>
      <c r="H127" s="284" t="s">
        <v>273</v>
      </c>
      <c r="I127" s="16" t="s">
        <v>273</v>
      </c>
      <c r="J127" s="16" t="s">
        <v>273</v>
      </c>
      <c r="K127" s="16" t="s">
        <v>273</v>
      </c>
      <c r="L127" s="16" t="s">
        <v>273</v>
      </c>
      <c r="M127" s="16" t="s">
        <v>273</v>
      </c>
      <c r="N127" s="16" t="s">
        <v>273</v>
      </c>
      <c r="O127" s="16" t="s">
        <v>273</v>
      </c>
      <c r="P127" s="283" t="s">
        <v>418</v>
      </c>
      <c r="Q127" s="15" t="s">
        <v>449</v>
      </c>
      <c r="R127" s="16" t="s">
        <v>273</v>
      </c>
      <c r="S127" s="16" t="s">
        <v>273</v>
      </c>
      <c r="T127" s="16" t="s">
        <v>273</v>
      </c>
      <c r="U127" s="16" t="s">
        <v>273</v>
      </c>
      <c r="X127" s="39"/>
    </row>
    <row r="128" spans="1:24" s="8" customFormat="1">
      <c r="A128" s="8">
        <v>23</v>
      </c>
      <c r="B128" s="16" t="s">
        <v>273</v>
      </c>
      <c r="C128" s="16" t="s">
        <v>273</v>
      </c>
      <c r="D128" s="16" t="s">
        <v>273</v>
      </c>
      <c r="E128" s="16" t="s">
        <v>273</v>
      </c>
      <c r="F128" s="16" t="s">
        <v>273</v>
      </c>
      <c r="G128" s="16" t="s">
        <v>273</v>
      </c>
      <c r="H128" s="284" t="s">
        <v>273</v>
      </c>
      <c r="I128" s="16" t="s">
        <v>273</v>
      </c>
      <c r="J128" s="16" t="s">
        <v>273</v>
      </c>
      <c r="K128" s="16" t="s">
        <v>273</v>
      </c>
      <c r="L128" s="16" t="s">
        <v>273</v>
      </c>
      <c r="M128" s="16" t="s">
        <v>273</v>
      </c>
      <c r="N128" s="16" t="s">
        <v>273</v>
      </c>
      <c r="O128" s="16" t="s">
        <v>273</v>
      </c>
      <c r="P128" s="283" t="s">
        <v>419</v>
      </c>
      <c r="Q128" s="15" t="s">
        <v>450</v>
      </c>
      <c r="R128" s="16" t="s">
        <v>273</v>
      </c>
      <c r="S128" s="16" t="s">
        <v>273</v>
      </c>
      <c r="T128" s="16" t="s">
        <v>273</v>
      </c>
      <c r="U128" s="16" t="s">
        <v>273</v>
      </c>
      <c r="X128" s="39"/>
    </row>
    <row r="129" spans="1:24" s="8" customFormat="1">
      <c r="A129" s="8">
        <v>24</v>
      </c>
      <c r="B129" s="16" t="s">
        <v>273</v>
      </c>
      <c r="C129" s="16" t="s">
        <v>273</v>
      </c>
      <c r="D129" s="16" t="s">
        <v>273</v>
      </c>
      <c r="E129" s="16" t="s">
        <v>273</v>
      </c>
      <c r="F129" s="16" t="s">
        <v>273</v>
      </c>
      <c r="G129" s="16" t="s">
        <v>273</v>
      </c>
      <c r="H129" s="284" t="s">
        <v>273</v>
      </c>
      <c r="I129" s="16" t="s">
        <v>273</v>
      </c>
      <c r="J129" s="16" t="s">
        <v>273</v>
      </c>
      <c r="K129" s="16" t="s">
        <v>273</v>
      </c>
      <c r="L129" s="16" t="s">
        <v>273</v>
      </c>
      <c r="M129" s="16" t="s">
        <v>273</v>
      </c>
      <c r="N129" s="16" t="s">
        <v>273</v>
      </c>
      <c r="O129" s="16" t="s">
        <v>273</v>
      </c>
      <c r="P129" s="283" t="s">
        <v>420</v>
      </c>
      <c r="Q129" s="15" t="s">
        <v>451</v>
      </c>
      <c r="R129" s="16" t="s">
        <v>273</v>
      </c>
      <c r="S129" s="16" t="s">
        <v>273</v>
      </c>
      <c r="T129" s="16" t="s">
        <v>273</v>
      </c>
      <c r="U129" s="16" t="s">
        <v>273</v>
      </c>
      <c r="X129" s="39"/>
    </row>
    <row r="130" spans="1:24" s="8" customFormat="1">
      <c r="A130" s="8">
        <v>25</v>
      </c>
      <c r="B130" s="16" t="s">
        <v>273</v>
      </c>
      <c r="C130" s="16" t="s">
        <v>273</v>
      </c>
      <c r="D130" s="16" t="s">
        <v>273</v>
      </c>
      <c r="E130" s="16" t="s">
        <v>273</v>
      </c>
      <c r="F130" s="16" t="s">
        <v>273</v>
      </c>
      <c r="G130" s="16" t="s">
        <v>273</v>
      </c>
      <c r="H130" s="284" t="s">
        <v>273</v>
      </c>
      <c r="I130" s="16" t="s">
        <v>273</v>
      </c>
      <c r="J130" s="16" t="s">
        <v>273</v>
      </c>
      <c r="K130" s="16" t="s">
        <v>273</v>
      </c>
      <c r="L130" s="16" t="s">
        <v>273</v>
      </c>
      <c r="M130" s="16" t="s">
        <v>273</v>
      </c>
      <c r="N130" s="16" t="s">
        <v>273</v>
      </c>
      <c r="O130" s="16" t="s">
        <v>273</v>
      </c>
      <c r="P130" s="283" t="s">
        <v>421</v>
      </c>
      <c r="Q130" s="15" t="s">
        <v>452</v>
      </c>
      <c r="R130" s="16" t="s">
        <v>273</v>
      </c>
      <c r="S130" s="16" t="s">
        <v>273</v>
      </c>
      <c r="T130" s="16" t="s">
        <v>273</v>
      </c>
      <c r="U130" s="16" t="s">
        <v>273</v>
      </c>
      <c r="X130" s="39"/>
    </row>
    <row r="131" spans="1:24" s="8" customFormat="1">
      <c r="A131" s="8">
        <v>26</v>
      </c>
      <c r="B131" s="16" t="s">
        <v>273</v>
      </c>
      <c r="C131" s="16" t="s">
        <v>273</v>
      </c>
      <c r="D131" s="16" t="s">
        <v>273</v>
      </c>
      <c r="E131" s="16" t="s">
        <v>273</v>
      </c>
      <c r="F131" s="16" t="s">
        <v>273</v>
      </c>
      <c r="G131" s="16" t="s">
        <v>273</v>
      </c>
      <c r="H131" s="284" t="s">
        <v>273</v>
      </c>
      <c r="I131" s="16" t="s">
        <v>273</v>
      </c>
      <c r="J131" s="16" t="s">
        <v>273</v>
      </c>
      <c r="K131" s="16" t="s">
        <v>273</v>
      </c>
      <c r="L131" s="16" t="s">
        <v>273</v>
      </c>
      <c r="M131" s="16" t="s">
        <v>273</v>
      </c>
      <c r="N131" s="16" t="s">
        <v>273</v>
      </c>
      <c r="O131" s="16" t="s">
        <v>273</v>
      </c>
      <c r="P131" s="283" t="s">
        <v>422</v>
      </c>
      <c r="Q131" s="15" t="s">
        <v>453</v>
      </c>
      <c r="R131" s="16" t="s">
        <v>273</v>
      </c>
      <c r="S131" s="16" t="s">
        <v>273</v>
      </c>
      <c r="T131" s="16" t="s">
        <v>273</v>
      </c>
      <c r="U131" s="16" t="s">
        <v>273</v>
      </c>
      <c r="X131" s="39"/>
    </row>
    <row r="132" spans="1:24" s="8" customFormat="1">
      <c r="A132" s="8">
        <v>27</v>
      </c>
      <c r="B132" s="16" t="s">
        <v>273</v>
      </c>
      <c r="C132" s="16" t="s">
        <v>273</v>
      </c>
      <c r="D132" s="16" t="s">
        <v>273</v>
      </c>
      <c r="E132" s="16" t="s">
        <v>273</v>
      </c>
      <c r="F132" s="16" t="s">
        <v>273</v>
      </c>
      <c r="G132" s="16" t="s">
        <v>273</v>
      </c>
      <c r="H132" s="284" t="s">
        <v>273</v>
      </c>
      <c r="I132" s="16" t="s">
        <v>273</v>
      </c>
      <c r="J132" s="16" t="s">
        <v>273</v>
      </c>
      <c r="K132" s="16" t="s">
        <v>273</v>
      </c>
      <c r="L132" s="16" t="s">
        <v>273</v>
      </c>
      <c r="M132" s="16" t="s">
        <v>273</v>
      </c>
      <c r="N132" s="16" t="s">
        <v>273</v>
      </c>
      <c r="O132" s="16" t="s">
        <v>273</v>
      </c>
      <c r="P132" s="283" t="s">
        <v>423</v>
      </c>
      <c r="Q132" s="15" t="s">
        <v>454</v>
      </c>
      <c r="R132" s="16" t="s">
        <v>273</v>
      </c>
      <c r="S132" s="16" t="s">
        <v>273</v>
      </c>
      <c r="T132" s="16" t="s">
        <v>273</v>
      </c>
      <c r="U132" s="16" t="s">
        <v>273</v>
      </c>
      <c r="X132" s="39"/>
    </row>
    <row r="133" spans="1:24" s="8" customFormat="1">
      <c r="A133" s="8">
        <v>28</v>
      </c>
      <c r="B133" s="16" t="s">
        <v>273</v>
      </c>
      <c r="C133" s="16" t="s">
        <v>273</v>
      </c>
      <c r="D133" s="16" t="s">
        <v>273</v>
      </c>
      <c r="E133" s="16" t="s">
        <v>273</v>
      </c>
      <c r="F133" s="16" t="s">
        <v>273</v>
      </c>
      <c r="G133" s="16" t="s">
        <v>273</v>
      </c>
      <c r="H133" s="284" t="s">
        <v>273</v>
      </c>
      <c r="I133" s="16" t="s">
        <v>273</v>
      </c>
      <c r="J133" s="16" t="s">
        <v>273</v>
      </c>
      <c r="K133" s="16" t="s">
        <v>273</v>
      </c>
      <c r="L133" s="16" t="s">
        <v>273</v>
      </c>
      <c r="M133" s="16" t="s">
        <v>273</v>
      </c>
      <c r="N133" s="16" t="s">
        <v>273</v>
      </c>
      <c r="O133" s="16" t="s">
        <v>273</v>
      </c>
      <c r="P133" s="283" t="s">
        <v>424</v>
      </c>
      <c r="Q133" s="15" t="s">
        <v>455</v>
      </c>
      <c r="R133" s="16" t="s">
        <v>273</v>
      </c>
      <c r="S133" s="16" t="s">
        <v>273</v>
      </c>
      <c r="T133" s="16" t="s">
        <v>273</v>
      </c>
      <c r="U133" s="16" t="s">
        <v>273</v>
      </c>
      <c r="X133" s="39"/>
    </row>
    <row r="134" spans="1:24" s="8" customFormat="1">
      <c r="A134" s="8">
        <v>29</v>
      </c>
      <c r="B134" s="16" t="s">
        <v>273</v>
      </c>
      <c r="C134" s="16" t="s">
        <v>273</v>
      </c>
      <c r="D134" s="16" t="s">
        <v>273</v>
      </c>
      <c r="E134" s="16" t="s">
        <v>273</v>
      </c>
      <c r="F134" s="16" t="s">
        <v>273</v>
      </c>
      <c r="G134" s="16" t="s">
        <v>273</v>
      </c>
      <c r="H134" s="284" t="s">
        <v>273</v>
      </c>
      <c r="I134" s="16" t="s">
        <v>273</v>
      </c>
      <c r="J134" s="16" t="s">
        <v>273</v>
      </c>
      <c r="K134" s="16" t="s">
        <v>273</v>
      </c>
      <c r="L134" s="16" t="s">
        <v>273</v>
      </c>
      <c r="M134" s="16" t="s">
        <v>273</v>
      </c>
      <c r="N134" s="16" t="s">
        <v>273</v>
      </c>
      <c r="O134" s="16" t="s">
        <v>273</v>
      </c>
      <c r="P134" s="283" t="s">
        <v>425</v>
      </c>
      <c r="Q134" s="15" t="s">
        <v>411</v>
      </c>
      <c r="R134" s="16" t="s">
        <v>273</v>
      </c>
      <c r="S134" s="16" t="s">
        <v>273</v>
      </c>
      <c r="T134" s="16" t="s">
        <v>273</v>
      </c>
      <c r="U134" s="16" t="s">
        <v>273</v>
      </c>
      <c r="X134" s="39"/>
    </row>
    <row r="135" spans="1:24" s="8" customFormat="1">
      <c r="A135" s="8">
        <v>30</v>
      </c>
      <c r="B135" s="16" t="s">
        <v>273</v>
      </c>
      <c r="C135" s="16" t="s">
        <v>273</v>
      </c>
      <c r="D135" s="16" t="s">
        <v>273</v>
      </c>
      <c r="E135" s="16" t="s">
        <v>273</v>
      </c>
      <c r="F135" s="16" t="s">
        <v>273</v>
      </c>
      <c r="G135" s="16" t="s">
        <v>273</v>
      </c>
      <c r="H135" s="284" t="s">
        <v>273</v>
      </c>
      <c r="I135" s="16" t="s">
        <v>273</v>
      </c>
      <c r="J135" s="16" t="s">
        <v>273</v>
      </c>
      <c r="K135" s="16" t="s">
        <v>273</v>
      </c>
      <c r="L135" s="16" t="s">
        <v>273</v>
      </c>
      <c r="M135" s="16" t="s">
        <v>273</v>
      </c>
      <c r="N135" s="16" t="s">
        <v>273</v>
      </c>
      <c r="O135" s="16" t="s">
        <v>273</v>
      </c>
      <c r="P135" s="283" t="s">
        <v>426</v>
      </c>
      <c r="Q135" s="15" t="s">
        <v>446</v>
      </c>
      <c r="R135" s="16" t="s">
        <v>273</v>
      </c>
      <c r="S135" s="16" t="s">
        <v>273</v>
      </c>
      <c r="T135" s="16" t="s">
        <v>273</v>
      </c>
      <c r="U135" s="16" t="s">
        <v>273</v>
      </c>
      <c r="X135" s="39"/>
    </row>
    <row r="136" spans="1:24" s="8" customFormat="1">
      <c r="A136" s="8">
        <v>31</v>
      </c>
      <c r="B136" s="16" t="s">
        <v>273</v>
      </c>
      <c r="C136" s="16" t="s">
        <v>273</v>
      </c>
      <c r="D136" s="16" t="s">
        <v>273</v>
      </c>
      <c r="E136" s="16" t="s">
        <v>273</v>
      </c>
      <c r="F136" s="16" t="s">
        <v>273</v>
      </c>
      <c r="G136" s="16" t="s">
        <v>273</v>
      </c>
      <c r="H136" s="284" t="s">
        <v>273</v>
      </c>
      <c r="I136" s="16" t="s">
        <v>273</v>
      </c>
      <c r="J136" s="16" t="s">
        <v>273</v>
      </c>
      <c r="K136" s="16" t="s">
        <v>273</v>
      </c>
      <c r="L136" s="16" t="s">
        <v>273</v>
      </c>
      <c r="M136" s="16" t="s">
        <v>273</v>
      </c>
      <c r="N136" s="16" t="s">
        <v>273</v>
      </c>
      <c r="O136" s="16" t="s">
        <v>273</v>
      </c>
      <c r="P136" s="283" t="s">
        <v>427</v>
      </c>
      <c r="Q136" s="15" t="s">
        <v>456</v>
      </c>
      <c r="R136" s="16" t="s">
        <v>273</v>
      </c>
      <c r="S136" s="16" t="s">
        <v>273</v>
      </c>
      <c r="T136" s="16" t="s">
        <v>273</v>
      </c>
      <c r="U136" s="16" t="s">
        <v>273</v>
      </c>
      <c r="X136" s="39"/>
    </row>
    <row r="137" spans="1:24" s="8" customFormat="1">
      <c r="A137" s="8">
        <v>32</v>
      </c>
      <c r="B137" s="16" t="s">
        <v>273</v>
      </c>
      <c r="C137" s="16" t="s">
        <v>273</v>
      </c>
      <c r="D137" s="16" t="s">
        <v>273</v>
      </c>
      <c r="E137" s="16" t="s">
        <v>273</v>
      </c>
      <c r="F137" s="16" t="s">
        <v>273</v>
      </c>
      <c r="G137" s="16" t="s">
        <v>273</v>
      </c>
      <c r="H137" s="284" t="s">
        <v>273</v>
      </c>
      <c r="I137" s="16" t="s">
        <v>273</v>
      </c>
      <c r="J137" s="16" t="s">
        <v>273</v>
      </c>
      <c r="K137" s="16" t="s">
        <v>273</v>
      </c>
      <c r="L137" s="16" t="s">
        <v>273</v>
      </c>
      <c r="M137" s="16" t="s">
        <v>273</v>
      </c>
      <c r="N137" s="16" t="s">
        <v>273</v>
      </c>
      <c r="O137" s="16" t="s">
        <v>273</v>
      </c>
      <c r="P137" s="283" t="s">
        <v>428</v>
      </c>
      <c r="Q137" s="15" t="s">
        <v>457</v>
      </c>
      <c r="R137" s="16" t="s">
        <v>273</v>
      </c>
      <c r="S137" s="16" t="s">
        <v>273</v>
      </c>
      <c r="T137" s="16" t="s">
        <v>273</v>
      </c>
      <c r="U137" s="16" t="s">
        <v>273</v>
      </c>
      <c r="X137" s="39"/>
    </row>
    <row r="138" spans="1:24">
      <c r="B138" s="7" t="s">
        <v>2416</v>
      </c>
      <c r="C138" s="7" t="str">
        <f ca="1">CONCATENATE(INDEX('NPC''s'!$I$106:$I$115,RANDBETWEEN(1,10))," in stature, with a ",INDEX('NPC''s'!$J$106:$J$125,RANDBETWEEN(1,20))," body, and ",INDEX('NPC''s'!$K$106:$K$111,RANDBETWEEN(1,6)))</f>
        <v>SLIGHTLY BELOW AVERAGE in stature, with a THIN AND PETITE body, and SOFT HANDS.</v>
      </c>
    </row>
    <row r="139" spans="1:24">
      <c r="B139" s="7" t="s">
        <v>2415</v>
      </c>
      <c r="C139" s="7" t="str">
        <f ca="1">CONCATENATE(INDEX('NPC''s'!$B$106:$B$125,RANDBETWEEN(1,20)),", ",INDEX('NPC''s'!$C$106:$C$117,RANDBETWEEN(1,12)),", and ",INDEX('NPC''s'!$D$106:$D$115,RANDBETWEEN(1,10)),". They have ",INDEX('NPC''s'!$H$106:$H$113,RANDBETWEEN(1,8)),", ",INDEX('NPC''s'!$E$106:$E$117,RANDBETWEEN(1,12)),", ",INDEX('NPC''s'!$F$106:$F$113,RANDBETWEEN(1,8)),", and ",INDEX('NPC''s'!$G$106:$G$125,RANDBETWEEN(1,20)))</f>
        <v>BRIGHT EYES, JUG-HANDLE EARS, and DRY, CRACKED LIPS. They have FRECKLES, A HAWK-LIKE NOSE, A ROUND JAW, and STRAIGHT HAIR</v>
      </c>
    </row>
    <row r="140" spans="1:24">
      <c r="A140" s="8"/>
      <c r="B140" s="7" t="s">
        <v>2417</v>
      </c>
      <c r="C140" s="7" t="str">
        <f ca="1">CONCATENATE(INDEX('NPC''s'!$M$106:$M$117,RANDBETWEEN(1,12)),", made of ",INDEX('NPC''s'!$N$106:$N$115,RANDBETWEEN(1,10)))</f>
        <v>A TIGHT CHOKER, made of LEATHER</v>
      </c>
    </row>
    <row r="141" spans="1:24">
      <c r="A141" s="8"/>
      <c r="B141" s="7" t="s">
        <v>2418</v>
      </c>
      <c r="C141" s="7" t="str">
        <f ca="1">CONCATENATE(INDEX('NPC''s'!$O$106:$O$113,RANDBETWEEN(1,8)))</f>
        <v>CRISP AND NEW</v>
      </c>
    </row>
    <row r="142" spans="1:24">
      <c r="A142" s="8"/>
      <c r="B142" s="7" t="s">
        <v>2435</v>
      </c>
      <c r="C142" s="7" t="str">
        <f ca="1">CONCATENATE(INDEX('NPC''s'!$S$106:$S$113,RANDBETWEEN(1,8)))</f>
        <v>BROKEN HERETIC</v>
      </c>
    </row>
    <row r="143" spans="1:24">
      <c r="A143" s="8"/>
      <c r="B143" s="7" t="s">
        <v>2420</v>
      </c>
      <c r="C143" s="7" t="str">
        <f ca="1">CONCATENATE(INDEX('NPC''s'!T106:$T$111,RANDBETWEEN(1,6)))</f>
        <v>CHILDREN</v>
      </c>
    </row>
    <row r="144" spans="1:24">
      <c r="A144" s="8"/>
      <c r="B144" s="7" t="s">
        <v>2419</v>
      </c>
      <c r="C144" s="7" t="str">
        <f ca="1">CONCATENATE("Their current mood is ",INDEX('NPC''s'!$R$106:$R$125,RANDBETWEEN(1,20)),". When calm, they are ",INDEX('NPC''s'!$P$106:$P$137,RANDBETWEEN(1,32)),", and when stressed they are ",INDEX('NPC''s'!$Q$106:$Q$137,RANDBETWEEN(1,32)))</f>
        <v>Their current mood is SUSPICIOUS. When calm, they are THOUGHTFUL, and when stressed they are COWARDLY</v>
      </c>
    </row>
    <row r="145" spans="1:3">
      <c r="A145" s="8"/>
      <c r="B145" s="7" t="s">
        <v>2436</v>
      </c>
      <c r="C145" s="7" t="str">
        <f ca="1">INDEX('NPC''s'!$L$106:$L$125,RANDBETWEEN(1,20))</f>
        <v>NONE</v>
      </c>
    </row>
    <row r="146" spans="1:3">
      <c r="A146" s="8"/>
    </row>
    <row r="147" spans="1:3">
      <c r="A147" s="8"/>
    </row>
    <row r="148" spans="1:3">
      <c r="A148" s="8"/>
    </row>
    <row r="149" spans="1:3">
      <c r="A149" s="8"/>
    </row>
    <row r="150" spans="1:3">
      <c r="A150" s="8"/>
    </row>
    <row r="151" spans="1:3">
      <c r="A151" s="8"/>
    </row>
    <row r="152" spans="1:3">
      <c r="A152" s="8"/>
    </row>
    <row r="153" spans="1:3">
      <c r="A153" s="8"/>
    </row>
    <row r="154" spans="1:3">
      <c r="A154" s="8"/>
    </row>
    <row r="155" spans="1:3">
      <c r="A155" s="8"/>
    </row>
    <row r="156" spans="1:3">
      <c r="A156" s="8"/>
    </row>
    <row r="157" spans="1:3">
      <c r="A157" s="8"/>
    </row>
    <row r="158" spans="1:3">
      <c r="A158" s="8"/>
    </row>
    <row r="159" spans="1:3">
      <c r="A159" s="8"/>
    </row>
    <row r="160" spans="1:3">
      <c r="A160" s="8"/>
    </row>
    <row r="161" spans="1:1">
      <c r="A161" s="8"/>
    </row>
    <row r="162" spans="1:1">
      <c r="A162" s="8"/>
    </row>
    <row r="163" spans="1:1">
      <c r="A163" s="8"/>
    </row>
    <row r="164" spans="1:1">
      <c r="A164" s="8"/>
    </row>
    <row r="165" spans="1:1">
      <c r="A165" s="8"/>
    </row>
    <row r="166" spans="1:1">
      <c r="A166" s="8"/>
    </row>
    <row r="167" spans="1:1">
      <c r="A167" s="8"/>
    </row>
    <row r="168" spans="1:1">
      <c r="A168" s="8"/>
    </row>
    <row r="169" spans="1:1">
      <c r="A169" s="8"/>
    </row>
    <row r="170" spans="1:1">
      <c r="A170" s="8"/>
    </row>
    <row r="171" spans="1:1">
      <c r="A171" s="8"/>
    </row>
  </sheetData>
  <mergeCells count="240">
    <mergeCell ref="A74:A80"/>
    <mergeCell ref="C74:G74"/>
    <mergeCell ref="I74:I80"/>
    <mergeCell ref="K74:O74"/>
    <mergeCell ref="Q74:Q80"/>
    <mergeCell ref="S74:W74"/>
    <mergeCell ref="C75:G75"/>
    <mergeCell ref="K75:O75"/>
    <mergeCell ref="S75:W75"/>
    <mergeCell ref="C76:G76"/>
    <mergeCell ref="C79:G79"/>
    <mergeCell ref="K79:O79"/>
    <mergeCell ref="S79:W79"/>
    <mergeCell ref="C80:G80"/>
    <mergeCell ref="K80:O80"/>
    <mergeCell ref="S80:W80"/>
    <mergeCell ref="K76:O76"/>
    <mergeCell ref="S76:W76"/>
    <mergeCell ref="C77:G77"/>
    <mergeCell ref="K77:O77"/>
    <mergeCell ref="S77:W77"/>
    <mergeCell ref="C78:G78"/>
    <mergeCell ref="K78:O78"/>
    <mergeCell ref="S78:W78"/>
    <mergeCell ref="S66:W66"/>
    <mergeCell ref="S67:W67"/>
    <mergeCell ref="S68:W68"/>
    <mergeCell ref="S69:W69"/>
    <mergeCell ref="S70:W70"/>
    <mergeCell ref="S71:W71"/>
    <mergeCell ref="S72:W72"/>
    <mergeCell ref="I66:I72"/>
    <mergeCell ref="K66:O66"/>
    <mergeCell ref="K67:O67"/>
    <mergeCell ref="K68:O68"/>
    <mergeCell ref="K69:O69"/>
    <mergeCell ref="K70:O70"/>
    <mergeCell ref="K71:O71"/>
    <mergeCell ref="K72:O72"/>
    <mergeCell ref="A66:A72"/>
    <mergeCell ref="C66:G66"/>
    <mergeCell ref="C67:G67"/>
    <mergeCell ref="C68:G68"/>
    <mergeCell ref="C69:G69"/>
    <mergeCell ref="C70:G70"/>
    <mergeCell ref="C71:G71"/>
    <mergeCell ref="C72:G72"/>
    <mergeCell ref="Q58:Q64"/>
    <mergeCell ref="A58:A64"/>
    <mergeCell ref="C58:G58"/>
    <mergeCell ref="C59:G59"/>
    <mergeCell ref="C60:G60"/>
    <mergeCell ref="C61:G61"/>
    <mergeCell ref="C62:G62"/>
    <mergeCell ref="C63:G63"/>
    <mergeCell ref="C64:G64"/>
    <mergeCell ref="Q66:Q72"/>
    <mergeCell ref="S58:W58"/>
    <mergeCell ref="S59:W59"/>
    <mergeCell ref="S60:W60"/>
    <mergeCell ref="S61:W61"/>
    <mergeCell ref="S62:W62"/>
    <mergeCell ref="S63:W63"/>
    <mergeCell ref="S64:W64"/>
    <mergeCell ref="I58:I64"/>
    <mergeCell ref="K58:O58"/>
    <mergeCell ref="K59:O59"/>
    <mergeCell ref="K60:O60"/>
    <mergeCell ref="K61:O61"/>
    <mergeCell ref="K62:O62"/>
    <mergeCell ref="K63:O63"/>
    <mergeCell ref="K64:O64"/>
    <mergeCell ref="S50:W50"/>
    <mergeCell ref="S51:W51"/>
    <mergeCell ref="S52:W52"/>
    <mergeCell ref="S53:W53"/>
    <mergeCell ref="S54:W54"/>
    <mergeCell ref="S55:W55"/>
    <mergeCell ref="S56:W56"/>
    <mergeCell ref="I50:I56"/>
    <mergeCell ref="K50:O50"/>
    <mergeCell ref="K51:O51"/>
    <mergeCell ref="K52:O52"/>
    <mergeCell ref="K53:O53"/>
    <mergeCell ref="K54:O54"/>
    <mergeCell ref="K55:O55"/>
    <mergeCell ref="K56:O56"/>
    <mergeCell ref="A50:A56"/>
    <mergeCell ref="C50:G50"/>
    <mergeCell ref="C51:G51"/>
    <mergeCell ref="C52:G52"/>
    <mergeCell ref="C53:G53"/>
    <mergeCell ref="C54:G54"/>
    <mergeCell ref="C55:G55"/>
    <mergeCell ref="C56:G56"/>
    <mergeCell ref="Q42:Q48"/>
    <mergeCell ref="A42:A48"/>
    <mergeCell ref="C42:G42"/>
    <mergeCell ref="C43:G43"/>
    <mergeCell ref="C44:G44"/>
    <mergeCell ref="C45:G45"/>
    <mergeCell ref="C46:G46"/>
    <mergeCell ref="C47:G47"/>
    <mergeCell ref="C48:G48"/>
    <mergeCell ref="Q50:Q56"/>
    <mergeCell ref="S42:W42"/>
    <mergeCell ref="S43:W43"/>
    <mergeCell ref="S44:W44"/>
    <mergeCell ref="S45:W45"/>
    <mergeCell ref="S46:W46"/>
    <mergeCell ref="S47:W47"/>
    <mergeCell ref="S48:W48"/>
    <mergeCell ref="I42:I48"/>
    <mergeCell ref="K42:O42"/>
    <mergeCell ref="K43:O43"/>
    <mergeCell ref="K44:O44"/>
    <mergeCell ref="K45:O45"/>
    <mergeCell ref="K46:O46"/>
    <mergeCell ref="K47:O47"/>
    <mergeCell ref="K48:O48"/>
    <mergeCell ref="Q34:Q40"/>
    <mergeCell ref="S34:W34"/>
    <mergeCell ref="S35:W35"/>
    <mergeCell ref="S36:W36"/>
    <mergeCell ref="S37:W37"/>
    <mergeCell ref="S38:W38"/>
    <mergeCell ref="S39:W39"/>
    <mergeCell ref="S40:W40"/>
    <mergeCell ref="I34:I40"/>
    <mergeCell ref="K34:O34"/>
    <mergeCell ref="K35:O35"/>
    <mergeCell ref="K36:O36"/>
    <mergeCell ref="K37:O37"/>
    <mergeCell ref="K38:O38"/>
    <mergeCell ref="K39:O39"/>
    <mergeCell ref="K40:O40"/>
    <mergeCell ref="A34:A40"/>
    <mergeCell ref="C34:G34"/>
    <mergeCell ref="C35:G35"/>
    <mergeCell ref="C36:G36"/>
    <mergeCell ref="C37:G37"/>
    <mergeCell ref="C38:G38"/>
    <mergeCell ref="C39:G39"/>
    <mergeCell ref="C40:G40"/>
    <mergeCell ref="Q26:Q32"/>
    <mergeCell ref="I26:I32"/>
    <mergeCell ref="K26:O26"/>
    <mergeCell ref="K27:O27"/>
    <mergeCell ref="K28:O28"/>
    <mergeCell ref="K29:O29"/>
    <mergeCell ref="K30:O30"/>
    <mergeCell ref="K31:O31"/>
    <mergeCell ref="K32:O32"/>
    <mergeCell ref="A26:A32"/>
    <mergeCell ref="C26:G26"/>
    <mergeCell ref="C27:G27"/>
    <mergeCell ref="C28:G28"/>
    <mergeCell ref="C29:G29"/>
    <mergeCell ref="C30:G30"/>
    <mergeCell ref="C31:G31"/>
    <mergeCell ref="S26:W26"/>
    <mergeCell ref="S27:W27"/>
    <mergeCell ref="S28:W28"/>
    <mergeCell ref="S29:W29"/>
    <mergeCell ref="S30:W30"/>
    <mergeCell ref="S31:W31"/>
    <mergeCell ref="S32:W32"/>
    <mergeCell ref="Q18:Q24"/>
    <mergeCell ref="S18:W18"/>
    <mergeCell ref="S19:W19"/>
    <mergeCell ref="S20:W20"/>
    <mergeCell ref="S21:W21"/>
    <mergeCell ref="S22:W22"/>
    <mergeCell ref="S23:W23"/>
    <mergeCell ref="S24:W24"/>
    <mergeCell ref="Q10:Q16"/>
    <mergeCell ref="S10:W10"/>
    <mergeCell ref="S11:W11"/>
    <mergeCell ref="S12:W12"/>
    <mergeCell ref="S13:W13"/>
    <mergeCell ref="S14:W14"/>
    <mergeCell ref="S15:W15"/>
    <mergeCell ref="S16:W16"/>
    <mergeCell ref="Q2:Q8"/>
    <mergeCell ref="S2:W2"/>
    <mergeCell ref="S3:W3"/>
    <mergeCell ref="S4:W4"/>
    <mergeCell ref="S5:W5"/>
    <mergeCell ref="S6:W6"/>
    <mergeCell ref="S7:W7"/>
    <mergeCell ref="S8:W8"/>
    <mergeCell ref="C32:G32"/>
    <mergeCell ref="I18:I24"/>
    <mergeCell ref="K18:O18"/>
    <mergeCell ref="K19:O19"/>
    <mergeCell ref="K20:O20"/>
    <mergeCell ref="K21:O21"/>
    <mergeCell ref="K22:O22"/>
    <mergeCell ref="K23:O23"/>
    <mergeCell ref="K24:O24"/>
    <mergeCell ref="A18:A24"/>
    <mergeCell ref="C18:G18"/>
    <mergeCell ref="C19:G19"/>
    <mergeCell ref="C20:G20"/>
    <mergeCell ref="C21:G21"/>
    <mergeCell ref="C22:G22"/>
    <mergeCell ref="C23:G23"/>
    <mergeCell ref="C24:G24"/>
    <mergeCell ref="I10:I16"/>
    <mergeCell ref="K10:O10"/>
    <mergeCell ref="K11:O11"/>
    <mergeCell ref="K12:O12"/>
    <mergeCell ref="K13:O13"/>
    <mergeCell ref="K14:O14"/>
    <mergeCell ref="K15:O15"/>
    <mergeCell ref="K16:O16"/>
    <mergeCell ref="A10:A16"/>
    <mergeCell ref="C10:G10"/>
    <mergeCell ref="C11:G11"/>
    <mergeCell ref="C12:G12"/>
    <mergeCell ref="C13:G13"/>
    <mergeCell ref="C14:G14"/>
    <mergeCell ref="C15:G15"/>
    <mergeCell ref="C16:G16"/>
    <mergeCell ref="I2:I8"/>
    <mergeCell ref="K2:O2"/>
    <mergeCell ref="K3:O3"/>
    <mergeCell ref="K4:O4"/>
    <mergeCell ref="K5:O5"/>
    <mergeCell ref="K6:O6"/>
    <mergeCell ref="K7:O7"/>
    <mergeCell ref="K8:O8"/>
    <mergeCell ref="A2:A8"/>
    <mergeCell ref="C2:G2"/>
    <mergeCell ref="C3:G3"/>
    <mergeCell ref="C4:G4"/>
    <mergeCell ref="C5:G5"/>
    <mergeCell ref="C6:G6"/>
    <mergeCell ref="C7:G7"/>
    <mergeCell ref="C8:G8"/>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H31" sqref="H31"/>
    </sheetView>
  </sheetViews>
  <sheetFormatPr defaultRowHeight="15"/>
  <sheetData>
    <row r="1" spans="1:2">
      <c r="A1" s="3" t="s">
        <v>0</v>
      </c>
      <c r="B1" s="2" t="s">
        <v>169</v>
      </c>
    </row>
    <row r="2" spans="1:2">
      <c r="A2" s="5">
        <v>1</v>
      </c>
      <c r="B2" s="4" t="s">
        <v>69</v>
      </c>
    </row>
    <row r="3" spans="1:2">
      <c r="A3" s="5">
        <v>2</v>
      </c>
      <c r="B3" s="4" t="s">
        <v>70</v>
      </c>
    </row>
    <row r="4" spans="1:2">
      <c r="A4" s="5">
        <v>3</v>
      </c>
      <c r="B4" s="4" t="s">
        <v>71</v>
      </c>
    </row>
    <row r="5" spans="1:2">
      <c r="A5" s="5">
        <v>4</v>
      </c>
      <c r="B5" s="4" t="s">
        <v>72</v>
      </c>
    </row>
    <row r="6" spans="1:2">
      <c r="A6" s="5">
        <v>5</v>
      </c>
      <c r="B6" s="4" t="s">
        <v>73</v>
      </c>
    </row>
    <row r="7" spans="1:2">
      <c r="A7" s="5">
        <v>6</v>
      </c>
      <c r="B7" s="4" t="s">
        <v>74</v>
      </c>
    </row>
    <row r="8" spans="1:2">
      <c r="A8" s="5">
        <v>7</v>
      </c>
      <c r="B8" s="4" t="s">
        <v>75</v>
      </c>
    </row>
    <row r="9" spans="1:2">
      <c r="A9" s="5">
        <v>8</v>
      </c>
      <c r="B9" s="4" t="s">
        <v>76</v>
      </c>
    </row>
    <row r="10" spans="1:2">
      <c r="A10" s="5">
        <v>9</v>
      </c>
      <c r="B10" s="4" t="s">
        <v>77</v>
      </c>
    </row>
    <row r="11" spans="1:2">
      <c r="A11" s="5">
        <v>10</v>
      </c>
      <c r="B11" s="4" t="s">
        <v>78</v>
      </c>
    </row>
    <row r="12" spans="1:2">
      <c r="A12" s="5">
        <v>11</v>
      </c>
      <c r="B12" s="4" t="s">
        <v>79</v>
      </c>
    </row>
    <row r="13" spans="1:2">
      <c r="A13" s="5">
        <v>12</v>
      </c>
      <c r="B13" s="4" t="s">
        <v>80</v>
      </c>
    </row>
    <row r="14" spans="1:2">
      <c r="A14" s="5">
        <v>13</v>
      </c>
      <c r="B14" s="4" t="s">
        <v>81</v>
      </c>
    </row>
    <row r="15" spans="1:2">
      <c r="A15" s="5">
        <v>14</v>
      </c>
      <c r="B15" s="4" t="s">
        <v>82</v>
      </c>
    </row>
    <row r="16" spans="1:2">
      <c r="A16" s="5">
        <v>15</v>
      </c>
      <c r="B16" s="4" t="s">
        <v>83</v>
      </c>
    </row>
    <row r="17" spans="1:2">
      <c r="A17" s="5">
        <v>16</v>
      </c>
      <c r="B17" s="4" t="s">
        <v>84</v>
      </c>
    </row>
    <row r="18" spans="1:2">
      <c r="A18" s="5">
        <v>17</v>
      </c>
      <c r="B18" s="4" t="s">
        <v>85</v>
      </c>
    </row>
    <row r="19" spans="1:2">
      <c r="A19" s="5">
        <v>18</v>
      </c>
      <c r="B19" s="4" t="s">
        <v>86</v>
      </c>
    </row>
    <row r="20" spans="1:2">
      <c r="A20" s="5">
        <v>19</v>
      </c>
      <c r="B20" s="4" t="s">
        <v>87</v>
      </c>
    </row>
    <row r="21" spans="1:2">
      <c r="A21" s="5">
        <v>20</v>
      </c>
      <c r="B21" s="4" t="s">
        <v>88</v>
      </c>
    </row>
    <row r="22" spans="1:2">
      <c r="A22" s="5">
        <v>21</v>
      </c>
      <c r="B22" s="4" t="s">
        <v>89</v>
      </c>
    </row>
    <row r="23" spans="1:2">
      <c r="A23" s="5">
        <v>22</v>
      </c>
      <c r="B23" s="4" t="s">
        <v>90</v>
      </c>
    </row>
    <row r="24" spans="1:2">
      <c r="A24" s="5">
        <v>23</v>
      </c>
      <c r="B24" s="4" t="s">
        <v>91</v>
      </c>
    </row>
    <row r="25" spans="1:2">
      <c r="A25" s="5">
        <v>24</v>
      </c>
      <c r="B25" s="4" t="s">
        <v>92</v>
      </c>
    </row>
    <row r="26" spans="1:2">
      <c r="A26" s="5">
        <v>25</v>
      </c>
      <c r="B26" s="4" t="s">
        <v>93</v>
      </c>
    </row>
    <row r="27" spans="1:2">
      <c r="A27" s="5">
        <v>26</v>
      </c>
      <c r="B27" s="4" t="s">
        <v>94</v>
      </c>
    </row>
    <row r="28" spans="1:2">
      <c r="A28" s="5">
        <v>27</v>
      </c>
      <c r="B28" s="4" t="s">
        <v>95</v>
      </c>
    </row>
    <row r="29" spans="1:2">
      <c r="A29" s="5">
        <v>28</v>
      </c>
      <c r="B29" s="4" t="s">
        <v>96</v>
      </c>
    </row>
    <row r="30" spans="1:2">
      <c r="A30" s="5">
        <v>29</v>
      </c>
      <c r="B30" s="4" t="s">
        <v>97</v>
      </c>
    </row>
    <row r="31" spans="1:2">
      <c r="A31" s="5">
        <v>30</v>
      </c>
      <c r="B31" s="4" t="s">
        <v>98</v>
      </c>
    </row>
    <row r="32" spans="1:2">
      <c r="A32" s="5">
        <v>31</v>
      </c>
      <c r="B32" s="4" t="s">
        <v>99</v>
      </c>
    </row>
    <row r="33" spans="1:2">
      <c r="A33" s="5">
        <v>32</v>
      </c>
      <c r="B33" s="4" t="s">
        <v>100</v>
      </c>
    </row>
    <row r="34" spans="1:2">
      <c r="A34" s="5">
        <v>33</v>
      </c>
      <c r="B34" s="4" t="s">
        <v>101</v>
      </c>
    </row>
    <row r="35" spans="1:2">
      <c r="A35" s="5">
        <v>34</v>
      </c>
      <c r="B35" s="4" t="s">
        <v>102</v>
      </c>
    </row>
    <row r="36" spans="1:2">
      <c r="A36" s="5">
        <v>35</v>
      </c>
      <c r="B36" s="4" t="s">
        <v>103</v>
      </c>
    </row>
    <row r="37" spans="1:2">
      <c r="A37" s="5">
        <v>36</v>
      </c>
      <c r="B37" s="4" t="s">
        <v>104</v>
      </c>
    </row>
    <row r="38" spans="1:2">
      <c r="A38" s="5">
        <v>37</v>
      </c>
      <c r="B38" s="4" t="s">
        <v>105</v>
      </c>
    </row>
    <row r="39" spans="1:2">
      <c r="A39" s="5">
        <v>38</v>
      </c>
      <c r="B39" s="4" t="s">
        <v>106</v>
      </c>
    </row>
    <row r="40" spans="1:2">
      <c r="A40" s="5">
        <v>39</v>
      </c>
      <c r="B40" s="4" t="s">
        <v>107</v>
      </c>
    </row>
    <row r="41" spans="1:2">
      <c r="A41" s="5">
        <v>40</v>
      </c>
      <c r="B41" s="4" t="s">
        <v>108</v>
      </c>
    </row>
    <row r="42" spans="1:2">
      <c r="A42" s="5">
        <v>41</v>
      </c>
      <c r="B42" s="4" t="s">
        <v>109</v>
      </c>
    </row>
    <row r="43" spans="1:2">
      <c r="A43" s="5">
        <v>42</v>
      </c>
      <c r="B43" s="4" t="s">
        <v>110</v>
      </c>
    </row>
    <row r="44" spans="1:2">
      <c r="A44" s="5">
        <v>43</v>
      </c>
      <c r="B44" s="4" t="s">
        <v>111</v>
      </c>
    </row>
    <row r="45" spans="1:2">
      <c r="A45" s="5">
        <v>44</v>
      </c>
      <c r="B45" s="4" t="s">
        <v>112</v>
      </c>
    </row>
    <row r="46" spans="1:2">
      <c r="A46" s="5">
        <v>45</v>
      </c>
      <c r="B46" s="4" t="s">
        <v>113</v>
      </c>
    </row>
    <row r="47" spans="1:2">
      <c r="A47" s="5">
        <v>46</v>
      </c>
      <c r="B47" s="4" t="s">
        <v>114</v>
      </c>
    </row>
    <row r="48" spans="1:2">
      <c r="A48" s="5">
        <v>47</v>
      </c>
      <c r="B48" s="4" t="s">
        <v>115</v>
      </c>
    </row>
    <row r="49" spans="1:2">
      <c r="A49" s="5">
        <v>48</v>
      </c>
      <c r="B49" s="4" t="s">
        <v>116</v>
      </c>
    </row>
    <row r="50" spans="1:2">
      <c r="A50" s="5">
        <v>49</v>
      </c>
      <c r="B50" s="4" t="s">
        <v>117</v>
      </c>
    </row>
    <row r="51" spans="1:2">
      <c r="A51" s="5">
        <v>50</v>
      </c>
      <c r="B51" s="4" t="s">
        <v>118</v>
      </c>
    </row>
    <row r="52" spans="1:2">
      <c r="A52" s="5">
        <v>51</v>
      </c>
      <c r="B52" s="4" t="s">
        <v>119</v>
      </c>
    </row>
    <row r="53" spans="1:2">
      <c r="A53" s="5">
        <v>52</v>
      </c>
      <c r="B53" s="4" t="s">
        <v>120</v>
      </c>
    </row>
    <row r="54" spans="1:2">
      <c r="A54" s="5">
        <v>53</v>
      </c>
      <c r="B54" s="4" t="s">
        <v>121</v>
      </c>
    </row>
    <row r="55" spans="1:2">
      <c r="A55" s="5">
        <v>54</v>
      </c>
      <c r="B55" s="4" t="s">
        <v>122</v>
      </c>
    </row>
    <row r="56" spans="1:2">
      <c r="A56" s="5">
        <v>55</v>
      </c>
      <c r="B56" s="4" t="s">
        <v>123</v>
      </c>
    </row>
    <row r="57" spans="1:2">
      <c r="A57" s="5">
        <v>56</v>
      </c>
      <c r="B57" s="4" t="s">
        <v>124</v>
      </c>
    </row>
    <row r="58" spans="1:2">
      <c r="A58" s="5">
        <v>57</v>
      </c>
      <c r="B58" s="4" t="s">
        <v>125</v>
      </c>
    </row>
    <row r="59" spans="1:2">
      <c r="A59" s="5">
        <v>58</v>
      </c>
      <c r="B59" s="4" t="s">
        <v>126</v>
      </c>
    </row>
    <row r="60" spans="1:2">
      <c r="A60" s="5">
        <v>59</v>
      </c>
      <c r="B60" s="4" t="s">
        <v>127</v>
      </c>
    </row>
    <row r="61" spans="1:2">
      <c r="A61" s="5">
        <v>60</v>
      </c>
      <c r="B61" s="4" t="s">
        <v>128</v>
      </c>
    </row>
    <row r="62" spans="1:2">
      <c r="A62" s="5">
        <v>61</v>
      </c>
      <c r="B62" s="4" t="s">
        <v>129</v>
      </c>
    </row>
    <row r="63" spans="1:2">
      <c r="A63" s="5">
        <v>62</v>
      </c>
      <c r="B63" s="4" t="s">
        <v>130</v>
      </c>
    </row>
    <row r="64" spans="1:2">
      <c r="A64" s="5">
        <v>63</v>
      </c>
      <c r="B64" s="4" t="s">
        <v>131</v>
      </c>
    </row>
    <row r="65" spans="1:2">
      <c r="A65" s="5">
        <v>64</v>
      </c>
      <c r="B65" s="4" t="s">
        <v>132</v>
      </c>
    </row>
    <row r="66" spans="1:2">
      <c r="A66" s="5">
        <v>65</v>
      </c>
      <c r="B66" s="4" t="s">
        <v>133</v>
      </c>
    </row>
    <row r="67" spans="1:2">
      <c r="A67" s="5">
        <v>66</v>
      </c>
      <c r="B67" s="4" t="s">
        <v>134</v>
      </c>
    </row>
    <row r="68" spans="1:2">
      <c r="A68" s="5">
        <v>67</v>
      </c>
      <c r="B68" s="4" t="s">
        <v>135</v>
      </c>
    </row>
    <row r="69" spans="1:2">
      <c r="A69" s="5">
        <v>68</v>
      </c>
      <c r="B69" s="4" t="s">
        <v>136</v>
      </c>
    </row>
    <row r="70" spans="1:2">
      <c r="A70" s="5">
        <v>69</v>
      </c>
      <c r="B70" s="4" t="s">
        <v>137</v>
      </c>
    </row>
    <row r="71" spans="1:2">
      <c r="A71" s="5">
        <v>70</v>
      </c>
      <c r="B71" s="4" t="s">
        <v>138</v>
      </c>
    </row>
    <row r="72" spans="1:2">
      <c r="A72" s="5">
        <v>71</v>
      </c>
      <c r="B72" s="4" t="s">
        <v>139</v>
      </c>
    </row>
    <row r="73" spans="1:2">
      <c r="A73" s="5">
        <v>72</v>
      </c>
      <c r="B73" s="4" t="s">
        <v>140</v>
      </c>
    </row>
    <row r="74" spans="1:2">
      <c r="A74" s="5">
        <v>73</v>
      </c>
      <c r="B74" s="4" t="s">
        <v>141</v>
      </c>
    </row>
    <row r="75" spans="1:2">
      <c r="A75" s="5">
        <v>74</v>
      </c>
      <c r="B75" s="4" t="s">
        <v>142</v>
      </c>
    </row>
    <row r="76" spans="1:2">
      <c r="A76" s="5">
        <v>75</v>
      </c>
      <c r="B76" s="4" t="s">
        <v>143</v>
      </c>
    </row>
    <row r="77" spans="1:2">
      <c r="A77" s="5">
        <v>76</v>
      </c>
      <c r="B77" s="4" t="s">
        <v>144</v>
      </c>
    </row>
    <row r="78" spans="1:2">
      <c r="A78" s="5">
        <v>77</v>
      </c>
      <c r="B78" s="4" t="s">
        <v>145</v>
      </c>
    </row>
    <row r="79" spans="1:2">
      <c r="A79" s="5">
        <v>78</v>
      </c>
      <c r="B79" s="4" t="s">
        <v>146</v>
      </c>
    </row>
    <row r="80" spans="1:2">
      <c r="A80" s="5">
        <v>79</v>
      </c>
      <c r="B80" s="4" t="s">
        <v>147</v>
      </c>
    </row>
    <row r="81" spans="1:2">
      <c r="A81" s="5">
        <v>80</v>
      </c>
      <c r="B81" s="4" t="s">
        <v>148</v>
      </c>
    </row>
    <row r="82" spans="1:2">
      <c r="A82" s="5">
        <v>81</v>
      </c>
      <c r="B82" s="4" t="s">
        <v>149</v>
      </c>
    </row>
    <row r="83" spans="1:2">
      <c r="A83" s="5">
        <v>82</v>
      </c>
      <c r="B83" s="4" t="s">
        <v>150</v>
      </c>
    </row>
    <row r="84" spans="1:2">
      <c r="A84" s="5">
        <v>83</v>
      </c>
      <c r="B84" s="4" t="s">
        <v>151</v>
      </c>
    </row>
    <row r="85" spans="1:2">
      <c r="A85" s="5">
        <v>84</v>
      </c>
      <c r="B85" s="4" t="s">
        <v>152</v>
      </c>
    </row>
    <row r="86" spans="1:2">
      <c r="A86" s="5">
        <v>85</v>
      </c>
      <c r="B86" s="4" t="s">
        <v>153</v>
      </c>
    </row>
    <row r="87" spans="1:2">
      <c r="A87" s="5">
        <v>86</v>
      </c>
      <c r="B87" s="4" t="s">
        <v>154</v>
      </c>
    </row>
    <row r="88" spans="1:2">
      <c r="A88" s="5">
        <v>87</v>
      </c>
      <c r="B88" s="4" t="s">
        <v>155</v>
      </c>
    </row>
    <row r="89" spans="1:2">
      <c r="A89" s="5">
        <v>88</v>
      </c>
      <c r="B89" s="4" t="s">
        <v>156</v>
      </c>
    </row>
    <row r="90" spans="1:2">
      <c r="A90" s="5">
        <v>89</v>
      </c>
      <c r="B90" s="4" t="s">
        <v>157</v>
      </c>
    </row>
    <row r="91" spans="1:2">
      <c r="A91" s="5">
        <v>90</v>
      </c>
      <c r="B91" s="4" t="s">
        <v>158</v>
      </c>
    </row>
    <row r="92" spans="1:2">
      <c r="A92" s="5">
        <v>91</v>
      </c>
      <c r="B92" s="4" t="s">
        <v>159</v>
      </c>
    </row>
    <row r="93" spans="1:2">
      <c r="A93" s="5">
        <v>92</v>
      </c>
      <c r="B93" s="4" t="s">
        <v>160</v>
      </c>
    </row>
    <row r="94" spans="1:2">
      <c r="A94" s="5">
        <v>93</v>
      </c>
      <c r="B94" s="4" t="s">
        <v>161</v>
      </c>
    </row>
    <row r="95" spans="1:2">
      <c r="A95" s="5">
        <v>94</v>
      </c>
      <c r="B95" s="4" t="s">
        <v>162</v>
      </c>
    </row>
    <row r="96" spans="1:2">
      <c r="A96" s="5">
        <v>95</v>
      </c>
      <c r="B96" s="4" t="s">
        <v>163</v>
      </c>
    </row>
    <row r="97" spans="1:2">
      <c r="A97" s="5">
        <v>96</v>
      </c>
      <c r="B97" s="4" t="s">
        <v>164</v>
      </c>
    </row>
    <row r="98" spans="1:2">
      <c r="A98" s="5">
        <v>97</v>
      </c>
      <c r="B98" s="4" t="s">
        <v>165</v>
      </c>
    </row>
    <row r="99" spans="1:2">
      <c r="A99" s="5">
        <v>98</v>
      </c>
      <c r="B99" s="4" t="s">
        <v>166</v>
      </c>
    </row>
    <row r="100" spans="1:2">
      <c r="A100" s="5">
        <v>99</v>
      </c>
      <c r="B100" s="4" t="s">
        <v>167</v>
      </c>
    </row>
    <row r="101" spans="1:2">
      <c r="A101" s="5">
        <v>100</v>
      </c>
      <c r="B101" s="4" t="s">
        <v>168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Q26" sqref="Q26"/>
    </sheetView>
  </sheetViews>
  <sheetFormatPr defaultRowHeight="15"/>
  <cols>
    <col min="1" max="2" width="8.7109375" style="32" customWidth="1"/>
  </cols>
  <sheetData>
    <row r="1" spans="1:2">
      <c r="A1" s="55" t="s">
        <v>0</v>
      </c>
      <c r="B1" s="56" t="s">
        <v>1</v>
      </c>
    </row>
    <row r="2" spans="1:2">
      <c r="A2" s="57">
        <v>1</v>
      </c>
      <c r="B2" s="7" t="s">
        <v>2</v>
      </c>
    </row>
    <row r="3" spans="1:2">
      <c r="A3" s="57">
        <v>2</v>
      </c>
      <c r="B3" s="7" t="s">
        <v>3</v>
      </c>
    </row>
    <row r="4" spans="1:2">
      <c r="A4" s="57">
        <v>3</v>
      </c>
      <c r="B4" s="7" t="s">
        <v>66</v>
      </c>
    </row>
    <row r="5" spans="1:2">
      <c r="A5" s="57">
        <v>4</v>
      </c>
      <c r="B5" s="7" t="s">
        <v>4</v>
      </c>
    </row>
    <row r="6" spans="1:2">
      <c r="A6" s="57">
        <v>5</v>
      </c>
      <c r="B6" s="7" t="s">
        <v>5</v>
      </c>
    </row>
    <row r="7" spans="1:2">
      <c r="A7" s="57">
        <v>6</v>
      </c>
      <c r="B7" s="7" t="s">
        <v>6</v>
      </c>
    </row>
    <row r="8" spans="1:2">
      <c r="A8" s="57">
        <v>7</v>
      </c>
      <c r="B8" s="7" t="s">
        <v>7</v>
      </c>
    </row>
    <row r="9" spans="1:2">
      <c r="A9" s="57">
        <v>8</v>
      </c>
      <c r="B9" s="7" t="s">
        <v>8</v>
      </c>
    </row>
    <row r="10" spans="1:2">
      <c r="A10" s="57">
        <v>9</v>
      </c>
      <c r="B10" s="7" t="s">
        <v>9</v>
      </c>
    </row>
    <row r="11" spans="1:2">
      <c r="A11" s="57">
        <v>10</v>
      </c>
      <c r="B11" s="7" t="s">
        <v>10</v>
      </c>
    </row>
    <row r="12" spans="1:2">
      <c r="A12" s="57">
        <v>11</v>
      </c>
      <c r="B12" s="7" t="s">
        <v>11</v>
      </c>
    </row>
    <row r="13" spans="1:2">
      <c r="A13" s="57">
        <v>12</v>
      </c>
      <c r="B13" s="7" t="s">
        <v>12</v>
      </c>
    </row>
    <row r="14" spans="1:2">
      <c r="A14" s="57">
        <v>13</v>
      </c>
      <c r="B14" s="7" t="s">
        <v>13</v>
      </c>
    </row>
    <row r="15" spans="1:2">
      <c r="A15" s="57">
        <v>14</v>
      </c>
      <c r="B15" s="7" t="s">
        <v>14</v>
      </c>
    </row>
    <row r="16" spans="1:2">
      <c r="A16" s="57">
        <v>15</v>
      </c>
      <c r="B16" s="7" t="s">
        <v>15</v>
      </c>
    </row>
    <row r="17" spans="1:2">
      <c r="A17" s="57">
        <v>16</v>
      </c>
      <c r="B17" s="7" t="s">
        <v>16</v>
      </c>
    </row>
    <row r="18" spans="1:2">
      <c r="A18" s="57">
        <v>17</v>
      </c>
      <c r="B18" s="7" t="s">
        <v>17</v>
      </c>
    </row>
    <row r="19" spans="1:2">
      <c r="A19" s="57">
        <v>18</v>
      </c>
      <c r="B19" s="7" t="s">
        <v>18</v>
      </c>
    </row>
    <row r="20" spans="1:2">
      <c r="A20" s="57">
        <v>19</v>
      </c>
      <c r="B20" s="7" t="s">
        <v>19</v>
      </c>
    </row>
    <row r="21" spans="1:2">
      <c r="A21" s="57">
        <v>20</v>
      </c>
      <c r="B21" s="7" t="s">
        <v>67</v>
      </c>
    </row>
    <row r="22" spans="1:2">
      <c r="A22" s="57">
        <v>21</v>
      </c>
      <c r="B22" s="32" t="s">
        <v>1141</v>
      </c>
    </row>
    <row r="23" spans="1:2">
      <c r="A23" s="57">
        <v>22</v>
      </c>
      <c r="B23" s="32" t="s">
        <v>1142</v>
      </c>
    </row>
    <row r="24" spans="1:2">
      <c r="A24" s="57">
        <v>23</v>
      </c>
      <c r="B24" s="7" t="s">
        <v>20</v>
      </c>
    </row>
    <row r="25" spans="1:2">
      <c r="A25" s="57">
        <v>24</v>
      </c>
      <c r="B25" s="7" t="s">
        <v>21</v>
      </c>
    </row>
    <row r="26" spans="1:2">
      <c r="A26" s="57">
        <v>25</v>
      </c>
      <c r="B26" s="7" t="s">
        <v>22</v>
      </c>
    </row>
    <row r="27" spans="1:2">
      <c r="A27" s="57">
        <v>26</v>
      </c>
      <c r="B27" s="7" t="s">
        <v>23</v>
      </c>
    </row>
    <row r="28" spans="1:2">
      <c r="A28" s="57">
        <v>27</v>
      </c>
      <c r="B28" s="7" t="s">
        <v>24</v>
      </c>
    </row>
    <row r="29" spans="1:2">
      <c r="A29" s="57">
        <v>28</v>
      </c>
      <c r="B29" s="7" t="s">
        <v>25</v>
      </c>
    </row>
    <row r="30" spans="1:2">
      <c r="A30" s="57">
        <v>29</v>
      </c>
      <c r="B30" s="7" t="s">
        <v>26</v>
      </c>
    </row>
    <row r="31" spans="1:2">
      <c r="A31" s="57">
        <v>30</v>
      </c>
      <c r="B31" s="7" t="s">
        <v>27</v>
      </c>
    </row>
    <row r="32" spans="1:2">
      <c r="A32" s="57">
        <v>31</v>
      </c>
      <c r="B32" s="7" t="s">
        <v>28</v>
      </c>
    </row>
    <row r="33" spans="1:2">
      <c r="A33" s="57">
        <v>32</v>
      </c>
      <c r="B33" s="7" t="s">
        <v>29</v>
      </c>
    </row>
    <row r="34" spans="1:2">
      <c r="A34" s="57">
        <v>33</v>
      </c>
      <c r="B34" s="7" t="s">
        <v>29</v>
      </c>
    </row>
    <row r="35" spans="1:2">
      <c r="A35" s="57">
        <v>34</v>
      </c>
      <c r="B35" s="7" t="s">
        <v>30</v>
      </c>
    </row>
    <row r="36" spans="1:2">
      <c r="A36" s="57">
        <v>35</v>
      </c>
      <c r="B36" s="7" t="s">
        <v>30</v>
      </c>
    </row>
    <row r="37" spans="1:2">
      <c r="A37" s="57">
        <v>36</v>
      </c>
      <c r="B37" s="7" t="s">
        <v>31</v>
      </c>
    </row>
    <row r="38" spans="1:2">
      <c r="A38" s="57">
        <v>37</v>
      </c>
      <c r="B38" s="7" t="s">
        <v>31</v>
      </c>
    </row>
    <row r="39" spans="1:2">
      <c r="A39" s="57">
        <v>38</v>
      </c>
      <c r="B39" s="7" t="s">
        <v>32</v>
      </c>
    </row>
    <row r="40" spans="1:2">
      <c r="A40" s="57">
        <v>39</v>
      </c>
      <c r="B40" s="7" t="s">
        <v>33</v>
      </c>
    </row>
    <row r="41" spans="1:2">
      <c r="A41" s="57">
        <v>40</v>
      </c>
      <c r="B41" s="7" t="s">
        <v>34</v>
      </c>
    </row>
    <row r="42" spans="1:2">
      <c r="A42" s="57">
        <v>41</v>
      </c>
      <c r="B42" s="7" t="s">
        <v>35</v>
      </c>
    </row>
    <row r="43" spans="1:2">
      <c r="A43" s="57">
        <v>42</v>
      </c>
      <c r="B43" s="7" t="s">
        <v>36</v>
      </c>
    </row>
    <row r="44" spans="1:2">
      <c r="A44" s="57">
        <v>43</v>
      </c>
      <c r="B44" s="7" t="s">
        <v>37</v>
      </c>
    </row>
    <row r="45" spans="1:2">
      <c r="A45" s="57">
        <v>44</v>
      </c>
      <c r="B45" s="7" t="s">
        <v>38</v>
      </c>
    </row>
    <row r="46" spans="1:2">
      <c r="A46" s="57">
        <v>45</v>
      </c>
      <c r="B46" s="7" t="s">
        <v>38</v>
      </c>
    </row>
    <row r="47" spans="1:2">
      <c r="A47" s="57">
        <v>46</v>
      </c>
      <c r="B47" s="7" t="s">
        <v>39</v>
      </c>
    </row>
    <row r="48" spans="1:2">
      <c r="A48" s="57">
        <v>47</v>
      </c>
      <c r="B48" s="7" t="s">
        <v>39</v>
      </c>
    </row>
    <row r="49" spans="1:2">
      <c r="A49" s="57">
        <v>48</v>
      </c>
      <c r="B49" s="7" t="s">
        <v>40</v>
      </c>
    </row>
    <row r="50" spans="1:2">
      <c r="A50" s="57">
        <v>49</v>
      </c>
      <c r="B50" s="7" t="s">
        <v>41</v>
      </c>
    </row>
    <row r="51" spans="1:2">
      <c r="A51" s="57">
        <v>50</v>
      </c>
      <c r="B51" s="7" t="s">
        <v>42</v>
      </c>
    </row>
    <row r="52" spans="1:2">
      <c r="A52" s="57">
        <v>51</v>
      </c>
      <c r="B52" s="32" t="s">
        <v>1143</v>
      </c>
    </row>
    <row r="53" spans="1:2">
      <c r="A53" s="57">
        <v>52</v>
      </c>
      <c r="B53" s="7" t="s">
        <v>43</v>
      </c>
    </row>
    <row r="54" spans="1:2">
      <c r="A54" s="57">
        <v>53</v>
      </c>
      <c r="B54" s="7" t="s">
        <v>43</v>
      </c>
    </row>
    <row r="55" spans="1:2">
      <c r="A55" s="57">
        <v>54</v>
      </c>
      <c r="B55" s="7" t="s">
        <v>44</v>
      </c>
    </row>
    <row r="56" spans="1:2">
      <c r="A56" s="57">
        <v>55</v>
      </c>
      <c r="B56" s="7" t="s">
        <v>44</v>
      </c>
    </row>
    <row r="57" spans="1:2">
      <c r="A57" s="57">
        <v>56</v>
      </c>
      <c r="B57" s="7" t="s">
        <v>45</v>
      </c>
    </row>
    <row r="58" spans="1:2">
      <c r="A58" s="57">
        <v>57</v>
      </c>
      <c r="B58" s="7" t="s">
        <v>68</v>
      </c>
    </row>
    <row r="59" spans="1:2">
      <c r="A59" s="57">
        <v>58</v>
      </c>
      <c r="B59" s="7" t="s">
        <v>46</v>
      </c>
    </row>
    <row r="60" spans="1:2">
      <c r="A60" s="57">
        <v>59</v>
      </c>
      <c r="B60" s="7" t="s">
        <v>46</v>
      </c>
    </row>
    <row r="61" spans="1:2">
      <c r="A61" s="57">
        <v>60</v>
      </c>
      <c r="B61" s="7" t="s">
        <v>47</v>
      </c>
    </row>
    <row r="62" spans="1:2">
      <c r="A62" s="57">
        <v>61</v>
      </c>
      <c r="B62" s="7" t="s">
        <v>48</v>
      </c>
    </row>
    <row r="63" spans="1:2">
      <c r="A63" s="57">
        <v>62</v>
      </c>
      <c r="B63" s="7" t="s">
        <v>48</v>
      </c>
    </row>
    <row r="64" spans="1:2">
      <c r="A64" s="57">
        <v>63</v>
      </c>
      <c r="B64" s="7" t="s">
        <v>49</v>
      </c>
    </row>
    <row r="65" spans="1:2">
      <c r="A65" s="57">
        <v>64</v>
      </c>
      <c r="B65" s="7" t="s">
        <v>49</v>
      </c>
    </row>
    <row r="66" spans="1:2">
      <c r="A66" s="57">
        <v>65</v>
      </c>
      <c r="B66" s="7" t="s">
        <v>50</v>
      </c>
    </row>
    <row r="67" spans="1:2">
      <c r="A67" s="57">
        <v>66</v>
      </c>
      <c r="B67" s="7" t="s">
        <v>50</v>
      </c>
    </row>
    <row r="68" spans="1:2">
      <c r="A68" s="57">
        <v>67</v>
      </c>
      <c r="B68" s="7" t="s">
        <v>51</v>
      </c>
    </row>
    <row r="69" spans="1:2">
      <c r="A69" s="57">
        <v>68</v>
      </c>
      <c r="B69" s="7" t="s">
        <v>51</v>
      </c>
    </row>
    <row r="70" spans="1:2">
      <c r="A70" s="57">
        <v>69</v>
      </c>
      <c r="B70" s="7" t="s">
        <v>52</v>
      </c>
    </row>
    <row r="71" spans="1:2">
      <c r="A71" s="57">
        <v>70</v>
      </c>
      <c r="B71" s="7" t="s">
        <v>52</v>
      </c>
    </row>
    <row r="72" spans="1:2">
      <c r="A72" s="57">
        <v>71</v>
      </c>
      <c r="B72" s="7" t="s">
        <v>53</v>
      </c>
    </row>
    <row r="73" spans="1:2">
      <c r="A73" s="57">
        <v>72</v>
      </c>
      <c r="B73" s="7" t="s">
        <v>53</v>
      </c>
    </row>
    <row r="74" spans="1:2">
      <c r="A74" s="57">
        <v>73</v>
      </c>
      <c r="B74" s="7" t="s">
        <v>53</v>
      </c>
    </row>
    <row r="75" spans="1:2">
      <c r="A75" s="57">
        <v>74</v>
      </c>
      <c r="B75" s="7" t="s">
        <v>54</v>
      </c>
    </row>
    <row r="76" spans="1:2">
      <c r="A76" s="57">
        <v>75</v>
      </c>
      <c r="B76" s="7" t="s">
        <v>54</v>
      </c>
    </row>
    <row r="77" spans="1:2">
      <c r="A77" s="57">
        <v>76</v>
      </c>
      <c r="B77" s="7" t="s">
        <v>55</v>
      </c>
    </row>
    <row r="78" spans="1:2">
      <c r="A78" s="57">
        <v>77</v>
      </c>
      <c r="B78" s="7" t="s">
        <v>55</v>
      </c>
    </row>
    <row r="79" spans="1:2">
      <c r="A79" s="57">
        <v>78</v>
      </c>
      <c r="B79" s="7" t="s">
        <v>56</v>
      </c>
    </row>
    <row r="80" spans="1:2">
      <c r="A80" s="57">
        <v>79</v>
      </c>
      <c r="B80" s="7" t="s">
        <v>56</v>
      </c>
    </row>
    <row r="81" spans="1:2">
      <c r="A81" s="57">
        <v>80</v>
      </c>
      <c r="B81" s="7" t="s">
        <v>57</v>
      </c>
    </row>
    <row r="82" spans="1:2">
      <c r="A82" s="57">
        <v>81</v>
      </c>
      <c r="B82" s="7" t="s">
        <v>58</v>
      </c>
    </row>
    <row r="83" spans="1:2">
      <c r="A83" s="57">
        <v>82</v>
      </c>
      <c r="B83" s="7" t="s">
        <v>58</v>
      </c>
    </row>
    <row r="84" spans="1:2">
      <c r="A84" s="57">
        <v>83</v>
      </c>
      <c r="B84" s="7" t="s">
        <v>58</v>
      </c>
    </row>
    <row r="85" spans="1:2">
      <c r="A85" s="57">
        <v>84</v>
      </c>
      <c r="B85" s="7" t="s">
        <v>59</v>
      </c>
    </row>
    <row r="86" spans="1:2">
      <c r="A86" s="57">
        <v>85</v>
      </c>
      <c r="B86" s="7" t="s">
        <v>60</v>
      </c>
    </row>
    <row r="87" spans="1:2">
      <c r="A87" s="57">
        <v>86</v>
      </c>
      <c r="B87" s="7" t="s">
        <v>60</v>
      </c>
    </row>
    <row r="88" spans="1:2">
      <c r="A88" s="57">
        <v>87</v>
      </c>
      <c r="B88" s="7" t="s">
        <v>60</v>
      </c>
    </row>
    <row r="89" spans="1:2">
      <c r="A89" s="57">
        <v>88</v>
      </c>
      <c r="B89" s="7" t="s">
        <v>61</v>
      </c>
    </row>
    <row r="90" spans="1:2">
      <c r="A90" s="57">
        <v>89</v>
      </c>
      <c r="B90" s="7" t="s">
        <v>61</v>
      </c>
    </row>
    <row r="91" spans="1:2">
      <c r="A91" s="57">
        <v>90</v>
      </c>
      <c r="B91" s="7" t="s">
        <v>62</v>
      </c>
    </row>
    <row r="92" spans="1:2">
      <c r="A92" s="57">
        <v>91</v>
      </c>
      <c r="B92" s="7" t="s">
        <v>62</v>
      </c>
    </row>
    <row r="93" spans="1:2">
      <c r="A93" s="57">
        <v>92</v>
      </c>
      <c r="B93" s="7" t="s">
        <v>63</v>
      </c>
    </row>
    <row r="94" spans="1:2">
      <c r="A94" s="57">
        <v>93</v>
      </c>
      <c r="B94" s="7" t="s">
        <v>63</v>
      </c>
    </row>
    <row r="95" spans="1:2">
      <c r="A95" s="57">
        <v>94</v>
      </c>
      <c r="B95" s="7" t="s">
        <v>63</v>
      </c>
    </row>
    <row r="96" spans="1:2">
      <c r="A96" s="57">
        <v>95</v>
      </c>
      <c r="B96" s="7" t="s">
        <v>64</v>
      </c>
    </row>
    <row r="97" spans="1:2">
      <c r="A97" s="57">
        <v>96</v>
      </c>
      <c r="B97" s="7" t="s">
        <v>64</v>
      </c>
    </row>
    <row r="98" spans="1:2">
      <c r="A98" s="57">
        <v>97</v>
      </c>
      <c r="B98" s="32" t="s">
        <v>1144</v>
      </c>
    </row>
    <row r="99" spans="1:2">
      <c r="A99" s="57">
        <v>98</v>
      </c>
      <c r="B99" s="32" t="s">
        <v>1144</v>
      </c>
    </row>
    <row r="100" spans="1:2">
      <c r="A100" s="57">
        <v>99</v>
      </c>
      <c r="B100" s="7" t="s">
        <v>65</v>
      </c>
    </row>
    <row r="101" spans="1:2">
      <c r="A101" s="57">
        <v>100</v>
      </c>
      <c r="B101" s="7" t="s">
        <v>65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7"/>
  <sheetViews>
    <sheetView topLeftCell="A30" workbookViewId="0">
      <selection activeCell="B42" sqref="B42"/>
    </sheetView>
  </sheetViews>
  <sheetFormatPr defaultColWidth="17.28515625" defaultRowHeight="15"/>
  <cols>
    <col min="1" max="1" width="4.140625" style="250" customWidth="1"/>
    <col min="2" max="3" width="17.28515625" style="285"/>
    <col min="4" max="4" width="17.5703125" style="285" customWidth="1"/>
    <col min="5" max="8" width="17.5703125" style="250" customWidth="1"/>
    <col min="9" max="9" width="17.5703125" style="285" customWidth="1"/>
    <col min="10" max="12" width="17.5703125" style="250" customWidth="1"/>
    <col min="13" max="13" width="17.5703125" style="285" customWidth="1"/>
    <col min="14" max="15" width="17.5703125" style="250" customWidth="1"/>
    <col min="16" max="16" width="17.28515625" style="285"/>
    <col min="17" max="17" width="17.28515625" style="250"/>
    <col min="18" max="18" width="17.28515625" style="285"/>
    <col min="19" max="16384" width="17.28515625" style="250"/>
  </cols>
  <sheetData>
    <row r="1" spans="1:20">
      <c r="A1" s="251"/>
      <c r="B1" s="252" t="s">
        <v>5810</v>
      </c>
      <c r="C1" s="253">
        <v>0.7</v>
      </c>
      <c r="D1" s="251"/>
      <c r="E1" s="251"/>
      <c r="F1" s="251"/>
      <c r="G1" s="251"/>
      <c r="H1" s="251"/>
      <c r="I1" s="251"/>
      <c r="J1" s="251"/>
      <c r="K1" s="251"/>
      <c r="L1" s="251"/>
      <c r="M1" s="251"/>
      <c r="N1" s="251"/>
      <c r="O1" s="251"/>
    </row>
    <row r="2" spans="1:20">
      <c r="A2" s="243"/>
      <c r="B2" s="243">
        <v>2</v>
      </c>
      <c r="C2" s="243">
        <f t="shared" ref="C2:O2" si="0">B2+1</f>
        <v>3</v>
      </c>
      <c r="D2" s="243">
        <f t="shared" si="0"/>
        <v>4</v>
      </c>
      <c r="E2" s="243">
        <f t="shared" si="0"/>
        <v>5</v>
      </c>
      <c r="F2" s="243">
        <f t="shared" si="0"/>
        <v>6</v>
      </c>
      <c r="G2" s="243">
        <f t="shared" si="0"/>
        <v>7</v>
      </c>
      <c r="H2" s="243">
        <f t="shared" si="0"/>
        <v>8</v>
      </c>
      <c r="I2" s="243">
        <f t="shared" si="0"/>
        <v>9</v>
      </c>
      <c r="J2" s="243">
        <f t="shared" si="0"/>
        <v>10</v>
      </c>
      <c r="K2" s="243">
        <f t="shared" si="0"/>
        <v>11</v>
      </c>
      <c r="L2" s="243">
        <f t="shared" si="0"/>
        <v>12</v>
      </c>
      <c r="M2" s="243">
        <f t="shared" si="0"/>
        <v>13</v>
      </c>
      <c r="N2" s="243">
        <f t="shared" si="0"/>
        <v>14</v>
      </c>
      <c r="O2" s="243">
        <f t="shared" si="0"/>
        <v>15</v>
      </c>
      <c r="P2" s="286"/>
    </row>
    <row r="3" spans="1:20">
      <c r="A3" s="243"/>
      <c r="B3" s="254" t="s">
        <v>5811</v>
      </c>
      <c r="C3" s="255"/>
      <c r="D3" s="256"/>
      <c r="E3" s="236" t="s">
        <v>705</v>
      </c>
      <c r="F3" s="254" t="s">
        <v>5812</v>
      </c>
      <c r="G3" s="256"/>
      <c r="H3" s="234" t="s">
        <v>5813</v>
      </c>
      <c r="I3" s="237"/>
      <c r="J3" s="234"/>
      <c r="K3" s="237"/>
      <c r="L3" s="234" t="s">
        <v>5814</v>
      </c>
      <c r="M3" s="236"/>
      <c r="N3" s="236"/>
      <c r="O3" s="237"/>
      <c r="P3" s="319"/>
    </row>
    <row r="4" spans="1:20" ht="15.75" thickBot="1">
      <c r="A4" s="248" t="s">
        <v>5815</v>
      </c>
      <c r="B4" s="257" t="s">
        <v>5816</v>
      </c>
      <c r="C4" s="258" t="s">
        <v>5817</v>
      </c>
      <c r="D4" s="259" t="s">
        <v>5818</v>
      </c>
      <c r="E4" s="248" t="s">
        <v>5819</v>
      </c>
      <c r="F4" s="257" t="s">
        <v>543</v>
      </c>
      <c r="G4" s="259" t="s">
        <v>5820</v>
      </c>
      <c r="H4" s="246" t="s">
        <v>5821</v>
      </c>
      <c r="I4" s="249" t="s">
        <v>5816</v>
      </c>
      <c r="J4" s="246" t="s">
        <v>5822</v>
      </c>
      <c r="K4" s="249" t="s">
        <v>5823</v>
      </c>
      <c r="L4" s="242" t="s">
        <v>543</v>
      </c>
      <c r="M4" s="243" t="s">
        <v>5821</v>
      </c>
      <c r="N4" s="243" t="s">
        <v>5824</v>
      </c>
      <c r="O4" s="244" t="s">
        <v>5825</v>
      </c>
      <c r="P4" s="322" t="s">
        <v>5815</v>
      </c>
      <c r="Q4" s="322" t="s">
        <v>5816</v>
      </c>
      <c r="R4" s="322" t="s">
        <v>7039</v>
      </c>
      <c r="S4" s="322" t="s">
        <v>7040</v>
      </c>
      <c r="T4" s="322" t="s">
        <v>7041</v>
      </c>
    </row>
    <row r="5" spans="1:20" ht="25.5">
      <c r="A5" s="251">
        <v>1</v>
      </c>
      <c r="B5" s="260" t="s">
        <v>6232</v>
      </c>
      <c r="C5" s="251" t="s">
        <v>5826</v>
      </c>
      <c r="D5" s="251" t="s">
        <v>6148</v>
      </c>
      <c r="E5" s="251" t="s">
        <v>5827</v>
      </c>
      <c r="F5" s="251" t="s">
        <v>5828</v>
      </c>
      <c r="G5" s="251" t="s">
        <v>5883</v>
      </c>
      <c r="H5" s="260" t="s">
        <v>5829</v>
      </c>
      <c r="I5" s="261" t="s">
        <v>5830</v>
      </c>
      <c r="J5" s="260" t="s">
        <v>5831</v>
      </c>
      <c r="K5" s="251" t="s">
        <v>5832</v>
      </c>
      <c r="L5" s="262" t="s">
        <v>5833</v>
      </c>
      <c r="M5" s="263" t="s">
        <v>5834</v>
      </c>
      <c r="N5" s="263" t="s">
        <v>5835</v>
      </c>
      <c r="O5" s="263" t="s">
        <v>5836</v>
      </c>
      <c r="P5" s="324">
        <v>1</v>
      </c>
      <c r="Q5" s="325" t="s">
        <v>7042</v>
      </c>
      <c r="R5" s="325" t="s">
        <v>7043</v>
      </c>
      <c r="S5" s="325" t="s">
        <v>7044</v>
      </c>
      <c r="T5" s="326" t="s">
        <v>7100</v>
      </c>
    </row>
    <row r="6" spans="1:20" ht="25.5">
      <c r="A6" s="251">
        <v>2</v>
      </c>
      <c r="B6" s="260" t="s">
        <v>6233</v>
      </c>
      <c r="C6" s="251" t="s">
        <v>6949</v>
      </c>
      <c r="D6" s="251" t="s">
        <v>6147</v>
      </c>
      <c r="E6" s="251" t="s">
        <v>5837</v>
      </c>
      <c r="F6" s="251" t="s">
        <v>5838</v>
      </c>
      <c r="G6" s="251" t="s">
        <v>6210</v>
      </c>
      <c r="H6" s="260" t="s">
        <v>5839</v>
      </c>
      <c r="I6" s="261" t="s">
        <v>5840</v>
      </c>
      <c r="J6" s="260" t="s">
        <v>5841</v>
      </c>
      <c r="K6" s="251" t="s">
        <v>5842</v>
      </c>
      <c r="L6" s="260" t="s">
        <v>5843</v>
      </c>
      <c r="M6" s="251" t="s">
        <v>5844</v>
      </c>
      <c r="N6" s="251" t="s">
        <v>5845</v>
      </c>
      <c r="O6" s="322" t="s">
        <v>5846</v>
      </c>
      <c r="P6" s="327">
        <v>2</v>
      </c>
      <c r="Q6" s="328" t="s">
        <v>7045</v>
      </c>
      <c r="R6" s="328" t="s">
        <v>7046</v>
      </c>
      <c r="S6" s="328" t="s">
        <v>7047</v>
      </c>
      <c r="T6" s="329" t="s">
        <v>7101</v>
      </c>
    </row>
    <row r="7" spans="1:20" ht="38.25">
      <c r="A7" s="251">
        <v>3</v>
      </c>
      <c r="B7" s="260" t="s">
        <v>6806</v>
      </c>
      <c r="C7" s="251" t="s">
        <v>6196</v>
      </c>
      <c r="D7" s="251" t="s">
        <v>6146</v>
      </c>
      <c r="E7" s="251" t="s">
        <v>5847</v>
      </c>
      <c r="F7" s="251" t="s">
        <v>5848</v>
      </c>
      <c r="G7" s="251" t="s">
        <v>6211</v>
      </c>
      <c r="H7" s="260" t="s">
        <v>5812</v>
      </c>
      <c r="I7" s="261" t="s">
        <v>5850</v>
      </c>
      <c r="J7" s="260" t="s">
        <v>5851</v>
      </c>
      <c r="K7" s="251" t="s">
        <v>5852</v>
      </c>
      <c r="L7" s="260" t="s">
        <v>5853</v>
      </c>
      <c r="M7" s="251" t="s">
        <v>5854</v>
      </c>
      <c r="N7" s="251" t="s">
        <v>5855</v>
      </c>
      <c r="O7" s="322" t="s">
        <v>5856</v>
      </c>
      <c r="P7" s="327">
        <v>3</v>
      </c>
      <c r="Q7" s="328" t="s">
        <v>7048</v>
      </c>
      <c r="R7" s="328" t="s">
        <v>6410</v>
      </c>
      <c r="S7" s="328" t="s">
        <v>7049</v>
      </c>
      <c r="T7" s="329" t="s">
        <v>7102</v>
      </c>
    </row>
    <row r="8" spans="1:20" ht="25.5">
      <c r="A8" s="251">
        <v>4</v>
      </c>
      <c r="B8" s="260" t="s">
        <v>5857</v>
      </c>
      <c r="C8" s="251" t="s">
        <v>6950</v>
      </c>
      <c r="D8" s="251" t="s">
        <v>6145</v>
      </c>
      <c r="E8" s="251" t="s">
        <v>5859</v>
      </c>
      <c r="F8" s="251" t="s">
        <v>5860</v>
      </c>
      <c r="G8" s="251" t="s">
        <v>6212</v>
      </c>
      <c r="H8" s="260" t="s">
        <v>5861</v>
      </c>
      <c r="I8" s="261" t="s">
        <v>5862</v>
      </c>
      <c r="J8" s="260" t="s">
        <v>5863</v>
      </c>
      <c r="K8" s="251" t="s">
        <v>5864</v>
      </c>
      <c r="L8" s="260" t="s">
        <v>5865</v>
      </c>
      <c r="M8" s="251" t="s">
        <v>5866</v>
      </c>
      <c r="N8" s="251" t="s">
        <v>5867</v>
      </c>
      <c r="O8" s="322" t="s">
        <v>5868</v>
      </c>
      <c r="P8" s="327">
        <v>4</v>
      </c>
      <c r="Q8" s="328" t="s">
        <v>7050</v>
      </c>
      <c r="R8" s="328" t="s">
        <v>7051</v>
      </c>
      <c r="S8" s="328" t="s">
        <v>6336</v>
      </c>
      <c r="T8" s="329" t="s">
        <v>7103</v>
      </c>
    </row>
    <row r="9" spans="1:20" ht="26.25">
      <c r="A9" s="251">
        <v>5</v>
      </c>
      <c r="B9" s="260" t="s">
        <v>5869</v>
      </c>
      <c r="C9" s="251" t="s">
        <v>5858</v>
      </c>
      <c r="D9" s="251" t="s">
        <v>5870</v>
      </c>
      <c r="E9" s="251" t="s">
        <v>5871</v>
      </c>
      <c r="F9" s="251" t="s">
        <v>5872</v>
      </c>
      <c r="G9" s="251" t="s">
        <v>6213</v>
      </c>
      <c r="H9" s="260" t="s">
        <v>5873</v>
      </c>
      <c r="I9" s="261" t="s">
        <v>5874</v>
      </c>
      <c r="J9" s="260" t="s">
        <v>5875</v>
      </c>
      <c r="K9" s="251"/>
      <c r="L9" s="260" t="s">
        <v>5876</v>
      </c>
      <c r="M9" s="251" t="s">
        <v>5877</v>
      </c>
      <c r="N9" s="251" t="s">
        <v>5878</v>
      </c>
      <c r="O9" s="322" t="s">
        <v>5879</v>
      </c>
      <c r="P9" s="327">
        <v>5</v>
      </c>
      <c r="Q9" s="328" t="s">
        <v>7052</v>
      </c>
      <c r="R9" s="328" t="s">
        <v>7053</v>
      </c>
      <c r="S9" s="328" t="s">
        <v>7054</v>
      </c>
      <c r="T9" s="329" t="s">
        <v>7104</v>
      </c>
    </row>
    <row r="10" spans="1:20" ht="38.25">
      <c r="A10" s="251">
        <v>6</v>
      </c>
      <c r="B10" s="260" t="s">
        <v>5880</v>
      </c>
      <c r="C10" s="251" t="s">
        <v>5934</v>
      </c>
      <c r="D10" s="251" t="s">
        <v>6144</v>
      </c>
      <c r="E10" s="251" t="s">
        <v>5881</v>
      </c>
      <c r="F10" s="251" t="s">
        <v>5882</v>
      </c>
      <c r="G10" s="251" t="s">
        <v>6214</v>
      </c>
      <c r="H10" s="260" t="s">
        <v>5884</v>
      </c>
      <c r="I10" s="261" t="s">
        <v>5885</v>
      </c>
      <c r="J10" s="260" t="s">
        <v>5825</v>
      </c>
      <c r="K10" s="251"/>
      <c r="L10" s="260" t="s">
        <v>5886</v>
      </c>
      <c r="M10" s="251" t="s">
        <v>5887</v>
      </c>
      <c r="N10" s="251" t="s">
        <v>5888</v>
      </c>
      <c r="O10" s="322" t="s">
        <v>5889</v>
      </c>
      <c r="P10" s="327">
        <v>6</v>
      </c>
      <c r="Q10" s="328" t="s">
        <v>7055</v>
      </c>
      <c r="R10" s="328" t="s">
        <v>7056</v>
      </c>
      <c r="S10" s="328" t="s">
        <v>7057</v>
      </c>
      <c r="T10" s="329" t="s">
        <v>7105</v>
      </c>
    </row>
    <row r="11" spans="1:20" ht="26.25">
      <c r="A11" s="251">
        <v>7</v>
      </c>
      <c r="B11" s="260" t="s">
        <v>6234</v>
      </c>
      <c r="C11" s="251" t="s">
        <v>5890</v>
      </c>
      <c r="D11" s="251" t="s">
        <v>6143</v>
      </c>
      <c r="E11" s="251" t="s">
        <v>5891</v>
      </c>
      <c r="F11" s="251" t="s">
        <v>5892</v>
      </c>
      <c r="G11" s="251" t="s">
        <v>6215</v>
      </c>
      <c r="H11" s="260" t="s">
        <v>731</v>
      </c>
      <c r="I11" s="261" t="s">
        <v>5893</v>
      </c>
      <c r="J11" s="260" t="s">
        <v>5894</v>
      </c>
      <c r="K11" s="251"/>
      <c r="L11" s="260" t="s">
        <v>5895</v>
      </c>
      <c r="M11" s="251" t="s">
        <v>5896</v>
      </c>
      <c r="N11" s="251" t="s">
        <v>5897</v>
      </c>
      <c r="O11" s="322" t="s">
        <v>5898</v>
      </c>
      <c r="P11" s="327">
        <v>7</v>
      </c>
      <c r="Q11" s="328" t="s">
        <v>7058</v>
      </c>
      <c r="R11" s="328" t="s">
        <v>7059</v>
      </c>
      <c r="S11" s="328" t="s">
        <v>7060</v>
      </c>
      <c r="T11" s="329" t="s">
        <v>7106</v>
      </c>
    </row>
    <row r="12" spans="1:20" ht="25.5">
      <c r="A12" s="251">
        <v>8</v>
      </c>
      <c r="B12" s="260" t="s">
        <v>6797</v>
      </c>
      <c r="C12" s="251" t="s">
        <v>7227</v>
      </c>
      <c r="D12" s="251" t="s">
        <v>6142</v>
      </c>
      <c r="E12" s="251" t="s">
        <v>5899</v>
      </c>
      <c r="F12" s="251" t="s">
        <v>645</v>
      </c>
      <c r="G12" s="251" t="s">
        <v>6216</v>
      </c>
      <c r="H12" s="260" t="s">
        <v>5900</v>
      </c>
      <c r="I12" s="261" t="s">
        <v>5901</v>
      </c>
      <c r="J12" s="260" t="s">
        <v>5902</v>
      </c>
      <c r="K12" s="251"/>
      <c r="L12" s="260" t="s">
        <v>5903</v>
      </c>
      <c r="M12" s="251" t="s">
        <v>5904</v>
      </c>
      <c r="N12" s="251" t="s">
        <v>5905</v>
      </c>
      <c r="O12" s="322" t="s">
        <v>5906</v>
      </c>
      <c r="P12" s="327">
        <v>8</v>
      </c>
      <c r="Q12" s="328" t="s">
        <v>7061</v>
      </c>
      <c r="R12" s="328" t="s">
        <v>7062</v>
      </c>
      <c r="S12" s="328" t="s">
        <v>7063</v>
      </c>
      <c r="T12" s="329" t="s">
        <v>7107</v>
      </c>
    </row>
    <row r="13" spans="1:20" ht="25.5">
      <c r="A13" s="251">
        <v>9</v>
      </c>
      <c r="B13" s="260" t="s">
        <v>6235</v>
      </c>
      <c r="C13" s="251" t="s">
        <v>5858</v>
      </c>
      <c r="D13" s="251" t="s">
        <v>5907</v>
      </c>
      <c r="E13" s="251" t="s">
        <v>5908</v>
      </c>
      <c r="F13" s="251" t="s">
        <v>750</v>
      </c>
      <c r="G13" s="251" t="s">
        <v>6217</v>
      </c>
      <c r="H13" s="260" t="s">
        <v>5909</v>
      </c>
      <c r="I13" s="261" t="s">
        <v>5910</v>
      </c>
      <c r="J13" s="260" t="s">
        <v>6886</v>
      </c>
      <c r="K13" s="251"/>
      <c r="L13" s="260" t="s">
        <v>5911</v>
      </c>
      <c r="M13" s="251" t="s">
        <v>5912</v>
      </c>
      <c r="N13" s="251" t="s">
        <v>5913</v>
      </c>
      <c r="O13" s="322" t="s">
        <v>5914</v>
      </c>
      <c r="P13" s="327">
        <v>9</v>
      </c>
      <c r="Q13" s="328" t="s">
        <v>7064</v>
      </c>
      <c r="R13" s="328" t="s">
        <v>7065</v>
      </c>
      <c r="S13" s="328" t="s">
        <v>7066</v>
      </c>
      <c r="T13" s="329" t="s">
        <v>7108</v>
      </c>
    </row>
    <row r="14" spans="1:20" ht="25.5">
      <c r="A14" s="251">
        <v>10</v>
      </c>
      <c r="B14" s="260" t="s">
        <v>5915</v>
      </c>
      <c r="C14" s="251" t="s">
        <v>6197</v>
      </c>
      <c r="D14" s="251" t="str">
        <f ca="1">CONCATENATE(" in which you hear ",CHOOSE(RANDBETWEEN(1,15),"breathing","a bang","bellowing","clicking","clanking","footsteps","howling","a low hum","chanting","eerie laughter","shuffling","a scream","tapping","a thud","whispering"))</f>
        <v xml:space="preserve"> in which you hear a scream</v>
      </c>
      <c r="E14" s="251" t="s">
        <v>5916</v>
      </c>
      <c r="F14" s="251" t="s">
        <v>5917</v>
      </c>
      <c r="G14" s="251" t="s">
        <v>6218</v>
      </c>
      <c r="H14" s="260" t="s">
        <v>5918</v>
      </c>
      <c r="I14" s="261" t="s">
        <v>5919</v>
      </c>
      <c r="J14" s="260" t="s">
        <v>6885</v>
      </c>
      <c r="K14" s="251"/>
      <c r="L14" s="260" t="s">
        <v>5920</v>
      </c>
      <c r="M14" s="251" t="s">
        <v>5921</v>
      </c>
      <c r="N14" s="251" t="s">
        <v>5922</v>
      </c>
      <c r="O14" s="322" t="s">
        <v>5923</v>
      </c>
      <c r="P14" s="327">
        <v>10</v>
      </c>
      <c r="Q14" s="328" t="s">
        <v>7067</v>
      </c>
      <c r="R14" s="328" t="s">
        <v>7068</v>
      </c>
      <c r="S14" s="328" t="s">
        <v>7069</v>
      </c>
      <c r="T14" s="329" t="s">
        <v>7109</v>
      </c>
    </row>
    <row r="15" spans="1:20" ht="25.5">
      <c r="A15" s="251">
        <v>11</v>
      </c>
      <c r="B15" s="260" t="s">
        <v>6236</v>
      </c>
      <c r="C15" s="251" t="s">
        <v>6196</v>
      </c>
      <c r="D15" s="251" t="s">
        <v>5924</v>
      </c>
      <c r="E15" s="251" t="s">
        <v>5925</v>
      </c>
      <c r="F15" s="251" t="s">
        <v>5926</v>
      </c>
      <c r="G15" s="251" t="s">
        <v>6219</v>
      </c>
      <c r="H15" s="260" t="s">
        <v>5927</v>
      </c>
      <c r="I15" s="261" t="s">
        <v>5928</v>
      </c>
      <c r="J15" s="260" t="s">
        <v>5831</v>
      </c>
      <c r="K15" s="251"/>
      <c r="L15" s="260" t="s">
        <v>5929</v>
      </c>
      <c r="M15" s="251" t="s">
        <v>5930</v>
      </c>
      <c r="N15" s="251" t="s">
        <v>5931</v>
      </c>
      <c r="O15" s="322" t="s">
        <v>5932</v>
      </c>
      <c r="P15" s="327">
        <v>11</v>
      </c>
      <c r="Q15" s="322" t="s">
        <v>7070</v>
      </c>
      <c r="R15" s="322" t="s">
        <v>7071</v>
      </c>
      <c r="S15" s="322" t="s">
        <v>7072</v>
      </c>
      <c r="T15" s="330" t="s">
        <v>7110</v>
      </c>
    </row>
    <row r="16" spans="1:20">
      <c r="A16" s="251">
        <v>12</v>
      </c>
      <c r="B16" s="260" t="s">
        <v>5933</v>
      </c>
      <c r="C16" s="251" t="s">
        <v>6951</v>
      </c>
      <c r="D16" s="251" t="s">
        <v>6149</v>
      </c>
      <c r="E16" s="251" t="s">
        <v>5935</v>
      </c>
      <c r="F16" s="251" t="s">
        <v>5936</v>
      </c>
      <c r="G16" s="251" t="s">
        <v>6220</v>
      </c>
      <c r="H16" s="260" t="s">
        <v>733</v>
      </c>
      <c r="I16" s="261" t="s">
        <v>5937</v>
      </c>
      <c r="J16" s="260" t="s">
        <v>5841</v>
      </c>
      <c r="K16" s="251"/>
      <c r="L16" s="260" t="s">
        <v>5938</v>
      </c>
      <c r="M16" s="251" t="s">
        <v>5939</v>
      </c>
      <c r="N16" s="251" t="s">
        <v>5940</v>
      </c>
      <c r="O16" s="322" t="s">
        <v>5941</v>
      </c>
      <c r="P16" s="327">
        <v>12</v>
      </c>
      <c r="Q16" s="322" t="s">
        <v>7073</v>
      </c>
      <c r="R16" s="322" t="s">
        <v>7074</v>
      </c>
      <c r="S16" s="322" t="s">
        <v>7075</v>
      </c>
      <c r="T16" s="330" t="s">
        <v>7111</v>
      </c>
    </row>
    <row r="17" spans="1:20" ht="25.5">
      <c r="A17" s="251">
        <v>13</v>
      </c>
      <c r="B17" s="260" t="s">
        <v>6798</v>
      </c>
      <c r="C17" s="251" t="s">
        <v>6198</v>
      </c>
      <c r="D17" s="251" t="s">
        <v>5943</v>
      </c>
      <c r="E17" s="251" t="s">
        <v>5944</v>
      </c>
      <c r="F17" s="251" t="s">
        <v>5945</v>
      </c>
      <c r="G17" s="251" t="s">
        <v>6221</v>
      </c>
      <c r="H17" s="260" t="s">
        <v>5946</v>
      </c>
      <c r="I17" s="261" t="s">
        <v>5947</v>
      </c>
      <c r="J17" s="260" t="s">
        <v>5851</v>
      </c>
      <c r="K17" s="251"/>
      <c r="L17" s="260" t="s">
        <v>5948</v>
      </c>
      <c r="M17" s="251" t="s">
        <v>5949</v>
      </c>
      <c r="N17" s="251" t="s">
        <v>5950</v>
      </c>
      <c r="O17" s="322" t="s">
        <v>5951</v>
      </c>
      <c r="P17" s="327">
        <v>13</v>
      </c>
      <c r="Q17" s="322" t="s">
        <v>7076</v>
      </c>
      <c r="R17" s="322" t="s">
        <v>7077</v>
      </c>
      <c r="S17" s="322" t="s">
        <v>7078</v>
      </c>
      <c r="T17" s="330" t="s">
        <v>7112</v>
      </c>
    </row>
    <row r="18" spans="1:20" ht="25.5">
      <c r="A18" s="251">
        <v>14</v>
      </c>
      <c r="B18" s="260" t="s">
        <v>6239</v>
      </c>
      <c r="C18" s="251" t="s">
        <v>5952</v>
      </c>
      <c r="D18" s="251" t="s">
        <v>5953</v>
      </c>
      <c r="E18" s="251" t="s">
        <v>5954</v>
      </c>
      <c r="F18" s="251" t="s">
        <v>5955</v>
      </c>
      <c r="G18" s="251" t="s">
        <v>6222</v>
      </c>
      <c r="H18" s="260" t="s">
        <v>727</v>
      </c>
      <c r="I18" s="261" t="s">
        <v>5956</v>
      </c>
      <c r="J18" s="260" t="s">
        <v>5863</v>
      </c>
      <c r="K18" s="251"/>
      <c r="L18" s="260" t="s">
        <v>5957</v>
      </c>
      <c r="M18" s="251" t="s">
        <v>5958</v>
      </c>
      <c r="N18" s="251" t="s">
        <v>5959</v>
      </c>
      <c r="O18" s="322" t="s">
        <v>5960</v>
      </c>
      <c r="P18" s="327">
        <v>14</v>
      </c>
      <c r="Q18" s="322" t="s">
        <v>7079</v>
      </c>
      <c r="R18" s="322" t="s">
        <v>7080</v>
      </c>
      <c r="S18" s="322" t="s">
        <v>7081</v>
      </c>
      <c r="T18" s="330" t="s">
        <v>7113</v>
      </c>
    </row>
    <row r="19" spans="1:20">
      <c r="A19" s="251">
        <v>15</v>
      </c>
      <c r="B19" s="260" t="s">
        <v>5961</v>
      </c>
      <c r="C19" s="251" t="s">
        <v>6200</v>
      </c>
      <c r="D19" s="251" t="s">
        <v>5962</v>
      </c>
      <c r="E19" s="251" t="s">
        <v>5963</v>
      </c>
      <c r="F19" s="251" t="s">
        <v>5964</v>
      </c>
      <c r="G19" s="251" t="s">
        <v>6223</v>
      </c>
      <c r="H19" s="260" t="s">
        <v>5965</v>
      </c>
      <c r="I19" s="261" t="s">
        <v>5966</v>
      </c>
      <c r="J19" s="260" t="s">
        <v>5875</v>
      </c>
      <c r="K19" s="251"/>
      <c r="L19" s="260" t="s">
        <v>5967</v>
      </c>
      <c r="M19" s="251" t="s">
        <v>5968</v>
      </c>
      <c r="N19" s="251" t="s">
        <v>5969</v>
      </c>
      <c r="O19" s="322" t="s">
        <v>5970</v>
      </c>
      <c r="P19" s="327">
        <v>15</v>
      </c>
      <c r="Q19" s="322" t="s">
        <v>7082</v>
      </c>
      <c r="R19" s="322" t="s">
        <v>7083</v>
      </c>
      <c r="S19" s="322" t="s">
        <v>7084</v>
      </c>
      <c r="T19" s="330" t="s">
        <v>7114</v>
      </c>
    </row>
    <row r="20" spans="1:20" ht="38.25">
      <c r="A20" s="251">
        <v>16</v>
      </c>
      <c r="B20" s="260" t="s">
        <v>6948</v>
      </c>
      <c r="C20" s="251" t="s">
        <v>6199</v>
      </c>
      <c r="D20" s="251" t="s">
        <v>6799</v>
      </c>
      <c r="E20" s="251" t="s">
        <v>5972</v>
      </c>
      <c r="F20" s="251" t="s">
        <v>5973</v>
      </c>
      <c r="G20" s="251" t="s">
        <v>6224</v>
      </c>
      <c r="H20" s="260" t="s">
        <v>5974</v>
      </c>
      <c r="I20" s="261" t="s">
        <v>5975</v>
      </c>
      <c r="J20" s="260" t="s">
        <v>5825</v>
      </c>
      <c r="K20" s="251"/>
      <c r="L20" s="260" t="s">
        <v>5976</v>
      </c>
      <c r="M20" s="251" t="s">
        <v>5977</v>
      </c>
      <c r="N20" s="264"/>
      <c r="O20" s="323" t="s">
        <v>5978</v>
      </c>
      <c r="P20" s="327">
        <v>16</v>
      </c>
      <c r="Q20" s="322" t="s">
        <v>7085</v>
      </c>
      <c r="R20" s="322" t="s">
        <v>7086</v>
      </c>
      <c r="S20" s="322" t="s">
        <v>7087</v>
      </c>
      <c r="T20" s="330" t="s">
        <v>7115</v>
      </c>
    </row>
    <row r="21" spans="1:20" ht="26.25">
      <c r="A21" s="251">
        <v>17</v>
      </c>
      <c r="B21" s="260" t="s">
        <v>6238</v>
      </c>
      <c r="C21" s="251" t="s">
        <v>5979</v>
      </c>
      <c r="D21" s="251" t="s">
        <v>6807</v>
      </c>
      <c r="E21" s="251" t="s">
        <v>5980</v>
      </c>
      <c r="F21" s="251" t="s">
        <v>5981</v>
      </c>
      <c r="G21" s="251" t="s">
        <v>6225</v>
      </c>
      <c r="H21" s="260" t="s">
        <v>5982</v>
      </c>
      <c r="I21" s="261" t="s">
        <v>5983</v>
      </c>
      <c r="J21" s="260" t="s">
        <v>5894</v>
      </c>
      <c r="K21" s="251"/>
      <c r="L21" s="260" t="s">
        <v>5984</v>
      </c>
      <c r="M21" s="251" t="s">
        <v>5985</v>
      </c>
      <c r="N21" s="264"/>
      <c r="O21" s="323" t="s">
        <v>5986</v>
      </c>
      <c r="P21" s="327">
        <v>17</v>
      </c>
      <c r="Q21" s="322" t="s">
        <v>7088</v>
      </c>
      <c r="R21" s="322" t="s">
        <v>7089</v>
      </c>
      <c r="S21" s="322" t="s">
        <v>7090</v>
      </c>
      <c r="T21" s="330" t="s">
        <v>7116</v>
      </c>
    </row>
    <row r="22" spans="1:20" ht="25.5">
      <c r="A22" s="251">
        <v>18</v>
      </c>
      <c r="B22" s="260" t="s">
        <v>5987</v>
      </c>
      <c r="C22" s="251" t="s">
        <v>6952</v>
      </c>
      <c r="D22" s="251" t="s">
        <v>7128</v>
      </c>
      <c r="E22" s="251" t="s">
        <v>5971</v>
      </c>
      <c r="F22" s="251" t="s">
        <v>5988</v>
      </c>
      <c r="G22" s="251" t="s">
        <v>6226</v>
      </c>
      <c r="H22" s="260" t="s">
        <v>5849</v>
      </c>
      <c r="I22" s="261" t="s">
        <v>5989</v>
      </c>
      <c r="J22" s="260" t="s">
        <v>5902</v>
      </c>
      <c r="K22" s="251"/>
      <c r="L22" s="260"/>
      <c r="M22" s="251" t="s">
        <v>5990</v>
      </c>
      <c r="N22" s="264"/>
      <c r="O22" s="323" t="s">
        <v>5991</v>
      </c>
      <c r="P22" s="327">
        <v>18</v>
      </c>
      <c r="Q22" s="322" t="s">
        <v>7091</v>
      </c>
      <c r="R22" s="322" t="s">
        <v>7092</v>
      </c>
      <c r="S22" s="322" t="s">
        <v>7093</v>
      </c>
      <c r="T22" s="330" t="s">
        <v>7117</v>
      </c>
    </row>
    <row r="23" spans="1:20" ht="25.5">
      <c r="A23" s="251">
        <v>19</v>
      </c>
      <c r="B23" s="260" t="s">
        <v>5992</v>
      </c>
      <c r="C23" s="251" t="s">
        <v>6201</v>
      </c>
      <c r="D23" s="251" t="s">
        <v>6141</v>
      </c>
      <c r="E23" s="251" t="s">
        <v>5993</v>
      </c>
      <c r="F23" s="251" t="s">
        <v>5994</v>
      </c>
      <c r="G23" s="251" t="s">
        <v>6227</v>
      </c>
      <c r="H23" s="260" t="s">
        <v>5995</v>
      </c>
      <c r="I23" s="261" t="s">
        <v>5996</v>
      </c>
      <c r="J23" s="260" t="s">
        <v>6886</v>
      </c>
      <c r="K23" s="251"/>
      <c r="L23" s="260"/>
      <c r="M23" s="251" t="s">
        <v>5997</v>
      </c>
      <c r="N23" s="264"/>
      <c r="O23" s="323" t="s">
        <v>5998</v>
      </c>
      <c r="P23" s="327">
        <v>19</v>
      </c>
      <c r="Q23" s="322" t="s">
        <v>7094</v>
      </c>
      <c r="R23" s="322" t="s">
        <v>7095</v>
      </c>
      <c r="S23" s="322" t="s">
        <v>7096</v>
      </c>
      <c r="T23" s="330" t="s">
        <v>7118</v>
      </c>
    </row>
    <row r="24" spans="1:20" ht="27" thickBot="1">
      <c r="A24" s="251">
        <v>20</v>
      </c>
      <c r="B24" s="265" t="s">
        <v>5999</v>
      </c>
      <c r="C24" s="266" t="s">
        <v>6000</v>
      </c>
      <c r="D24" s="266" t="s">
        <v>6140</v>
      </c>
      <c r="E24" s="266" t="s">
        <v>6001</v>
      </c>
      <c r="F24" s="266" t="s">
        <v>6002</v>
      </c>
      <c r="G24" s="266" t="s">
        <v>6228</v>
      </c>
      <c r="H24" s="265" t="s">
        <v>6003</v>
      </c>
      <c r="I24" s="267" t="s">
        <v>6004</v>
      </c>
      <c r="J24" s="265" t="s">
        <v>6885</v>
      </c>
      <c r="K24" s="266"/>
      <c r="L24" s="265"/>
      <c r="M24" s="266" t="s">
        <v>6005</v>
      </c>
      <c r="N24" s="268"/>
      <c r="O24" s="268" t="s">
        <v>6006</v>
      </c>
      <c r="P24" s="331">
        <v>20</v>
      </c>
      <c r="Q24" s="332" t="s">
        <v>7097</v>
      </c>
      <c r="R24" s="332" t="s">
        <v>7098</v>
      </c>
      <c r="S24" s="332" t="s">
        <v>7099</v>
      </c>
      <c r="T24" s="333" t="s">
        <v>7119</v>
      </c>
    </row>
    <row r="26" spans="1:20">
      <c r="B26" s="871" t="s">
        <v>6134</v>
      </c>
      <c r="C26" s="871"/>
      <c r="D26" s="871"/>
      <c r="E26" s="871"/>
      <c r="F26" s="871"/>
      <c r="G26" s="871"/>
    </row>
    <row r="27" spans="1:20" s="285" customFormat="1">
      <c r="B27" s="286" t="s">
        <v>6132</v>
      </c>
      <c r="C27" s="286" t="s">
        <v>6138</v>
      </c>
      <c r="D27" s="285" t="s">
        <v>5812</v>
      </c>
      <c r="G27" s="285" t="s">
        <v>6150</v>
      </c>
      <c r="H27" s="285" t="s">
        <v>6150</v>
      </c>
      <c r="I27" s="285" t="s">
        <v>6150</v>
      </c>
      <c r="J27" s="285" t="s">
        <v>6151</v>
      </c>
      <c r="K27" s="285" t="s">
        <v>6152</v>
      </c>
      <c r="M27" s="285" t="s">
        <v>7255</v>
      </c>
      <c r="N27" s="285" t="s">
        <v>7267</v>
      </c>
    </row>
    <row r="28" spans="1:20" ht="45">
      <c r="A28" s="250">
        <v>1</v>
      </c>
      <c r="B28" s="285" t="str">
        <f ca="1">CONCATENATE(CHOOSE(RANDBETWEEN(1,5),"locked","broken","rotten","splintered","open")," doorway")</f>
        <v>broken doorway</v>
      </c>
      <c r="C28" s="285" t="s">
        <v>6117</v>
      </c>
      <c r="D28" s="285" t="s">
        <v>4243</v>
      </c>
      <c r="F28" s="296"/>
      <c r="G28" s="250" t="s">
        <v>6164</v>
      </c>
      <c r="H28" s="296" t="s">
        <v>1317</v>
      </c>
      <c r="I28" s="250" t="s">
        <v>6175</v>
      </c>
      <c r="J28" s="285" t="s">
        <v>6181</v>
      </c>
      <c r="K28" s="285" t="s">
        <v>1716</v>
      </c>
      <c r="M28" s="285" t="s">
        <v>7256</v>
      </c>
      <c r="N28" s="250" t="s">
        <v>7261</v>
      </c>
      <c r="P28" s="250"/>
      <c r="Q28" s="285"/>
    </row>
    <row r="29" spans="1:20" ht="45">
      <c r="A29" s="250">
        <v>2</v>
      </c>
      <c r="B29" s="285" t="str">
        <f ca="1">CONCATENATE(CHOOSE(RANDBETWEEN(1,5),"locked","broken","rotten","splintered","open")," doorway")</f>
        <v>open doorway</v>
      </c>
      <c r="C29" s="285" t="s">
        <v>6118</v>
      </c>
      <c r="D29" s="285" t="s">
        <v>4244</v>
      </c>
      <c r="F29" s="296"/>
      <c r="G29" s="250" t="s">
        <v>6182</v>
      </c>
      <c r="H29" s="296" t="s">
        <v>1146</v>
      </c>
      <c r="I29" s="250" t="s">
        <v>6176</v>
      </c>
      <c r="J29" s="285" t="s">
        <v>6153</v>
      </c>
      <c r="K29" s="285" t="s">
        <v>1717</v>
      </c>
      <c r="M29" s="285" t="s">
        <v>7257</v>
      </c>
      <c r="N29" s="250" t="s">
        <v>7262</v>
      </c>
      <c r="P29" s="250"/>
      <c r="Q29" s="285"/>
    </row>
    <row r="30" spans="1:20" ht="45">
      <c r="A30" s="250">
        <v>3</v>
      </c>
      <c r="B30" s="285" t="s">
        <v>7127</v>
      </c>
      <c r="C30" s="285" t="s">
        <v>6119</v>
      </c>
      <c r="D30" s="285" t="s">
        <v>4245</v>
      </c>
      <c r="F30" s="296"/>
      <c r="G30" s="250" t="s">
        <v>6183</v>
      </c>
      <c r="H30" s="296" t="s">
        <v>1318</v>
      </c>
      <c r="I30" s="250" t="s">
        <v>6177</v>
      </c>
      <c r="J30" s="285" t="s">
        <v>6154</v>
      </c>
      <c r="K30" s="285" t="s">
        <v>1718</v>
      </c>
      <c r="M30" s="285" t="s">
        <v>7258</v>
      </c>
      <c r="N30" s="250" t="s">
        <v>7263</v>
      </c>
      <c r="P30" s="250"/>
      <c r="Q30" s="285"/>
    </row>
    <row r="31" spans="1:20" ht="45">
      <c r="A31" s="250">
        <v>4</v>
      </c>
      <c r="B31" s="285" t="str">
        <f ca="1">CONCATENATE(CHOOSE(RANDBETWEEN(1,3),"wide","narrow","broken")," archway")</f>
        <v>broken archway</v>
      </c>
      <c r="C31" s="285" t="s">
        <v>6120</v>
      </c>
      <c r="D31" s="285" t="s">
        <v>4246</v>
      </c>
      <c r="F31" s="296"/>
      <c r="G31" s="250" t="s">
        <v>6184</v>
      </c>
      <c r="H31" s="296" t="s">
        <v>1319</v>
      </c>
      <c r="I31" s="250" t="s">
        <v>6178</v>
      </c>
      <c r="J31" s="285" t="s">
        <v>6155</v>
      </c>
      <c r="K31" s="285" t="s">
        <v>1719</v>
      </c>
      <c r="M31" s="285" t="s">
        <v>7259</v>
      </c>
      <c r="N31" s="250" t="s">
        <v>7264</v>
      </c>
      <c r="P31" s="250"/>
      <c r="Q31" s="285"/>
    </row>
    <row r="32" spans="1:20" ht="45">
      <c r="A32" s="250">
        <v>5</v>
      </c>
      <c r="B32" s="285" t="str">
        <f ca="1">CONCATENATE(CHOOSE(RANDBETWEEN(1,3),"wide","narrow","broken")," archway")</f>
        <v>narrow archway</v>
      </c>
      <c r="C32" s="285" t="s">
        <v>5939</v>
      </c>
      <c r="D32" s="285" t="s">
        <v>4247</v>
      </c>
      <c r="F32" s="296"/>
      <c r="G32" s="250" t="s">
        <v>6185</v>
      </c>
      <c r="H32" s="296" t="s">
        <v>1148</v>
      </c>
      <c r="I32" s="250" t="s">
        <v>6124</v>
      </c>
      <c r="J32" s="285" t="s">
        <v>6156</v>
      </c>
      <c r="K32" s="285" t="s">
        <v>1720</v>
      </c>
      <c r="M32" s="285" t="s">
        <v>7260</v>
      </c>
      <c r="N32" s="250" t="s">
        <v>7265</v>
      </c>
      <c r="P32" s="250"/>
      <c r="Q32" s="285"/>
    </row>
    <row r="33" spans="1:17" ht="45">
      <c r="A33" s="250">
        <v>6</v>
      </c>
      <c r="B33" s="285" t="str">
        <f ca="1">CONCATENATE(CHOOSE(RANDBETWEEN(1,3),"wide","narrow","broken")," archway")</f>
        <v>broken archway</v>
      </c>
      <c r="C33" s="285" t="s">
        <v>6135</v>
      </c>
      <c r="D33" s="285" t="s">
        <v>4248</v>
      </c>
      <c r="F33" s="296"/>
      <c r="G33" s="250" t="s">
        <v>6186</v>
      </c>
      <c r="H33" s="296" t="s">
        <v>1244</v>
      </c>
      <c r="I33" s="250" t="s">
        <v>6179</v>
      </c>
      <c r="J33" s="285" t="s">
        <v>6157</v>
      </c>
      <c r="K33" s="285" t="s">
        <v>1721</v>
      </c>
      <c r="M33" s="285" t="s">
        <v>7277</v>
      </c>
      <c r="N33" s="250" t="s">
        <v>7266</v>
      </c>
      <c r="P33" s="250"/>
      <c r="Q33" s="285"/>
    </row>
    <row r="34" spans="1:17" ht="45">
      <c r="A34" s="250">
        <v>7</v>
      </c>
      <c r="B34" s="285" t="s">
        <v>6131</v>
      </c>
      <c r="C34" s="285" t="s">
        <v>6126</v>
      </c>
      <c r="D34" s="285" t="s">
        <v>4249</v>
      </c>
      <c r="F34" s="280"/>
      <c r="G34" s="250" t="s">
        <v>6187</v>
      </c>
      <c r="H34" s="280" t="s">
        <v>6180</v>
      </c>
      <c r="I34" s="250" t="s">
        <v>6191</v>
      </c>
      <c r="J34" s="285" t="s">
        <v>6158</v>
      </c>
      <c r="K34" s="285" t="s">
        <v>1722</v>
      </c>
      <c r="M34" s="285" t="s">
        <v>7271</v>
      </c>
      <c r="N34" s="250" t="s">
        <v>7268</v>
      </c>
      <c r="P34" s="250"/>
      <c r="Q34" s="285"/>
    </row>
    <row r="35" spans="1:17" ht="30">
      <c r="A35" s="250">
        <v>8</v>
      </c>
      <c r="B35" s="285" t="s">
        <v>6129</v>
      </c>
      <c r="C35" s="285" t="s">
        <v>6133</v>
      </c>
      <c r="D35" s="285" t="s">
        <v>4250</v>
      </c>
      <c r="F35" s="280"/>
      <c r="G35" s="250" t="s">
        <v>6165</v>
      </c>
      <c r="H35" s="280" t="s">
        <v>1150</v>
      </c>
      <c r="I35" s="250" t="s">
        <v>6192</v>
      </c>
      <c r="J35" s="285" t="s">
        <v>6159</v>
      </c>
      <c r="K35" s="285" t="s">
        <v>1723</v>
      </c>
      <c r="M35" s="285" t="s">
        <v>7272</v>
      </c>
      <c r="N35" s="250" t="s">
        <v>6191</v>
      </c>
      <c r="P35" s="250"/>
      <c r="Q35" s="285"/>
    </row>
    <row r="36" spans="1:17" ht="45">
      <c r="A36" s="250">
        <v>9</v>
      </c>
      <c r="B36" s="285" t="s">
        <v>6208</v>
      </c>
      <c r="C36" s="285" t="s">
        <v>6136</v>
      </c>
      <c r="D36" s="285" t="s">
        <v>4251</v>
      </c>
      <c r="F36" s="280"/>
      <c r="G36" s="250" t="s">
        <v>6166</v>
      </c>
      <c r="H36" s="280" t="s">
        <v>1320</v>
      </c>
      <c r="I36" s="250" t="s">
        <v>6193</v>
      </c>
      <c r="J36" s="285" t="s">
        <v>6231</v>
      </c>
      <c r="K36" s="285" t="s">
        <v>1724</v>
      </c>
      <c r="M36" s="285" t="s">
        <v>7273</v>
      </c>
      <c r="N36" s="250" t="s">
        <v>7269</v>
      </c>
      <c r="P36" s="250"/>
      <c r="Q36" s="285"/>
    </row>
    <row r="37" spans="1:17" ht="45">
      <c r="A37" s="250">
        <v>10</v>
      </c>
      <c r="B37" s="285" t="s">
        <v>6126</v>
      </c>
      <c r="C37" s="285" t="s">
        <v>6123</v>
      </c>
      <c r="D37" s="285" t="s">
        <v>4252</v>
      </c>
      <c r="F37" s="280"/>
      <c r="G37" s="250" t="s">
        <v>6167</v>
      </c>
      <c r="H37" s="280" t="s">
        <v>1321</v>
      </c>
      <c r="I37" s="250" t="s">
        <v>6194</v>
      </c>
      <c r="J37" s="285" t="s">
        <v>6202</v>
      </c>
      <c r="K37" s="285" t="s">
        <v>1725</v>
      </c>
      <c r="M37" s="285" t="s">
        <v>7274</v>
      </c>
      <c r="N37" s="250" t="s">
        <v>7270</v>
      </c>
      <c r="P37" s="250"/>
      <c r="Q37" s="285"/>
    </row>
    <row r="38" spans="1:17" ht="45">
      <c r="A38" s="250">
        <v>11</v>
      </c>
      <c r="B38" s="285" t="str">
        <f ca="1">CONCATENATE(CHOOSE(RANDBETWEEN(1,5),"locked","broken","rotten","splintered","open")," doorway")</f>
        <v>rotten doorway</v>
      </c>
      <c r="C38" s="285" t="s">
        <v>6125</v>
      </c>
      <c r="D38" s="285" t="s">
        <v>4253</v>
      </c>
      <c r="F38" s="280"/>
      <c r="G38" s="250" t="s">
        <v>6168</v>
      </c>
      <c r="H38" s="280" t="s">
        <v>1322</v>
      </c>
      <c r="I38" s="250"/>
      <c r="J38" s="285" t="s">
        <v>6203</v>
      </c>
      <c r="K38" s="285" t="s">
        <v>1726</v>
      </c>
      <c r="M38" s="285" t="s">
        <v>7275</v>
      </c>
      <c r="N38" s="250" t="s">
        <v>7261</v>
      </c>
      <c r="P38" s="250"/>
      <c r="Q38" s="285"/>
    </row>
    <row r="39" spans="1:17" ht="30">
      <c r="A39" s="250">
        <v>12</v>
      </c>
      <c r="B39" s="285" t="str">
        <f ca="1">CONCATENATE(CHOOSE(RANDBETWEEN(1,5),"locked","broken","rotten","splintered","open")," doorway")</f>
        <v>broken doorway</v>
      </c>
      <c r="C39" s="285" t="s">
        <v>6131</v>
      </c>
      <c r="D39" s="285" t="s">
        <v>4254</v>
      </c>
      <c r="F39" s="280"/>
      <c r="G39" s="250" t="s">
        <v>6188</v>
      </c>
      <c r="H39" s="280" t="s">
        <v>1323</v>
      </c>
      <c r="I39" s="250"/>
      <c r="J39" s="285" t="s">
        <v>6160</v>
      </c>
      <c r="K39" s="285" t="s">
        <v>1727</v>
      </c>
      <c r="M39" s="285" t="s">
        <v>7276</v>
      </c>
      <c r="N39" s="250" t="s">
        <v>7262</v>
      </c>
      <c r="P39" s="250"/>
      <c r="Q39" s="285"/>
    </row>
    <row r="40" spans="1:17" ht="45">
      <c r="A40" s="250">
        <v>13</v>
      </c>
      <c r="B40" s="285" t="s">
        <v>7127</v>
      </c>
      <c r="C40" s="285" t="s">
        <v>6130</v>
      </c>
      <c r="D40" s="285" t="s">
        <v>4255</v>
      </c>
      <c r="G40" s="250" t="s">
        <v>6169</v>
      </c>
      <c r="I40" s="250"/>
      <c r="J40" s="285" t="s">
        <v>6161</v>
      </c>
      <c r="K40" s="285" t="s">
        <v>1728</v>
      </c>
      <c r="M40" s="285" t="s">
        <v>7256</v>
      </c>
      <c r="N40" s="250" t="s">
        <v>7263</v>
      </c>
      <c r="P40" s="250"/>
      <c r="Q40" s="285"/>
    </row>
    <row r="41" spans="1:17" ht="45">
      <c r="A41" s="250">
        <v>14</v>
      </c>
      <c r="B41" s="285" t="str">
        <f ca="1">CONCATENATE(CHOOSE(RANDBETWEEN(1,3),"wide","narrow","twisting")," tunnel")</f>
        <v>narrow tunnel</v>
      </c>
      <c r="C41" s="285" t="s">
        <v>6121</v>
      </c>
      <c r="D41" s="285" t="s">
        <v>4256</v>
      </c>
      <c r="G41" s="250" t="s">
        <v>6170</v>
      </c>
      <c r="I41" s="250"/>
      <c r="J41" s="285" t="s">
        <v>6162</v>
      </c>
      <c r="K41" s="285" t="s">
        <v>6800</v>
      </c>
      <c r="M41" s="285" t="s">
        <v>7257</v>
      </c>
      <c r="N41" s="250" t="s">
        <v>7264</v>
      </c>
      <c r="P41" s="250"/>
      <c r="Q41" s="285"/>
    </row>
    <row r="42" spans="1:17" ht="30">
      <c r="A42" s="250">
        <v>15</v>
      </c>
      <c r="B42" s="285" t="str">
        <f ca="1">CONCATENATE(CHOOSE(RANDBETWEEN(1,3),"wide","narrow","twisting")," tunnel")</f>
        <v>narrow tunnel</v>
      </c>
      <c r="C42" s="285" t="s">
        <v>6122</v>
      </c>
      <c r="D42" s="285" t="s">
        <v>4257</v>
      </c>
      <c r="G42" s="250" t="s">
        <v>6171</v>
      </c>
      <c r="I42" s="250"/>
      <c r="J42" s="285" t="s">
        <v>6230</v>
      </c>
      <c r="K42" s="285" t="s">
        <v>1730</v>
      </c>
      <c r="M42" s="285" t="s">
        <v>7258</v>
      </c>
      <c r="N42" s="250" t="s">
        <v>7265</v>
      </c>
      <c r="P42" s="250"/>
      <c r="Q42" s="285"/>
    </row>
    <row r="43" spans="1:17" ht="45">
      <c r="A43" s="250">
        <v>16</v>
      </c>
      <c r="B43" s="285" t="str">
        <f ca="1">CONCATENATE(CHOOSE(RANDBETWEEN(1,3),"wide","narrow","broken")," archway")</f>
        <v>broken archway</v>
      </c>
      <c r="C43" s="285" t="s">
        <v>6127</v>
      </c>
      <c r="D43" s="285" t="s">
        <v>4258</v>
      </c>
      <c r="G43" s="250" t="s">
        <v>6172</v>
      </c>
      <c r="I43" s="250"/>
      <c r="J43" s="285" t="s">
        <v>6204</v>
      </c>
      <c r="K43" s="285" t="s">
        <v>1731</v>
      </c>
      <c r="M43" s="285" t="s">
        <v>7259</v>
      </c>
      <c r="N43" s="250" t="s">
        <v>7266</v>
      </c>
      <c r="P43" s="250"/>
      <c r="Q43" s="285"/>
    </row>
    <row r="44" spans="1:17" ht="75">
      <c r="A44" s="250">
        <v>17</v>
      </c>
      <c r="B44" s="285" t="s">
        <v>6131</v>
      </c>
      <c r="C44" s="285" t="s">
        <v>6128</v>
      </c>
      <c r="D44" s="285" t="s">
        <v>4259</v>
      </c>
      <c r="G44" s="250" t="s">
        <v>6173</v>
      </c>
      <c r="I44" s="250"/>
      <c r="J44" s="285" t="s">
        <v>6205</v>
      </c>
      <c r="K44" s="285" t="s">
        <v>1732</v>
      </c>
      <c r="M44" s="285" t="s">
        <v>7260</v>
      </c>
      <c r="N44" s="250" t="s">
        <v>7268</v>
      </c>
      <c r="P44" s="250"/>
      <c r="Q44" s="285"/>
    </row>
    <row r="45" spans="1:17" ht="45">
      <c r="A45" s="250">
        <v>18</v>
      </c>
      <c r="B45" s="285" t="s">
        <v>6129</v>
      </c>
      <c r="C45" s="285" t="s">
        <v>6137</v>
      </c>
      <c r="D45" s="285" t="s">
        <v>4260</v>
      </c>
      <c r="G45" s="250" t="s">
        <v>6189</v>
      </c>
      <c r="I45" s="250"/>
      <c r="J45" s="285" t="s">
        <v>6206</v>
      </c>
      <c r="K45" s="285" t="s">
        <v>1733</v>
      </c>
      <c r="M45" s="285" t="s">
        <v>7277</v>
      </c>
      <c r="N45" s="250" t="s">
        <v>6191</v>
      </c>
      <c r="P45" s="250"/>
      <c r="Q45" s="285"/>
    </row>
    <row r="46" spans="1:17" ht="45">
      <c r="A46" s="250">
        <v>19</v>
      </c>
      <c r="B46" s="285" t="s">
        <v>6208</v>
      </c>
      <c r="D46" s="285" t="s">
        <v>4261</v>
      </c>
      <c r="G46" s="250" t="s">
        <v>6190</v>
      </c>
      <c r="I46" s="250"/>
      <c r="J46" s="285" t="s">
        <v>6163</v>
      </c>
      <c r="K46" s="285" t="s">
        <v>1734</v>
      </c>
      <c r="M46" s="285" t="s">
        <v>7271</v>
      </c>
      <c r="N46" s="250" t="s">
        <v>7269</v>
      </c>
      <c r="P46" s="250"/>
      <c r="Q46" s="285"/>
    </row>
    <row r="47" spans="1:17" ht="30">
      <c r="A47" s="250">
        <v>20</v>
      </c>
      <c r="B47" s="285" t="s">
        <v>6126</v>
      </c>
      <c r="D47" s="285" t="s">
        <v>4262</v>
      </c>
      <c r="G47" s="250" t="s">
        <v>6174</v>
      </c>
      <c r="I47" s="250"/>
      <c r="J47" s="285" t="s">
        <v>6207</v>
      </c>
      <c r="K47" s="285" t="s">
        <v>1735</v>
      </c>
      <c r="M47" s="285" t="s">
        <v>7272</v>
      </c>
      <c r="N47" s="250" t="s">
        <v>7270</v>
      </c>
      <c r="P47" s="250"/>
      <c r="Q47" s="285"/>
    </row>
    <row r="48" spans="1:17" ht="30">
      <c r="D48" s="285" t="s">
        <v>4261</v>
      </c>
      <c r="M48" s="285" t="s">
        <v>7273</v>
      </c>
    </row>
    <row r="49" spans="4:13" ht="30">
      <c r="D49" s="285" t="s">
        <v>4263</v>
      </c>
      <c r="M49" s="285" t="s">
        <v>7274</v>
      </c>
    </row>
    <row r="50" spans="4:13" ht="30">
      <c r="D50" s="285" t="s">
        <v>4264</v>
      </c>
      <c r="M50" s="285" t="s">
        <v>7275</v>
      </c>
    </row>
    <row r="51" spans="4:13">
      <c r="D51" s="285" t="s">
        <v>4265</v>
      </c>
      <c r="M51" s="285" t="s">
        <v>7276</v>
      </c>
    </row>
    <row r="52" spans="4:13">
      <c r="D52" s="285" t="s">
        <v>4266</v>
      </c>
    </row>
    <row r="53" spans="4:13">
      <c r="D53" s="285" t="s">
        <v>4267</v>
      </c>
    </row>
    <row r="54" spans="4:13">
      <c r="D54" s="285" t="s">
        <v>4268</v>
      </c>
    </row>
    <row r="55" spans="4:13">
      <c r="D55" s="285" t="s">
        <v>4269</v>
      </c>
    </row>
    <row r="56" spans="4:13">
      <c r="D56" s="285" t="s">
        <v>4270</v>
      </c>
    </row>
    <row r="57" spans="4:13">
      <c r="D57" s="285" t="s">
        <v>4271</v>
      </c>
    </row>
    <row r="58" spans="4:13">
      <c r="D58" s="285" t="s">
        <v>4272</v>
      </c>
    </row>
    <row r="59" spans="4:13">
      <c r="D59" s="285" t="s">
        <v>4273</v>
      </c>
    </row>
    <row r="60" spans="4:13">
      <c r="D60" s="285" t="s">
        <v>4274</v>
      </c>
    </row>
    <row r="61" spans="4:13">
      <c r="D61" s="285" t="s">
        <v>4275</v>
      </c>
    </row>
    <row r="62" spans="4:13">
      <c r="D62" s="285" t="s">
        <v>4276</v>
      </c>
    </row>
    <row r="63" spans="4:13">
      <c r="D63" s="285" t="s">
        <v>4277</v>
      </c>
    </row>
    <row r="64" spans="4:13">
      <c r="D64" s="285" t="s">
        <v>4278</v>
      </c>
    </row>
    <row r="65" spans="4:4">
      <c r="D65" s="285" t="s">
        <v>4279</v>
      </c>
    </row>
    <row r="66" spans="4:4">
      <c r="D66" s="285" t="s">
        <v>4280</v>
      </c>
    </row>
    <row r="67" spans="4:4">
      <c r="D67" s="285" t="s">
        <v>4281</v>
      </c>
    </row>
    <row r="68" spans="4:4">
      <c r="D68" s="285" t="s">
        <v>4282</v>
      </c>
    </row>
    <row r="69" spans="4:4">
      <c r="D69" s="285" t="s">
        <v>4283</v>
      </c>
    </row>
    <row r="70" spans="4:4">
      <c r="D70" s="285" t="s">
        <v>4253</v>
      </c>
    </row>
    <row r="71" spans="4:4">
      <c r="D71" s="285" t="s">
        <v>4284</v>
      </c>
    </row>
    <row r="72" spans="4:4">
      <c r="D72" s="285" t="s">
        <v>4285</v>
      </c>
    </row>
    <row r="73" spans="4:4">
      <c r="D73" s="285" t="s">
        <v>4286</v>
      </c>
    </row>
    <row r="74" spans="4:4">
      <c r="D74" s="285" t="s">
        <v>4287</v>
      </c>
    </row>
    <row r="75" spans="4:4">
      <c r="D75" s="285" t="s">
        <v>4288</v>
      </c>
    </row>
    <row r="76" spans="4:4">
      <c r="D76" s="285" t="s">
        <v>4289</v>
      </c>
    </row>
    <row r="77" spans="4:4">
      <c r="D77" s="285" t="s">
        <v>4290</v>
      </c>
    </row>
    <row r="78" spans="4:4">
      <c r="D78" s="285" t="s">
        <v>4291</v>
      </c>
    </row>
    <row r="79" spans="4:4" ht="30">
      <c r="D79" s="285" t="s">
        <v>4292</v>
      </c>
    </row>
    <row r="80" spans="4:4">
      <c r="D80" s="285" t="s">
        <v>4293</v>
      </c>
    </row>
    <row r="81" spans="4:4">
      <c r="D81" s="285" t="s">
        <v>4294</v>
      </c>
    </row>
    <row r="82" spans="4:4" ht="30">
      <c r="D82" s="285" t="s">
        <v>4295</v>
      </c>
    </row>
    <row r="83" spans="4:4">
      <c r="D83" s="285" t="s">
        <v>4296</v>
      </c>
    </row>
    <row r="84" spans="4:4">
      <c r="D84" s="285" t="s">
        <v>4297</v>
      </c>
    </row>
    <row r="85" spans="4:4">
      <c r="D85" s="285" t="s">
        <v>4298</v>
      </c>
    </row>
    <row r="86" spans="4:4">
      <c r="D86" s="285" t="s">
        <v>4299</v>
      </c>
    </row>
    <row r="87" spans="4:4">
      <c r="D87" s="285" t="s">
        <v>4300</v>
      </c>
    </row>
    <row r="88" spans="4:4">
      <c r="D88" s="285" t="s">
        <v>4301</v>
      </c>
    </row>
    <row r="89" spans="4:4">
      <c r="D89" s="285" t="s">
        <v>4302</v>
      </c>
    </row>
    <row r="90" spans="4:4">
      <c r="D90" s="285" t="s">
        <v>4303</v>
      </c>
    </row>
    <row r="91" spans="4:4">
      <c r="D91" s="285" t="s">
        <v>4304</v>
      </c>
    </row>
    <row r="92" spans="4:4" ht="30">
      <c r="D92" s="285" t="s">
        <v>4305</v>
      </c>
    </row>
    <row r="93" spans="4:4">
      <c r="D93" s="285" t="s">
        <v>4306</v>
      </c>
    </row>
    <row r="94" spans="4:4">
      <c r="D94" s="285" t="s">
        <v>4307</v>
      </c>
    </row>
    <row r="95" spans="4:4">
      <c r="D95" s="285" t="s">
        <v>4308</v>
      </c>
    </row>
    <row r="96" spans="4:4">
      <c r="D96" s="285" t="s">
        <v>4309</v>
      </c>
    </row>
    <row r="97" spans="4:4" ht="30">
      <c r="D97" s="285" t="s">
        <v>4310</v>
      </c>
    </row>
    <row r="98" spans="4:4">
      <c r="D98" s="285" t="s">
        <v>4311</v>
      </c>
    </row>
    <row r="99" spans="4:4">
      <c r="D99" s="285" t="s">
        <v>4312</v>
      </c>
    </row>
    <row r="100" spans="4:4">
      <c r="D100" s="285" t="s">
        <v>4313</v>
      </c>
    </row>
    <row r="101" spans="4:4">
      <c r="D101" s="285" t="s">
        <v>4314</v>
      </c>
    </row>
    <row r="102" spans="4:4">
      <c r="D102" s="285" t="s">
        <v>4315</v>
      </c>
    </row>
    <row r="103" spans="4:4">
      <c r="D103" s="285" t="s">
        <v>4256</v>
      </c>
    </row>
    <row r="104" spans="4:4">
      <c r="D104" s="285" t="s">
        <v>4316</v>
      </c>
    </row>
    <row r="105" spans="4:4">
      <c r="D105" s="285" t="s">
        <v>4317</v>
      </c>
    </row>
    <row r="106" spans="4:4">
      <c r="D106" s="285" t="s">
        <v>4318</v>
      </c>
    </row>
    <row r="107" spans="4:4">
      <c r="D107" s="285" t="s">
        <v>4319</v>
      </c>
    </row>
    <row r="108" spans="4:4">
      <c r="D108" s="285" t="s">
        <v>4320</v>
      </c>
    </row>
    <row r="109" spans="4:4">
      <c r="D109" s="285" t="s">
        <v>4321</v>
      </c>
    </row>
    <row r="110" spans="4:4" ht="30">
      <c r="D110" s="285" t="s">
        <v>4322</v>
      </c>
    </row>
    <row r="111" spans="4:4">
      <c r="D111" s="285" t="s">
        <v>4323</v>
      </c>
    </row>
    <row r="112" spans="4:4">
      <c r="D112" s="285" t="s">
        <v>4324</v>
      </c>
    </row>
    <row r="113" spans="4:4">
      <c r="D113" s="285" t="s">
        <v>4325</v>
      </c>
    </row>
    <row r="114" spans="4:4">
      <c r="D114" s="285" t="s">
        <v>4326</v>
      </c>
    </row>
    <row r="115" spans="4:4">
      <c r="D115" s="285" t="s">
        <v>4327</v>
      </c>
    </row>
    <row r="116" spans="4:4">
      <c r="D116" s="285" t="s">
        <v>4328</v>
      </c>
    </row>
    <row r="117" spans="4:4">
      <c r="D117" s="285" t="s">
        <v>4279</v>
      </c>
    </row>
    <row r="118" spans="4:4">
      <c r="D118" s="285" t="s">
        <v>4329</v>
      </c>
    </row>
    <row r="119" spans="4:4">
      <c r="D119" s="285" t="s">
        <v>4330</v>
      </c>
    </row>
    <row r="120" spans="4:4">
      <c r="D120" s="285" t="s">
        <v>4331</v>
      </c>
    </row>
    <row r="121" spans="4:4">
      <c r="D121" s="285" t="s">
        <v>4332</v>
      </c>
    </row>
    <row r="122" spans="4:4">
      <c r="D122" s="285" t="s">
        <v>4333</v>
      </c>
    </row>
    <row r="123" spans="4:4">
      <c r="D123" s="285" t="s">
        <v>4334</v>
      </c>
    </row>
    <row r="124" spans="4:4">
      <c r="D124" s="285" t="s">
        <v>4335</v>
      </c>
    </row>
    <row r="125" spans="4:4">
      <c r="D125" s="285" t="s">
        <v>4336</v>
      </c>
    </row>
    <row r="126" spans="4:4">
      <c r="D126" s="285" t="s">
        <v>4337</v>
      </c>
    </row>
    <row r="127" spans="4:4">
      <c r="D127" s="285" t="s">
        <v>4338</v>
      </c>
    </row>
    <row r="128" spans="4:4">
      <c r="D128" s="285" t="s">
        <v>4339</v>
      </c>
    </row>
    <row r="129" spans="4:4">
      <c r="D129" s="285" t="s">
        <v>4340</v>
      </c>
    </row>
    <row r="130" spans="4:4">
      <c r="D130" s="285" t="s">
        <v>4341</v>
      </c>
    </row>
    <row r="131" spans="4:4">
      <c r="D131" s="285" t="s">
        <v>4342</v>
      </c>
    </row>
    <row r="132" spans="4:4">
      <c r="D132" s="285" t="s">
        <v>4343</v>
      </c>
    </row>
    <row r="133" spans="4:4">
      <c r="D133" s="285" t="s">
        <v>4344</v>
      </c>
    </row>
    <row r="134" spans="4:4">
      <c r="D134" s="285" t="s">
        <v>4345</v>
      </c>
    </row>
    <row r="135" spans="4:4">
      <c r="D135" s="285" t="s">
        <v>4346</v>
      </c>
    </row>
    <row r="136" spans="4:4">
      <c r="D136" s="285" t="s">
        <v>4347</v>
      </c>
    </row>
    <row r="137" spans="4:4">
      <c r="D137" s="285" t="s">
        <v>4348</v>
      </c>
    </row>
    <row r="138" spans="4:4">
      <c r="D138" s="285" t="s">
        <v>4349</v>
      </c>
    </row>
    <row r="139" spans="4:4">
      <c r="D139" s="285" t="s">
        <v>4350</v>
      </c>
    </row>
    <row r="140" spans="4:4">
      <c r="D140" s="285" t="s">
        <v>4351</v>
      </c>
    </row>
    <row r="141" spans="4:4">
      <c r="D141" s="285" t="s">
        <v>4352</v>
      </c>
    </row>
    <row r="142" spans="4:4">
      <c r="D142" s="285" t="s">
        <v>4353</v>
      </c>
    </row>
    <row r="143" spans="4:4">
      <c r="D143" s="285" t="s">
        <v>4354</v>
      </c>
    </row>
    <row r="144" spans="4:4">
      <c r="D144" s="285" t="s">
        <v>4355</v>
      </c>
    </row>
    <row r="145" spans="4:4">
      <c r="D145" s="285" t="s">
        <v>4356</v>
      </c>
    </row>
    <row r="146" spans="4:4">
      <c r="D146" s="285" t="s">
        <v>4357</v>
      </c>
    </row>
    <row r="147" spans="4:4">
      <c r="D147" s="285" t="s">
        <v>4358</v>
      </c>
    </row>
    <row r="148" spans="4:4">
      <c r="D148" s="285" t="s">
        <v>4359</v>
      </c>
    </row>
    <row r="149" spans="4:4">
      <c r="D149" s="285" t="s">
        <v>4360</v>
      </c>
    </row>
    <row r="150" spans="4:4">
      <c r="D150" s="285" t="s">
        <v>4361</v>
      </c>
    </row>
    <row r="151" spans="4:4">
      <c r="D151" s="285" t="s">
        <v>4362</v>
      </c>
    </row>
    <row r="152" spans="4:4">
      <c r="D152" s="285" t="s">
        <v>4363</v>
      </c>
    </row>
    <row r="153" spans="4:4">
      <c r="D153" s="285" t="s">
        <v>4364</v>
      </c>
    </row>
    <row r="154" spans="4:4">
      <c r="D154" s="285" t="s">
        <v>4365</v>
      </c>
    </row>
    <row r="155" spans="4:4">
      <c r="D155" s="285" t="s">
        <v>4366</v>
      </c>
    </row>
    <row r="156" spans="4:4">
      <c r="D156" s="285" t="s">
        <v>4367</v>
      </c>
    </row>
    <row r="157" spans="4:4">
      <c r="D157" s="285" t="s">
        <v>4368</v>
      </c>
    </row>
    <row r="158" spans="4:4">
      <c r="D158" s="285" t="s">
        <v>4369</v>
      </c>
    </row>
    <row r="159" spans="4:4">
      <c r="D159" s="285" t="s">
        <v>4370</v>
      </c>
    </row>
    <row r="160" spans="4:4">
      <c r="D160" s="285" t="s">
        <v>4371</v>
      </c>
    </row>
    <row r="161" spans="4:4">
      <c r="D161" s="285" t="s">
        <v>4372</v>
      </c>
    </row>
    <row r="162" spans="4:4">
      <c r="D162" s="285" t="s">
        <v>4373</v>
      </c>
    </row>
    <row r="163" spans="4:4">
      <c r="D163" s="285" t="s">
        <v>4374</v>
      </c>
    </row>
    <row r="164" spans="4:4">
      <c r="D164" s="285" t="s">
        <v>4375</v>
      </c>
    </row>
    <row r="165" spans="4:4">
      <c r="D165" s="285" t="s">
        <v>4376</v>
      </c>
    </row>
    <row r="166" spans="4:4">
      <c r="D166" s="285" t="s">
        <v>4377</v>
      </c>
    </row>
    <row r="167" spans="4:4">
      <c r="D167" s="285" t="s">
        <v>4378</v>
      </c>
    </row>
    <row r="168" spans="4:4">
      <c r="D168" s="285" t="s">
        <v>4379</v>
      </c>
    </row>
    <row r="169" spans="4:4">
      <c r="D169" s="285" t="s">
        <v>4380</v>
      </c>
    </row>
    <row r="170" spans="4:4">
      <c r="D170" s="285" t="s">
        <v>4381</v>
      </c>
    </row>
    <row r="171" spans="4:4">
      <c r="D171" s="285" t="s">
        <v>4382</v>
      </c>
    </row>
    <row r="172" spans="4:4">
      <c r="D172" s="285" t="s">
        <v>4383</v>
      </c>
    </row>
    <row r="173" spans="4:4">
      <c r="D173" s="285" t="s">
        <v>4384</v>
      </c>
    </row>
    <row r="174" spans="4:4">
      <c r="D174" s="285" t="s">
        <v>4385</v>
      </c>
    </row>
    <row r="175" spans="4:4">
      <c r="D175" s="285" t="s">
        <v>4386</v>
      </c>
    </row>
    <row r="176" spans="4:4">
      <c r="D176" s="285" t="s">
        <v>4387</v>
      </c>
    </row>
    <row r="177" spans="4:4">
      <c r="D177" s="285" t="s">
        <v>4388</v>
      </c>
    </row>
    <row r="178" spans="4:4">
      <c r="D178" s="285" t="s">
        <v>4389</v>
      </c>
    </row>
    <row r="179" spans="4:4">
      <c r="D179" s="285" t="s">
        <v>4390</v>
      </c>
    </row>
    <row r="180" spans="4:4">
      <c r="D180" s="285" t="s">
        <v>4391</v>
      </c>
    </row>
    <row r="181" spans="4:4">
      <c r="D181" s="285" t="s">
        <v>4392</v>
      </c>
    </row>
    <row r="182" spans="4:4" ht="30">
      <c r="D182" s="285" t="s">
        <v>4393</v>
      </c>
    </row>
    <row r="183" spans="4:4">
      <c r="D183" s="285" t="s">
        <v>4394</v>
      </c>
    </row>
    <row r="184" spans="4:4">
      <c r="D184" s="285" t="s">
        <v>4395</v>
      </c>
    </row>
    <row r="185" spans="4:4">
      <c r="D185" s="285" t="s">
        <v>4396</v>
      </c>
    </row>
    <row r="186" spans="4:4">
      <c r="D186" s="285" t="s">
        <v>4397</v>
      </c>
    </row>
    <row r="187" spans="4:4">
      <c r="D187" s="285" t="s">
        <v>4398</v>
      </c>
    </row>
    <row r="188" spans="4:4" ht="30">
      <c r="D188" s="285" t="s">
        <v>4399</v>
      </c>
    </row>
    <row r="189" spans="4:4">
      <c r="D189" s="285" t="s">
        <v>4400</v>
      </c>
    </row>
    <row r="190" spans="4:4">
      <c r="D190" s="285" t="s">
        <v>4401</v>
      </c>
    </row>
    <row r="191" spans="4:4">
      <c r="D191" s="285" t="s">
        <v>4402</v>
      </c>
    </row>
    <row r="192" spans="4:4">
      <c r="D192" s="285" t="s">
        <v>4403</v>
      </c>
    </row>
    <row r="193" spans="4:4">
      <c r="D193" s="285" t="s">
        <v>4404</v>
      </c>
    </row>
    <row r="194" spans="4:4">
      <c r="D194" s="285" t="s">
        <v>4405</v>
      </c>
    </row>
    <row r="195" spans="4:4">
      <c r="D195" s="285" t="s">
        <v>4406</v>
      </c>
    </row>
    <row r="196" spans="4:4">
      <c r="D196" s="285" t="s">
        <v>4407</v>
      </c>
    </row>
    <row r="197" spans="4:4">
      <c r="D197" s="285" t="s">
        <v>4408</v>
      </c>
    </row>
    <row r="198" spans="4:4">
      <c r="D198" s="285" t="s">
        <v>4409</v>
      </c>
    </row>
    <row r="199" spans="4:4">
      <c r="D199" s="285" t="s">
        <v>4410</v>
      </c>
    </row>
    <row r="200" spans="4:4">
      <c r="D200" s="285" t="s">
        <v>4411</v>
      </c>
    </row>
    <row r="201" spans="4:4">
      <c r="D201" s="285" t="s">
        <v>4412</v>
      </c>
    </row>
    <row r="202" spans="4:4">
      <c r="D202" s="285" t="s">
        <v>4413</v>
      </c>
    </row>
    <row r="203" spans="4:4">
      <c r="D203" s="285" t="s">
        <v>4252</v>
      </c>
    </row>
    <row r="204" spans="4:4">
      <c r="D204" s="285" t="s">
        <v>4414</v>
      </c>
    </row>
    <row r="205" spans="4:4">
      <c r="D205" s="285" t="s">
        <v>4415</v>
      </c>
    </row>
    <row r="206" spans="4:4">
      <c r="D206" s="285" t="s">
        <v>4416</v>
      </c>
    </row>
    <row r="207" spans="4:4">
      <c r="D207" s="285" t="s">
        <v>4417</v>
      </c>
    </row>
    <row r="208" spans="4:4">
      <c r="D208" s="285" t="s">
        <v>4418</v>
      </c>
    </row>
    <row r="209" spans="4:4">
      <c r="D209" s="285" t="s">
        <v>4419</v>
      </c>
    </row>
    <row r="210" spans="4:4">
      <c r="D210" s="285" t="s">
        <v>4420</v>
      </c>
    </row>
    <row r="211" spans="4:4">
      <c r="D211" s="285" t="s">
        <v>4421</v>
      </c>
    </row>
    <row r="212" spans="4:4">
      <c r="D212" s="285" t="s">
        <v>4422</v>
      </c>
    </row>
    <row r="213" spans="4:4">
      <c r="D213" s="285" t="s">
        <v>4423</v>
      </c>
    </row>
    <row r="214" spans="4:4">
      <c r="D214" s="285" t="s">
        <v>4424</v>
      </c>
    </row>
    <row r="215" spans="4:4">
      <c r="D215" s="285" t="s">
        <v>4425</v>
      </c>
    </row>
    <row r="216" spans="4:4">
      <c r="D216" s="285" t="s">
        <v>4426</v>
      </c>
    </row>
    <row r="217" spans="4:4">
      <c r="D217" s="285" t="s">
        <v>4427</v>
      </c>
    </row>
    <row r="218" spans="4:4">
      <c r="D218" s="285" t="s">
        <v>4428</v>
      </c>
    </row>
    <row r="219" spans="4:4">
      <c r="D219" s="285" t="s">
        <v>4429</v>
      </c>
    </row>
    <row r="220" spans="4:4">
      <c r="D220" s="285" t="s">
        <v>4430</v>
      </c>
    </row>
    <row r="221" spans="4:4">
      <c r="D221" s="285" t="s">
        <v>4431</v>
      </c>
    </row>
    <row r="222" spans="4:4" ht="30">
      <c r="D222" s="285" t="s">
        <v>4432</v>
      </c>
    </row>
    <row r="223" spans="4:4">
      <c r="D223" s="285" t="s">
        <v>4433</v>
      </c>
    </row>
    <row r="224" spans="4:4">
      <c r="D224" s="285" t="s">
        <v>4434</v>
      </c>
    </row>
    <row r="225" spans="4:4">
      <c r="D225" s="285" t="s">
        <v>4435</v>
      </c>
    </row>
    <row r="226" spans="4:4">
      <c r="D226" s="285" t="s">
        <v>4436</v>
      </c>
    </row>
    <row r="227" spans="4:4">
      <c r="D227" s="285" t="s">
        <v>4437</v>
      </c>
    </row>
  </sheetData>
  <mergeCells count="1">
    <mergeCell ref="B26:G26"/>
  </mergeCells>
  <pageMargins left="0.7" right="0.7" top="0.75" bottom="0.75" header="0.3" footer="0.3"/>
  <pageSetup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K14" sqref="K14"/>
    </sheetView>
  </sheetViews>
  <sheetFormatPr defaultColWidth="17.28515625" defaultRowHeight="15.75" customHeight="1"/>
  <cols>
    <col min="1" max="1" width="16.140625" style="250" customWidth="1"/>
    <col min="2" max="2" width="2.28515625" style="250" customWidth="1"/>
    <col min="3" max="3" width="16.140625" style="250" customWidth="1"/>
    <col min="4" max="4" width="2.28515625" style="250" customWidth="1"/>
    <col min="5" max="5" width="16.140625" style="250" customWidth="1"/>
    <col min="6" max="6" width="2.28515625" style="250" customWidth="1"/>
    <col min="7" max="7" width="16.140625" style="250" customWidth="1"/>
    <col min="8" max="8" width="2.28515625" style="250" customWidth="1"/>
    <col min="9" max="9" width="16.140625" style="250" customWidth="1"/>
    <col min="10" max="16384" width="17.28515625" style="250"/>
  </cols>
  <sheetData>
    <row r="1" spans="1:9" ht="80.099999999999994" customHeight="1">
      <c r="A1" s="234" t="str">
        <f ca="1">IF(I1="","",VLOOKUP(RANDBETWEEN(1,20),Table,2)&amp;VLOOKUP(RANDBETWEEN(1,20),Table,5)&amp;VLOOKUP(RANDBETWEEN(1,20),Table,4))</f>
        <v>sweltering lavatory filled with flapping bats</v>
      </c>
      <c r="B1" s="235" t="str">
        <f ca="1">IF(AND(A1&lt;&gt;"",C1&lt;&gt;""),"--","")</f>
        <v>--</v>
      </c>
      <c r="C1" s="236" t="str">
        <f ca="1">IF(G1="","",VLOOKUP(RANDBETWEEN(1,20),Table,2)&amp;VLOOKUP(RANDBETWEEN(1,20),Table,5)&amp;VLOOKUP(RANDBETWEEN(1,20),Table,4))</f>
        <v>low kitchen covered in cobwebs</v>
      </c>
      <c r="D1" s="235" t="str">
        <f ca="1">IF(AND(C1&lt;&gt;"",E1&lt;&gt;""),"--","")</f>
        <v/>
      </c>
      <c r="E1" s="236" t="str">
        <f ca="1">IF(RAND()&lt;Freq,VLOOKUP(RANDBETWEEN(1,20),Table,2)&amp;VLOOKUP(RANDBETWEEN(1,20),Table,5)&amp;VLOOKUP(RANDBETWEEN(1,20),Table,4),"")</f>
        <v/>
      </c>
      <c r="F1" s="235" t="str">
        <f ca="1">IF(AND(E1&lt;&gt;"",G1&lt;&gt;""),"--","")</f>
        <v/>
      </c>
      <c r="G1" s="236" t="str">
        <f ca="1">IF(RAND()&lt;Freq,VLOOKUP(RANDBETWEEN(1,20),Table,2)&amp;VLOOKUP(RANDBETWEEN(1,20),Table,5)&amp;VLOOKUP(RANDBETWEEN(1,20),Table,4),"")</f>
        <v>long dovecote bearing animal tracks</v>
      </c>
      <c r="H1" s="235" t="str">
        <f ca="1">IF(AND(G1&lt;&gt;"",I1&lt;&gt;""),"--","")</f>
        <v>--</v>
      </c>
      <c r="I1" s="237" t="str">
        <f ca="1">IF(RAND()&lt;Freq,VLOOKUP(RANDBETWEEN(1,20),Table,2)&amp;VLOOKUP(RANDBETWEEN(1,20),Table,5)&amp;VLOOKUP(RANDBETWEEN(1,20),Table,4),"")</f>
        <v>vast cabinet smelling of incense</v>
      </c>
    </row>
    <row r="2" spans="1:9" ht="15">
      <c r="A2" s="238" t="str">
        <f ca="1">IF(AND(A1&lt;&gt;"",A3&lt;&gt;""),"|","")</f>
        <v>|</v>
      </c>
      <c r="B2" s="239" t="str">
        <f ca="1">IF(AND(C1&lt;&gt;"",A3&lt;&gt;"",A1="",C3=""),"/",IF(AND(A1&lt;&gt;"",C3&lt;&gt;"",A3="",C1=""),"\",""))</f>
        <v/>
      </c>
      <c r="C2" s="240" t="str">
        <f ca="1">IF(AND(C1&lt;&gt;"",C3&lt;&gt;""),"|","")</f>
        <v/>
      </c>
      <c r="D2" s="239" t="str">
        <f ca="1">IF(AND(E1&lt;&gt;"",C3&lt;&gt;"",C1="",E3=""),"/",IF(AND(C1&lt;&gt;"",E3&lt;&gt;"",C3="",E1=""),"\",""))</f>
        <v>\</v>
      </c>
      <c r="E2" s="240" t="str">
        <f ca="1">IF(AND(E1&lt;&gt;"",E3&lt;&gt;""),"|","")</f>
        <v/>
      </c>
      <c r="F2" s="239" t="str">
        <f ca="1">IF(AND(G1&lt;&gt;"",E3&lt;&gt;"",E1="",G3=""),"/",IF(AND(E1&lt;&gt;"",G3&lt;&gt;"",E3="",G1=""),"\",""))</f>
        <v>/</v>
      </c>
      <c r="G2" s="240" t="str">
        <f ca="1">IF(AND(G1&lt;&gt;"",G3&lt;&gt;""),"|","")</f>
        <v/>
      </c>
      <c r="H2" s="239" t="str">
        <f ca="1">IF(AND(I1&lt;&gt;"",G3&lt;&gt;"",G1="",I3=""),"/",IF(AND(G1&lt;&gt;"",I3&lt;&gt;"",G3="",I1=""),"\",""))</f>
        <v/>
      </c>
      <c r="I2" s="241" t="str">
        <f ca="1">IF(AND(I1&lt;&gt;"",I3&lt;&gt;""),"|","")</f>
        <v>|</v>
      </c>
    </row>
    <row r="3" spans="1:9" ht="80.099999999999994" customHeight="1">
      <c r="A3" s="242" t="str">
        <f ca="1">IF(I3="","",VLOOKUP(RANDBETWEEN(1,20),Table,2)&amp;VLOOKUP(RANDBETWEEN(1,20),Table,5)&amp;VLOOKUP(RANDBETWEEN(1,20),Table,4))</f>
        <v>vast library caked with mud</v>
      </c>
      <c r="B3" s="240" t="str">
        <f ca="1">IF(AND(A3&lt;&gt;"",C3&lt;&gt;""),"--","")</f>
        <v/>
      </c>
      <c r="C3" s="243" t="str">
        <f ca="1">IF(G3="","",VLOOKUP(RANDBETWEEN(1,20),Table,2)&amp;VLOOKUP(RANDBETWEEN(1,20),Table,5)&amp;VLOOKUP(RANDBETWEEN(1,20),Table,4))</f>
        <v/>
      </c>
      <c r="D3" s="240" t="str">
        <f ca="1">IF(AND(C3&lt;&gt;"",E3&lt;&gt;""),"--","")</f>
        <v/>
      </c>
      <c r="E3" s="243" t="str">
        <f ca="1">IF(RAND()&lt;Freq,VLOOKUP(RANDBETWEEN(1,20),Table,2)&amp;VLOOKUP(RANDBETWEEN(1,20),Table,5)&amp;VLOOKUP(RANDBETWEEN(1,20),Table,4),"")</f>
        <v>cramped library bearing animal tracks</v>
      </c>
      <c r="F3" s="240" t="str">
        <f ca="1">IF(AND(E3&lt;&gt;"",G3&lt;&gt;""),"--","")</f>
        <v/>
      </c>
      <c r="G3" s="243" t="str">
        <f ca="1">IF(RAND()&lt;Freq,VLOOKUP(RANDBETWEEN(1,20),Table,2)&amp;VLOOKUP(RANDBETWEEN(1,20),Table,5)&amp;VLOOKUP(RANDBETWEEN(1,20),Table,4),"")</f>
        <v/>
      </c>
      <c r="H3" s="240" t="str">
        <f ca="1">IF(AND(G3&lt;&gt;"",I3&lt;&gt;""),"--","")</f>
        <v/>
      </c>
      <c r="I3" s="244" t="str">
        <f ca="1">IF(RAND()&lt;Freq,VLOOKUP(RANDBETWEEN(1,20),Table,2)&amp;VLOOKUP(RANDBETWEEN(1,20),Table,5)&amp;VLOOKUP(RANDBETWEEN(1,20),Table,4),"")</f>
        <v>cramped undercroft that has been ransacked</v>
      </c>
    </row>
    <row r="4" spans="1:9" ht="15">
      <c r="A4" s="238" t="str">
        <f ca="1">IF(AND(A3&lt;&gt;"",A5&lt;&gt;""),"|","")</f>
        <v>|</v>
      </c>
      <c r="B4" s="239" t="str">
        <f ca="1">IF(AND(C3&lt;&gt;"",A5&lt;&gt;"",A3="",C5=""),"/",IF(AND(A3&lt;&gt;"",C5&lt;&gt;"",A5="",C3=""),"\",""))</f>
        <v/>
      </c>
      <c r="C4" s="240" t="str">
        <f ca="1">IF(AND(C3&lt;&gt;"",C5&lt;&gt;""),"|","")</f>
        <v/>
      </c>
      <c r="D4" s="239" t="str">
        <f ca="1">IF(AND(E3&lt;&gt;"",C5&lt;&gt;"",C3="",E5=""),"/",IF(AND(C3&lt;&gt;"",E5&lt;&gt;"",C5="",E3=""),"\",""))</f>
        <v/>
      </c>
      <c r="E4" s="240" t="str">
        <f ca="1">IF(AND(E3&lt;&gt;"",E5&lt;&gt;""),"|","")</f>
        <v>|</v>
      </c>
      <c r="F4" s="239" t="str">
        <f ca="1">IF(AND(G3&lt;&gt;"",E5&lt;&gt;"",E3="",G5=""),"/",IF(AND(E3&lt;&gt;"",G5&lt;&gt;"",E5="",G3=""),"\",""))</f>
        <v/>
      </c>
      <c r="G4" s="240" t="str">
        <f ca="1">IF(AND(G3&lt;&gt;"",G5&lt;&gt;""),"|","")</f>
        <v/>
      </c>
      <c r="H4" s="239" t="str">
        <f ca="1">IF(AND(I3&lt;&gt;"",G5&lt;&gt;"",G3="",I5=""),"/",IF(AND(G3&lt;&gt;"",I5&lt;&gt;"",G5="",I3=""),"\",""))</f>
        <v/>
      </c>
      <c r="I4" s="241" t="str">
        <f ca="1">IF(AND(I3&lt;&gt;"",I5&lt;&gt;""),"|","")</f>
        <v>|</v>
      </c>
    </row>
    <row r="5" spans="1:9" ht="80.099999999999994" customHeight="1">
      <c r="A5" s="242" t="str">
        <f ca="1">IF(I5="","",VLOOKUP(RANDBETWEEN(1,20),Table,2)&amp;VLOOKUP(RANDBETWEEN(1,20),Table,5)&amp;VLOOKUP(RANDBETWEEN(1,20),Table,4))</f>
        <v>sweltering larder caked with mud</v>
      </c>
      <c r="B5" s="240" t="str">
        <f ca="1">IF(AND(A5&lt;&gt;"",C5&lt;&gt;""),"--","")</f>
        <v>--</v>
      </c>
      <c r="C5" s="243" t="str">
        <f ca="1">IF(G5="","",VLOOKUP(RANDBETWEEN(1,20),Table,2)&amp;VLOOKUP(RANDBETWEEN(1,20),Table,5)&amp;VLOOKUP(RANDBETWEEN(1,20),Table,4))</f>
        <v>frigid dovecote adorned with crude paintings</v>
      </c>
      <c r="D5" s="240" t="str">
        <f ca="1">IF(AND(C5&lt;&gt;"",E5&lt;&gt;""),"--","")</f>
        <v>--</v>
      </c>
      <c r="E5" s="243" t="str">
        <f ca="1">IF(RAND()&lt;Freq,VLOOKUP(RANDBETWEEN(1,20),Table,2)&amp;VLOOKUP(RANDBETWEEN(1,20),Table,5)&amp;VLOOKUP(RANDBETWEEN(1,20),Table,4),"")</f>
        <v>vast storeroom covered in cobwebs</v>
      </c>
      <c r="F5" s="240" t="str">
        <f ca="1">IF(AND(E5&lt;&gt;"",G5&lt;&gt;""),"--","")</f>
        <v>--</v>
      </c>
      <c r="G5" s="243" t="str">
        <f ca="1">IF(RAND()&lt;Freq,VLOOKUP(RANDBETWEEN(1,20),Table,2)&amp;VLOOKUP(RANDBETWEEN(1,20),Table,5)&amp;VLOOKUP(RANDBETWEEN(1,20),Table,4),"")</f>
        <v>vast dovecote inscribed with runes</v>
      </c>
      <c r="H5" s="240" t="str">
        <f ca="1">IF(AND(G5&lt;&gt;"",I5&lt;&gt;""),"--","")</f>
        <v>--</v>
      </c>
      <c r="I5" s="244" t="str">
        <f ca="1">IF(RAND()&lt;Freq,VLOOKUP(RANDBETWEEN(1,20),Table,2)&amp;VLOOKUP(RANDBETWEEN(1,20),Table,5)&amp;VLOOKUP(RANDBETWEEN(1,20),Table,4),"")</f>
        <v>cool chapel that was used for a ritual</v>
      </c>
    </row>
    <row r="6" spans="1:9" ht="15">
      <c r="A6" s="238" t="str">
        <f ca="1">IF(AND(A5&lt;&gt;"",A7&lt;&gt;""),"|","")</f>
        <v>|</v>
      </c>
      <c r="B6" s="239" t="str">
        <f ca="1">IF(AND(C5&lt;&gt;"",A7&lt;&gt;"",A5="",C7=""),"/",IF(AND(A5&lt;&gt;"",C7&lt;&gt;"",A7="",C5=""),"\",""))</f>
        <v/>
      </c>
      <c r="C6" s="240" t="str">
        <f ca="1">IF(AND(C5&lt;&gt;"",C7&lt;&gt;""),"|","")</f>
        <v>|</v>
      </c>
      <c r="D6" s="245" t="str">
        <f ca="1">IF(AND(E5&lt;&gt;"",C7&lt;&gt;"",C5="",E7=""),"/",IF(AND(C5&lt;&gt;"",E7&lt;&gt;"",C7="",E5=""),"\",""))</f>
        <v/>
      </c>
      <c r="E6" s="240" t="str">
        <f ca="1">IF(AND(E5&lt;&gt;"",E7&lt;&gt;""),"|","")</f>
        <v>|</v>
      </c>
      <c r="F6" s="245" t="str">
        <f ca="1">IF(AND(G5&lt;&gt;"",E7&lt;&gt;"",E5="",G7=""),"/",IF(AND(E5&lt;&gt;"",G7&lt;&gt;"",E7="",G5=""),"\",""))</f>
        <v/>
      </c>
      <c r="G6" s="240" t="str">
        <f ca="1">IF(AND(G5&lt;&gt;"",G7&lt;&gt;""),"|","")</f>
        <v>|</v>
      </c>
      <c r="H6" s="245" t="str">
        <f ca="1">IF(AND(I5&lt;&gt;"",G7&lt;&gt;"",G5="",I7=""),"/",IF(AND(G5&lt;&gt;"",I7&lt;&gt;"",G7="",I5=""),"\",""))</f>
        <v/>
      </c>
      <c r="I6" s="241" t="str">
        <f ca="1">IF(AND(I5&lt;&gt;"",I7&lt;&gt;""),"|","")</f>
        <v>|</v>
      </c>
    </row>
    <row r="7" spans="1:9" ht="80.099999999999994" customHeight="1">
      <c r="A7" s="242" t="str">
        <f ca="1">IF(I7="","",VLOOKUP(RANDBETWEEN(1,20),Table,2)&amp;VLOOKUP(RANDBETWEEN(1,20),Table,5)&amp;VLOOKUP(RANDBETWEEN(1,20),Table,4))</f>
        <v>candle-lit lavatory crawling with insects</v>
      </c>
      <c r="B7" s="240" t="str">
        <f ca="1">IF(AND(A7&lt;&gt;"",C7&lt;&gt;""),"--","")</f>
        <v>--</v>
      </c>
      <c r="C7" s="243" t="str">
        <f ca="1">IF(G7="","",VLOOKUP(RANDBETWEEN(1,20),Table,2)&amp;VLOOKUP(RANDBETWEEN(1,20),Table,5)&amp;VLOOKUP(RANDBETWEEN(1,20),Table,4))</f>
        <v>arid lavatory crawling with insects</v>
      </c>
      <c r="D7" s="240" t="str">
        <f ca="1">IF(AND(C7&lt;&gt;"",E7&lt;&gt;""),"--","")</f>
        <v>--</v>
      </c>
      <c r="E7" s="243" t="str">
        <f ca="1">IF(RAND()&lt;Freq,VLOOKUP(RANDBETWEEN(1,20),Table,2)&amp;VLOOKUP(RANDBETWEEN(1,20),Table,5)&amp;VLOOKUP(RANDBETWEEN(1,20),Table,4),"")</f>
        <v>dusty pantry choked with debris</v>
      </c>
      <c r="F7" s="240" t="str">
        <f ca="1">IF(AND(E7&lt;&gt;"",G7&lt;&gt;""),"--","")</f>
        <v>--</v>
      </c>
      <c r="G7" s="243" t="str">
        <f ca="1">IF(RAND()&lt;Freq,VLOOKUP(RANDBETWEEN(1,20),Table,2)&amp;VLOOKUP(RANDBETWEEN(1,20),Table,5)&amp;VLOOKUP(RANDBETWEEN(1,20),Table,4),"")</f>
        <v>low bed chamber bearing animal tracks</v>
      </c>
      <c r="H7" s="240" t="str">
        <f ca="1">IF(AND(G7&lt;&gt;"",I7&lt;&gt;""),"--","")</f>
        <v>--</v>
      </c>
      <c r="I7" s="244" t="str">
        <f ca="1">IF(RAND()&lt;Freq,VLOOKUP(RANDBETWEEN(1,20),Table,2)&amp;VLOOKUP(RANDBETWEEN(1,20),Table,5)&amp;VLOOKUP(RANDBETWEEN(1,20),Table,4),"")</f>
        <v>sweltering bed chamber smelling of dung</v>
      </c>
    </row>
    <row r="8" spans="1:9" ht="15">
      <c r="A8" s="238" t="str">
        <f ca="1">IF(AND(A7&lt;&gt;"",A9&lt;&gt;""),"|","")</f>
        <v/>
      </c>
      <c r="B8" s="239" t="str">
        <f ca="1">IF(AND(C7&lt;&gt;"",A9&lt;&gt;"",A7="",C9=""),"/",IF(AND(A7&lt;&gt;"",C9&lt;&gt;"",A9="",C7=""),"\",""))</f>
        <v/>
      </c>
      <c r="C8" s="240" t="str">
        <f ca="1">IF(AND(C7&lt;&gt;"",C9&lt;&gt;""),"|","")</f>
        <v/>
      </c>
      <c r="D8" s="245" t="str">
        <f ca="1">IF(AND(E7&lt;&gt;"",C9&lt;&gt;"",C7="",E9=""),"/",IF(AND(C7&lt;&gt;"",E9&lt;&gt;"",C9="",E7=""),"\",""))</f>
        <v/>
      </c>
      <c r="E8" s="240" t="str">
        <f ca="1">IF(AND(E7&lt;&gt;"",E9&lt;&gt;""),"|","")</f>
        <v>|</v>
      </c>
      <c r="F8" s="245" t="str">
        <f ca="1">IF(AND(G7&lt;&gt;"",E9&lt;&gt;"",E7="",G9=""),"/",IF(AND(E7&lt;&gt;"",G9&lt;&gt;"",E9="",G7=""),"\",""))</f>
        <v/>
      </c>
      <c r="G8" s="240" t="str">
        <f ca="1">IF(AND(G7&lt;&gt;"",G9&lt;&gt;""),"|","")</f>
        <v/>
      </c>
      <c r="H8" s="245" t="str">
        <f ca="1">IF(AND(I7&lt;&gt;"",G9&lt;&gt;"",G7="",I9=""),"/",IF(AND(G7&lt;&gt;"",I9&lt;&gt;"",G9="",I7=""),"\",""))</f>
        <v/>
      </c>
      <c r="I8" s="241" t="str">
        <f ca="1">IF(AND(I7&lt;&gt;"",I9&lt;&gt;""),"|","")</f>
        <v/>
      </c>
    </row>
    <row r="9" spans="1:9" ht="80.099999999999994" customHeight="1">
      <c r="A9" s="246" t="str">
        <f ca="1">IF(I9="","",VLOOKUP(RANDBETWEEN(1,20),Table,2)&amp;VLOOKUP(RANDBETWEEN(1,20),Table,5)&amp;VLOOKUP(RANDBETWEEN(1,20),Table,4))</f>
        <v/>
      </c>
      <c r="B9" s="247" t="str">
        <f ca="1">IF(AND(A9&lt;&gt;"",C9&lt;&gt;""),"--","")</f>
        <v/>
      </c>
      <c r="C9" s="248" t="str">
        <f ca="1">IF(G9="","",VLOOKUP(RANDBETWEEN(1,20),Table,2)&amp;VLOOKUP(RANDBETWEEN(1,20),Table,5)&amp;VLOOKUP(RANDBETWEEN(1,20),Table,4))</f>
        <v/>
      </c>
      <c r="D9" s="247" t="str">
        <f ca="1">IF(AND(C9&lt;&gt;"",E9&lt;&gt;""),"--","")</f>
        <v/>
      </c>
      <c r="E9" s="248" t="str">
        <f ca="1">IF(RAND()&lt;Freq,VLOOKUP(RANDBETWEEN(1,20),Table,2)&amp;VLOOKUP(RANDBETWEEN(1,20),Table,5)&amp;VLOOKUP(RANDBETWEEN(1,20),Table,4),"")</f>
        <v>water-filled kitchen littered with bones</v>
      </c>
      <c r="F9" s="247" t="str">
        <f ca="1">IF(AND(E9&lt;&gt;"",G9&lt;&gt;""),"--","")</f>
        <v/>
      </c>
      <c r="G9" s="248" t="str">
        <f ca="1">IF(RAND()&lt;Freq,VLOOKUP(RANDBETWEEN(1,20),Table,2)&amp;VLOOKUP(RANDBETWEEN(1,20),Table,5)&amp;VLOOKUP(RANDBETWEEN(1,20),Table,4),"")</f>
        <v/>
      </c>
      <c r="H9" s="247" t="str">
        <f ca="1">IF(AND(G9&lt;&gt;"",I9&lt;&gt;""),"--","")</f>
        <v/>
      </c>
      <c r="I9" s="249" t="str">
        <f ca="1">IF(RAND()&lt;Freq,VLOOKUP(RANDBETWEEN(1,20),Table,2)&amp;VLOOKUP(RANDBETWEEN(1,20),Table,5)&amp;VLOOKUP(RANDBETWEEN(1,20),Table,4),"")</f>
        <v/>
      </c>
    </row>
  </sheetData>
  <conditionalFormatting sqref="A1:I9">
    <cfRule type="containsBlanks" dxfId="3" priority="1">
      <formula>LEN(TRIM(A1))=0</formula>
    </cfRule>
  </conditionalFormatting>
  <conditionalFormatting sqref="A1:I9">
    <cfRule type="cellIs" dxfId="2" priority="2" operator="equal">
      <formula>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L21" sqref="L21"/>
    </sheetView>
  </sheetViews>
  <sheetFormatPr defaultColWidth="17.28515625" defaultRowHeight="15"/>
  <cols>
    <col min="1" max="1" width="18.85546875" style="250" customWidth="1"/>
    <col min="2" max="2" width="2.28515625" style="250" customWidth="1"/>
    <col min="3" max="3" width="18.85546875" style="250" customWidth="1"/>
    <col min="4" max="4" width="2.28515625" style="250" customWidth="1"/>
    <col min="5" max="5" width="18.85546875" style="250" customWidth="1"/>
    <col min="6" max="6" width="2.28515625" style="250" customWidth="1"/>
    <col min="7" max="7" width="18.85546875" style="250" customWidth="1"/>
    <col min="8" max="8" width="2.28515625" style="250" customWidth="1"/>
    <col min="9" max="9" width="18.85546875" style="250" customWidth="1"/>
    <col min="10" max="16384" width="17.28515625" style="250"/>
  </cols>
  <sheetData>
    <row r="1" spans="1:9" ht="80.099999999999994" customHeight="1">
      <c r="A1" s="287" t="str">
        <f ca="1">IF(RAND()&lt;Freq,VLOOKUP(RANDBETWEEN(1,20),Table,12)&amp;" "&amp;VLOOKUP(RANDBETWEEN(1,20),Table,13)&amp;" "&amp;VLOOKUP(RANDBETWEEN(1,20),Table,14)&amp;CHAR(10)&amp;"-"&amp;VLOOKUP(RANDBETWEEN(1,20),Table,15),"")</f>
        <v>eroded garden glazed with ice
-wind whips through street</v>
      </c>
      <c r="B1" s="298" t="str">
        <f ca="1">IF(AND(A1&lt;&gt;"",C1&lt;&gt;""),"--","")</f>
        <v/>
      </c>
      <c r="C1" s="288" t="str">
        <f ca="1">IF(RAND()&lt;Freq,VLOOKUP(RANDBETWEEN(1,20),Table,12)&amp;" "&amp;VLOOKUP(RANDBETWEEN(1,20),Table,13)&amp;" "&amp;VLOOKUP(RANDBETWEEN(1,20),Table,14)&amp;CHAR(10)&amp;"-"&amp;VLOOKUP(RANDBETWEEN(1,20),Table,15),"")</f>
        <v/>
      </c>
      <c r="D1" s="298" t="str">
        <f ca="1">IF(AND(C1&lt;&gt;"",E1&lt;&gt;""),"--","")</f>
        <v/>
      </c>
      <c r="E1" s="288" t="str">
        <f ca="1">IF(RAND()&lt;Freq,VLOOKUP(RANDBETWEEN(1,20),Table,12)&amp;" "&amp;VLOOKUP(RANDBETWEEN(1,20),Table,13)&amp;" "&amp;VLOOKUP(RANDBETWEEN(1,20),Table,14)&amp;CHAR(10)&amp;"-"&amp;VLOOKUP(RANDBETWEEN(1,20),Table,15),"")</f>
        <v/>
      </c>
      <c r="F1" s="298" t="str">
        <f ca="1">IF(AND(E1&lt;&gt;"",G1&lt;&gt;""),"--","")</f>
        <v/>
      </c>
      <c r="G1" s="288" t="str">
        <f ca="1">IF(RAND()&lt;Freq,VLOOKUP(RANDBETWEEN(1,20),Table,12)&amp;" "&amp;VLOOKUP(RANDBETWEEN(1,20),Table,13)&amp;" "&amp;VLOOKUP(RANDBETWEEN(1,20),Table,14)&amp;CHAR(10)&amp;"-"&amp;VLOOKUP(RANDBETWEEN(1,20),Table,15),"")</f>
        <v>collapsed amphitheater 
-moon shines through clouds</v>
      </c>
      <c r="H1" s="298" t="str">
        <f ca="1">IF(AND(G1&lt;&gt;"",I1&lt;&gt;""),"--","")</f>
        <v/>
      </c>
      <c r="I1" s="289" t="str">
        <f ca="1">IF(RAND()&lt;Freq,VLOOKUP(RANDBETWEEN(1,20),Table,12)&amp;" "&amp;VLOOKUP(RANDBETWEEN(1,20),Table,13)&amp;" "&amp;VLOOKUP(RANDBETWEEN(1,20),Table,14)&amp;CHAR(10)&amp;"-"&amp;VLOOKUP(RANDBETWEEN(1,20),Table,15),"")</f>
        <v/>
      </c>
    </row>
    <row r="2" spans="1:9">
      <c r="A2" s="299" t="str">
        <f ca="1">IF(AND(A1&lt;&gt;"",A3&lt;&gt;""),"|","")</f>
        <v>|</v>
      </c>
      <c r="B2" s="300" t="str">
        <f ca="1">IF(AND(C1&lt;&gt;"",A3&lt;&gt;"",A1="",C3=""),"/",IF(AND(A1&lt;&gt;"",C3&lt;&gt;"",A3="",C1=""),"\",""))</f>
        <v/>
      </c>
      <c r="C2" s="301" t="str">
        <f ca="1">IF(AND(C1&lt;&gt;"",C3&lt;&gt;""),"|","")</f>
        <v/>
      </c>
      <c r="D2" s="300" t="str">
        <f ca="1">IF(AND(E1&lt;&gt;"",C3&lt;&gt;"",C1="",E3=""),"/",IF(AND(C1&lt;&gt;"",E3&lt;&gt;"",C3="",E1=""),"\",""))</f>
        <v/>
      </c>
      <c r="E2" s="301" t="str">
        <f ca="1">IF(AND(E1&lt;&gt;"",E3&lt;&gt;""),"|","")</f>
        <v/>
      </c>
      <c r="F2" s="300" t="str">
        <f ca="1">IF(AND(G1&lt;&gt;"",E3&lt;&gt;"",E1="",G3=""),"/",IF(AND(E1&lt;&gt;"",G3&lt;&gt;"",E3="",G1=""),"\",""))</f>
        <v/>
      </c>
      <c r="G2" s="301" t="str">
        <f ca="1">IF(AND(G1&lt;&gt;"",G3&lt;&gt;""),"|","")</f>
        <v>|</v>
      </c>
      <c r="H2" s="300" t="str">
        <f ca="1">IF(AND(I1&lt;&gt;"",G3&lt;&gt;"",G1="",I3=""),"/",IF(AND(G1&lt;&gt;"",I3&lt;&gt;"",G3="",I1=""),"\",""))</f>
        <v/>
      </c>
      <c r="I2" s="302" t="str">
        <f ca="1">IF(AND(I1&lt;&gt;"",I3&lt;&gt;""),"|","")</f>
        <v/>
      </c>
    </row>
    <row r="3" spans="1:9" ht="80.099999999999994" customHeight="1">
      <c r="A3" s="290" t="str">
        <f ca="1">IF(RAND()&lt;Freq,VLOOKUP(RANDBETWEEN(1,20),Table,12)&amp;" "&amp;VLOOKUP(RANDBETWEEN(1,20),Table,13)&amp;" "&amp;VLOOKUP(RANDBETWEEN(1,20),Table,14)&amp;CHAR(10)&amp;"-"&amp;VLOOKUP(RANDBETWEEN(1,20),Table,15),"")</f>
        <v>broken mansion buried in rubble
-wolf howls</v>
      </c>
      <c r="B3" s="301" t="str">
        <f ca="1">IF(AND(A3&lt;&gt;"",C3&lt;&gt;""),"--","")</f>
        <v>--</v>
      </c>
      <c r="C3" s="291" t="str">
        <f ca="1">IF(RAND()&lt;Freq,VLOOKUP(RANDBETWEEN(1,20),Table,12)&amp;" "&amp;VLOOKUP(RANDBETWEEN(1,20),Table,13)&amp;" "&amp;VLOOKUP(RANDBETWEEN(1,20),Table,14)&amp;CHAR(10)&amp;"-"&amp;VLOOKUP(RANDBETWEEN(1,20),Table,15),"")</f>
        <v xml:space="preserve"> tower covered in silt
-distant singing</v>
      </c>
      <c r="D3" s="301" t="str">
        <f ca="1">IF(AND(C3&lt;&gt;"",E3&lt;&gt;""),"--","")</f>
        <v>--</v>
      </c>
      <c r="E3" s="291" t="str">
        <f ca="1">IF(RAND()&lt;Freq,VLOOKUP(RANDBETWEEN(1,20),Table,12)&amp;" "&amp;VLOOKUP(RANDBETWEEN(1,20),Table,13)&amp;" "&amp;VLOOKUP(RANDBETWEEN(1,20),Table,14)&amp;CHAR(10)&amp;"-"&amp;VLOOKUP(RANDBETWEEN(1,20),Table,15),"")</f>
        <v>ruined amphitheater lit by ghostly lamplight
-ghostly masked revelers pass</v>
      </c>
      <c r="F3" s="301" t="str">
        <f ca="1">IF(AND(E3&lt;&gt;"",G3&lt;&gt;""),"--","")</f>
        <v>--</v>
      </c>
      <c r="G3" s="291" t="str">
        <f ca="1">IF(RAND()&lt;Freq,VLOOKUP(RANDBETWEEN(1,20),Table,12)&amp;" "&amp;VLOOKUP(RANDBETWEEN(1,20),Table,13)&amp;" "&amp;VLOOKUP(RANDBETWEEN(1,20),Table,14)&amp;CHAR(10)&amp;"-"&amp;VLOOKUP(RANDBETWEEN(1,20),Table,15),"")</f>
        <v>broken observatory 
-sound of distant harp</v>
      </c>
      <c r="H3" s="301" t="str">
        <f ca="1">IF(AND(G3&lt;&gt;"",I3&lt;&gt;""),"--","")</f>
        <v>--</v>
      </c>
      <c r="I3" s="292" t="str">
        <f ca="1">IF(RAND()&lt;Freq,VLOOKUP(RANDBETWEEN(1,20),Table,12)&amp;" "&amp;VLOOKUP(RANDBETWEEN(1,20),Table,13)&amp;" "&amp;VLOOKUP(RANDBETWEEN(1,20),Table,14)&amp;CHAR(10)&amp;"-"&amp;VLOOKUP(RANDBETWEEN(1,20),Table,15),"")</f>
        <v>grand library beside a frozen river
-distant singing</v>
      </c>
    </row>
    <row r="4" spans="1:9">
      <c r="A4" s="299" t="str">
        <f ca="1">IF(AND(A3&lt;&gt;"",A5&lt;&gt;""),"|","")</f>
        <v>|</v>
      </c>
      <c r="B4" s="300" t="str">
        <f ca="1">IF(AND(C3&lt;&gt;"",A5&lt;&gt;"",A3="",C5=""),"/",IF(AND(A3&lt;&gt;"",C5&lt;&gt;"",A5="",C3=""),"\",""))</f>
        <v/>
      </c>
      <c r="C4" s="301" t="str">
        <f ca="1">IF(AND(C3&lt;&gt;"",C5&lt;&gt;""),"|","")</f>
        <v>|</v>
      </c>
      <c r="D4" s="300" t="str">
        <f ca="1">IF(AND(E3&lt;&gt;"",C5&lt;&gt;"",C3="",E5=""),"/",IF(AND(C3&lt;&gt;"",E5&lt;&gt;"",C5="",E3=""),"\",""))</f>
        <v/>
      </c>
      <c r="E4" s="301" t="str">
        <f ca="1">IF(AND(E3&lt;&gt;"",E5&lt;&gt;""),"|","")</f>
        <v>|</v>
      </c>
      <c r="F4" s="300" t="str">
        <f ca="1">IF(AND(G3&lt;&gt;"",E5&lt;&gt;"",E3="",G5=""),"/",IF(AND(E3&lt;&gt;"",G5&lt;&gt;"",E5="",G3=""),"\",""))</f>
        <v/>
      </c>
      <c r="G4" s="301" t="str">
        <f ca="1">IF(AND(G3&lt;&gt;"",G5&lt;&gt;""),"|","")</f>
        <v>|</v>
      </c>
      <c r="H4" s="300" t="str">
        <f ca="1">IF(AND(I3&lt;&gt;"",G5&lt;&gt;"",G3="",I5=""),"/",IF(AND(G3&lt;&gt;"",I5&lt;&gt;"",G5="",I3=""),"\",""))</f>
        <v/>
      </c>
      <c r="I4" s="302" t="str">
        <f ca="1">IF(AND(I3&lt;&gt;"",I5&lt;&gt;""),"|","")</f>
        <v>|</v>
      </c>
    </row>
    <row r="5" spans="1:9" ht="80.099999999999994" customHeight="1">
      <c r="A5" s="290" t="s">
        <v>6007</v>
      </c>
      <c r="B5" s="301" t="str">
        <f ca="1">IF(AND(A5&lt;&gt;"",C5&lt;&gt;""),"--","")</f>
        <v>--</v>
      </c>
      <c r="C5" s="291" t="str">
        <f ca="1">IF(RAND()&lt;Freq,VLOOKUP(RANDBETWEEN(1,20),Table,12)&amp;" "&amp;VLOOKUP(RANDBETWEEN(1,20),Table,13)&amp;" "&amp;VLOOKUP(RANDBETWEEN(1,20),Table,14)&amp;CHAR(10)&amp;"-"&amp;VLOOKUP(RANDBETWEEN(1,20),Table,15),"")</f>
        <v>crumbling workshop buried in rubble
-clouds cover moon</v>
      </c>
      <c r="D5" s="301" t="str">
        <f ca="1">IF(AND(C5&lt;&gt;"",E5&lt;&gt;""),"--","")</f>
        <v>--</v>
      </c>
      <c r="E5" s="291" t="str">
        <f ca="1">IF(RAND()&lt;Freq,VLOOKUP(RANDBETWEEN(1,20),Table,12)&amp;" "&amp;VLOOKUP(RANDBETWEEN(1,20),Table,13)&amp;" "&amp;VLOOKUP(RANDBETWEEN(1,20),Table,14)&amp;CHAR(10)&amp;"-"&amp;VLOOKUP(RANDBETWEEN(1,20),Table,15),"")</f>
        <v>ruined quayside wreathed in cobwebs
-echo of distant voices</v>
      </c>
      <c r="F5" s="301" t="str">
        <f ca="1">IF(AND(E5&lt;&gt;"",G5&lt;&gt;""),"--","")</f>
        <v>--</v>
      </c>
      <c r="G5" s="291" t="str">
        <f ca="1">IF(RAND()&lt;Freq,VLOOKUP(RANDBETWEEN(1,20),Table,12)&amp;" "&amp;VLOOKUP(RANDBETWEEN(1,20),Table,13)&amp;" "&amp;VLOOKUP(RANDBETWEEN(1,20),Table,14)&amp;CHAR(10)&amp;"-"&amp;VLOOKUP(RANDBETWEEN(1,20),Table,15),"")</f>
        <v>crumbling obelisk inscribed with faintly glowing runes
-ghostly masked revelers pass</v>
      </c>
      <c r="H5" s="301" t="str">
        <f ca="1">IF(AND(G5&lt;&gt;"",I5&lt;&gt;""),"--","")</f>
        <v>--</v>
      </c>
      <c r="I5" s="292" t="str">
        <f ca="1">IF(RAND()&lt;Freq,VLOOKUP(RANDBETWEEN(1,20),Table,12)&amp;" "&amp;VLOOKUP(RANDBETWEEN(1,20),Table,13)&amp;" "&amp;VLOOKUP(RANDBETWEEN(1,20),Table,14)&amp;CHAR(10)&amp;"-"&amp;VLOOKUP(RANDBETWEEN(1,20),Table,15),"")</f>
        <v xml:space="preserve"> boulevard 
-echo of distant voices</v>
      </c>
    </row>
    <row r="6" spans="1:9">
      <c r="A6" s="299" t="str">
        <f ca="1">IF(AND(A5&lt;&gt;"",A7&lt;&gt;""),"|","")</f>
        <v>|</v>
      </c>
      <c r="B6" s="300" t="str">
        <f ca="1">IF(AND(C5&lt;&gt;"",A7&lt;&gt;"",A5="",C7=""),"/",IF(AND(A5&lt;&gt;"",C7&lt;&gt;"",A7="",C5=""),"\",""))</f>
        <v/>
      </c>
      <c r="C6" s="301" t="str">
        <f ca="1">IF(AND(C5&lt;&gt;"",C7&lt;&gt;""),"|","")</f>
        <v>|</v>
      </c>
      <c r="D6" s="303" t="str">
        <f ca="1">IF(AND(E5&lt;&gt;"",C7&lt;&gt;"",C5="",E7=""),"/",IF(AND(C5&lt;&gt;"",E7&lt;&gt;"",C7="",E5=""),"\",""))</f>
        <v/>
      </c>
      <c r="E6" s="301" t="str">
        <f ca="1">IF(AND(E5&lt;&gt;"",E7&lt;&gt;""),"|","")</f>
        <v>|</v>
      </c>
      <c r="F6" s="303" t="str">
        <f ca="1">IF(AND(G5&lt;&gt;"",E7&lt;&gt;"",E5="",G7=""),"/",IF(AND(E5&lt;&gt;"",G7&lt;&gt;"",E7="",G5=""),"\",""))</f>
        <v/>
      </c>
      <c r="G6" s="301" t="str">
        <f ca="1">IF(AND(G5&lt;&gt;"",G7&lt;&gt;""),"|","")</f>
        <v>|</v>
      </c>
      <c r="H6" s="303" t="str">
        <f ca="1">IF(AND(I5&lt;&gt;"",G7&lt;&gt;"",G5="",I7=""),"/",IF(AND(G5&lt;&gt;"",I7&lt;&gt;"",G7="",I5=""),"\",""))</f>
        <v/>
      </c>
      <c r="I6" s="302" t="str">
        <f ca="1">IF(AND(I5&lt;&gt;"",I7&lt;&gt;""),"|","")</f>
        <v>|</v>
      </c>
    </row>
    <row r="7" spans="1:9" ht="80.099999999999994" customHeight="1">
      <c r="A7" s="290" t="str">
        <f ca="1">IF(RAND()&lt;Freq,VLOOKUP(RANDBETWEEN(1,20),Table,12)&amp;" "&amp;VLOOKUP(RANDBETWEEN(1,20),Table,13)&amp;" "&amp;VLOOKUP(RANDBETWEEN(1,20),Table,14)&amp;CHAR(10)&amp;"-"&amp;VLOOKUP(RANDBETWEEN(1,20),Table,15),"")</f>
        <v>collapsed mansion blocks the way
-white apes swing down from above</v>
      </c>
      <c r="B7" s="301" t="str">
        <f ca="1">IF(AND(A7&lt;&gt;"",C7&lt;&gt;""),"--","")</f>
        <v>--</v>
      </c>
      <c r="C7" s="291" t="str">
        <f ca="1">IF(RAND()&lt;Freq,VLOOKUP(RANDBETWEEN(1,20),Table,12)&amp;" "&amp;VLOOKUP(RANDBETWEEN(1,20),Table,13)&amp;" "&amp;VLOOKUP(RANDBETWEEN(1,20),Table,14)&amp;CHAR(10)&amp;"-"&amp;VLOOKUP(RANDBETWEEN(1,20),Table,15),"")</f>
        <v>scarred library buried in rubble
-the spectral knight approaches</v>
      </c>
      <c r="D7" s="301" t="str">
        <f ca="1">IF(AND(C7&lt;&gt;"",E7&lt;&gt;""),"--","")</f>
        <v>--</v>
      </c>
      <c r="E7" s="291" t="str">
        <f ca="1">IF(RAND()&lt;Freq,VLOOKUP(RANDBETWEEN(1,20),Table,12)&amp;" "&amp;VLOOKUP(RANDBETWEEN(1,20),Table,13)&amp;" "&amp;VLOOKUP(RANDBETWEEN(1,20),Table,14)&amp;CHAR(10)&amp;"-"&amp;VLOOKUP(RANDBETWEEN(1,20),Table,15),"")</f>
        <v>ruined obelisk 
-hooves on cobblestones</v>
      </c>
      <c r="F7" s="301" t="str">
        <f ca="1">IF(AND(E7&lt;&gt;"",G7&lt;&gt;""),"--","")</f>
        <v>--</v>
      </c>
      <c r="G7" s="291" t="str">
        <f ca="1">IF(RAND()&lt;Freq,VLOOKUP(RANDBETWEEN(1,20),Table,12)&amp;" "&amp;VLOOKUP(RANDBETWEEN(1,20),Table,13)&amp;" "&amp;VLOOKUP(RANDBETWEEN(1,20),Table,14)&amp;CHAR(10)&amp;"-"&amp;VLOOKUP(RANDBETWEEN(1,20),Table,15),"")</f>
        <v>scarred alley inscribed with faintly glowing runes
-distant laughter</v>
      </c>
      <c r="H7" s="301" t="str">
        <f ca="1">IF(AND(G7&lt;&gt;"",I7&lt;&gt;""),"--","")</f>
        <v>--</v>
      </c>
      <c r="I7" s="292" t="str">
        <f ca="1">IF(RAND()&lt;Freq,VLOOKUP(RANDBETWEEN(1,20),Table,12)&amp;" "&amp;VLOOKUP(RANDBETWEEN(1,20),Table,13)&amp;" "&amp;VLOOKUP(RANDBETWEEN(1,20),Table,14)&amp;CHAR(10)&amp;"-"&amp;VLOOKUP(RANDBETWEEN(1,20),Table,15),"")</f>
        <v>weathered observatory beside a frozen river
-ghostly masked revelers pass</v>
      </c>
    </row>
    <row r="8" spans="1:9">
      <c r="A8" s="299" t="str">
        <f ca="1">IF(AND(A7&lt;&gt;"",A9&lt;&gt;""),"|","")</f>
        <v/>
      </c>
      <c r="B8" s="300" t="str">
        <f ca="1">IF(AND(C7&lt;&gt;"",A9&lt;&gt;"",A7="",C9=""),"/",IF(AND(A7&lt;&gt;"",C9&lt;&gt;"",A9="",C7=""),"\",""))</f>
        <v/>
      </c>
      <c r="C8" s="301" t="str">
        <f ca="1">IF(AND(C7&lt;&gt;"",C9&lt;&gt;""),"|","")</f>
        <v/>
      </c>
      <c r="D8" s="303" t="str">
        <f ca="1">IF(AND(E7&lt;&gt;"",C9&lt;&gt;"",C7="",E9=""),"/",IF(AND(C7&lt;&gt;"",E9&lt;&gt;"",C9="",E7=""),"\",""))</f>
        <v/>
      </c>
      <c r="E8" s="301" t="str">
        <f ca="1">IF(AND(E7&lt;&gt;"",E9&lt;&gt;""),"|","")</f>
        <v/>
      </c>
      <c r="F8" s="303" t="str">
        <f ca="1">IF(AND(G7&lt;&gt;"",E9&lt;&gt;"",E7="",G9=""),"/",IF(AND(E7&lt;&gt;"",G9&lt;&gt;"",E9="",G7=""),"\",""))</f>
        <v/>
      </c>
      <c r="G8" s="301" t="str">
        <f ca="1">IF(AND(G7&lt;&gt;"",G9&lt;&gt;""),"|","")</f>
        <v/>
      </c>
      <c r="H8" s="303" t="str">
        <f ca="1">IF(AND(I7&lt;&gt;"",G9&lt;&gt;"",G7="",I9=""),"/",IF(AND(G7&lt;&gt;"",I9&lt;&gt;"",G9="",I7=""),"\",""))</f>
        <v/>
      </c>
      <c r="I8" s="302" t="str">
        <f ca="1">IF(AND(I7&lt;&gt;"",I9&lt;&gt;""),"|","")</f>
        <v/>
      </c>
    </row>
    <row r="9" spans="1:9" ht="80.099999999999994" customHeight="1" thickBot="1">
      <c r="A9" s="293" t="str">
        <f ca="1">IF(RAND()&lt;Freq,VLOOKUP(RANDBETWEEN(1,20),Table,12)&amp;" "&amp;VLOOKUP(RANDBETWEEN(1,20),Table,13)&amp;" "&amp;VLOOKUP(RANDBETWEEN(1,20),Table,14)&amp;CHAR(10)&amp;"-"&amp;VLOOKUP(RANDBETWEEN(1,20),Table,15),"")</f>
        <v/>
      </c>
      <c r="B9" s="304" t="str">
        <f ca="1">IF(AND(A9&lt;&gt;"",C9&lt;&gt;""),"--","")</f>
        <v/>
      </c>
      <c r="C9" s="294" t="str">
        <f ca="1">IF(RAND()&lt;Freq,VLOOKUP(RANDBETWEEN(1,20),Table,12)&amp;" "&amp;VLOOKUP(RANDBETWEEN(1,20),Table,13)&amp;" "&amp;VLOOKUP(RANDBETWEEN(1,20),Table,14)&amp;CHAR(10)&amp;"-"&amp;VLOOKUP(RANDBETWEEN(1,20),Table,15),"")</f>
        <v/>
      </c>
      <c r="D9" s="304" t="str">
        <f ca="1">IF(AND(C9&lt;&gt;"",E9&lt;&gt;""),"--","")</f>
        <v/>
      </c>
      <c r="E9" s="294" t="str">
        <f ca="1">IF(RAND()&lt;Freq,VLOOKUP(RANDBETWEEN(1,20),Table,12)&amp;" "&amp;VLOOKUP(RANDBETWEEN(1,20),Table,13)&amp;" "&amp;VLOOKUP(RANDBETWEEN(1,20),Table,14)&amp;CHAR(10)&amp;"-"&amp;VLOOKUP(RANDBETWEEN(1,20),Table,15),"")</f>
        <v/>
      </c>
      <c r="F9" s="304" t="str">
        <f ca="1">IF(AND(E9&lt;&gt;"",G9&lt;&gt;""),"--","")</f>
        <v/>
      </c>
      <c r="G9" s="294" t="str">
        <f ca="1">IF(RAND()&lt;Freq,VLOOKUP(RANDBETWEEN(1,20),Table,12)&amp;" "&amp;VLOOKUP(RANDBETWEEN(1,20),Table,13)&amp;" "&amp;VLOOKUP(RANDBETWEEN(1,20),Table,14)&amp;CHAR(10)&amp;"-"&amp;VLOOKUP(RANDBETWEEN(1,20),Table,15),"")</f>
        <v/>
      </c>
      <c r="H9" s="304" t="str">
        <f ca="1">IF(AND(G9&lt;&gt;"",I9&lt;&gt;""),"--","")</f>
        <v/>
      </c>
      <c r="I9" s="295" t="str">
        <f ca="1">IF(RAND()&lt;Freq,VLOOKUP(RANDBETWEEN(1,20),Table,12)&amp;" "&amp;VLOOKUP(RANDBETWEEN(1,20),Table,13)&amp;" "&amp;VLOOKUP(RANDBETWEEN(1,20),Table,14)&amp;CHAR(10)&amp;"-"&amp;VLOOKUP(RANDBETWEEN(1,20),Table,15),"")</f>
        <v/>
      </c>
    </row>
  </sheetData>
  <conditionalFormatting sqref="A1:I9">
    <cfRule type="containsBlanks" dxfId="1" priority="1">
      <formula>LEN(TRIM(A1))=0</formula>
    </cfRule>
  </conditionalFormatting>
  <conditionalFormatting sqref="A1:I9">
    <cfRule type="cellIs" dxfId="0" priority="2"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1"/>
  <sheetViews>
    <sheetView zoomScale="90" zoomScaleNormal="90" workbookViewId="0">
      <selection activeCell="M14" sqref="M14:M15"/>
    </sheetView>
  </sheetViews>
  <sheetFormatPr defaultColWidth="15.7109375" defaultRowHeight="15"/>
  <cols>
    <col min="1" max="1" width="31.85546875" style="32" customWidth="1"/>
    <col min="2" max="2" width="15.7109375" style="32" customWidth="1"/>
    <col min="3" max="3" width="8.5703125" style="32" customWidth="1"/>
    <col min="4" max="4" width="15.7109375" style="32"/>
    <col min="5" max="5" width="16.28515625" style="32" customWidth="1"/>
    <col min="6" max="6" width="13.42578125" style="32" customWidth="1"/>
    <col min="7" max="7" width="9.85546875" style="32" customWidth="1"/>
    <col min="8" max="8" width="8.85546875" style="32" customWidth="1"/>
    <col min="9" max="17" width="18.7109375" style="32" customWidth="1"/>
    <col min="18" max="18" width="5.28515625" style="32" customWidth="1"/>
    <col min="19" max="21" width="18.7109375" style="32" customWidth="1"/>
    <col min="22" max="22" width="18.7109375" style="44" customWidth="1"/>
    <col min="23" max="27" width="18.7109375" style="32" customWidth="1"/>
    <col min="28" max="16384" width="15.7109375" style="32"/>
  </cols>
  <sheetData>
    <row r="1" spans="1:28" ht="30" customHeight="1" thickBot="1">
      <c r="A1" s="573" t="str">
        <f ca="1">INDEX($AA$68:$AA$287,RANDBETWEEN(1,220))</f>
        <v>The Dreary Hideout</v>
      </c>
      <c r="B1" s="574"/>
      <c r="C1" s="574"/>
      <c r="D1" s="574"/>
      <c r="E1" s="574"/>
      <c r="F1" s="574"/>
      <c r="G1" s="575"/>
      <c r="H1" s="122"/>
      <c r="I1" s="566" t="s">
        <v>6883</v>
      </c>
      <c r="J1" s="567"/>
      <c r="K1" s="567"/>
      <c r="L1" s="567"/>
      <c r="M1" s="567"/>
      <c r="N1" s="567"/>
      <c r="O1" s="567"/>
      <c r="P1" s="567"/>
      <c r="Q1" s="568"/>
      <c r="R1" s="116"/>
      <c r="S1" s="594" t="s">
        <v>6884</v>
      </c>
      <c r="T1" s="595"/>
      <c r="U1" s="595"/>
      <c r="V1" s="595"/>
      <c r="W1" s="595"/>
      <c r="X1" s="595"/>
      <c r="Y1" s="595"/>
      <c r="Z1" s="595"/>
      <c r="AA1" s="596"/>
      <c r="AB1" s="116"/>
    </row>
    <row r="2" spans="1:28" s="35" customFormat="1" ht="35.1" customHeight="1">
      <c r="A2" s="576" t="str">
        <f>B68</f>
        <v>The Entrance is:</v>
      </c>
      <c r="B2" s="577"/>
      <c r="C2" s="577"/>
      <c r="D2" s="578" t="str">
        <f ca="1">INDEX($B$69:$B$88,RANDBETWEEN(1,10))</f>
        <v>Marked with several warning signs.</v>
      </c>
      <c r="E2" s="578"/>
      <c r="F2" s="578"/>
      <c r="G2" s="579"/>
      <c r="H2" s="123"/>
      <c r="I2" s="582" t="str">
        <f ca="1">IF(RAND()&lt;$G$11,INDEX('Source Data'!$B$5:$B$24,RANDBETWEEN(1,20))&amp;INDEX('Source Data'!$C$5:$C$24,RANDBETWEEN(1,20))&amp;INDEX('Source Data'!$D$5:$D$24,RANDBETWEEN(1,20))&amp;" *"&amp;INDEX('Source Data'!$J$5:$J$24,RANDBETWEEN(1,20)),"")</f>
        <v>hazy room pulsing with arcane energy *Encounter</v>
      </c>
      <c r="J2" s="580" t="str">
        <f ca="1">IF(AND(I2&lt;&gt;"",K2&lt;&gt;""),INDEX('Source Data'!$B$28:$B$47,RANDBETWEEN(1,20)),"")</f>
        <v/>
      </c>
      <c r="K2" s="581" t="str">
        <f ca="1">IF(RAND()&lt;$G$11,INDEX('Source Data'!$B$5:$B$24,RANDBETWEEN(1,20))&amp;INDEX('Source Data'!$C$5:$C$24,RANDBETWEEN(1,20))&amp;INDEX('Source Data'!$D$5:$D$24,RANDBETWEEN(1,20))&amp;" *"&amp;INDEX('Source Data'!$J$5:$J$24,RANDBETWEEN(1,20)),"")</f>
        <v/>
      </c>
      <c r="L2" s="580" t="str">
        <f ca="1">IF(AND(K2&lt;&gt;"",M2&lt;&gt;""),INDEX('Source Data'!$B$28:$B$47,RANDBETWEEN(1,20)),"")</f>
        <v/>
      </c>
      <c r="M2" s="581" t="str">
        <f ca="1">IF(RAND()&lt;$G$11,INDEX('Source Data'!$B$5:$B$24,RANDBETWEEN(1,20))&amp;INDEX('Source Data'!$C$5:$C$24,RANDBETWEEN(1,20))&amp;INDEX('Source Data'!$D$5:$D$24,RANDBETWEEN(1,20))&amp;" *"&amp;INDEX('Source Data'!$J$5:$J$24,RANDBETWEEN(1,20)),"")</f>
        <v>putrid room in which echoes sound *Key</v>
      </c>
      <c r="N2" s="580" t="str">
        <f ca="1">IF(AND(M2&lt;&gt;"",O2&lt;&gt;""),INDEX('Source Data'!$B$28:$B$47,RANDBETWEEN(1,20)),"")</f>
        <v>broken archway</v>
      </c>
      <c r="O2" s="581" t="str">
        <f ca="1">IF(RAND()&lt;$G$11,INDEX('Source Data'!$B$5:$B$24,RANDBETWEEN(1,20))&amp;INDEX('Source Data'!$C$5:$C$24,RANDBETWEEN(1,20))&amp;INDEX('Source Data'!$D$5:$D$24,RANDBETWEEN(1,20))&amp;" *"&amp;INDEX('Source Data'!$J$5:$J$24,RANDBETWEEN(1,20)),"")</f>
        <v>smooth staircase with fresh bones/blood *Interaction</v>
      </c>
      <c r="P2" s="580" t="str">
        <f ca="1">IF(AND(O2&lt;&gt;"",Q2&lt;&gt;""),INDEX('Source Data'!$B$28:$B$47,RANDBETWEEN(1,20)),"")</f>
        <v>narrow tunnel</v>
      </c>
      <c r="Q2" s="586" t="str">
        <f ca="1">IF(RAND()&lt;$G$11,INDEX('Source Data'!$B$5:$B$24,RANDBETWEEN(1,20))&amp;INDEX('Source Data'!$C$5:$C$24,RANDBETWEEN(1,20))&amp;INDEX('Source Data'!$D$5:$D$24,RANDBETWEEN(1,20))&amp;" *"&amp;INDEX('Source Data'!$J$5:$J$24,RANDBETWEEN(1,20)),"")</f>
        <v>putrid hallway in which echoes sound *Lock</v>
      </c>
      <c r="R2" s="116"/>
      <c r="S2" s="582" t="str">
        <f ca="1">IF($G$13=2,IF(RAND()&lt;$G$11,INDEX('Source Data'!$B$5:$B$24,RANDBETWEEN(1,20))&amp;INDEX('Source Data'!$C$5:$C$24,RANDBETWEEN(1,20))&amp;INDEX('Source Data'!$D$5:$D$24,RANDBETWEEN(1,20))&amp;" *"&amp;INDEX('Source Data'!$J$5:$J$24,RANDBETWEEN(1,20)),""),"")</f>
        <v/>
      </c>
      <c r="T2" s="580" t="str">
        <f ca="1">IF(AND(S2&lt;&gt;"",U2&lt;&gt;""),INDEX('Source Data'!$B$28:$B$47,RANDBETWEEN(1,20)),"")</f>
        <v/>
      </c>
      <c r="U2" s="581" t="str">
        <f ca="1">IF($G$13=2,IF(RAND()&lt;$G$11,INDEX('Source Data'!$B$5:$B$24,RANDBETWEEN(1,20))&amp;INDEX('Source Data'!$C$5:$C$24,RANDBETWEEN(1,20))&amp;INDEX('Source Data'!$D$5:$D$24,RANDBETWEEN(1,20))&amp;" *"&amp;INDEX('Source Data'!$J$5:$J$24,RANDBETWEEN(1,20)),""),"")</f>
        <v/>
      </c>
      <c r="V2" s="580" t="str">
        <f ca="1">IF(AND(U2&lt;&gt;"",W2&lt;&gt;""),INDEX('Source Data'!$B$28:$B$47,RANDBETWEEN(1,20)),"")</f>
        <v/>
      </c>
      <c r="W2" s="581" t="str">
        <f ca="1">IF($G$13=2,IF(RAND()&lt;$G$11,INDEX('Source Data'!$B$5:$B$24,RANDBETWEEN(1,20))&amp;INDEX('Source Data'!$C$5:$C$24,RANDBETWEEN(1,20))&amp;INDEX('Source Data'!$D$5:$D$24,RANDBETWEEN(1,20))&amp;" *"&amp;INDEX('Source Data'!$J$5:$J$24,RANDBETWEEN(1,20)),""),"")</f>
        <v/>
      </c>
      <c r="X2" s="580" t="str">
        <f ca="1">IF(AND(W2&lt;&gt;"",Y2&lt;&gt;""),INDEX('Source Data'!$B$28:$B$47,RANDBETWEEN(1,20)),"")</f>
        <v/>
      </c>
      <c r="Y2" s="581" t="str">
        <f ca="1">IF($G$13=2,IF(RAND()&lt;$G$11,INDEX('Source Data'!$B$5:$B$24,RANDBETWEEN(1,20))&amp;INDEX('Source Data'!$C$5:$C$24,RANDBETWEEN(1,20))&amp;INDEX('Source Data'!$D$5:$D$24,RANDBETWEEN(1,20))&amp;" *"&amp;INDEX('Source Data'!$J$5:$J$24,RANDBETWEEN(1,20)),""),"")</f>
        <v/>
      </c>
      <c r="Z2" s="580" t="str">
        <f ca="1">IF(AND(Y2&lt;&gt;"",AA2&lt;&gt;""),INDEX('Source Data'!$B$28:$B$47,RANDBETWEEN(1,20)),"")</f>
        <v/>
      </c>
      <c r="AA2" s="586" t="str">
        <f ca="1">IF($G$13=2,IF(RAND()&lt;$G$11,INDEX('Source Data'!$B$5:$B$24,RANDBETWEEN(1,20))&amp;INDEX('Source Data'!$C$5:$C$24,RANDBETWEEN(1,20))&amp;INDEX('Source Data'!$D$5:$D$24,RANDBETWEEN(1,20))&amp;" *"&amp;INDEX('Source Data'!$J$5:$J$24,RANDBETWEEN(1,20)),""),"")</f>
        <v/>
      </c>
      <c r="AB2" s="116"/>
    </row>
    <row r="3" spans="1:28" s="35" customFormat="1" ht="35.1" customHeight="1">
      <c r="A3" s="548" t="s">
        <v>6836</v>
      </c>
      <c r="B3" s="549"/>
      <c r="C3" s="549"/>
      <c r="D3" s="447" t="str">
        <f ca="1">INDEX($D$69:$D$88,RANDBETWEEN(1,12))</f>
        <v>Several ancient runes carved into the wall.</v>
      </c>
      <c r="E3" s="447"/>
      <c r="F3" s="447"/>
      <c r="G3" s="448"/>
      <c r="H3" s="123"/>
      <c r="I3" s="583"/>
      <c r="J3" s="540"/>
      <c r="K3" s="541"/>
      <c r="L3" s="540"/>
      <c r="M3" s="541"/>
      <c r="N3" s="540"/>
      <c r="O3" s="541"/>
      <c r="P3" s="540"/>
      <c r="Q3" s="539"/>
      <c r="R3" s="116"/>
      <c r="S3" s="583"/>
      <c r="T3" s="540"/>
      <c r="U3" s="541"/>
      <c r="V3" s="540"/>
      <c r="W3" s="541"/>
      <c r="X3" s="540"/>
      <c r="Y3" s="541"/>
      <c r="Z3" s="540"/>
      <c r="AA3" s="539"/>
      <c r="AB3" s="116"/>
    </row>
    <row r="4" spans="1:28" s="35" customFormat="1" ht="35.1" customHeight="1">
      <c r="A4" s="548" t="str">
        <f>E68</f>
        <v>The cave's walls are:</v>
      </c>
      <c r="B4" s="549"/>
      <c r="C4" s="549"/>
      <c r="D4" s="447" t="str">
        <f ca="1">INDEX($E$69:$E$80,RANDBETWEEN(1,12))</f>
        <v>Rough and dry</v>
      </c>
      <c r="E4" s="447"/>
      <c r="F4" s="447"/>
      <c r="G4" s="448"/>
      <c r="H4" s="123"/>
      <c r="I4" s="587" t="str">
        <f ca="1">IF(AND(I2&lt;&gt;"",I6&lt;&gt;""),INDEX('Source Data'!$B$28:$B$47,RANDBETWEEN(1,20)),"")</f>
        <v/>
      </c>
      <c r="J4" s="585" t="str">
        <f ca="1">IF(AND(K2&lt;&gt;"",I6&lt;&gt;"",I2="",K6=""),INDEX('Source Data'!$B$28:$B$47,RANDBETWEEN(1,20)),IF(AND(I2&lt;&gt;"",K6&lt;&gt;"",I6="",K2=""),INDEX('Source Data'!$B$28:$B$47,RANDBETWEEN(1,20)),""))</f>
        <v/>
      </c>
      <c r="K4" s="540" t="str">
        <f ca="1">IF(AND(K2&lt;&gt;"",K6&lt;&gt;""),INDEX('Source Data'!$B$28:$B$47,RANDBETWEEN(1,20)),"")</f>
        <v/>
      </c>
      <c r="L4" s="585" t="str">
        <f ca="1">IF(AND(M2&lt;&gt;"",K6&lt;&gt;"",K2="",M6=""),INDEX('Source Data'!$B$28:$B$47,RANDBETWEEN(1,20)),IF(AND(K2&lt;&gt;"",M6&lt;&gt;"",K6="",M2=""),INDEX('Source Data'!$B$28:$B$47,RANDBETWEEN(1,20)),""))</f>
        <v/>
      </c>
      <c r="M4" s="540" t="str">
        <f ca="1">IF(AND(M2&lt;&gt;"",M6&lt;&gt;""),INDEX('Source Data'!$B$28:$B$47,RANDBETWEEN(1,20)),"")</f>
        <v>secret passage</v>
      </c>
      <c r="N4" s="585" t="str">
        <f ca="1">IF(AND(O2&lt;&gt;"",M6&lt;&gt;"",M2="",O6=""),INDEX('Source Data'!$B$28:$B$47,RANDBETWEEN(1,20)),IF(AND(M2&lt;&gt;"",O6&lt;&gt;"",M6="",O2=""),INDEX('Source Data'!$B$28:$B$47,RANDBETWEEN(1,20)),""))</f>
        <v/>
      </c>
      <c r="O4" s="540" t="str">
        <f ca="1">IF(AND(O2&lt;&gt;"",O6&lt;&gt;""),INDEX('Source Data'!$B$28:$B$47,RANDBETWEEN(1,20)),"")</f>
        <v/>
      </c>
      <c r="P4" s="585" t="str">
        <f ca="1">IF(AND(Q2&lt;&gt;"",O6&lt;&gt;"",O2="",Q6=""),INDEX('Source Data'!$B$28:$B$47,RANDBETWEEN(1,20)),IF(AND(O2&lt;&gt;"",Q6&lt;&gt;"",O6="",Q2=""),INDEX('Source Data'!$B$28:$B$47,RANDBETWEEN(1,20)),""))</f>
        <v/>
      </c>
      <c r="Q4" s="584" t="str">
        <f ca="1">IF(AND(Q2&lt;&gt;"",Q6&lt;&gt;""),INDEX('Source Data'!$B$28:$B$47,RANDBETWEEN(1,20)),"")</f>
        <v>broken archway</v>
      </c>
      <c r="R4" s="116"/>
      <c r="S4" s="587" t="str">
        <f ca="1">IF(AND(S2&lt;&gt;"",S6&lt;&gt;""),INDEX('Source Data'!$B$28:$B$47,RANDBETWEEN(1,20)),"")</f>
        <v/>
      </c>
      <c r="T4" s="585" t="str">
        <f ca="1">IF(AND(U2&lt;&gt;"",S6&lt;&gt;"",S2="",U6=""),INDEX('Source Data'!$B$28:$B$47,RANDBETWEEN(1,20)),IF(AND(S2&lt;&gt;"",U6&lt;&gt;"",S6="",U2=""),INDEX('Source Data'!$B$28:$B$47,RANDBETWEEN(1,20)),""))</f>
        <v/>
      </c>
      <c r="U4" s="540" t="str">
        <f ca="1">IF(AND(U2&lt;&gt;"",U6&lt;&gt;""),INDEX('Source Data'!$B$28:$B$47,RANDBETWEEN(1,20)),"")</f>
        <v/>
      </c>
      <c r="V4" s="585" t="str">
        <f ca="1">IF(AND(W2&lt;&gt;"",U6&lt;&gt;"",U2="",W6=""),INDEX('Source Data'!$B$28:$B$47,RANDBETWEEN(1,20)),IF(AND(U2&lt;&gt;"",W6&lt;&gt;"",U6="",W2=""),INDEX('Source Data'!$B$28:$B$47,RANDBETWEEN(1,20)),""))</f>
        <v/>
      </c>
      <c r="W4" s="540" t="str">
        <f ca="1">IF(AND(W2&lt;&gt;"",W6&lt;&gt;""),INDEX('Source Data'!$B$28:$B$47,RANDBETWEEN(1,20)),"")</f>
        <v/>
      </c>
      <c r="X4" s="585" t="str">
        <f ca="1">IF(AND(Y2&lt;&gt;"",W6&lt;&gt;"",W2="",Y6=""),INDEX('Source Data'!$B$28:$B$47,RANDBETWEEN(1,20)),IF(AND(W2&lt;&gt;"",Y6&lt;&gt;"",W6="",Y2=""),INDEX('Source Data'!$B$28:$B$47,RANDBETWEEN(1,20)),""))</f>
        <v/>
      </c>
      <c r="Y4" s="540" t="str">
        <f ca="1">IF(AND(Y2&lt;&gt;"",Y6&lt;&gt;""),INDEX('Source Data'!$B$28:$B$47,RANDBETWEEN(1,20)),"")</f>
        <v/>
      </c>
      <c r="Z4" s="585" t="str">
        <f ca="1">IF(AND(AA2&lt;&gt;"",Y6&lt;&gt;"",Y2="",AA6=""),INDEX('Source Data'!$B$28:$B$47,RANDBETWEEN(1,20)),IF(AND(Y2&lt;&gt;"",AA6&lt;&gt;"",Y6="",AA2=""),INDEX('Source Data'!$B$28:$B$47,RANDBETWEEN(1,20)),""))</f>
        <v/>
      </c>
      <c r="AA4" s="584" t="str">
        <f ca="1">IF(AND(AA2&lt;&gt;"",AA6&lt;&gt;""),INDEX('Source Data'!$B$28:$B$47,RANDBETWEEN(1,20)),"")</f>
        <v/>
      </c>
      <c r="AB4" s="116"/>
    </row>
    <row r="5" spans="1:28" s="35" customFormat="1" ht="35.1" customHeight="1">
      <c r="A5" s="548" t="str">
        <f>F68</f>
        <v>The ceiling is:</v>
      </c>
      <c r="B5" s="549"/>
      <c r="C5" s="549"/>
      <c r="D5" s="447" t="str">
        <f ca="1">INDEX($F$69:$F$88,RANDBETWEEN(1,6))</f>
        <v>Covered in stalactites (watch your head!).</v>
      </c>
      <c r="E5" s="447"/>
      <c r="F5" s="447"/>
      <c r="G5" s="448"/>
      <c r="H5" s="123"/>
      <c r="I5" s="587"/>
      <c r="J5" s="585"/>
      <c r="K5" s="540"/>
      <c r="L5" s="585"/>
      <c r="M5" s="540"/>
      <c r="N5" s="585"/>
      <c r="O5" s="540"/>
      <c r="P5" s="585"/>
      <c r="Q5" s="584"/>
      <c r="R5" s="116"/>
      <c r="S5" s="587"/>
      <c r="T5" s="585"/>
      <c r="U5" s="540"/>
      <c r="V5" s="585"/>
      <c r="W5" s="540"/>
      <c r="X5" s="585"/>
      <c r="Y5" s="540"/>
      <c r="Z5" s="585"/>
      <c r="AA5" s="584"/>
      <c r="AB5" s="116"/>
    </row>
    <row r="6" spans="1:28" s="35" customFormat="1" ht="35.1" customHeight="1">
      <c r="A6" s="542" t="s">
        <v>3241</v>
      </c>
      <c r="B6" s="543"/>
      <c r="C6" s="544"/>
      <c r="D6" s="545" t="str">
        <f ca="1">CONCATENATE("The air at the entrance is ",INDEX($D$94:$D$113,RANDBETWEEN(1,20))," with a ",INDEX($C$94:$C$113,RANDBETWEEN(1,20))," smell. There is also a ",INDEX($B$94:$B$113,RANDBETWEEN(1,20)))</f>
        <v>The air at the entrance is hazy with a ozone smell. There is also a cold current</v>
      </c>
      <c r="E6" s="546"/>
      <c r="F6" s="546"/>
      <c r="G6" s="547"/>
      <c r="H6" s="123"/>
      <c r="I6" s="583" t="str">
        <f ca="1">IF(RAND()&lt;$G$11,INDEX('Source Data'!$B$5:$B$24,RANDBETWEEN(1,20))&amp;INDEX('Source Data'!$C$5:$C$24,RANDBETWEEN(1,20))&amp;INDEX('Source Data'!$D$5:$D$24,RANDBETWEEN(1,20))&amp;" *"&amp;INDEX('Source Data'!$J$5:$J$24,RANDBETWEEN(1,20)),"")</f>
        <v/>
      </c>
      <c r="J6" s="540" t="str">
        <f ca="1">IF(AND(I6&lt;&gt;"",K6&lt;&gt;""),INDEX('Source Data'!$B$28:$B$47,RANDBETWEEN(1,20)),"")</f>
        <v/>
      </c>
      <c r="K6" s="541" t="str">
        <f ca="1">IF(RAND()&lt;$G$11,INDEX('Source Data'!$B$5:$B$24,RANDBETWEEN(1,20))&amp;INDEX('Source Data'!$C$5:$C$24,RANDBETWEEN(1,20))&amp;INDEX('Source Data'!$D$5:$D$24,RANDBETWEEN(1,20))&amp;" *"&amp;INDEX('Source Data'!$J$5:$J$24,RANDBETWEEN(1,20)),"")</f>
        <v/>
      </c>
      <c r="L6" s="540" t="str">
        <f ca="1">IF(AND(K6&lt;&gt;"",M6&lt;&gt;""),INDEX('Source Data'!$B$28:$B$47,RANDBETWEEN(1,20)),"")</f>
        <v/>
      </c>
      <c r="M6" s="541" t="str">
        <f ca="1">IF(RAND()&lt;$G$11,INDEX('Source Data'!$B$5:$B$24,RANDBETWEEN(1,20))&amp;INDEX('Source Data'!$C$5:$C$24,RANDBETWEEN(1,20))&amp;INDEX('Source Data'!$D$5:$D$24,RANDBETWEEN(1,20))&amp;" *"&amp;INDEX('Source Data'!$J$5:$J$24,RANDBETWEEN(1,20)),"")</f>
        <v>water-filled corridor overgrown with fungus *Puzzle</v>
      </c>
      <c r="N6" s="540" t="str">
        <f ca="1">IF(AND(M6&lt;&gt;"",O6&lt;&gt;""),INDEX('Source Data'!$B$28:$B$47,RANDBETWEEN(1,20)),"")</f>
        <v/>
      </c>
      <c r="O6" s="541" t="str">
        <f ca="1">IF(RAND()&lt;$G$11,INDEX('Source Data'!$B$5:$B$24,RANDBETWEEN(1,20))&amp;INDEX('Source Data'!$C$5:$C$24,RANDBETWEEN(1,20))&amp;INDEX('Source Data'!$D$5:$D$24,RANDBETWEEN(1,20))&amp;" *"&amp;INDEX('Source Data'!$J$5:$J$24,RANDBETWEEN(1,20)),"")</f>
        <v/>
      </c>
      <c r="P6" s="540" t="str">
        <f ca="1">IF(AND(O6&lt;&gt;"",Q6&lt;&gt;""),INDEX('Source Data'!$B$28:$B$47,RANDBETWEEN(1,20)),"")</f>
        <v/>
      </c>
      <c r="Q6" s="539" t="str">
        <f ca="1">IF(RAND()&lt;$G$11,INDEX('Source Data'!$B$5:$B$24,RANDBETWEEN(1,20))&amp;INDEX('Source Data'!$C$5:$C$24,RANDBETWEEN(1,20))&amp;INDEX('Source Data'!$D$5:$D$24,RANDBETWEEN(1,20))&amp;" *"&amp;INDEX('Source Data'!$J$5:$J$24,RANDBETWEEN(1,20)),"")</f>
        <v>earthy burrow with a wide, slippery patch of mold *Key</v>
      </c>
      <c r="R6" s="116"/>
      <c r="S6" s="583" t="str">
        <f ca="1">IF($G$13=2,IF(RAND()&lt;$G$11,INDEX('Source Data'!$B$5:$B$24,RANDBETWEEN(1,20))&amp;INDEX('Source Data'!$C$5:$C$24,RANDBETWEEN(1,20))&amp;INDEX('Source Data'!$D$5:$D$24,RANDBETWEEN(1,20))&amp;" *"&amp;INDEX('Source Data'!$J$5:$J$24,RANDBETWEEN(1,20)),""),"")</f>
        <v/>
      </c>
      <c r="T6" s="540" t="str">
        <f ca="1">IF(AND(S6&lt;&gt;"",U6&lt;&gt;""),INDEX('Source Data'!$B$28:$B$47,RANDBETWEEN(1,20)),"")</f>
        <v/>
      </c>
      <c r="U6" s="541" t="str">
        <f ca="1">IF($G$13=2,IF(RAND()&lt;$G$11,INDEX('Source Data'!$B$5:$B$24,RANDBETWEEN(1,20))&amp;INDEX('Source Data'!$C$5:$C$24,RANDBETWEEN(1,20))&amp;INDEX('Source Data'!$D$5:$D$24,RANDBETWEEN(1,20))&amp;" *"&amp;INDEX('Source Data'!$J$5:$J$24,RANDBETWEEN(1,20)),""),"")</f>
        <v/>
      </c>
      <c r="V6" s="540" t="str">
        <f ca="1">IF(AND(U6&lt;&gt;"",W6&lt;&gt;""),INDEX('Source Data'!$B$28:$B$47,RANDBETWEEN(1,20)),"")</f>
        <v/>
      </c>
      <c r="W6" s="541" t="str">
        <f ca="1">IF($G$13=2,IF(RAND()&lt;$G$11,INDEX('Source Data'!$B$5:$B$24,RANDBETWEEN(1,20))&amp;INDEX('Source Data'!$C$5:$C$24,RANDBETWEEN(1,20))&amp;INDEX('Source Data'!$D$5:$D$24,RANDBETWEEN(1,20))&amp;" *"&amp;INDEX('Source Data'!$J$5:$J$24,RANDBETWEEN(1,20)),""),"")</f>
        <v/>
      </c>
      <c r="X6" s="540" t="str">
        <f ca="1">IF(AND(W6&lt;&gt;"",Y6&lt;&gt;""),INDEX('Source Data'!$B$28:$B$47,RANDBETWEEN(1,20)),"")</f>
        <v/>
      </c>
      <c r="Y6" s="541" t="str">
        <f ca="1">IF($G$13=2,IF(RAND()&lt;$G$11,INDEX('Source Data'!$B$5:$B$24,RANDBETWEEN(1,20))&amp;INDEX('Source Data'!$C$5:$C$24,RANDBETWEEN(1,20))&amp;INDEX('Source Data'!$D$5:$D$24,RANDBETWEEN(1,20))&amp;" *"&amp;INDEX('Source Data'!$J$5:$J$24,RANDBETWEEN(1,20)),""),"")</f>
        <v/>
      </c>
      <c r="Z6" s="540" t="str">
        <f ca="1">IF(AND(Y6&lt;&gt;"",AA6&lt;&gt;""),INDEX('Source Data'!$B$28:$B$47,RANDBETWEEN(1,20)),"")</f>
        <v/>
      </c>
      <c r="AA6" s="539" t="str">
        <f ca="1">IF($G$13=2,IF(RAND()&lt;$G$11,INDEX('Source Data'!$B$5:$B$24,RANDBETWEEN(1,20))&amp;INDEX('Source Data'!$C$5:$C$24,RANDBETWEEN(1,20))&amp;INDEX('Source Data'!$D$5:$D$24,RANDBETWEEN(1,20))&amp;" *"&amp;INDEX('Source Data'!$J$5:$J$24,RANDBETWEEN(1,20)),""),"")</f>
        <v/>
      </c>
      <c r="AB6" s="116"/>
    </row>
    <row r="7" spans="1:28" s="35" customFormat="1" ht="35.1" customHeight="1">
      <c r="A7" s="542" t="s">
        <v>6947</v>
      </c>
      <c r="B7" s="543"/>
      <c r="C7" s="544"/>
      <c r="D7" s="545" t="str">
        <f ca="1">CHOOSE(RANDBETWEEN(1,5),INDEX($H$69:$H$88,RANDBETWEEN(1,16)),INDEX($H$69:$H$88,RANDBETWEEN(1,16))&amp;", "&amp;INDEX($H$69:$H$88,RANDBETWEEN(1,16)),INDEX($H$69:$H$88,RANDBETWEEN(1,16))&amp;", "&amp;INDEX($H$69:$H$88,RANDBETWEEN(1,16))&amp;", "&amp;INDEX($H$69:$H$88,RANDBETWEEN(1,16)),INDEX($H$69:$H$88,RANDBETWEEN(1,16))&amp;", "&amp;INDEX($H$69:$H$88,RANDBETWEEN(1,16))&amp;", "&amp;INDEX($H$69:$H$88,RANDBETWEEN(1,16))&amp;", "&amp;INDEX($H$69:$H$88,RANDBETWEEN(1,16)),INDEX($H$69:$H$88,RANDBETWEEN(1,16))&amp;", "&amp;INDEX($H$69:$H$88,RANDBETWEEN(1,16))&amp;", "&amp;INDEX($H$69:$H$88,RANDBETWEEN(1,16))&amp;", "&amp;INDEX($H$69:$H$88,RANDBETWEEN(1,16))&amp;", "&amp;INDEX($H$69:$H$88,RANDBETWEEN(1,16)))</f>
        <v>An escaped slave, a prospector</v>
      </c>
      <c r="E7" s="546"/>
      <c r="F7" s="546"/>
      <c r="G7" s="547"/>
      <c r="H7" s="123"/>
      <c r="I7" s="583"/>
      <c r="J7" s="540"/>
      <c r="K7" s="541"/>
      <c r="L7" s="540"/>
      <c r="M7" s="541"/>
      <c r="N7" s="540"/>
      <c r="O7" s="541"/>
      <c r="P7" s="540"/>
      <c r="Q7" s="539"/>
      <c r="R7" s="116"/>
      <c r="S7" s="583"/>
      <c r="T7" s="540"/>
      <c r="U7" s="541"/>
      <c r="V7" s="540"/>
      <c r="W7" s="541"/>
      <c r="X7" s="540"/>
      <c r="Y7" s="541"/>
      <c r="Z7" s="540"/>
      <c r="AA7" s="539"/>
      <c r="AB7" s="116"/>
    </row>
    <row r="8" spans="1:28" s="35" customFormat="1" ht="35.1" customHeight="1">
      <c r="A8" s="548" t="str">
        <f ca="1">CONCATENATE(CHOOSE(RANDBETWEEN(1,7),"Throughout","In some parts of","In the tunnels of","Whenever you stop in","Occasionaly in","Rarely in","Wherever you go in")," ","the cave, you hear: ")</f>
        <v xml:space="preserve">Rarely in the cave, you hear: </v>
      </c>
      <c r="B8" s="549"/>
      <c r="C8" s="549"/>
      <c r="D8" s="545" t="str">
        <f ca="1">CONCATENATE("A ",CHOOSE(RANDBETWEEN(1,8),"low","high-pitched","barely audible","ever-present","occasional","sporadic","frequent","infrequent")," ",INDEX($E$94:$E$139,RANDBETWEEN(1,46)))</f>
        <v>A frequent scratching/scrabbling</v>
      </c>
      <c r="E8" s="546"/>
      <c r="F8" s="546"/>
      <c r="G8" s="547"/>
      <c r="H8" s="123"/>
      <c r="I8" s="587" t="str">
        <f ca="1">IF(AND(I6&lt;&gt;"",I10&lt;&gt;""),INDEX('Source Data'!$B$28:$B$47,RANDBETWEEN(1,20)),"")</f>
        <v/>
      </c>
      <c r="J8" s="585" t="str">
        <f ca="1">IF(AND(K6&lt;&gt;"",I10&lt;&gt;"",I6="",K10=""),INDEX('Source Data'!$B$28:$B$47,RANDBETWEEN(1,20)),IF(AND(I6&lt;&gt;"",K10&lt;&gt;"",I10="",K6=""),INDEX('Source Data'!$B$28:$B$47,RANDBETWEEN(1,20)),""))</f>
        <v/>
      </c>
      <c r="K8" s="540" t="str">
        <f ca="1">IF(AND(K6&lt;&gt;"",K10&lt;&gt;""),INDEX('Source Data'!$B$28:$B$47,RANDBETWEEN(1,20)),"")</f>
        <v/>
      </c>
      <c r="L8" s="585" t="str">
        <f ca="1">IF(AND(M6&lt;&gt;"",K10&lt;&gt;"",K6="",M10=""),INDEX('Source Data'!$B$28:$B$47,RANDBETWEEN(1,20)),IF(AND(K6&lt;&gt;"",M10&lt;&gt;"",K10="",M6=""),INDEX('Source Data'!$B$28:$B$47,RANDBETWEEN(1,20)),""))</f>
        <v/>
      </c>
      <c r="M8" s="540" t="str">
        <f ca="1">IF(AND(M6&lt;&gt;"",M10&lt;&gt;""),INDEX('Source Data'!$B$28:$B$47,RANDBETWEEN(1,20)),"")</f>
        <v>secret passage</v>
      </c>
      <c r="N8" s="585" t="str">
        <f ca="1">IF(AND(O6&lt;&gt;"",M10&lt;&gt;"",M6="",O10=""),INDEX('Source Data'!$B$28:$B$47,RANDBETWEEN(1,20)),IF(AND(M6&lt;&gt;"",O10&lt;&gt;"",M10="",O6=""),INDEX('Source Data'!$B$28:$B$47,RANDBETWEEN(1,20)),""))</f>
        <v/>
      </c>
      <c r="O8" s="540" t="str">
        <f ca="1">IF(AND(O6&lt;&gt;"",O10&lt;&gt;""),INDEX('Source Data'!$B$28:$B$47,RANDBETWEEN(1,20)),"")</f>
        <v/>
      </c>
      <c r="P8" s="585" t="str">
        <f ca="1">IF(AND(Q6&lt;&gt;"",O10&lt;&gt;"",O6="",Q10=""),INDEX('Source Data'!$B$28:$B$47,RANDBETWEEN(1,20)),IF(AND(O6&lt;&gt;"",Q10&lt;&gt;"",O10="",Q6=""),INDEX('Source Data'!$B$28:$B$47,RANDBETWEEN(1,20)),""))</f>
        <v/>
      </c>
      <c r="Q8" s="584" t="str">
        <f ca="1">IF(AND(Q6&lt;&gt;"",Q10&lt;&gt;""),INDEX('Source Data'!$B$28:$B$47,RANDBETWEEN(1,20)),"")</f>
        <v xml:space="preserve">narrow crevice </v>
      </c>
      <c r="R8" s="116"/>
      <c r="S8" s="587" t="str">
        <f ca="1">IF(AND(S6&lt;&gt;"",S10&lt;&gt;""),INDEX('Source Data'!$B$28:$B$47,RANDBETWEEN(1,20)),"")</f>
        <v/>
      </c>
      <c r="T8" s="585" t="str">
        <f ca="1">IF(AND(U6&lt;&gt;"",S10&lt;&gt;"",S6="",U10=""),INDEX('Source Data'!$B$28:$B$47,RANDBETWEEN(1,20)),IF(AND(S6&lt;&gt;"",U10&lt;&gt;"",S10="",U6=""),INDEX('Source Data'!$B$28:$B$47,RANDBETWEEN(1,20)),""))</f>
        <v/>
      </c>
      <c r="U8" s="540" t="str">
        <f ca="1">IF(AND(U6&lt;&gt;"",U10&lt;&gt;""),INDEX('Source Data'!$B$28:$B$47,RANDBETWEEN(1,20)),"")</f>
        <v/>
      </c>
      <c r="V8" s="585" t="str">
        <f ca="1">IF(AND(W6&lt;&gt;"",U10&lt;&gt;"",U6="",W10=""),INDEX('Source Data'!$B$28:$B$47,RANDBETWEEN(1,20)),IF(AND(U6&lt;&gt;"",W10&lt;&gt;"",U10="",W6=""),INDEX('Source Data'!$B$28:$B$47,RANDBETWEEN(1,20)),""))</f>
        <v/>
      </c>
      <c r="W8" s="540" t="str">
        <f ca="1">IF(AND(W6&lt;&gt;"",W10&lt;&gt;""),INDEX('Source Data'!$B$28:$B$47,RANDBETWEEN(1,20)),"")</f>
        <v/>
      </c>
      <c r="X8" s="585" t="str">
        <f ca="1">IF(AND(Y6&lt;&gt;"",W10&lt;&gt;"",W6="",Y10=""),INDEX('Source Data'!$B$28:$B$47,RANDBETWEEN(1,20)),IF(AND(W6&lt;&gt;"",Y10&lt;&gt;"",W10="",Y6=""),INDEX('Source Data'!$B$28:$B$47,RANDBETWEEN(1,20)),""))</f>
        <v/>
      </c>
      <c r="Y8" s="540" t="str">
        <f ca="1">IF(AND(Y6&lt;&gt;"",Y10&lt;&gt;""),INDEX('Source Data'!$B$28:$B$47,RANDBETWEEN(1,20)),"")</f>
        <v/>
      </c>
      <c r="Z8" s="585" t="str">
        <f ca="1">IF(AND(AA6&lt;&gt;"",Y10&lt;&gt;"",Y6="",AA10=""),INDEX('Source Data'!$B$28:$B$47,RANDBETWEEN(1,20)),IF(AND(Y6&lt;&gt;"",AA10&lt;&gt;"",Y10="",AA6=""),INDEX('Source Data'!$B$28:$B$47,RANDBETWEEN(1,20)),""))</f>
        <v/>
      </c>
      <c r="AA8" s="584" t="str">
        <f ca="1">IF(AND(AA6&lt;&gt;"",AA10&lt;&gt;""),INDEX('Source Data'!$B$28:$B$47,RANDBETWEEN(1,20)),"")</f>
        <v/>
      </c>
      <c r="AB8" s="116"/>
    </row>
    <row r="9" spans="1:28" s="35" customFormat="1" ht="35.1" customHeight="1" thickBot="1">
      <c r="A9" s="550" t="str">
        <f>I68</f>
        <v>There are rumors of a monster living in this cave that is:</v>
      </c>
      <c r="B9" s="551"/>
      <c r="C9" s="551"/>
      <c r="D9" s="445" t="str">
        <f ca="1">INDEX($I$69:$I$88,RANDBETWEEN(1,10))</f>
        <v>A host or the dominant species.</v>
      </c>
      <c r="E9" s="445"/>
      <c r="F9" s="445"/>
      <c r="G9" s="446"/>
      <c r="H9" s="123"/>
      <c r="I9" s="587"/>
      <c r="J9" s="585"/>
      <c r="K9" s="540"/>
      <c r="L9" s="585"/>
      <c r="M9" s="540"/>
      <c r="N9" s="585"/>
      <c r="O9" s="540"/>
      <c r="P9" s="585"/>
      <c r="Q9" s="584"/>
      <c r="R9" s="116"/>
      <c r="S9" s="587"/>
      <c r="T9" s="585"/>
      <c r="U9" s="540"/>
      <c r="V9" s="585"/>
      <c r="W9" s="540"/>
      <c r="X9" s="585"/>
      <c r="Y9" s="540"/>
      <c r="Z9" s="585"/>
      <c r="AA9" s="584"/>
      <c r="AB9" s="116"/>
    </row>
    <row r="10" spans="1:28" s="35" customFormat="1" ht="35.1" customHeight="1" thickBot="1">
      <c r="A10" s="125"/>
      <c r="B10" s="123"/>
      <c r="C10" s="123"/>
      <c r="D10" s="123"/>
      <c r="E10" s="123"/>
      <c r="F10" s="123"/>
      <c r="G10" s="123"/>
      <c r="H10" s="123"/>
      <c r="I10" s="583" t="str">
        <f ca="1">IF(RAND()&lt;$G$11,INDEX('Source Data'!$B$5:$B$24,RANDBETWEEN(1,20))&amp;INDEX('Source Data'!$C$5:$C$24,RANDBETWEEN(1,20))&amp;INDEX('Source Data'!$D$5:$D$24,RANDBETWEEN(1,20))&amp;" *"&amp;INDEX('Source Data'!$J$5:$J$24,RANDBETWEEN(1,20)),"")</f>
        <v>damp corridor with a nervous person *Hazard</v>
      </c>
      <c r="J10" s="540" t="str">
        <f ca="1">IF(AND(I10&lt;&gt;"",K10&lt;&gt;""),INDEX('Source Data'!$B$28:$B$47,RANDBETWEEN(1,20)),"")</f>
        <v>open doorway</v>
      </c>
      <c r="K10" s="541" t="str">
        <f ca="1">IF(RAND()&lt;$G$11,INDEX('Source Data'!$B$5:$B$24,RANDBETWEEN(1,20))&amp;INDEX('Source Data'!$C$5:$C$24,RANDBETWEEN(1,20))&amp;INDEX('Source Data'!$D$5:$D$24,RANDBETWEEN(1,20))&amp;" *"&amp;INDEX('Source Data'!$J$5:$J$24,RANDBETWEEN(1,20)),"")</f>
        <v>cold exposed mine with loose, falling rocks *Combat</v>
      </c>
      <c r="L10" s="540" t="str">
        <f ca="1">IF(AND(K10&lt;&gt;"",M10&lt;&gt;""),INDEX('Source Data'!$B$28:$B$47,RANDBETWEEN(1,20)),"")</f>
        <v>false wall</v>
      </c>
      <c r="M10" s="541" t="str">
        <f ca="1">IF(RAND()&lt;$G$11,INDEX('Source Data'!$B$5:$B$24,RANDBETWEEN(1,20))&amp;INDEX('Source Data'!$C$5:$C$24,RANDBETWEEN(1,20))&amp;INDEX('Source Data'!$D$5:$D$24,RANDBETWEEN(1,20))&amp;" *"&amp;INDEX('Source Data'!$J$5:$J$24,RANDBETWEEN(1,20)),"")</f>
        <v>foggy tunnel inscribed with runes *Exit/Access</v>
      </c>
      <c r="N10" s="540" t="str">
        <f ca="1">IF(AND(M10&lt;&gt;"",O10&lt;&gt;""),INDEX('Source Data'!$B$28:$B$47,RANDBETWEEN(1,20)),"")</f>
        <v xml:space="preserve">narrow crevice </v>
      </c>
      <c r="O10" s="541" t="str">
        <f ca="1">IF(RAND()&lt;$G$11,INDEX('Source Data'!$B$5:$B$24,RANDBETWEEN(1,20))&amp;INDEX('Source Data'!$C$5:$C$24,RANDBETWEEN(1,20))&amp;INDEX('Source Data'!$D$5:$D$24,RANDBETWEEN(1,20))&amp;" *"&amp;INDEX('Source Data'!$J$5:$J$24,RANDBETWEEN(1,20)),"")</f>
        <v>long cavern with a mold covered recess in the wall *Entrance/Access</v>
      </c>
      <c r="P10" s="540" t="str">
        <f ca="1">IF(AND(O10&lt;&gt;"",Q10&lt;&gt;""),INDEX('Source Data'!$B$28:$B$47,RANDBETWEEN(1,20)),"")</f>
        <v>climb/descend</v>
      </c>
      <c r="Q10" s="539" t="str">
        <f ca="1">IF(RAND()&lt;$G$11,INDEX('Source Data'!$B$5:$B$24,RANDBETWEEN(1,20))&amp;INDEX('Source Data'!$C$5:$C$24,RANDBETWEEN(1,20))&amp;INDEX('Source Data'!$D$5:$D$24,RANDBETWEEN(1,20))&amp;" *"&amp;INDEX('Source Data'!$J$5:$J$24,RANDBETWEEN(1,20)),"")</f>
        <v>damp chamber with abandoned equipment *Interaction</v>
      </c>
      <c r="R10" s="116"/>
      <c r="S10" s="583" t="str">
        <f ca="1">IF($G$13=2,IF(RAND()&lt;$G$11,INDEX('Source Data'!$B$5:$B$24,RANDBETWEEN(1,20))&amp;INDEX('Source Data'!$C$5:$C$24,RANDBETWEEN(1,20))&amp;INDEX('Source Data'!$D$5:$D$24,RANDBETWEEN(1,20))&amp;" *"&amp;INDEX('Source Data'!$J$5:$J$24,RANDBETWEEN(1,20)),""),"")</f>
        <v/>
      </c>
      <c r="T10" s="540" t="str">
        <f ca="1">IF(AND(S10&lt;&gt;"",U10&lt;&gt;""),INDEX('Source Data'!$B$28:$B$47,RANDBETWEEN(1,20)),"")</f>
        <v/>
      </c>
      <c r="U10" s="541" t="str">
        <f ca="1">IF($G$13=2,IF(RAND()&lt;$G$11,INDEX('Source Data'!$B$5:$B$24,RANDBETWEEN(1,20))&amp;INDEX('Source Data'!$C$5:$C$24,RANDBETWEEN(1,20))&amp;INDEX('Source Data'!$D$5:$D$24,RANDBETWEEN(1,20))&amp;" *"&amp;INDEX('Source Data'!$J$5:$J$24,RANDBETWEEN(1,20)),""),"")</f>
        <v/>
      </c>
      <c r="V10" s="540" t="str">
        <f ca="1">IF(AND(U10&lt;&gt;"",W10&lt;&gt;""),INDEX('Source Data'!$B$28:$B$47,RANDBETWEEN(1,20)),"")</f>
        <v/>
      </c>
      <c r="W10" s="541" t="str">
        <f ca="1">IF($G$13=2,IF(RAND()&lt;$G$11,INDEX('Source Data'!$B$5:$B$24,RANDBETWEEN(1,20))&amp;INDEX('Source Data'!$C$5:$C$24,RANDBETWEEN(1,20))&amp;INDEX('Source Data'!$D$5:$D$24,RANDBETWEEN(1,20))&amp;" *"&amp;INDEX('Source Data'!$J$5:$J$24,RANDBETWEEN(1,20)),""),"")</f>
        <v/>
      </c>
      <c r="X10" s="540" t="str">
        <f ca="1">IF(AND(W10&lt;&gt;"",Y10&lt;&gt;""),INDEX('Source Data'!$B$28:$B$47,RANDBETWEEN(1,20)),"")</f>
        <v/>
      </c>
      <c r="Y10" s="541" t="str">
        <f ca="1">IF($G$13=2,IF(RAND()&lt;$G$11,INDEX('Source Data'!$B$5:$B$24,RANDBETWEEN(1,20))&amp;INDEX('Source Data'!$C$5:$C$24,RANDBETWEEN(1,20))&amp;INDEX('Source Data'!$D$5:$D$24,RANDBETWEEN(1,20))&amp;" *"&amp;INDEX('Source Data'!$J$5:$J$24,RANDBETWEEN(1,20)),""),"")</f>
        <v/>
      </c>
      <c r="Z10" s="540" t="str">
        <f ca="1">IF(AND(Y10&lt;&gt;"",AA10&lt;&gt;""),INDEX('Source Data'!$B$28:$B$47,RANDBETWEEN(1,20)),"")</f>
        <v/>
      </c>
      <c r="AA10" s="539" t="str">
        <f ca="1">IF($G$13=2,IF(RAND()&lt;$G$11,INDEX('Source Data'!$B$5:$B$24,RANDBETWEEN(1,20))&amp;INDEX('Source Data'!$C$5:$C$24,RANDBETWEEN(1,20))&amp;INDEX('Source Data'!$D$5:$D$24,RANDBETWEEN(1,20))&amp;" *"&amp;INDEX('Source Data'!$J$5:$J$24,RANDBETWEEN(1,20)),""),"")</f>
        <v/>
      </c>
      <c r="AB10" s="116"/>
    </row>
    <row r="11" spans="1:28" s="35" customFormat="1" ht="35.1" customHeight="1" thickBot="1">
      <c r="A11" s="555" t="s">
        <v>2593</v>
      </c>
      <c r="B11" s="556"/>
      <c r="C11" s="557"/>
      <c r="D11" s="123"/>
      <c r="E11" s="592" t="s">
        <v>6808</v>
      </c>
      <c r="F11" s="593"/>
      <c r="G11" s="316">
        <v>0.7</v>
      </c>
      <c r="H11" s="90"/>
      <c r="I11" s="583"/>
      <c r="J11" s="540"/>
      <c r="K11" s="541"/>
      <c r="L11" s="540"/>
      <c r="M11" s="541"/>
      <c r="N11" s="540"/>
      <c r="O11" s="541"/>
      <c r="P11" s="540"/>
      <c r="Q11" s="539"/>
      <c r="R11" s="116"/>
      <c r="S11" s="583"/>
      <c r="T11" s="540"/>
      <c r="U11" s="541"/>
      <c r="V11" s="540"/>
      <c r="W11" s="541"/>
      <c r="X11" s="540"/>
      <c r="Y11" s="541"/>
      <c r="Z11" s="540"/>
      <c r="AA11" s="539"/>
      <c r="AB11" s="116"/>
    </row>
    <row r="12" spans="1:28" s="35" customFormat="1" ht="35.1" customHeight="1" thickBot="1">
      <c r="A12" s="134" t="str">
        <f>M68</f>
        <v>The miner has:</v>
      </c>
      <c r="B12" s="562" t="str">
        <f ca="1">INDEX($M$69:$M$74,RANDBETWEEN(1,6))</f>
        <v>Long whiskers.</v>
      </c>
      <c r="C12" s="563"/>
      <c r="D12" s="123"/>
      <c r="E12" s="90"/>
      <c r="F12" s="90"/>
      <c r="G12" s="90"/>
      <c r="H12" s="90"/>
      <c r="I12" s="587" t="str">
        <f ca="1">IF(AND(I10&lt;&gt;"",I14&lt;&gt;""),INDEX('Source Data'!$B$28:$B$47,RANDBETWEEN(1,20)),"")</f>
        <v>false wall</v>
      </c>
      <c r="J12" s="585" t="str">
        <f ca="1">IF(AND(K10&lt;&gt;"",I14&lt;&gt;"",I10="",K14=""),INDEX('Source Data'!$B$28:$B$47,RANDBETWEEN(1,20)),IF(AND(I10&lt;&gt;"",K14&lt;&gt;"",I14="",K10=""),INDEX('Source Data'!$B$28:$B$47,RANDBETWEEN(1,20)),""))</f>
        <v/>
      </c>
      <c r="K12" s="540" t="str">
        <f ca="1">IF(AND(K10&lt;&gt;"",K14&lt;&gt;""),INDEX('Source Data'!$B$28:$B$47,RANDBETWEEN(1,20)),"")</f>
        <v/>
      </c>
      <c r="L12" s="585" t="str">
        <f ca="1">IF(AND(M10&lt;&gt;"",K14&lt;&gt;"",K10="",M14=""),INDEX('Source Data'!$B$28:$B$47,RANDBETWEEN(1,20)),IF(AND(K10&lt;&gt;"",M14&lt;&gt;"",K14="",M10=""),INDEX('Source Data'!$B$28:$B$47,RANDBETWEEN(1,20)),""))</f>
        <v/>
      </c>
      <c r="M12" s="540" t="str">
        <f ca="1">IF(AND(M10&lt;&gt;"",M14&lt;&gt;""),INDEX('Source Data'!$B$28:$B$47,RANDBETWEEN(1,20)),"")</f>
        <v>broken archway</v>
      </c>
      <c r="N12" s="585" t="str">
        <f ca="1">IF(AND(O10&lt;&gt;"",M14&lt;&gt;"",M10="",O14=""),INDEX('Source Data'!$B$28:$B$47,RANDBETWEEN(1,20)),IF(AND(M10&lt;&gt;"",O14&lt;&gt;"",M14="",O10=""),INDEX('Source Data'!$B$28:$B$47,RANDBETWEEN(1,20)),""))</f>
        <v/>
      </c>
      <c r="O12" s="540" t="str">
        <f ca="1">IF(AND(O10&lt;&gt;"",O14&lt;&gt;""),INDEX('Source Data'!$B$28:$B$47,RANDBETWEEN(1,20)),"")</f>
        <v>false wall</v>
      </c>
      <c r="P12" s="585" t="str">
        <f ca="1">IF(AND(Q10&lt;&gt;"",O14&lt;&gt;"",O10="",Q14=""),INDEX('Source Data'!$B$28:$B$47,RANDBETWEEN(1,20)),IF(AND(O10&lt;&gt;"",Q14&lt;&gt;"",O14="",Q10=""),INDEX('Source Data'!$B$28:$B$47,RANDBETWEEN(1,20)),""))</f>
        <v/>
      </c>
      <c r="Q12" s="584" t="str">
        <f ca="1">IF(AND(Q10&lt;&gt;"",Q14&lt;&gt;""),INDEX('Source Data'!$B$28:$B$47,RANDBETWEEN(1,20)),"")</f>
        <v>climb/descend</v>
      </c>
      <c r="R12" s="116"/>
      <c r="S12" s="587" t="str">
        <f ca="1">IF(AND(S10&lt;&gt;"",S14&lt;&gt;""),INDEX('Source Data'!$B$28:$B$47,RANDBETWEEN(1,20)),"")</f>
        <v/>
      </c>
      <c r="T12" s="585" t="str">
        <f ca="1">IF(AND(U10&lt;&gt;"",S14&lt;&gt;"",S10="",U14=""),INDEX('Source Data'!$B$28:$B$47,RANDBETWEEN(1,20)),IF(AND(S10&lt;&gt;"",U14&lt;&gt;"",S14="",U10=""),INDEX('Source Data'!$B$28:$B$47,RANDBETWEEN(1,20)),""))</f>
        <v/>
      </c>
      <c r="U12" s="540" t="str">
        <f ca="1">IF(AND(U10&lt;&gt;"",U14&lt;&gt;""),INDEX('Source Data'!$B$28:$B$47,RANDBETWEEN(1,20)),"")</f>
        <v/>
      </c>
      <c r="V12" s="585" t="str">
        <f ca="1">IF(AND(W10&lt;&gt;"",U14&lt;&gt;"",U10="",W14=""),INDEX('Source Data'!$B$28:$B$47,RANDBETWEEN(1,20)),IF(AND(U10&lt;&gt;"",W14&lt;&gt;"",U14="",W10=""),INDEX('Source Data'!$B$28:$B$47,RANDBETWEEN(1,20)),""))</f>
        <v/>
      </c>
      <c r="W12" s="540" t="str">
        <f ca="1">IF(AND(W10&lt;&gt;"",W14&lt;&gt;""),INDEX('Source Data'!$B$28:$B$47,RANDBETWEEN(1,20)),"")</f>
        <v/>
      </c>
      <c r="X12" s="585" t="str">
        <f ca="1">IF(AND(Y10&lt;&gt;"",W14&lt;&gt;"",W10="",Y14=""),INDEX('Source Data'!$B$28:$B$47,RANDBETWEEN(1,20)),IF(AND(W10&lt;&gt;"",Y14&lt;&gt;"",W14="",Y10=""),INDEX('Source Data'!$B$28:$B$47,RANDBETWEEN(1,20)),""))</f>
        <v/>
      </c>
      <c r="Y12" s="540" t="str">
        <f ca="1">IF(AND(Y10&lt;&gt;"",Y14&lt;&gt;""),INDEX('Source Data'!$B$28:$B$47,RANDBETWEEN(1,20)),"")</f>
        <v/>
      </c>
      <c r="Z12" s="585" t="str">
        <f ca="1">IF(AND(AA10&lt;&gt;"",Y14&lt;&gt;"",Y10="",AA14=""),INDEX('Source Data'!$B$28:$B$47,RANDBETWEEN(1,20)),IF(AND(Y10&lt;&gt;"",AA14&lt;&gt;"",Y14="",AA10=""),INDEX('Source Data'!$B$28:$B$47,RANDBETWEEN(1,20)),""))</f>
        <v/>
      </c>
      <c r="AA12" s="584" t="str">
        <f ca="1">IF(AND(AA10&lt;&gt;"",AA14&lt;&gt;""),INDEX('Source Data'!$B$28:$B$47,RANDBETWEEN(1,20)),"")</f>
        <v/>
      </c>
      <c r="AB12" s="116"/>
    </row>
    <row r="13" spans="1:28" s="35" customFormat="1" ht="35.1" customHeight="1" thickBot="1">
      <c r="A13" s="135" t="str">
        <f>N68</f>
        <v>They wear:</v>
      </c>
      <c r="B13" s="560" t="str">
        <f ca="1">INDEX($N$69:$N$72,RANDBETWEEN(1,4))</f>
        <v>A belt of tools.</v>
      </c>
      <c r="C13" s="561"/>
      <c r="D13" s="123"/>
      <c r="E13" s="592" t="s">
        <v>6945</v>
      </c>
      <c r="F13" s="593"/>
      <c r="G13" s="310">
        <f ca="1">RANDBETWEEN(1,2)</f>
        <v>1</v>
      </c>
      <c r="H13" s="90"/>
      <c r="I13" s="587"/>
      <c r="J13" s="585"/>
      <c r="K13" s="540"/>
      <c r="L13" s="585"/>
      <c r="M13" s="540"/>
      <c r="N13" s="585"/>
      <c r="O13" s="540"/>
      <c r="P13" s="585"/>
      <c r="Q13" s="584"/>
      <c r="R13" s="116"/>
      <c r="S13" s="587"/>
      <c r="T13" s="585"/>
      <c r="U13" s="540"/>
      <c r="V13" s="585"/>
      <c r="W13" s="540"/>
      <c r="X13" s="585"/>
      <c r="Y13" s="540"/>
      <c r="Z13" s="585"/>
      <c r="AA13" s="584"/>
      <c r="AB13" s="116"/>
    </row>
    <row r="14" spans="1:28" s="35" customFormat="1" ht="35.1" customHeight="1">
      <c r="A14" s="135" t="str">
        <f>O68</f>
        <v>The miner is looking to:</v>
      </c>
      <c r="B14" s="560" t="str">
        <f ca="1">INDEX($O$69:$O$72,RANDBETWEEN(1,4))</f>
        <v>Make some coin to pay off a debt.</v>
      </c>
      <c r="C14" s="561"/>
      <c r="D14" s="123"/>
      <c r="E14" s="90"/>
      <c r="F14" s="90"/>
      <c r="G14" s="90"/>
      <c r="H14" s="90"/>
      <c r="I14" s="583" t="str">
        <f ca="1">IF(RAND()&lt;$G$11,INDEX('Source Data'!$B$5:$B$24,RANDBETWEEN(1,20))&amp;INDEX('Source Data'!$C$5:$C$24,RANDBETWEEN(1,20))&amp;INDEX('Source Data'!$D$5:$D$24,RANDBETWEEN(1,20))&amp;" *"&amp;INDEX('Source Data'!$J$5:$J$24,RANDBETWEEN(1,20)),"")</f>
        <v>putrid warren in which you hear a scream *Interaction</v>
      </c>
      <c r="J14" s="540" t="str">
        <f ca="1">IF(AND(I14&lt;&gt;"",K14&lt;&gt;""),INDEX('Source Data'!$B$28:$B$47,RANDBETWEEN(1,20)),"")</f>
        <v/>
      </c>
      <c r="K14" s="541" t="str">
        <f ca="1">IF(RAND()&lt;$G$11,INDEX('Source Data'!$B$5:$B$24,RANDBETWEEN(1,20))&amp;INDEX('Source Data'!$C$5:$C$24,RANDBETWEEN(1,20))&amp;INDEX('Source Data'!$D$5:$D$24,RANDBETWEEN(1,20))&amp;" *"&amp;INDEX('Source Data'!$J$5:$J$24,RANDBETWEEN(1,20)),"")</f>
        <v/>
      </c>
      <c r="L14" s="540" t="str">
        <f ca="1">IF(AND(K14&lt;&gt;"",M14&lt;&gt;""),INDEX('Source Data'!$B$28:$B$47,RANDBETWEEN(1,20)),"")</f>
        <v/>
      </c>
      <c r="M14" s="541" t="str">
        <f ca="1">IF(RAND()&lt;$G$11,INDEX('Source Data'!$B$5:$B$24,RANDBETWEEN(1,20))&amp;INDEX('Source Data'!$C$5:$C$24,RANDBETWEEN(1,20))&amp;INDEX('Source Data'!$D$5:$D$24,RANDBETWEEN(1,20))&amp;" *"&amp;INDEX('Source Data'!$J$5:$J$24,RANDBETWEEN(1,20)),"")</f>
        <v>still crypt with an unstable ceiling *Exit/Access</v>
      </c>
      <c r="N14" s="540" t="str">
        <f ca="1">IF(AND(M14&lt;&gt;"",O14&lt;&gt;""),INDEX('Source Data'!$B$28:$B$47,RANDBETWEEN(1,20)),"")</f>
        <v xml:space="preserve">narrow crevice </v>
      </c>
      <c r="O14" s="541" t="str">
        <f ca="1">IF(RAND()&lt;$G$11,INDEX('Source Data'!$B$5:$B$24,RANDBETWEEN(1,20))&amp;INDEX('Source Data'!$C$5:$C$24,RANDBETWEEN(1,20))&amp;INDEX('Source Data'!$D$5:$D$24,RANDBETWEEN(1,20))&amp;" *"&amp;INDEX('Source Data'!$J$5:$J$24,RANDBETWEEN(1,20)),"")</f>
        <v>foggy sepulcher with an upset person *Exploration</v>
      </c>
      <c r="P14" s="540" t="str">
        <f ca="1">IF(AND(O14&lt;&gt;"",Q14&lt;&gt;""),INDEX('Source Data'!$B$28:$B$47,RANDBETWEEN(1,20)),"")</f>
        <v>narrow tunnel</v>
      </c>
      <c r="Q14" s="539" t="str">
        <f ca="1">IF(RAND()&lt;$G$11,INDEX('Source Data'!$B$5:$B$24,RANDBETWEEN(1,20))&amp;INDEX('Source Data'!$C$5:$C$24,RANDBETWEEN(1,20))&amp;INDEX('Source Data'!$D$5:$D$24,RANDBETWEEN(1,20))&amp;" *"&amp;INDEX('Source Data'!$J$5:$J$24,RANDBETWEEN(1,20)),"")</f>
        <v>foggy mausoleum with loose, falling rocks *Entrance/Access</v>
      </c>
      <c r="R14" s="116"/>
      <c r="S14" s="583" t="str">
        <f ca="1">IF($G$13=2,IF(RAND()&lt;$G$11,INDEX('Source Data'!$B$5:$B$24,RANDBETWEEN(1,20))&amp;INDEX('Source Data'!$C$5:$C$24,RANDBETWEEN(1,20))&amp;INDEX('Source Data'!$D$5:$D$24,RANDBETWEEN(1,20))&amp;" *"&amp;INDEX('Source Data'!$J$5:$J$24,RANDBETWEEN(1,20)),""),"")</f>
        <v/>
      </c>
      <c r="T14" s="540" t="str">
        <f ca="1">IF(AND(S14&lt;&gt;"",U14&lt;&gt;""),INDEX('Source Data'!$B$28:$B$47,RANDBETWEEN(1,20)),"")</f>
        <v/>
      </c>
      <c r="U14" s="541" t="str">
        <f ca="1">IF($G$13=2,IF(RAND()&lt;$G$11,INDEX('Source Data'!$B$5:$B$24,RANDBETWEEN(1,20))&amp;INDEX('Source Data'!$C$5:$C$24,RANDBETWEEN(1,20))&amp;INDEX('Source Data'!$D$5:$D$24,RANDBETWEEN(1,20))&amp;" *"&amp;INDEX('Source Data'!$J$5:$J$24,RANDBETWEEN(1,20)),""),"")</f>
        <v/>
      </c>
      <c r="V14" s="540" t="str">
        <f ca="1">IF(AND(U14&lt;&gt;"",W14&lt;&gt;""),INDEX('Source Data'!$B$28:$B$47,RANDBETWEEN(1,20)),"")</f>
        <v/>
      </c>
      <c r="W14" s="541" t="str">
        <f ca="1">IF($G$13=2,IF(RAND()&lt;$G$11,INDEX('Source Data'!$B$5:$B$24,RANDBETWEEN(1,20))&amp;INDEX('Source Data'!$C$5:$C$24,RANDBETWEEN(1,20))&amp;INDEX('Source Data'!$D$5:$D$24,RANDBETWEEN(1,20))&amp;" *"&amp;INDEX('Source Data'!$J$5:$J$24,RANDBETWEEN(1,20)),""),"")</f>
        <v/>
      </c>
      <c r="X14" s="540" t="str">
        <f ca="1">IF(AND(W14&lt;&gt;"",Y14&lt;&gt;""),INDEX('Source Data'!$B$28:$B$47,RANDBETWEEN(1,20)),"")</f>
        <v/>
      </c>
      <c r="Y14" s="541" t="str">
        <f ca="1">IF($G$13=2,IF(RAND()&lt;$G$11,INDEX('Source Data'!$B$5:$B$24,RANDBETWEEN(1,20))&amp;INDEX('Source Data'!$C$5:$C$24,RANDBETWEEN(1,20))&amp;INDEX('Source Data'!$D$5:$D$24,RANDBETWEEN(1,20))&amp;" *"&amp;INDEX('Source Data'!$J$5:$J$24,RANDBETWEEN(1,20)),""),"")</f>
        <v/>
      </c>
      <c r="Z14" s="540" t="str">
        <f ca="1">IF(AND(Y14&lt;&gt;"",AA14&lt;&gt;""),INDEX('Source Data'!$B$28:$B$47,RANDBETWEEN(1,20)),"")</f>
        <v/>
      </c>
      <c r="AA14" s="539" t="str">
        <f ca="1">IF($G$13=2,IF(RAND()&lt;$G$11,INDEX('Source Data'!$B$5:$B$24,RANDBETWEEN(1,20))&amp;INDEX('Source Data'!$C$5:$C$24,RANDBETWEEN(1,20))&amp;INDEX('Source Data'!$D$5:$D$24,RANDBETWEEN(1,20))&amp;" *"&amp;INDEX('Source Data'!$J$5:$J$24,RANDBETWEEN(1,20)),""),"")</f>
        <v/>
      </c>
      <c r="AB14" s="116"/>
    </row>
    <row r="15" spans="1:28" s="35" customFormat="1" ht="35.1" customHeight="1" thickBot="1">
      <c r="A15" s="136" t="str">
        <f>P68</f>
        <v>The miner carries:</v>
      </c>
      <c r="B15" s="558" t="str">
        <f ca="1">INDEX($P$69:$P$72,RANDBETWEEN(1,4))</f>
        <v>A shovel and a pick.</v>
      </c>
      <c r="C15" s="559"/>
      <c r="D15" s="123"/>
      <c r="E15" s="90"/>
      <c r="F15" s="90"/>
      <c r="G15" s="90"/>
      <c r="H15" s="90"/>
      <c r="I15" s="583"/>
      <c r="J15" s="540"/>
      <c r="K15" s="541"/>
      <c r="L15" s="540"/>
      <c r="M15" s="541"/>
      <c r="N15" s="540"/>
      <c r="O15" s="541"/>
      <c r="P15" s="540"/>
      <c r="Q15" s="539"/>
      <c r="R15" s="116"/>
      <c r="S15" s="583"/>
      <c r="T15" s="540"/>
      <c r="U15" s="541"/>
      <c r="V15" s="540"/>
      <c r="W15" s="541"/>
      <c r="X15" s="540"/>
      <c r="Y15" s="541"/>
      <c r="Z15" s="540"/>
      <c r="AA15" s="539"/>
      <c r="AB15" s="116"/>
    </row>
    <row r="16" spans="1:28" s="35" customFormat="1" ht="35.1" customHeight="1" thickBot="1">
      <c r="A16" s="123"/>
      <c r="B16" s="123"/>
      <c r="C16" s="123"/>
      <c r="D16" s="123"/>
      <c r="E16" s="90"/>
      <c r="F16" s="90"/>
      <c r="G16" s="90"/>
      <c r="H16" s="90"/>
      <c r="I16" s="587" t="str">
        <f ca="1">IF(AND(I14&lt;&gt;"",I18&lt;&gt;""),INDEX('Source Data'!$B$28:$B$47,RANDBETWEEN(1,20)),"")</f>
        <v/>
      </c>
      <c r="J16" s="585" t="str">
        <f ca="1">IF(AND(K14&lt;&gt;"",I18&lt;&gt;"",I14="",K18=""),INDEX('Source Data'!$B$28:$B$47,RANDBETWEEN(1,20)),IF(AND(I14&lt;&gt;"",K18&lt;&gt;"",I18="",K14=""),INDEX('Source Data'!$B$28:$B$47,RANDBETWEEN(1,20)),""))</f>
        <v>climb/descend</v>
      </c>
      <c r="K16" s="540" t="str">
        <f ca="1">IF(AND(K14&lt;&gt;"",K18&lt;&gt;""),INDEX('Source Data'!$B$28:$B$47,RANDBETWEEN(1,20)),"")</f>
        <v/>
      </c>
      <c r="L16" s="585" t="str">
        <f ca="1">IF(AND(M14&lt;&gt;"",K18&lt;&gt;"",K14="",M18=""),INDEX('Source Data'!$B$28:$B$47,RANDBETWEEN(1,20)),IF(AND(K14&lt;&gt;"",M18&lt;&gt;"",K18="",M14=""),INDEX('Source Data'!$B$28:$B$47,RANDBETWEEN(1,20)),""))</f>
        <v/>
      </c>
      <c r="M16" s="540" t="str">
        <f ca="1">IF(AND(M14&lt;&gt;"",M18&lt;&gt;""),INDEX('Source Data'!$B$28:$B$47,RANDBETWEEN(1,20)),"")</f>
        <v>rotten doorway</v>
      </c>
      <c r="N16" s="585" t="str">
        <f ca="1">IF(AND(O14&lt;&gt;"",M18&lt;&gt;"",M14="",O18=""),INDEX('Source Data'!$B$28:$B$47,RANDBETWEEN(1,20)),IF(AND(M14&lt;&gt;"",O18&lt;&gt;"",M18="",O14=""),INDEX('Source Data'!$B$28:$B$47,RANDBETWEEN(1,20)),""))</f>
        <v/>
      </c>
      <c r="O16" s="540" t="str">
        <f ca="1">IF(AND(O14&lt;&gt;"",O18&lt;&gt;""),INDEX('Source Data'!$B$28:$B$47,RANDBETWEEN(1,20)),"")</f>
        <v>secret passage</v>
      </c>
      <c r="P16" s="585" t="str">
        <f ca="1">IF(AND(Q14&lt;&gt;"",O18&lt;&gt;"",O14="",Q18=""),INDEX('Source Data'!$B$28:$B$47,RANDBETWEEN(1,20)),IF(AND(O14&lt;&gt;"",Q18&lt;&gt;"",O18="",Q14=""),INDEX('Source Data'!$B$28:$B$47,RANDBETWEEN(1,20)),""))</f>
        <v/>
      </c>
      <c r="Q16" s="584" t="str">
        <f ca="1">IF(AND(Q14&lt;&gt;"",Q18&lt;&gt;""),INDEX('Source Data'!$B$28:$B$47,RANDBETWEEN(1,20)),"")</f>
        <v/>
      </c>
      <c r="R16" s="116"/>
      <c r="S16" s="587" t="str">
        <f ca="1">IF(AND(S14&lt;&gt;"",S18&lt;&gt;""),INDEX('Source Data'!$B$28:$B$47,RANDBETWEEN(1,20)),"")</f>
        <v/>
      </c>
      <c r="T16" s="585" t="str">
        <f ca="1">IF(AND(U14&lt;&gt;"",S18&lt;&gt;"",S14="",U18=""),INDEX('Source Data'!$B$28:$B$47,RANDBETWEEN(1,20)),IF(AND(S14&lt;&gt;"",U18&lt;&gt;"",S18="",U14=""),INDEX('Source Data'!$B$28:$B$47,RANDBETWEEN(1,20)),""))</f>
        <v/>
      </c>
      <c r="U16" s="540" t="str">
        <f ca="1">IF(AND(U14&lt;&gt;"",U18&lt;&gt;""),INDEX('Source Data'!$B$28:$B$47,RANDBETWEEN(1,20)),"")</f>
        <v/>
      </c>
      <c r="V16" s="585" t="str">
        <f ca="1">IF(AND(W14&lt;&gt;"",U18&lt;&gt;"",U14="",W18=""),INDEX('Source Data'!$B$28:$B$47,RANDBETWEEN(1,20)),IF(AND(U14&lt;&gt;"",W18&lt;&gt;"",U18="",W14=""),INDEX('Source Data'!$B$28:$B$47,RANDBETWEEN(1,20)),""))</f>
        <v/>
      </c>
      <c r="W16" s="540" t="str">
        <f ca="1">IF(AND(W14&lt;&gt;"",W18&lt;&gt;""),INDEX('Source Data'!$B$28:$B$47,RANDBETWEEN(1,20)),"")</f>
        <v/>
      </c>
      <c r="X16" s="585" t="str">
        <f ca="1">IF(AND(Y14&lt;&gt;"",W18&lt;&gt;"",W14="",Y18=""),INDEX('Source Data'!$B$28:$B$47,RANDBETWEEN(1,20)),IF(AND(W14&lt;&gt;"",Y18&lt;&gt;"",W18="",Y14=""),INDEX('Source Data'!$B$28:$B$47,RANDBETWEEN(1,20)),""))</f>
        <v/>
      </c>
      <c r="Y16" s="540" t="str">
        <f ca="1">IF(AND(Y14&lt;&gt;"",Y18&lt;&gt;""),INDEX('Source Data'!$B$28:$B$47,RANDBETWEEN(1,20)),"")</f>
        <v/>
      </c>
      <c r="Z16" s="585" t="str">
        <f ca="1">IF(AND(AA14&lt;&gt;"",Y18&lt;&gt;"",Y14="",AA18=""),INDEX('Source Data'!$B$28:$B$47,RANDBETWEEN(1,20)),IF(AND(Y14&lt;&gt;"",AA18&lt;&gt;"",Y18="",AA14=""),INDEX('Source Data'!$B$28:$B$47,RANDBETWEEN(1,20)),""))</f>
        <v/>
      </c>
      <c r="AA16" s="584" t="str">
        <f ca="1">IF(AND(AA14&lt;&gt;"",AA18&lt;&gt;""),INDEX('Source Data'!$B$28:$B$47,RANDBETWEEN(1,20)),"")</f>
        <v/>
      </c>
      <c r="AB16" s="116"/>
    </row>
    <row r="17" spans="1:28" s="35" customFormat="1" ht="35.1" customHeight="1" thickBot="1">
      <c r="A17" s="555" t="s">
        <v>2595</v>
      </c>
      <c r="B17" s="556"/>
      <c r="C17" s="556"/>
      <c r="D17" s="556"/>
      <c r="E17" s="557"/>
      <c r="F17" s="90"/>
      <c r="G17" s="90"/>
      <c r="H17" s="90"/>
      <c r="I17" s="587"/>
      <c r="J17" s="585"/>
      <c r="K17" s="540"/>
      <c r="L17" s="585"/>
      <c r="M17" s="540"/>
      <c r="N17" s="585"/>
      <c r="O17" s="540"/>
      <c r="P17" s="585"/>
      <c r="Q17" s="584"/>
      <c r="R17" s="116"/>
      <c r="S17" s="587"/>
      <c r="T17" s="585"/>
      <c r="U17" s="540"/>
      <c r="V17" s="585"/>
      <c r="W17" s="540"/>
      <c r="X17" s="585"/>
      <c r="Y17" s="540"/>
      <c r="Z17" s="585"/>
      <c r="AA17" s="584"/>
      <c r="AB17" s="116"/>
    </row>
    <row r="18" spans="1:28" s="35" customFormat="1" ht="35.1" customHeight="1">
      <c r="A18" s="102" t="str">
        <f>R68</f>
        <v xml:space="preserve">This Mercenary Is: </v>
      </c>
      <c r="B18" s="564" t="str">
        <f ca="1">INDEX($R$69:$R$88,RANDBETWEEN(1,20))</f>
        <v xml:space="preserve"> A loveable scoundrel.</v>
      </c>
      <c r="C18" s="564"/>
      <c r="D18" s="564"/>
      <c r="E18" s="565"/>
      <c r="F18" s="90"/>
      <c r="G18" s="90"/>
      <c r="H18" s="90"/>
      <c r="I18" s="583" t="str">
        <f ca="1">IF(RAND()&lt;$G$11,INDEX('Source Data'!$B$5:$B$24,RANDBETWEEN(1,20))&amp;INDEX('Source Data'!$C$5:$C$24,RANDBETWEEN(1,20))&amp;INDEX('Source Data'!$D$5:$D$24,RANDBETWEEN(1,20))&amp;" *"&amp;INDEX('Source Data'!$J$5:$J$24,RANDBETWEEN(1,20)),"")</f>
        <v/>
      </c>
      <c r="J18" s="540" t="str">
        <f ca="1">IF(AND(I18&lt;&gt;"",K18&lt;&gt;""),INDEX('Source Data'!$B$28:$B$47,RANDBETWEEN(1,20)),"")</f>
        <v/>
      </c>
      <c r="K18" s="541" t="str">
        <f ca="1">IF(RAND()&lt;$G$11,INDEX('Source Data'!$B$5:$B$24,RANDBETWEEN(1,20))&amp;INDEX('Source Data'!$C$5:$C$24,RANDBETWEEN(1,20))&amp;INDEX('Source Data'!$D$5:$D$24,RANDBETWEEN(1,20))&amp;" *"&amp;INDEX('Source Data'!$J$5:$J$24,RANDBETWEEN(1,20)),"")</f>
        <v>damp chamber in which you hear a scream *Exit/Access</v>
      </c>
      <c r="L18" s="540" t="str">
        <f ca="1">IF(AND(K18&lt;&gt;"",M18&lt;&gt;""),INDEX('Source Data'!$B$28:$B$47,RANDBETWEEN(1,20)),"")</f>
        <v>broken doorway</v>
      </c>
      <c r="M18" s="541" t="str">
        <f ca="1">IF(RAND()&lt;$G$11,INDEX('Source Data'!$B$5:$B$24,RANDBETWEEN(1,20))&amp;INDEX('Source Data'!$C$5:$C$24,RANDBETWEEN(1,20))&amp;INDEX('Source Data'!$D$5:$D$24,RANDBETWEEN(1,20))&amp;" *"&amp;INDEX('Source Data'!$J$5:$J$24,RANDBETWEEN(1,20)),"")</f>
        <v>acrid  storeroom covered in cobwebs *Encounter</v>
      </c>
      <c r="N18" s="540" t="str">
        <f ca="1">IF(AND(M18&lt;&gt;"",O18&lt;&gt;""),INDEX('Source Data'!$B$28:$B$47,RANDBETWEEN(1,20)),"")</f>
        <v>climb/descend</v>
      </c>
      <c r="O18" s="541" t="str">
        <f ca="1">IF(RAND()&lt;$G$11,INDEX('Source Data'!$B$5:$B$24,RANDBETWEEN(1,20))&amp;INDEX('Source Data'!$C$5:$C$24,RANDBETWEEN(1,20))&amp;INDEX('Source Data'!$D$5:$D$24,RANDBETWEEN(1,20))&amp;" *"&amp;INDEX('Source Data'!$J$5:$J$24,RANDBETWEEN(1,20)),"")</f>
        <v>blood-stained warren in which you hear a scream *Puzzle</v>
      </c>
      <c r="P18" s="540" t="str">
        <f ca="1">IF(AND(O18&lt;&gt;"",Q18&lt;&gt;""),INDEX('Source Data'!$B$28:$B$47,RANDBETWEEN(1,20)),"")</f>
        <v/>
      </c>
      <c r="Q18" s="539" t="str">
        <f ca="1">IF(RAND()&lt;$G$11,INDEX('Source Data'!$B$5:$B$24,RANDBETWEEN(1,20))&amp;INDEX('Source Data'!$C$5:$C$24,RANDBETWEEN(1,20))&amp;INDEX('Source Data'!$D$5:$D$24,RANDBETWEEN(1,20))&amp;" *"&amp;INDEX('Source Data'!$J$5:$J$24,RANDBETWEEN(1,20)),"")</f>
        <v/>
      </c>
      <c r="R18" s="116"/>
      <c r="S18" s="583" t="str">
        <f ca="1">IF($G$13=2,IF(RAND()&lt;$G$11,INDEX('Source Data'!$B$5:$B$24,RANDBETWEEN(1,20))&amp;INDEX('Source Data'!$C$5:$C$24,RANDBETWEEN(1,20))&amp;INDEX('Source Data'!$D$5:$D$24,RANDBETWEEN(1,20))&amp;" *"&amp;INDEX('Source Data'!$J$5:$J$24,RANDBETWEEN(1,20)),""),"")</f>
        <v/>
      </c>
      <c r="T18" s="540" t="str">
        <f ca="1">IF(AND(S18&lt;&gt;"",U18&lt;&gt;""),INDEX('Source Data'!$B$28:$B$47,RANDBETWEEN(1,20)),"")</f>
        <v/>
      </c>
      <c r="U18" s="541" t="str">
        <f ca="1">IF($G$13=2,IF(RAND()&lt;$G$11,INDEX('Source Data'!$B$5:$B$24,RANDBETWEEN(1,20))&amp;INDEX('Source Data'!$C$5:$C$24,RANDBETWEEN(1,20))&amp;INDEX('Source Data'!$D$5:$D$24,RANDBETWEEN(1,20))&amp;" *"&amp;INDEX('Source Data'!$J$5:$J$24,RANDBETWEEN(1,20)),""),"")</f>
        <v/>
      </c>
      <c r="V18" s="540" t="str">
        <f ca="1">IF(AND(U18&lt;&gt;"",W18&lt;&gt;""),INDEX('Source Data'!$B$28:$B$47,RANDBETWEEN(1,20)),"")</f>
        <v/>
      </c>
      <c r="W18" s="541" t="str">
        <f ca="1">IF($G$13=2,IF(RAND()&lt;$G$11,INDEX('Source Data'!$B$5:$B$24,RANDBETWEEN(1,20))&amp;INDEX('Source Data'!$C$5:$C$24,RANDBETWEEN(1,20))&amp;INDEX('Source Data'!$D$5:$D$24,RANDBETWEEN(1,20))&amp;" *"&amp;INDEX('Source Data'!$J$5:$J$24,RANDBETWEEN(1,20)),""),"")</f>
        <v/>
      </c>
      <c r="X18" s="540" t="str">
        <f ca="1">IF(AND(W18&lt;&gt;"",Y18&lt;&gt;""),INDEX('Source Data'!$B$28:$B$47,RANDBETWEEN(1,20)),"")</f>
        <v/>
      </c>
      <c r="Y18" s="541" t="str">
        <f ca="1">IF($G$13=2,IF(RAND()&lt;$G$11,INDEX('Source Data'!$B$5:$B$24,RANDBETWEEN(1,20))&amp;INDEX('Source Data'!$C$5:$C$24,RANDBETWEEN(1,20))&amp;INDEX('Source Data'!$D$5:$D$24,RANDBETWEEN(1,20))&amp;" *"&amp;INDEX('Source Data'!$J$5:$J$24,RANDBETWEEN(1,20)),""),"")</f>
        <v/>
      </c>
      <c r="Z18" s="540" t="str">
        <f ca="1">IF(AND(Y18&lt;&gt;"",AA18&lt;&gt;""),INDEX('Source Data'!$B$28:$B$47,RANDBETWEEN(1,20)),"")</f>
        <v/>
      </c>
      <c r="AA18" s="539" t="str">
        <f ca="1">IF($G$13=2,IF(RAND()&lt;$G$11,INDEX('Source Data'!$B$5:$B$24,RANDBETWEEN(1,20))&amp;INDEX('Source Data'!$C$5:$C$24,RANDBETWEEN(1,20))&amp;INDEX('Source Data'!$D$5:$D$24,RANDBETWEEN(1,20))&amp;" *"&amp;INDEX('Source Data'!$J$5:$J$24,RANDBETWEEN(1,20)),""),"")</f>
        <v/>
      </c>
      <c r="AB18" s="116"/>
    </row>
    <row r="19" spans="1:28" s="35" customFormat="1" ht="35.1" customHeight="1" thickBot="1">
      <c r="A19" s="103" t="str">
        <f>S68</f>
        <v xml:space="preserve">Their primary skillset: </v>
      </c>
      <c r="B19" s="537" t="str">
        <f ca="1">INDEX($S$69:$S$88,RANDBETWEEN(1,10))</f>
        <v>A healer or alchemist.</v>
      </c>
      <c r="C19" s="537"/>
      <c r="D19" s="537"/>
      <c r="E19" s="538"/>
      <c r="F19" s="90"/>
      <c r="G19" s="90"/>
      <c r="H19" s="90"/>
      <c r="I19" s="591"/>
      <c r="J19" s="589"/>
      <c r="K19" s="590"/>
      <c r="L19" s="589"/>
      <c r="M19" s="590"/>
      <c r="N19" s="589"/>
      <c r="O19" s="590"/>
      <c r="P19" s="589"/>
      <c r="Q19" s="588"/>
      <c r="R19" s="116"/>
      <c r="S19" s="591"/>
      <c r="T19" s="589"/>
      <c r="U19" s="590"/>
      <c r="V19" s="589"/>
      <c r="W19" s="590"/>
      <c r="X19" s="589"/>
      <c r="Y19" s="590"/>
      <c r="Z19" s="589"/>
      <c r="AA19" s="588"/>
      <c r="AB19" s="116"/>
    </row>
    <row r="20" spans="1:28" s="35" customFormat="1" ht="35.1" customHeight="1" thickBot="1">
      <c r="A20" s="103" t="str">
        <f>T68</f>
        <v xml:space="preserve">Their primary weapon: </v>
      </c>
      <c r="B20" s="537" t="str">
        <f ca="1">INDEX($T$69:$T$88,RANDBETWEEN(1,10))</f>
        <v>A halberd.</v>
      </c>
      <c r="C20" s="537"/>
      <c r="D20" s="537"/>
      <c r="E20" s="538"/>
      <c r="F20" s="90"/>
      <c r="G20" s="90"/>
      <c r="H20" s="90"/>
      <c r="I20" s="90"/>
      <c r="J20" s="90"/>
      <c r="K20" s="90"/>
      <c r="L20" s="90"/>
      <c r="M20" s="90"/>
      <c r="N20" s="90"/>
      <c r="O20" s="90"/>
      <c r="P20" s="90"/>
      <c r="Q20" s="90"/>
      <c r="R20" s="116"/>
      <c r="S20" s="116"/>
      <c r="T20" s="116"/>
      <c r="U20" s="116"/>
      <c r="V20" s="116"/>
      <c r="W20" s="116"/>
      <c r="X20" s="116"/>
      <c r="Y20" s="116"/>
      <c r="Z20" s="116"/>
      <c r="AA20" s="116"/>
      <c r="AB20" s="116"/>
    </row>
    <row r="21" spans="1:28" s="35" customFormat="1" ht="35.1" customHeight="1" thickBot="1">
      <c r="A21" s="103" t="str">
        <f>U68</f>
        <v>The weapon is:</v>
      </c>
      <c r="B21" s="537" t="str">
        <f ca="1">INDEX($U$69:$U$88,RANDBETWEEN(1,8))</f>
        <v>Engraved with a name.</v>
      </c>
      <c r="C21" s="537"/>
      <c r="D21" s="537"/>
      <c r="E21" s="538"/>
      <c r="F21" s="90"/>
      <c r="G21" s="90"/>
      <c r="H21" s="90"/>
      <c r="I21" s="497" t="s">
        <v>7171</v>
      </c>
      <c r="J21" s="498"/>
      <c r="K21" s="498"/>
      <c r="L21" s="498"/>
      <c r="M21" s="498"/>
      <c r="N21" s="498"/>
      <c r="O21" s="498"/>
      <c r="P21" s="499"/>
      <c r="Q21" s="90"/>
      <c r="R21" s="116"/>
      <c r="S21" s="116"/>
      <c r="T21" s="116"/>
      <c r="U21" s="116"/>
      <c r="V21" s="116"/>
      <c r="W21" s="116"/>
      <c r="X21" s="116"/>
      <c r="Y21" s="116"/>
      <c r="Z21" s="116"/>
      <c r="AA21" s="116"/>
      <c r="AB21" s="116"/>
    </row>
    <row r="22" spans="1:28" s="35" customFormat="1" ht="39.950000000000003" customHeight="1">
      <c r="A22" s="103" t="str">
        <f>V68</f>
        <v xml:space="preserve">They are also good at: </v>
      </c>
      <c r="B22" s="537" t="str">
        <f ca="1">INDEX($V$69:$V$88,RANDBETWEEN(1,6))</f>
        <v>Tailoring</v>
      </c>
      <c r="C22" s="537"/>
      <c r="D22" s="537"/>
      <c r="E22" s="538"/>
      <c r="F22" s="90"/>
      <c r="G22" s="90"/>
      <c r="H22" s="90"/>
      <c r="I22" s="535" t="s">
        <v>7169</v>
      </c>
      <c r="J22" s="536"/>
      <c r="K22" s="524" t="str">
        <f ca="1">CONCATENATE(INDEX($H$94:$H$113,RANDBETWEEN(1,20)))</f>
        <v>Area is full of corpses</v>
      </c>
      <c r="L22" s="514"/>
      <c r="M22" s="525" t="str">
        <f ca="1">CONCATENATE(INDEX($H$94:$H$113,RANDBETWEEN(1,20)))</f>
        <v>Area is being used as a storeroom by something</v>
      </c>
      <c r="N22" s="526"/>
      <c r="O22" s="529" t="str">
        <f ca="1">CONCATENATE(INDEX($H$94:$H$113,RANDBETWEEN(1,20)))</f>
        <v>Area is on fire</v>
      </c>
      <c r="P22" s="530"/>
      <c r="Q22" s="90"/>
      <c r="R22" s="116"/>
      <c r="S22" s="116"/>
      <c r="T22" s="116"/>
      <c r="U22" s="116"/>
      <c r="V22" s="116"/>
      <c r="W22" s="116"/>
      <c r="X22" s="116"/>
      <c r="Y22" s="116"/>
      <c r="Z22" s="116"/>
      <c r="AA22" s="116"/>
      <c r="AB22" s="116"/>
    </row>
    <row r="23" spans="1:28" s="35" customFormat="1" ht="35.1" customHeight="1" thickBot="1">
      <c r="A23" s="103" t="str">
        <f>W68</f>
        <v xml:space="preserve">Additionally, they </v>
      </c>
      <c r="B23" s="537" t="str">
        <f ca="1">INDEX($W$69:$W$108,RANDBETWEEN(1,40))</f>
        <v xml:space="preserve"> Has an unusual level of attractiveness.</v>
      </c>
      <c r="C23" s="537"/>
      <c r="D23" s="537"/>
      <c r="E23" s="538"/>
      <c r="F23" s="90"/>
      <c r="G23" s="90"/>
      <c r="H23" s="90"/>
      <c r="I23" s="533" t="s">
        <v>7170</v>
      </c>
      <c r="J23" s="534"/>
      <c r="K23" s="522" t="str">
        <f ca="1">CONCATENATE(INDEX($I$94:$I$113,RANDBETWEEN(1,20)))</f>
        <v>A swarm of tiny insects has infested the area</v>
      </c>
      <c r="L23" s="523"/>
      <c r="M23" s="527" t="str">
        <f ca="1">CONCATENATE(INDEX($I$94:$I$113,RANDBETWEEN(1,20)))</f>
        <v>Everything in the area is charged with electricity</v>
      </c>
      <c r="N23" s="528"/>
      <c r="O23" s="531" t="str">
        <f ca="1">CONCATENATE(INDEX($I$94:$I$113,RANDBETWEEN(1,20)))</f>
        <v>Gravity isn't right in the area</v>
      </c>
      <c r="P23" s="532"/>
      <c r="Q23" s="90"/>
      <c r="R23" s="116"/>
      <c r="S23" s="116"/>
      <c r="T23" s="116"/>
      <c r="U23" s="116"/>
      <c r="V23" s="116"/>
      <c r="W23" s="116"/>
      <c r="X23" s="116"/>
      <c r="Y23" s="116"/>
      <c r="Z23" s="116"/>
      <c r="AA23" s="116"/>
      <c r="AB23" s="116"/>
    </row>
    <row r="24" spans="1:28" s="35" customFormat="1" ht="35.1" customHeight="1" thickBot="1">
      <c r="A24" s="103" t="str">
        <f>X68</f>
        <v xml:space="preserve">Their competence is: </v>
      </c>
      <c r="B24" s="537" t="str">
        <f ca="1">INDEX($X$69:$X$88,RANDBETWEEN(1,4))</f>
        <v>Average.</v>
      </c>
      <c r="C24" s="537"/>
      <c r="D24" s="537"/>
      <c r="E24" s="538"/>
      <c r="F24" s="90"/>
      <c r="G24" s="90"/>
      <c r="H24" s="90"/>
      <c r="I24" s="90"/>
      <c r="J24" s="90"/>
      <c r="K24" s="90"/>
      <c r="L24" s="90"/>
      <c r="M24" s="90"/>
      <c r="N24" s="90"/>
      <c r="O24" s="90"/>
      <c r="P24" s="90"/>
      <c r="Q24" s="90"/>
      <c r="R24" s="116"/>
      <c r="S24" s="116"/>
      <c r="T24" s="116"/>
      <c r="U24" s="116"/>
      <c r="V24" s="116"/>
      <c r="W24" s="116"/>
      <c r="X24" s="116"/>
      <c r="Y24" s="116"/>
      <c r="Z24" s="116"/>
      <c r="AA24" s="116"/>
      <c r="AB24" s="116"/>
    </row>
    <row r="25" spans="1:28" s="35" customFormat="1" ht="47.25" customHeight="1" thickBot="1">
      <c r="A25" s="104" t="str">
        <f>Y68</f>
        <v xml:space="preserve">Their pricing is: </v>
      </c>
      <c r="B25" s="571" t="str">
        <f ca="1">INDEX($Y$69:$Y$88,RANDBETWEEN(1,6))</f>
        <v>Affordable.</v>
      </c>
      <c r="C25" s="571"/>
      <c r="D25" s="571"/>
      <c r="E25" s="572"/>
      <c r="F25" s="90"/>
      <c r="G25" s="90"/>
      <c r="H25" s="90"/>
      <c r="I25" s="515" t="s">
        <v>7228</v>
      </c>
      <c r="J25" s="516"/>
      <c r="K25" s="512" t="str">
        <f ca="1">CONCATENATE("You notice a ",INDEX($L$94:$L$113,RANDBETWEEN(1,20))," inside ",INDEX($M$94:$M$103,RANDBETWEEN(1,10)),". It is surrounded by ",INDEX($N$94:$N$113,RANDBETWEEN(1,20))," As you look, you begin hearing ",CHOOSE(RANDBETWEEN(1,4),"low ","deep ","eerie ","unnatural "),INDEX($O$94:$O$105,RANDBETWEEN(1,12)))</f>
        <v>You notice a altar inside a side corridor. It is surrounded by a strange, glowing liquid. As you look, you begin hearing eerie creaking</v>
      </c>
      <c r="L25" s="512"/>
      <c r="M25" s="512"/>
      <c r="N25" s="512"/>
      <c r="O25" s="513" t="str">
        <f ca="1">CONCATENATE("You notice a ",INDEX($L$94:$L$113,RANDBETWEEN(1,20))," inside ",INDEX($M$94:$M$103,RANDBETWEEN(1,10)),". It is surrounded by ",INDEX($N$94:$N$113,RANDBETWEEN(1,20))," As you look, you begin hearing ",CHOOSE(RANDBETWEEN(1,4),"low ","deep ","eerie ","unnatural "),INDEX($O$94:$O$105,RANDBETWEEN(1,12)))</f>
        <v>You notice a ornate statue inside an alcove. It is surrounded by a series of cages, one of which is occupied. As you look, you begin hearing low shuffling</v>
      </c>
      <c r="P25" s="513"/>
      <c r="Q25" s="513"/>
      <c r="R25" s="513"/>
      <c r="S25" s="514"/>
      <c r="T25" s="116"/>
      <c r="U25" s="116"/>
      <c r="V25" s="116"/>
      <c r="W25" s="116"/>
      <c r="X25" s="116"/>
      <c r="Y25" s="116"/>
      <c r="Z25" s="116"/>
      <c r="AA25" s="116"/>
      <c r="AB25" s="116"/>
    </row>
    <row r="26" spans="1:28" s="35" customFormat="1" ht="47.25" customHeight="1" thickBot="1">
      <c r="A26" s="123"/>
      <c r="B26" s="123"/>
      <c r="C26" s="123"/>
      <c r="D26" s="123"/>
      <c r="E26" s="90"/>
      <c r="F26" s="90"/>
      <c r="G26" s="90"/>
      <c r="H26" s="90"/>
      <c r="I26" s="517"/>
      <c r="J26" s="518"/>
      <c r="K26" s="519" t="str">
        <f ca="1">CONCATENATE("You notice a ",INDEX($L$94:$L$113,RANDBETWEEN(1,20))," inside ",INDEX($M$94:$M$103,RANDBETWEEN(1,10)),". It is surrounded by ",INDEX($N$94:$N$113,RANDBETWEEN(1,20))," As you look, you begin hearing ",CHOOSE(RANDBETWEEN(1,4),"low ","deep ","eerie ","unnatural "),INDEX($O$94:$O$105,RANDBETWEEN(1,12)))</f>
        <v>You notice a series of cave paintings inside the ceiling. It is surrounded by signs of worship. As you look, you begin hearing deep creaking</v>
      </c>
      <c r="L26" s="519"/>
      <c r="M26" s="519"/>
      <c r="N26" s="519"/>
      <c r="O26" s="520" t="str">
        <f ca="1">CONCATENATE("You notice a ",INDEX($L$94:$L$113,RANDBETWEEN(1,20))," inside ",INDEX($M$94:$M$103,RANDBETWEEN(1,10)),". It is surrounded by ",INDEX($N$94:$N$113,RANDBETWEEN(1,20))," As you look, you begin hearing ",CHOOSE(RANDBETWEEN(1,4),"low ","deep ","eerie ","unnatural "),INDEX($O$94:$O$105,RANDBETWEEN(1,12)))</f>
        <v>You notice a giant stone coffin inside a hole. It is surrounded by signs of recent activity. As you look, you begin hearing low moaning</v>
      </c>
      <c r="P26" s="520"/>
      <c r="Q26" s="520"/>
      <c r="R26" s="520"/>
      <c r="S26" s="521"/>
      <c r="T26" s="116"/>
      <c r="U26" s="116"/>
      <c r="V26" s="116"/>
      <c r="W26" s="116"/>
      <c r="X26" s="116"/>
      <c r="Y26" s="116"/>
      <c r="Z26" s="116"/>
      <c r="AA26" s="116"/>
      <c r="AB26" s="116"/>
    </row>
    <row r="27" spans="1:28" s="35" customFormat="1" ht="35.1" customHeight="1" thickBot="1">
      <c r="A27" s="123"/>
      <c r="B27" s="123"/>
      <c r="C27" s="123"/>
      <c r="D27" s="123"/>
      <c r="E27" s="90"/>
      <c r="F27" s="90"/>
      <c r="G27" s="90"/>
      <c r="H27" s="90"/>
      <c r="I27" s="90"/>
      <c r="J27" s="90"/>
      <c r="K27" s="90"/>
      <c r="L27" s="90"/>
      <c r="M27" s="90"/>
      <c r="N27" s="90"/>
      <c r="O27" s="90"/>
      <c r="P27" s="122"/>
      <c r="Q27" s="122"/>
      <c r="R27" s="116"/>
      <c r="S27" s="116"/>
      <c r="T27" s="116"/>
      <c r="U27" s="116"/>
      <c r="V27" s="116"/>
      <c r="W27" s="116"/>
      <c r="X27" s="116"/>
      <c r="Y27" s="116"/>
      <c r="Z27" s="116"/>
      <c r="AA27" s="116"/>
      <c r="AB27" s="116"/>
    </row>
    <row r="28" spans="1:28" s="35" customFormat="1" ht="35.1" customHeight="1" thickBot="1">
      <c r="A28" s="449" t="s">
        <v>3951</v>
      </c>
      <c r="B28" s="450"/>
      <c r="C28" s="450"/>
      <c r="D28" s="450"/>
      <c r="E28" s="450"/>
      <c r="F28" s="450"/>
      <c r="G28" s="451"/>
      <c r="H28" s="90"/>
      <c r="I28" s="500" t="s">
        <v>2482</v>
      </c>
      <c r="J28" s="93" t="s">
        <v>2416</v>
      </c>
      <c r="K28" s="503" t="str">
        <f ca="1">CONCATENATE(INDEX('NPC''s'!$I$106:$I$115,RANDBETWEEN(1,10))," in stature, with a ",INDEX('NPC''s'!$J$106:$J$125,RANDBETWEEN(1,20))," body, and ",INDEX('NPC''s'!$K$106:$K$111,RANDBETWEEN(1,6)))</f>
        <v>UNUSUALLY SHORT in stature, with a GROTESQUELY OBESE body, and A HEAVY TOUCH.</v>
      </c>
      <c r="L28" s="504"/>
      <c r="M28" s="504"/>
      <c r="N28" s="504"/>
      <c r="O28" s="505"/>
      <c r="P28" s="122"/>
      <c r="Q28" s="122"/>
      <c r="R28" s="116"/>
      <c r="S28" s="116"/>
      <c r="T28" s="116"/>
      <c r="U28" s="116"/>
      <c r="V28" s="116"/>
      <c r="W28" s="116"/>
      <c r="X28" s="116"/>
      <c r="Y28" s="116"/>
      <c r="Z28" s="116"/>
      <c r="AA28" s="116"/>
      <c r="AB28" s="116"/>
    </row>
    <row r="29" spans="1:28" s="35" customFormat="1" ht="39.950000000000003" customHeight="1">
      <c r="A29" s="569" t="str">
        <f>$AC$68</f>
        <v>You have heard of this Priest/Cleric before because:</v>
      </c>
      <c r="B29" s="570"/>
      <c r="C29" s="426" t="str">
        <f ca="1">INDEX($AC$69:$AC$88,RANDBETWEEN(1,20))</f>
        <v xml:space="preserve"> Dry witted, they are prone to sarcastic replies when not preaching.</v>
      </c>
      <c r="D29" s="426"/>
      <c r="E29" s="426"/>
      <c r="F29" s="426"/>
      <c r="G29" s="427"/>
      <c r="H29" s="90"/>
      <c r="I29" s="501"/>
      <c r="J29" s="94" t="s">
        <v>2415</v>
      </c>
      <c r="K29" s="506" t="str">
        <f ca="1">CONCATENATE(INDEX('NPC''s'!$B$106:$B$125,RANDBETWEEN(1,20)),", ",INDEX('NPC''s'!$C$106:$C$117,RANDBETWEEN(1,12)),", and ",INDEX('NPC''s'!$D$106:$D$115,RANDBETWEEN(1,10)),". They have ",INDEX('NPC''s'!$H$106:$H$113,RANDBETWEEN(1,8)),", ",INDEX('NPC''s'!$E$106:$E$117,RANDBETWEEN(1,12)),", ",INDEX('NPC''s'!$F$106:$F$113,RANDBETWEEN(1,8)),", and ",INDEX('NPC''s'!$G$106:$G$125,RANDBETWEEN(1,20)))</f>
        <v>PENETRATING EYES, CAULIFLOWER EARS, and THEIR MOUTH HANGS OPEN. They have A LARGE MOLE, A BUTTON NOSE, A SQUARE JAW, and AN UNUSUAL HAIRSTYLE</v>
      </c>
      <c r="L29" s="507"/>
      <c r="M29" s="507"/>
      <c r="N29" s="507"/>
      <c r="O29" s="508"/>
      <c r="P29" s="90"/>
      <c r="Q29" s="90"/>
      <c r="R29" s="90"/>
      <c r="S29" s="90"/>
      <c r="T29" s="90"/>
      <c r="U29" s="90"/>
      <c r="V29" s="90"/>
      <c r="W29" s="90"/>
      <c r="X29" s="90"/>
      <c r="Y29" s="90"/>
      <c r="Z29" s="90"/>
      <c r="AA29" s="90"/>
      <c r="AB29" s="90"/>
    </row>
    <row r="30" spans="1:28" s="35" customFormat="1" ht="39.950000000000003" customHeight="1">
      <c r="A30" s="411" t="str">
        <f>$AD$68</f>
        <v>You have heard of this sorcerer before because:</v>
      </c>
      <c r="B30" s="412"/>
      <c r="C30" s="422" t="str">
        <f ca="1">INDEX($AD$69:$AD$98,RANDBETWEEN(1,20))</f>
        <v xml:space="preserve"> He keeps a hedge maze to keep away unwanted guests.</v>
      </c>
      <c r="D30" s="422"/>
      <c r="E30" s="422"/>
      <c r="F30" s="422"/>
      <c r="G30" s="423"/>
      <c r="H30" s="90"/>
      <c r="I30" s="501"/>
      <c r="J30" s="94" t="s">
        <v>2417</v>
      </c>
      <c r="K30" s="506" t="str">
        <f ca="1">CONCATENATE(INDEX('NPC''s'!$M$106:$M$117,RANDBETWEEN(1,12)),", made of ",INDEX('NPC''s'!$N$106:$N$115,RANDBETWEEN(1,10)))</f>
        <v>A SMALL CHAIN AROUND NECK, made of HEMP</v>
      </c>
      <c r="L30" s="507"/>
      <c r="M30" s="507"/>
      <c r="N30" s="507"/>
      <c r="O30" s="508"/>
      <c r="P30" s="90"/>
      <c r="Q30" s="90"/>
      <c r="R30" s="90"/>
      <c r="S30" s="90"/>
      <c r="T30" s="90"/>
      <c r="U30" s="90"/>
      <c r="V30" s="90"/>
      <c r="W30" s="90"/>
      <c r="X30" s="90"/>
      <c r="Y30" s="90"/>
      <c r="Z30" s="90"/>
      <c r="AA30" s="90"/>
      <c r="AB30" s="90"/>
    </row>
    <row r="31" spans="1:28" s="35" customFormat="1" ht="39.950000000000003" customHeight="1">
      <c r="A31" s="411" t="str">
        <f>$AE$68</f>
        <v>You have heard of this thief/spy/assassin before because they are:</v>
      </c>
      <c r="B31" s="412"/>
      <c r="C31" s="422" t="str">
        <f ca="1">INDEX($AE$69:$AE$98,RANDBETWEEN(1,20))</f>
        <v>Devilish. He climbed the walls of the Black Keep just to steal a kiss from the shadow sorceress as she slept.</v>
      </c>
      <c r="D31" s="422"/>
      <c r="E31" s="422"/>
      <c r="F31" s="422"/>
      <c r="G31" s="423"/>
      <c r="H31" s="90"/>
      <c r="I31" s="501"/>
      <c r="J31" s="94" t="s">
        <v>2418</v>
      </c>
      <c r="K31" s="506" t="str">
        <f ca="1">CONCATENATE(INDEX('NPC''s'!$O$106:$O$113,RANDBETWEEN(1,8)))</f>
        <v>FADED AND PATCHED</v>
      </c>
      <c r="L31" s="507"/>
      <c r="M31" s="507"/>
      <c r="N31" s="507"/>
      <c r="O31" s="508"/>
      <c r="P31" s="90"/>
      <c r="Q31" s="90"/>
      <c r="R31" s="90"/>
      <c r="S31" s="90"/>
      <c r="T31" s="90"/>
      <c r="U31" s="90"/>
      <c r="V31" s="90"/>
      <c r="W31" s="90"/>
      <c r="X31" s="90"/>
      <c r="Y31" s="90"/>
      <c r="Z31" s="90"/>
      <c r="AA31" s="90"/>
      <c r="AB31" s="90"/>
    </row>
    <row r="32" spans="1:28" s="35" customFormat="1" ht="39.950000000000003" customHeight="1">
      <c r="A32" s="411" t="str">
        <f>$AG$68</f>
        <v xml:space="preserve"> You have heard of this Explorer/Mapmaker/Naturalist before because:</v>
      </c>
      <c r="B32" s="412"/>
      <c r="C32" s="422" t="str">
        <f ca="1">INDEX($AF$69:$AF$98,RANDBETWEEN(1,20))</f>
        <v>They are well known in the fur trade.</v>
      </c>
      <c r="D32" s="422"/>
      <c r="E32" s="422"/>
      <c r="F32" s="422"/>
      <c r="G32" s="423"/>
      <c r="H32" s="90"/>
      <c r="I32" s="501"/>
      <c r="J32" s="94" t="s">
        <v>2435</v>
      </c>
      <c r="K32" s="506" t="str">
        <f ca="1">CONCATENATE(INDEX('NPC''s'!$S$106:$S$113,RANDBETWEEN(1,8)))</f>
        <v>BROKEN HERETIC</v>
      </c>
      <c r="L32" s="507"/>
      <c r="M32" s="507"/>
      <c r="N32" s="507"/>
      <c r="O32" s="508"/>
      <c r="P32" s="90"/>
      <c r="Q32" s="90"/>
      <c r="R32" s="90"/>
      <c r="S32" s="90"/>
      <c r="T32" s="90"/>
      <c r="U32" s="90"/>
      <c r="V32" s="90"/>
      <c r="W32" s="90"/>
      <c r="X32" s="90"/>
      <c r="Y32" s="90"/>
      <c r="Z32" s="90"/>
      <c r="AA32" s="90"/>
      <c r="AB32" s="90"/>
    </row>
    <row r="33" spans="1:28" s="35" customFormat="1" ht="39.950000000000003" customHeight="1">
      <c r="A33" s="411" t="str">
        <f>$AG$68</f>
        <v xml:space="preserve"> You have heard of this Explorer/Mapmaker/Naturalist before because:</v>
      </c>
      <c r="B33" s="412"/>
      <c r="C33" s="422" t="str">
        <f ca="1">INDEX($AG$69:$AG$98,RANDBETWEEN(1,10))</f>
        <v>Had his ships custom built.</v>
      </c>
      <c r="D33" s="422"/>
      <c r="E33" s="422"/>
      <c r="F33" s="422"/>
      <c r="G33" s="423"/>
      <c r="H33" s="90"/>
      <c r="I33" s="501"/>
      <c r="J33" s="94" t="s">
        <v>2420</v>
      </c>
      <c r="K33" s="506" t="str">
        <f ca="1">CONCATENATE(INDEX('NPC''s'!$T$106:$T$111,RANDBETWEEN(1,6)))</f>
        <v>HALFLINGS</v>
      </c>
      <c r="L33" s="507"/>
      <c r="M33" s="507"/>
      <c r="N33" s="507"/>
      <c r="O33" s="508"/>
      <c r="P33" s="90"/>
      <c r="Q33" s="90"/>
      <c r="R33" s="90"/>
      <c r="S33" s="90"/>
      <c r="T33" s="90"/>
      <c r="U33" s="90"/>
      <c r="V33" s="90"/>
      <c r="W33" s="90"/>
      <c r="X33" s="90"/>
      <c r="Y33" s="90"/>
      <c r="Z33" s="90"/>
      <c r="AA33" s="90"/>
      <c r="AB33" s="90"/>
    </row>
    <row r="34" spans="1:28" s="35" customFormat="1" ht="39.950000000000003" customHeight="1" thickBot="1">
      <c r="A34" s="409" t="str">
        <f>$AH$68</f>
        <v>You have heard of this Mercenary Band because they are:</v>
      </c>
      <c r="B34" s="410"/>
      <c r="C34" s="415" t="str">
        <f ca="1">INDEX($AH$69:$AH$98,RANDBETWEEN(1,30))</f>
        <v>Stalwart, they are known for having stood their ground during a dangerous battle</v>
      </c>
      <c r="D34" s="415"/>
      <c r="E34" s="415"/>
      <c r="F34" s="415"/>
      <c r="G34" s="416"/>
      <c r="H34" s="90"/>
      <c r="I34" s="502"/>
      <c r="J34" s="95" t="s">
        <v>2419</v>
      </c>
      <c r="K34" s="509" t="str">
        <f ca="1">CONCATENATE("Their current mood is ",INDEX('NPC''s'!$R$106:$R$125,RANDBETWEEN(1,20)),". When calm, they are ",INDEX('NPC''s'!$P$106:$P$137,RANDBETWEEN(1,32)),", and when stressed they are ",INDEX('NPC''s'!$Q$106:$Q$137,RANDBETWEEN(1,32)))</f>
        <v>Their current mood is GLOOMY. When calm, they are GREEDY, and when stressed they are MANIPULATIVE</v>
      </c>
      <c r="L34" s="510"/>
      <c r="M34" s="510"/>
      <c r="N34" s="510"/>
      <c r="O34" s="511"/>
      <c r="P34" s="90"/>
      <c r="Q34" s="90"/>
      <c r="R34" s="90"/>
      <c r="S34" s="90"/>
      <c r="T34" s="90"/>
      <c r="U34" s="90"/>
      <c r="V34" s="90"/>
      <c r="W34" s="90"/>
      <c r="X34" s="90"/>
      <c r="Y34" s="90"/>
      <c r="Z34" s="90"/>
      <c r="AA34" s="90"/>
      <c r="AB34" s="90"/>
    </row>
    <row r="35" spans="1:28" ht="39.950000000000003" customHeight="1" thickBot="1">
      <c r="A35" s="97"/>
      <c r="B35" s="126"/>
      <c r="C35" s="126"/>
      <c r="D35" s="126"/>
      <c r="E35" s="126"/>
      <c r="F35" s="126"/>
      <c r="G35" s="127"/>
      <c r="H35" s="89"/>
      <c r="I35" s="89"/>
      <c r="J35" s="89"/>
      <c r="K35" s="89"/>
      <c r="L35" s="89"/>
      <c r="M35" s="89"/>
      <c r="N35" s="89"/>
      <c r="O35" s="89"/>
      <c r="P35" s="90"/>
      <c r="Q35" s="90"/>
      <c r="R35" s="90"/>
      <c r="S35" s="90"/>
      <c r="T35" s="90"/>
      <c r="U35" s="90"/>
      <c r="V35" s="90"/>
      <c r="W35" s="90"/>
      <c r="X35" s="90"/>
      <c r="Y35" s="90"/>
      <c r="Z35" s="90"/>
      <c r="AA35" s="90"/>
      <c r="AB35" s="90"/>
    </row>
    <row r="36" spans="1:28" ht="39.950000000000003" customHeight="1">
      <c r="A36" s="552" t="s">
        <v>2482</v>
      </c>
      <c r="B36" s="93" t="s">
        <v>2416</v>
      </c>
      <c r="C36" s="503" t="str">
        <f ca="1">CONCATENATE(INDEX('NPC''s'!$I$106:$I$115,RANDBETWEEN(1,10))," in stature, with a ",INDEX('NPC''s'!$J$106:$J$125,RANDBETWEEN(1,20))," body, and ",INDEX('NPC''s'!$K$106:$K$111,RANDBETWEEN(1,6)))</f>
        <v>AVERAGE  in stature, with a BONEY body, and POWERFUL HANDS.</v>
      </c>
      <c r="D36" s="504"/>
      <c r="E36" s="504"/>
      <c r="F36" s="504"/>
      <c r="G36" s="505"/>
      <c r="H36" s="89"/>
      <c r="I36" s="500" t="s">
        <v>2482</v>
      </c>
      <c r="J36" s="93" t="s">
        <v>2416</v>
      </c>
      <c r="K36" s="503" t="str">
        <f ca="1">CONCATENATE(INDEX('NPC''s'!$I$106:$I$115,RANDBETWEEN(1,10))," in stature, with a ",INDEX('NPC''s'!$J$106:$J$125,RANDBETWEEN(1,20))," body, and ",INDEX('NPC''s'!$K$106:$K$111,RANDBETWEEN(1,6)))</f>
        <v>SLIGHTLY ABOVE AVERAGE in stature, with a THIN AND WIRY body, and SOFT HANDS.</v>
      </c>
      <c r="L36" s="504"/>
      <c r="M36" s="504"/>
      <c r="N36" s="504"/>
      <c r="O36" s="505"/>
      <c r="P36" s="90"/>
      <c r="Q36" s="90"/>
      <c r="R36" s="90"/>
      <c r="S36" s="90"/>
      <c r="T36" s="90"/>
      <c r="U36" s="90"/>
      <c r="V36" s="90"/>
      <c r="W36" s="90"/>
      <c r="X36" s="90"/>
      <c r="Y36" s="90"/>
      <c r="Z36" s="90"/>
      <c r="AA36" s="90"/>
      <c r="AB36" s="90"/>
    </row>
    <row r="37" spans="1:28" ht="39.950000000000003" customHeight="1">
      <c r="A37" s="553"/>
      <c r="B37" s="94" t="s">
        <v>2415</v>
      </c>
      <c r="C37" s="506" t="str">
        <f ca="1">CONCATENATE(INDEX('NPC''s'!$B$106:$B$125,RANDBETWEEN(1,20)),", ",INDEX('NPC''s'!$C$106:$C$117,RANDBETWEEN(1,12)),", and ",INDEX('NPC''s'!$D$106:$D$115,RANDBETWEEN(1,10)),". They have ",INDEX('NPC''s'!$H$106:$H$113,RANDBETWEEN(1,8)),", ",INDEX('NPC''s'!$E$106:$E$117,RANDBETWEEN(1,12)),", ",INDEX('NPC''s'!$F$106:$F$113,RANDBETWEEN(1,8)),", and ",INDEX('NPC''s'!$G$106:$G$125,RANDBETWEEN(1,20)))</f>
        <v>PENETRATING EYES, JUG-HANDLE EARS, and THIN LIPS. They have TIGHT, DRAWN CHEEKS, A ROUND NOSE, A CLEFT CHIN, and UNRULY HAIR</v>
      </c>
      <c r="D37" s="507"/>
      <c r="E37" s="507"/>
      <c r="F37" s="507"/>
      <c r="G37" s="508"/>
      <c r="H37" s="89"/>
      <c r="I37" s="501"/>
      <c r="J37" s="94" t="s">
        <v>2415</v>
      </c>
      <c r="K37" s="506" t="str">
        <f ca="1">CONCATENATE(INDEX('NPC''s'!$B$106:$B$125,RANDBETWEEN(1,20)),", ",INDEX('NPC''s'!$C$106:$C$117,RANDBETWEEN(1,12)),", and ",INDEX('NPC''s'!$D$106:$D$115,RANDBETWEEN(1,10)),". They have ",INDEX('NPC''s'!$H$106:$H$113,RANDBETWEEN(1,8)),", ",INDEX('NPC''s'!$E$106:$E$117,RANDBETWEEN(1,12)),", ",INDEX('NPC''s'!$F$106:$F$113,RANDBETWEEN(1,8)),", and ",INDEX('NPC''s'!$G$106:$G$125,RANDBETWEEN(1,20)))</f>
        <v>WATCHFUL EYES, ELABORATELY PIERCED EARS, and CROOKED TEETH. They have TIGHT, DRAWN CHEEKS, A ROUND NOSE, A DIMPLE ON THE CHIN, and CURLY HAIR</v>
      </c>
      <c r="L37" s="507"/>
      <c r="M37" s="507"/>
      <c r="N37" s="507"/>
      <c r="O37" s="508"/>
      <c r="P37" s="90"/>
      <c r="Q37" s="90"/>
      <c r="R37" s="90"/>
      <c r="S37" s="90"/>
      <c r="T37" s="90"/>
      <c r="U37" s="90"/>
      <c r="V37" s="90"/>
      <c r="W37" s="90"/>
      <c r="X37" s="90"/>
      <c r="Y37" s="90"/>
      <c r="Z37" s="90"/>
      <c r="AA37" s="90"/>
      <c r="AB37" s="90"/>
    </row>
    <row r="38" spans="1:28" ht="39.950000000000003" customHeight="1">
      <c r="A38" s="553"/>
      <c r="B38" s="94" t="s">
        <v>2417</v>
      </c>
      <c r="C38" s="506" t="str">
        <f ca="1">CONCATENATE(INDEX('NPC''s'!$M$106:$M$117,RANDBETWEEN(1,12)),", made of ",INDEX('NPC''s'!$N$106:$N$115,RANDBETWEEN(1,10)))</f>
        <v>A BROOCH, made of IRON</v>
      </c>
      <c r="D38" s="507"/>
      <c r="E38" s="507"/>
      <c r="F38" s="507"/>
      <c r="G38" s="508"/>
      <c r="H38" s="89"/>
      <c r="I38" s="501"/>
      <c r="J38" s="94" t="s">
        <v>2417</v>
      </c>
      <c r="K38" s="506" t="str">
        <f ca="1">CONCATENATE(INDEX('NPC''s'!$M$106:$M$117,RANDBETWEEN(1,12)),", made of ",INDEX('NPC''s'!$N$106:$N$115,RANDBETWEEN(1,10)))</f>
        <v>A SMALL CHAIN AROUND NECK, made of COPPER</v>
      </c>
      <c r="L38" s="507"/>
      <c r="M38" s="507"/>
      <c r="N38" s="507"/>
      <c r="O38" s="508"/>
      <c r="P38" s="90"/>
      <c r="Q38" s="90"/>
      <c r="R38" s="90"/>
      <c r="S38" s="90"/>
      <c r="T38" s="90"/>
      <c r="U38" s="90"/>
      <c r="V38" s="90"/>
      <c r="W38" s="90"/>
      <c r="X38" s="90"/>
      <c r="Y38" s="90"/>
      <c r="Z38" s="90"/>
      <c r="AA38" s="90"/>
      <c r="AB38" s="90"/>
    </row>
    <row r="39" spans="1:28" ht="39.950000000000003" customHeight="1">
      <c r="A39" s="553"/>
      <c r="B39" s="94" t="s">
        <v>2418</v>
      </c>
      <c r="C39" s="506" t="str">
        <f ca="1">CONCATENATE(INDEX('NPC''s'!$O$106:$O$113,RANDBETWEEN(1,8)))</f>
        <v>TATTERED AND WORN</v>
      </c>
      <c r="D39" s="507"/>
      <c r="E39" s="507"/>
      <c r="F39" s="507"/>
      <c r="G39" s="508"/>
      <c r="H39" s="89"/>
      <c r="I39" s="501"/>
      <c r="J39" s="94" t="s">
        <v>2418</v>
      </c>
      <c r="K39" s="506" t="str">
        <f ca="1">CONCATENATE(INDEX('NPC''s'!$O$106:$O$113,RANDBETWEEN(1,8)))</f>
        <v>FADED, BUT GOOD CONDITION</v>
      </c>
      <c r="L39" s="507"/>
      <c r="M39" s="507"/>
      <c r="N39" s="507"/>
      <c r="O39" s="508"/>
      <c r="P39" s="90"/>
      <c r="Q39" s="90"/>
      <c r="R39" s="90"/>
      <c r="S39" s="90"/>
      <c r="T39" s="90"/>
      <c r="U39" s="90"/>
      <c r="V39" s="90"/>
      <c r="W39" s="90"/>
      <c r="X39" s="90"/>
      <c r="Y39" s="90"/>
      <c r="Z39" s="90"/>
      <c r="AA39" s="90"/>
      <c r="AB39" s="90"/>
    </row>
    <row r="40" spans="1:28" ht="39.950000000000003" customHeight="1">
      <c r="A40" s="553"/>
      <c r="B40" s="94" t="s">
        <v>2435</v>
      </c>
      <c r="C40" s="506" t="str">
        <f ca="1">CONCATENATE(INDEX('NPC''s'!$S$106:$S$113,RANDBETWEEN(1,8)))</f>
        <v>OPEN-MINDED SEEKER</v>
      </c>
      <c r="D40" s="507"/>
      <c r="E40" s="507"/>
      <c r="F40" s="507"/>
      <c r="G40" s="508"/>
      <c r="H40" s="89"/>
      <c r="I40" s="501"/>
      <c r="J40" s="94" t="s">
        <v>2435</v>
      </c>
      <c r="K40" s="506" t="str">
        <f ca="1">CONCATENATE(INDEX('NPC''s'!$S$106:$S$113,RANDBETWEEN(1,8)))</f>
        <v>BROKEN HERETIC</v>
      </c>
      <c r="L40" s="507"/>
      <c r="M40" s="507"/>
      <c r="N40" s="507"/>
      <c r="O40" s="508"/>
      <c r="P40" s="90"/>
      <c r="Q40" s="90"/>
      <c r="R40" s="90"/>
      <c r="S40" s="90"/>
      <c r="T40" s="90"/>
      <c r="U40" s="90"/>
      <c r="V40" s="90"/>
      <c r="W40" s="90"/>
      <c r="X40" s="90"/>
      <c r="Y40" s="90"/>
      <c r="Z40" s="90"/>
      <c r="AA40" s="90"/>
      <c r="AB40" s="90"/>
    </row>
    <row r="41" spans="1:28" ht="39.950000000000003" customHeight="1">
      <c r="A41" s="553"/>
      <c r="B41" s="94" t="s">
        <v>2420</v>
      </c>
      <c r="C41" s="506" t="str">
        <f ca="1">CONCATENATE(INDEX('NPC''s'!$T$106:$T$111,RANDBETWEEN(1,6)))</f>
        <v>RULING/AUTHORITY FIGURES</v>
      </c>
      <c r="D41" s="507"/>
      <c r="E41" s="507"/>
      <c r="F41" s="507"/>
      <c r="G41" s="508"/>
      <c r="H41" s="89"/>
      <c r="I41" s="501"/>
      <c r="J41" s="94" t="s">
        <v>2420</v>
      </c>
      <c r="K41" s="506" t="str">
        <f ca="1">CONCATENATE(INDEX('NPC''s'!$T$106:$T$111,RANDBETWEEN(1,6)))</f>
        <v>OTHER GENDERS</v>
      </c>
      <c r="L41" s="507"/>
      <c r="M41" s="507"/>
      <c r="N41" s="507"/>
      <c r="O41" s="508"/>
      <c r="P41" s="90"/>
      <c r="Q41" s="90"/>
      <c r="R41" s="90"/>
      <c r="S41" s="90"/>
      <c r="T41" s="90"/>
      <c r="U41" s="90"/>
      <c r="V41" s="90"/>
      <c r="W41" s="90"/>
      <c r="X41" s="90"/>
      <c r="Y41" s="90"/>
      <c r="Z41" s="90"/>
      <c r="AA41" s="90"/>
      <c r="AB41" s="90"/>
    </row>
    <row r="42" spans="1:28" ht="39.950000000000003" customHeight="1" thickBot="1">
      <c r="A42" s="554"/>
      <c r="B42" s="95" t="s">
        <v>2419</v>
      </c>
      <c r="C42" s="509" t="str">
        <f ca="1">CONCATENATE("Their current mood is ",INDEX('NPC''s'!$R$106:$R$125,RANDBETWEEN(1,20)),". When calm, they are ",INDEX('NPC''s'!$P$106:$P$137,RANDBETWEEN(1,32)),", and when stressed they are ",INDEX('NPC''s'!$Q$106:$Q$137,RANDBETWEEN(1,32)))</f>
        <v>Their current mood is TIRED. When calm, they are DRIVEN, and when stressed they are INTOLERANT</v>
      </c>
      <c r="D42" s="510"/>
      <c r="E42" s="510"/>
      <c r="F42" s="510"/>
      <c r="G42" s="511"/>
      <c r="H42" s="89"/>
      <c r="I42" s="502"/>
      <c r="J42" s="95" t="s">
        <v>2419</v>
      </c>
      <c r="K42" s="509" t="str">
        <f ca="1">CONCATENATE("Their current mood is ",INDEX('NPC''s'!$R$106:$R$125,RANDBETWEEN(1,20)),". When calm, they are ",INDEX('NPC''s'!$P$106:$P$137,RANDBETWEEN(1,32)),", and when stressed they are ",INDEX('NPC''s'!$Q$106:$Q$137,RANDBETWEEN(1,32)))</f>
        <v>Their current mood is AGREEABLE. When calm, they are CHEERFUL, and when stressed they are SPITEFUL</v>
      </c>
      <c r="L42" s="510"/>
      <c r="M42" s="510"/>
      <c r="N42" s="510"/>
      <c r="O42" s="511"/>
      <c r="P42" s="90"/>
      <c r="Q42" s="90"/>
      <c r="R42" s="90"/>
      <c r="S42" s="90"/>
      <c r="T42" s="90"/>
      <c r="U42" s="90"/>
      <c r="V42" s="90"/>
      <c r="W42" s="90"/>
      <c r="X42" s="90"/>
      <c r="Y42" s="90"/>
      <c r="Z42" s="90"/>
      <c r="AA42" s="90"/>
      <c r="AB42" s="90"/>
    </row>
    <row r="43" spans="1:28" ht="39.950000000000003" customHeight="1">
      <c r="A43" s="97"/>
      <c r="B43" s="126"/>
      <c r="C43" s="126"/>
      <c r="D43" s="126"/>
      <c r="E43" s="126"/>
      <c r="F43" s="89"/>
      <c r="G43" s="89"/>
      <c r="H43" s="89"/>
      <c r="I43" s="89"/>
      <c r="J43" s="89"/>
      <c r="K43" s="89"/>
      <c r="L43" s="89"/>
      <c r="M43" s="89"/>
      <c r="N43" s="89"/>
      <c r="O43" s="89"/>
      <c r="P43" s="90"/>
      <c r="Q43" s="90"/>
      <c r="R43" s="90"/>
      <c r="S43" s="90"/>
      <c r="T43" s="90"/>
      <c r="U43" s="90"/>
      <c r="V43" s="90"/>
      <c r="W43" s="90"/>
      <c r="X43" s="90"/>
      <c r="Y43" s="90"/>
      <c r="Z43" s="90"/>
      <c r="AA43" s="90"/>
      <c r="AB43" s="90"/>
    </row>
    <row r="44" spans="1:28" ht="39.950000000000003" customHeight="1">
      <c r="A44" s="97"/>
      <c r="B44" s="126"/>
      <c r="C44" s="126"/>
      <c r="D44" s="126"/>
      <c r="E44" s="126"/>
      <c r="F44" s="89"/>
      <c r="G44" s="89"/>
      <c r="H44" s="89"/>
      <c r="I44" s="89"/>
      <c r="J44" s="89"/>
      <c r="K44" s="89"/>
      <c r="L44" s="89"/>
      <c r="M44" s="89"/>
      <c r="N44" s="89"/>
      <c r="O44" s="89"/>
      <c r="P44" s="90"/>
      <c r="Q44" s="90"/>
      <c r="R44" s="90"/>
      <c r="S44" s="90"/>
      <c r="T44" s="90"/>
      <c r="U44" s="90"/>
      <c r="V44" s="90"/>
      <c r="W44" s="90"/>
      <c r="X44" s="90"/>
      <c r="Y44" s="90"/>
      <c r="Z44" s="90"/>
      <c r="AA44" s="90"/>
      <c r="AB44" s="90"/>
    </row>
    <row r="45" spans="1:28" ht="39.950000000000003" customHeight="1">
      <c r="A45" s="89"/>
      <c r="B45" s="89"/>
      <c r="C45" s="89"/>
      <c r="D45" s="89"/>
      <c r="E45" s="89"/>
      <c r="F45" s="89"/>
      <c r="G45" s="89"/>
      <c r="H45" s="89"/>
      <c r="I45" s="89"/>
      <c r="J45" s="89"/>
      <c r="K45" s="89"/>
      <c r="L45" s="89"/>
      <c r="M45" s="89"/>
      <c r="N45" s="89"/>
      <c r="O45" s="89"/>
      <c r="P45" s="90"/>
      <c r="Q45" s="90"/>
      <c r="R45" s="90"/>
      <c r="S45" s="90"/>
      <c r="T45" s="90"/>
      <c r="U45" s="90"/>
      <c r="V45" s="90"/>
      <c r="W45" s="90"/>
      <c r="X45" s="90"/>
      <c r="Y45" s="90"/>
      <c r="Z45" s="90"/>
      <c r="AA45" s="90"/>
      <c r="AB45" s="90"/>
    </row>
    <row r="46" spans="1:28" ht="39.950000000000003" customHeight="1">
      <c r="A46" s="89"/>
      <c r="B46" s="89"/>
      <c r="C46" s="89"/>
      <c r="D46" s="89"/>
      <c r="E46" s="89"/>
      <c r="F46" s="89"/>
      <c r="G46" s="89"/>
      <c r="H46" s="121"/>
      <c r="I46" s="89"/>
      <c r="J46" s="89"/>
      <c r="K46" s="89"/>
      <c r="L46" s="89"/>
      <c r="M46" s="89"/>
      <c r="N46" s="89"/>
      <c r="O46" s="89"/>
      <c r="P46" s="89"/>
      <c r="Q46" s="89"/>
      <c r="R46" s="89"/>
      <c r="S46" s="89"/>
      <c r="T46" s="89"/>
      <c r="U46" s="89"/>
      <c r="V46" s="89"/>
      <c r="W46" s="89"/>
      <c r="X46" s="89"/>
      <c r="Y46" s="89"/>
      <c r="Z46" s="89"/>
      <c r="AA46" s="89"/>
      <c r="AB46" s="89"/>
    </row>
    <row r="47" spans="1:28" ht="39.950000000000003" customHeight="1">
      <c r="A47" s="89"/>
      <c r="B47" s="89"/>
      <c r="C47" s="89"/>
      <c r="D47" s="89"/>
      <c r="E47" s="89"/>
      <c r="F47" s="89"/>
      <c r="G47" s="89"/>
      <c r="H47" s="121"/>
      <c r="I47" s="89"/>
      <c r="J47" s="89"/>
      <c r="K47" s="89"/>
      <c r="L47" s="89"/>
      <c r="M47" s="89"/>
      <c r="N47" s="89"/>
      <c r="O47" s="89"/>
      <c r="P47" s="89"/>
      <c r="Q47" s="89"/>
      <c r="R47" s="89"/>
      <c r="S47" s="89"/>
      <c r="T47" s="89"/>
      <c r="U47" s="89"/>
      <c r="V47" s="89"/>
      <c r="W47" s="89"/>
      <c r="X47" s="89"/>
      <c r="Y47" s="89"/>
      <c r="Z47" s="89"/>
      <c r="AA47" s="89"/>
      <c r="AB47" s="89"/>
    </row>
    <row r="48" spans="1:28" ht="39.950000000000003" customHeight="1">
      <c r="A48" s="89"/>
      <c r="B48" s="89"/>
      <c r="C48" s="89"/>
      <c r="D48" s="89"/>
      <c r="E48" s="89"/>
      <c r="F48" s="89"/>
      <c r="G48" s="89"/>
      <c r="H48" s="121"/>
      <c r="I48" s="89"/>
      <c r="J48" s="89"/>
      <c r="K48" s="89"/>
      <c r="L48" s="89"/>
      <c r="M48" s="89"/>
      <c r="N48" s="89"/>
      <c r="O48" s="89"/>
      <c r="P48" s="89"/>
      <c r="Q48" s="89"/>
      <c r="R48" s="89"/>
      <c r="S48" s="89"/>
      <c r="T48" s="89"/>
      <c r="U48" s="89"/>
      <c r="V48" s="89"/>
      <c r="W48" s="89"/>
      <c r="X48" s="89"/>
      <c r="Y48" s="89"/>
      <c r="Z48" s="89"/>
      <c r="AA48" s="89"/>
      <c r="AB48" s="89"/>
    </row>
    <row r="49" spans="1:28" ht="39.950000000000003" customHeight="1">
      <c r="A49" s="89"/>
      <c r="B49" s="89"/>
      <c r="C49" s="89"/>
      <c r="D49" s="89"/>
      <c r="E49" s="89"/>
      <c r="F49" s="89"/>
      <c r="G49" s="89"/>
      <c r="H49" s="121"/>
      <c r="I49" s="89"/>
      <c r="J49" s="89"/>
      <c r="K49" s="89"/>
      <c r="L49" s="89"/>
      <c r="M49" s="89"/>
      <c r="N49" s="89"/>
      <c r="O49" s="89"/>
      <c r="P49" s="89"/>
      <c r="Q49" s="89"/>
      <c r="R49" s="89"/>
      <c r="S49" s="89"/>
      <c r="T49" s="89"/>
      <c r="U49" s="89"/>
      <c r="V49" s="89"/>
      <c r="W49" s="89"/>
      <c r="X49" s="89"/>
      <c r="Y49" s="89"/>
      <c r="Z49" s="89"/>
      <c r="AA49" s="89"/>
      <c r="AB49" s="89"/>
    </row>
    <row r="50" spans="1:28" ht="39.950000000000003" customHeight="1">
      <c r="A50" s="89"/>
      <c r="B50" s="89"/>
      <c r="C50" s="89"/>
      <c r="D50" s="89"/>
      <c r="E50" s="89"/>
      <c r="F50" s="89"/>
      <c r="G50" s="89"/>
      <c r="H50" s="121"/>
      <c r="I50" s="89"/>
      <c r="J50" s="89"/>
      <c r="K50" s="89"/>
      <c r="L50" s="89"/>
      <c r="M50" s="89"/>
      <c r="N50" s="89"/>
      <c r="O50" s="89"/>
      <c r="P50" s="89"/>
      <c r="Q50" s="89"/>
      <c r="R50" s="89"/>
      <c r="S50" s="89"/>
      <c r="T50" s="89"/>
      <c r="U50" s="89"/>
      <c r="V50" s="89"/>
      <c r="W50" s="89"/>
      <c r="X50" s="89"/>
      <c r="Y50" s="89"/>
      <c r="Z50" s="89"/>
      <c r="AA50" s="89"/>
      <c r="AB50" s="89"/>
    </row>
    <row r="51" spans="1:28" ht="39.950000000000003" customHeight="1">
      <c r="A51" s="89"/>
      <c r="B51" s="89"/>
      <c r="C51" s="89"/>
      <c r="D51" s="89"/>
      <c r="E51" s="89"/>
      <c r="F51" s="89"/>
      <c r="G51" s="89"/>
      <c r="H51" s="121"/>
      <c r="I51" s="89"/>
      <c r="J51" s="89"/>
      <c r="K51" s="89"/>
      <c r="L51" s="89"/>
      <c r="M51" s="89"/>
      <c r="N51" s="89"/>
      <c r="O51" s="89"/>
      <c r="P51" s="89"/>
      <c r="Q51" s="89"/>
      <c r="R51" s="89"/>
      <c r="S51" s="89"/>
      <c r="T51" s="89"/>
      <c r="U51" s="89"/>
      <c r="V51" s="89"/>
      <c r="W51" s="89"/>
      <c r="X51" s="89"/>
      <c r="Y51" s="89"/>
      <c r="Z51" s="89"/>
      <c r="AA51" s="89"/>
      <c r="AB51" s="89"/>
    </row>
    <row r="52" spans="1:28" ht="15" customHeight="1">
      <c r="A52" s="89"/>
      <c r="B52" s="89"/>
      <c r="C52" s="89"/>
      <c r="D52" s="89"/>
      <c r="E52" s="89"/>
      <c r="F52" s="89"/>
      <c r="G52" s="89"/>
      <c r="H52" s="121"/>
      <c r="I52" s="89"/>
      <c r="J52" s="89"/>
      <c r="K52" s="89"/>
      <c r="L52" s="89"/>
      <c r="M52" s="89"/>
      <c r="N52" s="89"/>
      <c r="O52" s="89"/>
      <c r="P52" s="89"/>
      <c r="Q52" s="89"/>
      <c r="R52" s="89"/>
      <c r="S52" s="89"/>
      <c r="T52" s="89"/>
      <c r="U52" s="89"/>
      <c r="V52" s="89"/>
      <c r="W52" s="89"/>
      <c r="X52" s="89"/>
      <c r="Y52" s="89"/>
      <c r="Z52" s="89"/>
      <c r="AA52" s="89"/>
      <c r="AB52" s="89"/>
    </row>
    <row r="53" spans="1:28" ht="20.100000000000001" customHeight="1">
      <c r="A53" s="122"/>
      <c r="B53" s="122"/>
      <c r="C53" s="122"/>
      <c r="D53" s="122"/>
      <c r="E53" s="122"/>
      <c r="F53" s="122"/>
      <c r="G53" s="122"/>
      <c r="H53" s="121"/>
      <c r="I53" s="89"/>
      <c r="J53" s="89"/>
      <c r="K53" s="89"/>
      <c r="L53" s="89"/>
      <c r="M53" s="89"/>
      <c r="N53" s="89"/>
      <c r="O53" s="89"/>
      <c r="P53" s="89"/>
      <c r="Q53" s="89"/>
      <c r="R53" s="89"/>
      <c r="S53" s="89"/>
      <c r="T53" s="89"/>
      <c r="U53" s="89"/>
      <c r="V53" s="89"/>
      <c r="W53" s="89"/>
      <c r="X53" s="89"/>
      <c r="Y53" s="89"/>
      <c r="Z53" s="89"/>
      <c r="AA53" s="89"/>
      <c r="AB53" s="89"/>
    </row>
    <row r="54" spans="1:28" ht="20.100000000000001" customHeight="1">
      <c r="A54" s="122"/>
      <c r="B54" s="122"/>
      <c r="C54" s="122"/>
      <c r="D54" s="122"/>
      <c r="E54" s="122"/>
      <c r="F54" s="122"/>
      <c r="G54" s="122"/>
      <c r="H54" s="121"/>
      <c r="I54" s="89"/>
      <c r="J54" s="89"/>
      <c r="K54" s="89"/>
      <c r="L54" s="89"/>
      <c r="M54" s="89"/>
      <c r="N54" s="89"/>
      <c r="O54" s="89"/>
      <c r="P54" s="89"/>
      <c r="Q54" s="89"/>
      <c r="R54" s="89"/>
      <c r="S54" s="89"/>
      <c r="T54" s="89"/>
      <c r="U54" s="89"/>
      <c r="V54" s="89"/>
      <c r="W54" s="89"/>
      <c r="X54" s="89"/>
      <c r="Y54" s="89"/>
      <c r="Z54" s="89"/>
      <c r="AA54" s="89"/>
      <c r="AB54" s="89"/>
    </row>
    <row r="55" spans="1:28" ht="20.100000000000001" customHeight="1">
      <c r="A55" s="122"/>
      <c r="B55" s="122"/>
      <c r="C55" s="122"/>
      <c r="D55" s="122"/>
      <c r="E55" s="122"/>
      <c r="F55" s="122"/>
      <c r="G55" s="122"/>
      <c r="H55" s="121"/>
      <c r="I55" s="89"/>
      <c r="J55" s="89"/>
      <c r="K55" s="89"/>
      <c r="L55" s="89"/>
      <c r="M55" s="89"/>
      <c r="N55" s="89"/>
      <c r="O55" s="89"/>
      <c r="P55" s="89"/>
      <c r="Q55" s="89"/>
      <c r="R55" s="89"/>
      <c r="S55" s="89"/>
      <c r="T55" s="89"/>
      <c r="U55" s="89"/>
      <c r="V55" s="89"/>
      <c r="W55" s="89"/>
      <c r="X55" s="89"/>
      <c r="Y55" s="89"/>
      <c r="Z55" s="89"/>
      <c r="AA55" s="89"/>
      <c r="AB55" s="89"/>
    </row>
    <row r="56" spans="1:28" ht="20.100000000000001" customHeight="1">
      <c r="A56" s="122"/>
      <c r="B56" s="122"/>
      <c r="C56" s="122"/>
      <c r="D56" s="122"/>
      <c r="E56" s="122"/>
      <c r="F56" s="122"/>
      <c r="G56" s="122"/>
      <c r="H56" s="121"/>
      <c r="I56" s="89"/>
      <c r="J56" s="89"/>
      <c r="K56" s="89"/>
      <c r="L56" s="89"/>
      <c r="M56" s="89"/>
      <c r="N56" s="89"/>
      <c r="O56" s="89"/>
      <c r="P56" s="89"/>
      <c r="Q56" s="89"/>
      <c r="R56" s="89"/>
      <c r="S56" s="89"/>
      <c r="T56" s="89"/>
      <c r="U56" s="89"/>
      <c r="V56" s="89"/>
      <c r="W56" s="89"/>
      <c r="X56" s="89"/>
      <c r="Y56" s="89"/>
      <c r="Z56" s="89"/>
      <c r="AA56" s="89"/>
      <c r="AB56" s="89"/>
    </row>
    <row r="57" spans="1:28" ht="20.100000000000001" customHeight="1">
      <c r="A57" s="122"/>
      <c r="B57" s="122"/>
      <c r="C57" s="122"/>
      <c r="D57" s="122"/>
      <c r="E57" s="122"/>
      <c r="F57" s="122"/>
      <c r="G57" s="122"/>
      <c r="H57" s="121"/>
      <c r="I57" s="89"/>
      <c r="J57" s="89"/>
      <c r="K57" s="89"/>
      <c r="L57" s="89"/>
      <c r="M57" s="89"/>
      <c r="N57" s="89"/>
      <c r="O57" s="89"/>
      <c r="P57" s="89"/>
      <c r="Q57" s="89"/>
      <c r="R57" s="89"/>
      <c r="S57" s="89"/>
      <c r="T57" s="89"/>
      <c r="U57" s="89"/>
      <c r="V57" s="89"/>
      <c r="W57" s="89"/>
      <c r="X57" s="89"/>
      <c r="Y57" s="89"/>
      <c r="Z57" s="89"/>
      <c r="AA57" s="89"/>
      <c r="AB57" s="89"/>
    </row>
    <row r="58" spans="1:28" ht="20.100000000000001" customHeight="1">
      <c r="A58" s="122"/>
      <c r="B58" s="122"/>
      <c r="C58" s="122"/>
      <c r="D58" s="122"/>
      <c r="E58" s="122"/>
      <c r="F58" s="122"/>
      <c r="G58" s="122"/>
      <c r="H58" s="121"/>
      <c r="I58" s="89"/>
      <c r="J58" s="89"/>
      <c r="K58" s="89"/>
      <c r="L58" s="89"/>
      <c r="M58" s="89"/>
      <c r="N58" s="89"/>
      <c r="O58" s="89"/>
      <c r="P58" s="89"/>
      <c r="Q58" s="89"/>
      <c r="R58" s="89"/>
      <c r="S58" s="89"/>
      <c r="T58" s="89"/>
      <c r="U58" s="89"/>
      <c r="V58" s="89"/>
      <c r="W58" s="89"/>
      <c r="X58" s="89"/>
      <c r="Y58" s="89"/>
      <c r="Z58" s="89"/>
      <c r="AA58" s="89"/>
      <c r="AB58" s="89"/>
    </row>
    <row r="59" spans="1:28" ht="20.100000000000001" customHeight="1">
      <c r="A59" s="122"/>
      <c r="B59" s="122"/>
      <c r="C59" s="122"/>
      <c r="D59" s="122"/>
      <c r="E59" s="122"/>
      <c r="F59" s="122"/>
      <c r="G59" s="122"/>
      <c r="H59" s="121"/>
      <c r="I59" s="89"/>
      <c r="J59" s="89"/>
      <c r="K59" s="89"/>
      <c r="L59" s="89"/>
      <c r="M59" s="89"/>
      <c r="N59" s="89"/>
      <c r="O59" s="89"/>
      <c r="P59" s="89"/>
      <c r="Q59" s="89"/>
      <c r="R59" s="89"/>
      <c r="S59" s="89"/>
      <c r="T59" s="89"/>
      <c r="U59" s="89"/>
      <c r="V59" s="89"/>
      <c r="W59" s="89"/>
      <c r="X59" s="89"/>
      <c r="Y59" s="89"/>
      <c r="Z59" s="89"/>
      <c r="AA59" s="89"/>
      <c r="AB59" s="89"/>
    </row>
    <row r="60" spans="1:28" ht="20.100000000000001" customHeight="1">
      <c r="A60" s="128"/>
      <c r="B60" s="129"/>
      <c r="C60" s="130"/>
      <c r="D60" s="122"/>
      <c r="E60" s="122"/>
      <c r="F60" s="122"/>
      <c r="G60" s="122"/>
      <c r="H60" s="121"/>
      <c r="I60" s="89"/>
      <c r="J60" s="89"/>
      <c r="K60" s="89"/>
      <c r="L60" s="89"/>
      <c r="M60" s="89"/>
      <c r="N60" s="89"/>
      <c r="O60" s="89"/>
      <c r="P60" s="89"/>
      <c r="Q60" s="89"/>
      <c r="R60" s="89"/>
      <c r="S60" s="89"/>
      <c r="T60" s="89"/>
      <c r="U60" s="89"/>
      <c r="V60" s="89"/>
      <c r="W60" s="89"/>
      <c r="X60" s="89"/>
      <c r="Y60" s="89"/>
      <c r="Z60" s="89"/>
      <c r="AA60" s="89"/>
      <c r="AB60" s="89"/>
    </row>
    <row r="61" spans="1:28" ht="15.75" customHeight="1">
      <c r="A61" s="131"/>
      <c r="B61" s="116"/>
      <c r="C61" s="124"/>
      <c r="D61" s="116"/>
      <c r="E61" s="116"/>
      <c r="F61" s="116"/>
      <c r="G61" s="116"/>
      <c r="H61" s="116"/>
      <c r="I61" s="89"/>
      <c r="J61" s="89"/>
      <c r="K61" s="89"/>
      <c r="L61" s="89"/>
      <c r="M61" s="89"/>
      <c r="N61" s="89"/>
      <c r="O61" s="89"/>
      <c r="P61" s="89"/>
      <c r="Q61" s="89"/>
      <c r="R61" s="89"/>
      <c r="S61" s="89"/>
      <c r="T61" s="89"/>
      <c r="U61" s="89"/>
      <c r="V61" s="89"/>
      <c r="W61" s="89"/>
      <c r="X61" s="89"/>
      <c r="Y61" s="89"/>
      <c r="Z61" s="89"/>
      <c r="AA61" s="89"/>
      <c r="AB61" s="89"/>
    </row>
    <row r="62" spans="1:28" ht="15.75" customHeight="1">
      <c r="A62" s="131"/>
      <c r="B62" s="116"/>
      <c r="C62" s="124"/>
      <c r="D62" s="116"/>
      <c r="E62" s="116"/>
      <c r="F62" s="116"/>
      <c r="G62" s="116"/>
      <c r="H62" s="116"/>
      <c r="I62" s="89"/>
      <c r="J62" s="89"/>
      <c r="K62" s="89"/>
      <c r="L62" s="89"/>
      <c r="M62" s="89"/>
      <c r="N62" s="89"/>
      <c r="O62" s="89"/>
      <c r="P62" s="89"/>
      <c r="Q62" s="89"/>
      <c r="R62" s="89"/>
      <c r="S62" s="89"/>
      <c r="T62" s="89"/>
      <c r="U62" s="89"/>
      <c r="V62" s="89"/>
      <c r="W62" s="89"/>
      <c r="X62" s="89"/>
      <c r="Y62" s="89"/>
      <c r="Z62" s="89"/>
      <c r="AA62" s="89"/>
      <c r="AB62" s="89"/>
    </row>
    <row r="63" spans="1:28" ht="15.75" customHeight="1">
      <c r="A63" s="132"/>
      <c r="B63" s="116"/>
      <c r="C63" s="124"/>
      <c r="D63" s="116"/>
      <c r="E63" s="116"/>
      <c r="F63" s="116"/>
      <c r="G63" s="116"/>
      <c r="H63" s="116"/>
      <c r="I63" s="89"/>
      <c r="J63" s="89"/>
      <c r="K63" s="89"/>
      <c r="L63" s="89"/>
      <c r="M63" s="89"/>
      <c r="N63" s="89"/>
      <c r="O63" s="89"/>
      <c r="P63" s="89"/>
      <c r="Q63" s="89"/>
      <c r="R63" s="89"/>
      <c r="S63" s="89"/>
      <c r="T63" s="89"/>
      <c r="U63" s="89"/>
      <c r="V63" s="89"/>
      <c r="W63" s="89"/>
      <c r="X63" s="89"/>
      <c r="Y63" s="89"/>
      <c r="Z63" s="89"/>
      <c r="AA63" s="89"/>
      <c r="AB63" s="89"/>
    </row>
    <row r="64" spans="1:28" ht="15.75" customHeight="1">
      <c r="A64" s="132"/>
      <c r="B64" s="116"/>
      <c r="C64" s="124"/>
      <c r="D64" s="116"/>
      <c r="E64" s="116"/>
      <c r="F64" s="116"/>
      <c r="G64" s="116"/>
      <c r="H64" s="116"/>
      <c r="I64" s="89"/>
      <c r="J64" s="89"/>
      <c r="K64" s="89"/>
      <c r="L64" s="89"/>
      <c r="M64" s="89"/>
      <c r="N64" s="89"/>
      <c r="O64" s="89"/>
      <c r="P64" s="89"/>
      <c r="Q64" s="89"/>
      <c r="R64" s="89"/>
      <c r="S64" s="89"/>
      <c r="T64" s="89"/>
      <c r="U64" s="89"/>
      <c r="V64" s="89"/>
      <c r="W64" s="89"/>
      <c r="X64" s="89"/>
      <c r="Y64" s="89"/>
      <c r="Z64" s="89"/>
      <c r="AA64" s="89"/>
      <c r="AB64" s="89"/>
    </row>
    <row r="65" spans="1:35" ht="15.75" customHeight="1">
      <c r="A65" s="132"/>
      <c r="B65" s="116"/>
      <c r="C65" s="124"/>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row>
    <row r="66" spans="1:35" ht="15.75" customHeight="1">
      <c r="A66" s="132"/>
      <c r="B66" s="116"/>
      <c r="C66" s="124"/>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row>
    <row r="67" spans="1:35" ht="15.75" customHeight="1">
      <c r="A67" s="132"/>
      <c r="B67" s="116"/>
      <c r="C67" s="124"/>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row>
    <row r="68" spans="1:35" ht="15.75" customHeight="1">
      <c r="A68" s="8"/>
      <c r="B68" s="59" t="s">
        <v>2478</v>
      </c>
      <c r="C68" s="58" t="s">
        <v>2479</v>
      </c>
      <c r="D68" s="59" t="s">
        <v>2456</v>
      </c>
      <c r="E68" s="59" t="s">
        <v>2596</v>
      </c>
      <c r="F68" s="59" t="s">
        <v>2480</v>
      </c>
      <c r="G68" s="60" t="s">
        <v>1260</v>
      </c>
      <c r="H68" s="9" t="s">
        <v>2594</v>
      </c>
      <c r="I68" s="9" t="s">
        <v>2481</v>
      </c>
      <c r="J68" s="7"/>
      <c r="K68" s="7"/>
      <c r="L68" s="7"/>
      <c r="M68" s="60" t="s">
        <v>2589</v>
      </c>
      <c r="N68" s="60" t="s">
        <v>2590</v>
      </c>
      <c r="O68" s="60" t="s">
        <v>2591</v>
      </c>
      <c r="P68" s="60" t="s">
        <v>2592</v>
      </c>
      <c r="Q68" s="7"/>
      <c r="R68" s="71" t="s">
        <v>2580</v>
      </c>
      <c r="S68" s="9" t="s">
        <v>2483</v>
      </c>
      <c r="T68" s="26" t="s">
        <v>2581</v>
      </c>
      <c r="U68" s="32" t="s">
        <v>2584</v>
      </c>
      <c r="V68" s="26" t="s">
        <v>2588</v>
      </c>
      <c r="W68" s="26" t="s">
        <v>2585</v>
      </c>
      <c r="X68" s="26" t="s">
        <v>2586</v>
      </c>
      <c r="Y68" s="26" t="s">
        <v>2587</v>
      </c>
      <c r="Z68" s="44"/>
      <c r="AA68" s="168" t="s">
        <v>2689</v>
      </c>
      <c r="AC68" s="9" t="s">
        <v>3917</v>
      </c>
      <c r="AD68" s="9" t="s">
        <v>3916</v>
      </c>
      <c r="AE68" s="9" t="s">
        <v>3950</v>
      </c>
      <c r="AF68" s="26" t="s">
        <v>3915</v>
      </c>
      <c r="AG68" s="26" t="s">
        <v>3918</v>
      </c>
      <c r="AH68" s="26" t="s">
        <v>3919</v>
      </c>
      <c r="AI68" s="26"/>
    </row>
    <row r="69" spans="1:35" ht="15.75" customHeight="1">
      <c r="A69" s="8">
        <v>1</v>
      </c>
      <c r="B69" s="7" t="s">
        <v>1216</v>
      </c>
      <c r="C69" s="33" t="s">
        <v>1223</v>
      </c>
      <c r="D69" s="7" t="s">
        <v>1145</v>
      </c>
      <c r="E69" s="7" t="s">
        <v>1287</v>
      </c>
      <c r="F69" t="s">
        <v>1248</v>
      </c>
      <c r="G69" t="s">
        <v>1254</v>
      </c>
      <c r="H69" s="7" t="s">
        <v>1261</v>
      </c>
      <c r="I69" t="s">
        <v>1277</v>
      </c>
      <c r="J69" s="7"/>
      <c r="K69" s="7"/>
      <c r="L69" s="7"/>
      <c r="M69" s="7" t="s">
        <v>2070</v>
      </c>
      <c r="N69" s="7" t="s">
        <v>2077</v>
      </c>
      <c r="O69" s="7" t="s">
        <v>2081</v>
      </c>
      <c r="P69" s="7" t="s">
        <v>2085</v>
      </c>
      <c r="Q69" s="7"/>
      <c r="R69" s="18" t="s">
        <v>2484</v>
      </c>
      <c r="S69" s="44" t="s">
        <v>2504</v>
      </c>
      <c r="T69" s="44" t="s">
        <v>2514</v>
      </c>
      <c r="U69" s="33" t="s">
        <v>2522</v>
      </c>
      <c r="V69" s="32" t="str">
        <f ca="1">CHOOSE(RANDBETWEEN(1,6),"Legends and folklore","Languages","Military strategy and logistics","Politics and High Society","Street Code","Engineering")</f>
        <v>Politics and High Society</v>
      </c>
      <c r="W69" s="44" t="s">
        <v>2530</v>
      </c>
      <c r="X69" s="44" t="s">
        <v>2570</v>
      </c>
      <c r="Y69" s="44" t="s">
        <v>2574</v>
      </c>
      <c r="Z69" s="44"/>
      <c r="AA69" s="168" t="s">
        <v>2690</v>
      </c>
      <c r="AC69" s="7" t="s">
        <v>3815</v>
      </c>
      <c r="AD69" s="7" t="s">
        <v>3845</v>
      </c>
      <c r="AE69" s="7" t="s">
        <v>3865</v>
      </c>
      <c r="AF69" s="32" t="s">
        <v>3885</v>
      </c>
      <c r="AG69" s="32" t="s">
        <v>3905</v>
      </c>
      <c r="AH69" s="32" t="s">
        <v>3920</v>
      </c>
    </row>
    <row r="70" spans="1:35" ht="15.75" customHeight="1">
      <c r="A70" s="8">
        <v>2</v>
      </c>
      <c r="B70" s="7" t="s">
        <v>1217</v>
      </c>
      <c r="C70" s="33" t="s">
        <v>1224</v>
      </c>
      <c r="D70" s="7" t="s">
        <v>1146</v>
      </c>
      <c r="E70" s="7" t="s">
        <v>1288</v>
      </c>
      <c r="F70" t="s">
        <v>1249</v>
      </c>
      <c r="G70" t="s">
        <v>1255</v>
      </c>
      <c r="H70" s="7" t="s">
        <v>1262</v>
      </c>
      <c r="I70" t="s">
        <v>1278</v>
      </c>
      <c r="J70" s="7"/>
      <c r="K70" s="7"/>
      <c r="L70" s="7"/>
      <c r="M70" s="7" t="s">
        <v>2071</v>
      </c>
      <c r="N70" s="7" t="s">
        <v>2078</v>
      </c>
      <c r="O70" s="7" t="s">
        <v>2082</v>
      </c>
      <c r="P70" s="7" t="s">
        <v>2086</v>
      </c>
      <c r="Q70" s="7"/>
      <c r="R70" s="18" t="s">
        <v>2485</v>
      </c>
      <c r="S70" s="44" t="s">
        <v>2505</v>
      </c>
      <c r="T70" s="44" t="s">
        <v>2515</v>
      </c>
      <c r="U70" s="33" t="s">
        <v>2523</v>
      </c>
      <c r="V70" s="32" t="str">
        <f ca="1">CHOOSE(RANDBETWEEN(1,6),"Cards","Dice","Arm Wrestling","Board strategy","Slap jack","Horseshoe throwing")</f>
        <v>Slap jack</v>
      </c>
      <c r="W70" s="44" t="s">
        <v>2531</v>
      </c>
      <c r="X70" s="44" t="s">
        <v>2571</v>
      </c>
      <c r="Y70" s="44" t="s">
        <v>2575</v>
      </c>
      <c r="Z70" s="44"/>
      <c r="AA70" s="168" t="s">
        <v>2691</v>
      </c>
      <c r="AC70" s="7" t="s">
        <v>3816</v>
      </c>
      <c r="AD70" s="7" t="s">
        <v>3846</v>
      </c>
      <c r="AE70" s="32" t="s">
        <v>3866</v>
      </c>
      <c r="AF70" s="32" t="s">
        <v>3886</v>
      </c>
      <c r="AG70" s="32" t="s">
        <v>3906</v>
      </c>
      <c r="AH70" s="32" t="s">
        <v>3921</v>
      </c>
    </row>
    <row r="71" spans="1:35" ht="15.75" customHeight="1">
      <c r="A71" s="8">
        <v>3</v>
      </c>
      <c r="B71" s="7" t="s">
        <v>1218</v>
      </c>
      <c r="C71" s="33" t="s">
        <v>1225</v>
      </c>
      <c r="D71" s="7" t="s">
        <v>1243</v>
      </c>
      <c r="E71" s="7" t="s">
        <v>1289</v>
      </c>
      <c r="F71" t="s">
        <v>1250</v>
      </c>
      <c r="G71" t="s">
        <v>1256</v>
      </c>
      <c r="H71" s="7" t="s">
        <v>1263</v>
      </c>
      <c r="I71" t="s">
        <v>1279</v>
      </c>
      <c r="J71" s="7"/>
      <c r="K71" s="7"/>
      <c r="L71" s="7"/>
      <c r="M71" s="7" t="s">
        <v>2072</v>
      </c>
      <c r="N71" s="7" t="s">
        <v>2079</v>
      </c>
      <c r="O71" s="7" t="s">
        <v>2083</v>
      </c>
      <c r="P71" s="7" t="s">
        <v>2087</v>
      </c>
      <c r="Q71" s="7"/>
      <c r="R71" s="18" t="s">
        <v>2486</v>
      </c>
      <c r="S71" s="44" t="s">
        <v>2506</v>
      </c>
      <c r="T71" s="44" t="s">
        <v>2516</v>
      </c>
      <c r="U71" s="33" t="s">
        <v>2524</v>
      </c>
      <c r="V71" s="32" t="str">
        <f ca="1">CHOOSE(RANDBETWEEN(1,6),"Throwing knives","Javelin","Flail","Unarmed Combat","Darts","Whips")</f>
        <v>Whips</v>
      </c>
      <c r="W71" s="44" t="s">
        <v>2532</v>
      </c>
      <c r="X71" s="44" t="s">
        <v>2572</v>
      </c>
      <c r="Y71" s="44" t="s">
        <v>2576</v>
      </c>
      <c r="AA71" s="168" t="s">
        <v>2692</v>
      </c>
      <c r="AC71" s="7" t="s">
        <v>3817</v>
      </c>
      <c r="AD71" s="7" t="s">
        <v>3847</v>
      </c>
      <c r="AE71" s="32" t="s">
        <v>3867</v>
      </c>
      <c r="AF71" s="32" t="s">
        <v>3887</v>
      </c>
      <c r="AG71" s="32" t="s">
        <v>3907</v>
      </c>
      <c r="AH71" s="32" t="s">
        <v>3922</v>
      </c>
    </row>
    <row r="72" spans="1:35" ht="15.75" customHeight="1">
      <c r="A72" s="8">
        <v>4</v>
      </c>
      <c r="B72" s="7" t="s">
        <v>1219</v>
      </c>
      <c r="C72" s="33" t="s">
        <v>1226</v>
      </c>
      <c r="D72" s="7" t="s">
        <v>1147</v>
      </c>
      <c r="E72" s="7" t="s">
        <v>1290</v>
      </c>
      <c r="F72" t="s">
        <v>1251</v>
      </c>
      <c r="G72" t="s">
        <v>1257</v>
      </c>
      <c r="H72" s="7" t="s">
        <v>1264</v>
      </c>
      <c r="I72" t="s">
        <v>1280</v>
      </c>
      <c r="J72" s="7"/>
      <c r="K72" s="7"/>
      <c r="L72" s="7"/>
      <c r="M72" s="7" t="s">
        <v>2073</v>
      </c>
      <c r="N72" s="7" t="s">
        <v>2080</v>
      </c>
      <c r="O72" s="7" t="s">
        <v>2084</v>
      </c>
      <c r="P72" s="7" t="s">
        <v>2088</v>
      </c>
      <c r="Q72" s="7"/>
      <c r="R72" s="18" t="s">
        <v>2487</v>
      </c>
      <c r="S72" s="44" t="s">
        <v>2507</v>
      </c>
      <c r="T72" s="44" t="s">
        <v>2517</v>
      </c>
      <c r="U72" s="33" t="s">
        <v>2525</v>
      </c>
      <c r="V72" s="32" t="str">
        <f ca="1">CHOOSE(RANDBETWEEN(1,6),"Dancing","Storytelling","Acting","Juggling","Performance Singing","Playing a musical instrument")</f>
        <v>Acting</v>
      </c>
      <c r="W72" s="44" t="s">
        <v>2533</v>
      </c>
      <c r="X72" s="44" t="s">
        <v>2573</v>
      </c>
      <c r="Y72" s="44" t="s">
        <v>2577</v>
      </c>
      <c r="AA72" s="168" t="s">
        <v>2693</v>
      </c>
      <c r="AC72" s="7" t="s">
        <v>3818</v>
      </c>
      <c r="AD72" s="7" t="s">
        <v>3848</v>
      </c>
      <c r="AE72" s="32" t="s">
        <v>3868</v>
      </c>
      <c r="AF72" s="32" t="s">
        <v>3888</v>
      </c>
      <c r="AG72" s="32" t="s">
        <v>3908</v>
      </c>
      <c r="AH72" s="32" t="s">
        <v>3923</v>
      </c>
    </row>
    <row r="73" spans="1:35" ht="15.75" customHeight="1">
      <c r="A73" s="8">
        <v>5</v>
      </c>
      <c r="B73" s="7" t="s">
        <v>1220</v>
      </c>
      <c r="C73" s="33" t="s">
        <v>1227</v>
      </c>
      <c r="D73" s="7" t="s">
        <v>1148</v>
      </c>
      <c r="E73" s="7" t="s">
        <v>1291</v>
      </c>
      <c r="F73" t="s">
        <v>1252</v>
      </c>
      <c r="G73" t="s">
        <v>1258</v>
      </c>
      <c r="H73" s="7" t="s">
        <v>1265</v>
      </c>
      <c r="I73" t="s">
        <v>1281</v>
      </c>
      <c r="J73" s="7"/>
      <c r="K73" s="7"/>
      <c r="L73" s="7"/>
      <c r="M73" s="7" t="s">
        <v>2074</v>
      </c>
      <c r="N73" s="7"/>
      <c r="O73" s="7"/>
      <c r="P73" s="7"/>
      <c r="Q73" s="7"/>
      <c r="R73" s="18" t="s">
        <v>2488</v>
      </c>
      <c r="S73" s="44" t="s">
        <v>2508</v>
      </c>
      <c r="T73" s="44" t="s">
        <v>2518</v>
      </c>
      <c r="U73" s="33" t="s">
        <v>2526</v>
      </c>
      <c r="V73" s="32" t="str">
        <f ca="1">CHOOSE(RANDBETWEEN(1,6),"Smithing","Construction","Tailoring","Brewing","Carpentry","Cooking")</f>
        <v>Tailoring</v>
      </c>
      <c r="W73" s="44" t="s">
        <v>2534</v>
      </c>
      <c r="Y73" s="44" t="s">
        <v>2578</v>
      </c>
      <c r="AA73" s="168" t="s">
        <v>2694</v>
      </c>
      <c r="AC73" s="7" t="s">
        <v>3819</v>
      </c>
      <c r="AD73" s="7" t="s">
        <v>3849</v>
      </c>
      <c r="AE73" s="32" t="s">
        <v>3869</v>
      </c>
      <c r="AF73" s="32" t="s">
        <v>3889</v>
      </c>
      <c r="AG73" s="32" t="s">
        <v>3909</v>
      </c>
      <c r="AH73" s="32" t="s">
        <v>3924</v>
      </c>
    </row>
    <row r="74" spans="1:35" ht="15.75" customHeight="1">
      <c r="A74" s="8">
        <v>6</v>
      </c>
      <c r="B74" s="7" t="s">
        <v>1221</v>
      </c>
      <c r="C74" s="33" t="s">
        <v>1228</v>
      </c>
      <c r="D74" s="7" t="s">
        <v>1244</v>
      </c>
      <c r="E74" s="7" t="s">
        <v>1292</v>
      </c>
      <c r="F74" t="s">
        <v>1253</v>
      </c>
      <c r="G74" t="s">
        <v>1259</v>
      </c>
      <c r="H74" s="7" t="s">
        <v>1266</v>
      </c>
      <c r="I74" t="s">
        <v>1282</v>
      </c>
      <c r="J74" s="7"/>
      <c r="K74" s="7"/>
      <c r="L74" s="7"/>
      <c r="M74" s="7" t="s">
        <v>2075</v>
      </c>
      <c r="N74" s="7"/>
      <c r="O74" s="7"/>
      <c r="P74" s="7"/>
      <c r="Q74" s="7"/>
      <c r="R74" s="18" t="s">
        <v>2489</v>
      </c>
      <c r="S74" s="44" t="s">
        <v>2509</v>
      </c>
      <c r="T74" s="44" t="s">
        <v>2519</v>
      </c>
      <c r="U74" s="33" t="s">
        <v>2527</v>
      </c>
      <c r="V74" s="32" t="str">
        <f ca="1">CHOOSE(RANDBETWEEN(1,6),"Geography/Navigation","Lockpicking","Equipment Maintanence","Shadowing","Riding","Trade")</f>
        <v>Shadowing</v>
      </c>
      <c r="W74" s="44" t="s">
        <v>2535</v>
      </c>
      <c r="Y74" s="44" t="s">
        <v>2579</v>
      </c>
      <c r="AA74" s="168" t="s">
        <v>2695</v>
      </c>
      <c r="AC74" s="7" t="s">
        <v>3820</v>
      </c>
      <c r="AD74" s="7" t="s">
        <v>3850</v>
      </c>
      <c r="AE74" s="32" t="s">
        <v>3870</v>
      </c>
      <c r="AF74" s="32" t="s">
        <v>3890</v>
      </c>
      <c r="AG74" s="32" t="s">
        <v>3910</v>
      </c>
      <c r="AH74" s="32" t="s">
        <v>3925</v>
      </c>
    </row>
    <row r="75" spans="1:35" ht="15.75" customHeight="1">
      <c r="A75" s="8">
        <v>7</v>
      </c>
      <c r="B75" s="7" t="s">
        <v>1222</v>
      </c>
      <c r="C75" s="33" t="s">
        <v>1229</v>
      </c>
      <c r="D75" s="7" t="s">
        <v>1149</v>
      </c>
      <c r="E75" s="7" t="s">
        <v>1293</v>
      </c>
      <c r="G75" s="34"/>
      <c r="H75" s="32" t="s">
        <v>1267</v>
      </c>
      <c r="I75" t="s">
        <v>1283</v>
      </c>
      <c r="J75" s="7"/>
      <c r="K75" s="7"/>
      <c r="L75" s="7"/>
      <c r="M75" s="7"/>
      <c r="N75" s="7"/>
      <c r="O75" s="7"/>
      <c r="P75" s="7"/>
      <c r="Q75" s="7"/>
      <c r="R75" s="18" t="s">
        <v>2490</v>
      </c>
      <c r="S75" s="44" t="s">
        <v>2510</v>
      </c>
      <c r="T75" s="44" t="s">
        <v>2520</v>
      </c>
      <c r="U75" s="33" t="s">
        <v>2528</v>
      </c>
      <c r="V75" s="32"/>
      <c r="W75" s="44" t="s">
        <v>2536</v>
      </c>
      <c r="Y75" s="44"/>
      <c r="AA75" s="168" t="s">
        <v>2696</v>
      </c>
      <c r="AC75" s="7" t="s">
        <v>3821</v>
      </c>
      <c r="AD75" s="7" t="s">
        <v>3851</v>
      </c>
      <c r="AE75" s="32" t="s">
        <v>3871</v>
      </c>
      <c r="AF75" s="32" t="s">
        <v>3891</v>
      </c>
      <c r="AG75" s="32" t="s">
        <v>3911</v>
      </c>
      <c r="AH75" s="32" t="s">
        <v>3926</v>
      </c>
    </row>
    <row r="76" spans="1:35" ht="15.75" customHeight="1">
      <c r="A76" s="8">
        <v>8</v>
      </c>
      <c r="B76" s="7" t="str">
        <f ca="1">CONCATENATE("hidden by ",CHOOSE(RANDBETWEEN(1,4),"some boulders.","a waterfall.", "a rocky overhang.","a hillock."))</f>
        <v>hidden by a rocky overhang.</v>
      </c>
      <c r="C76" s="33" t="s">
        <v>1230</v>
      </c>
      <c r="D76" s="7" t="s">
        <v>1150</v>
      </c>
      <c r="E76" s="7" t="s">
        <v>1294</v>
      </c>
      <c r="F76" s="7"/>
      <c r="G76" s="34"/>
      <c r="H76" s="32" t="s">
        <v>1268</v>
      </c>
      <c r="I76" t="s">
        <v>1284</v>
      </c>
      <c r="J76" s="7"/>
      <c r="K76" s="7"/>
      <c r="L76" s="7"/>
      <c r="M76" s="7"/>
      <c r="N76" s="7"/>
      <c r="O76" s="7"/>
      <c r="P76" s="7"/>
      <c r="Q76" s="7"/>
      <c r="R76" s="18" t="s">
        <v>2491</v>
      </c>
      <c r="S76" s="44" t="s">
        <v>2511</v>
      </c>
      <c r="T76" s="44" t="s">
        <v>2521</v>
      </c>
      <c r="U76" s="33" t="s">
        <v>2529</v>
      </c>
      <c r="V76" s="32"/>
      <c r="W76" s="44" t="s">
        <v>2537</v>
      </c>
      <c r="Y76" s="44"/>
      <c r="AA76" s="168" t="s">
        <v>2697</v>
      </c>
      <c r="AC76" s="7" t="s">
        <v>3822</v>
      </c>
      <c r="AD76" s="7" t="s">
        <v>3852</v>
      </c>
      <c r="AE76" s="32" t="s">
        <v>3872</v>
      </c>
      <c r="AF76" s="32" t="s">
        <v>3892</v>
      </c>
      <c r="AG76" s="32" t="s">
        <v>3912</v>
      </c>
      <c r="AH76" s="32" t="s">
        <v>3927</v>
      </c>
    </row>
    <row r="77" spans="1:35" ht="15.75" customHeight="1">
      <c r="A77" s="8">
        <v>9</v>
      </c>
      <c r="B77" s="7" t="str">
        <f ca="1">CONCATENATE("hidden by ",CHOOSE(RANDBETWEEN(1,4),"a briar patch.","a curtain of moss.","enormous tree roots.","overgrown vines."))</f>
        <v>hidden by a curtain of moss.</v>
      </c>
      <c r="C77" s="33" t="s">
        <v>1231</v>
      </c>
      <c r="D77" s="7" t="s">
        <v>1245</v>
      </c>
      <c r="E77" s="7" t="s">
        <v>1295</v>
      </c>
      <c r="G77" s="34"/>
      <c r="H77" s="32" t="s">
        <v>1269</v>
      </c>
      <c r="I77" t="s">
        <v>1285</v>
      </c>
      <c r="J77" s="7"/>
      <c r="K77" s="7"/>
      <c r="L77" s="7"/>
      <c r="M77" s="7"/>
      <c r="N77" s="7"/>
      <c r="O77" s="7"/>
      <c r="P77" s="7"/>
      <c r="Q77" s="7"/>
      <c r="R77" s="18" t="s">
        <v>2492</v>
      </c>
      <c r="S77" s="44" t="s">
        <v>2512</v>
      </c>
      <c r="T77" s="33" t="s">
        <v>2582</v>
      </c>
      <c r="V77" s="32"/>
      <c r="W77" s="44" t="s">
        <v>2538</v>
      </c>
      <c r="Y77" s="44"/>
      <c r="AA77" s="168" t="s">
        <v>2698</v>
      </c>
      <c r="AC77" s="7" t="s">
        <v>3823</v>
      </c>
      <c r="AD77" s="7" t="s">
        <v>3853</v>
      </c>
      <c r="AE77" s="32" t="s">
        <v>3873</v>
      </c>
      <c r="AF77" s="32" t="s">
        <v>3893</v>
      </c>
      <c r="AG77" s="32" t="s">
        <v>3913</v>
      </c>
      <c r="AH77" s="32" t="s">
        <v>3928</v>
      </c>
    </row>
    <row r="78" spans="1:35" ht="15.75" customHeight="1">
      <c r="A78" s="8">
        <v>10</v>
      </c>
      <c r="B78" s="7" t="str">
        <f ca="1">CONCATENATE("difficult to access ",CHOOSE(RANDBETWEEN(1,4),"up or down a cliff face.","down a deep hole.","in an underwater tunnel.","through an illusory rock or wall."))</f>
        <v>difficult to access through an illusory rock or wall.</v>
      </c>
      <c r="C78" s="33" t="s">
        <v>1232</v>
      </c>
      <c r="D78" s="7" t="str">
        <f ca="1">CONCATENATE("A distant ",CHOOSE(RANDBETWEEN(1,4),"scream","echo of hammers at work","echo of footsteps","beat of drums"))</f>
        <v>A distant scream</v>
      </c>
      <c r="E78" s="7" t="s">
        <v>1296</v>
      </c>
      <c r="G78" s="34"/>
      <c r="H78" s="32" t="s">
        <v>1270</v>
      </c>
      <c r="I78" t="s">
        <v>1286</v>
      </c>
      <c r="J78" s="7"/>
      <c r="K78" s="7"/>
      <c r="L78" s="7"/>
      <c r="M78" s="7"/>
      <c r="N78" s="7"/>
      <c r="O78" s="7"/>
      <c r="P78" s="7"/>
      <c r="Q78" s="7"/>
      <c r="R78" s="18" t="s">
        <v>2493</v>
      </c>
      <c r="S78" s="44" t="s">
        <v>2513</v>
      </c>
      <c r="T78" s="33" t="s">
        <v>2583</v>
      </c>
      <c r="V78" s="32"/>
      <c r="W78" s="44" t="s">
        <v>2539</v>
      </c>
      <c r="Y78" s="44"/>
      <c r="AA78" s="168" t="s">
        <v>2699</v>
      </c>
      <c r="AC78" s="7" t="s">
        <v>3824</v>
      </c>
      <c r="AD78" s="7" t="s">
        <v>3854</v>
      </c>
      <c r="AE78" s="32" t="s">
        <v>3874</v>
      </c>
      <c r="AF78" s="32" t="s">
        <v>3894</v>
      </c>
      <c r="AG78" s="32" t="s">
        <v>3914</v>
      </c>
      <c r="AH78" s="32" t="s">
        <v>3929</v>
      </c>
    </row>
    <row r="79" spans="1:35" ht="15.75" customHeight="1">
      <c r="A79" s="8">
        <v>11</v>
      </c>
      <c r="B79" s="7"/>
      <c r="C79" s="33" t="s">
        <v>1233</v>
      </c>
      <c r="D79" s="7" t="s">
        <v>1246</v>
      </c>
      <c r="E79" s="7" t="s">
        <v>1297</v>
      </c>
      <c r="G79" s="34"/>
      <c r="H79" s="32" t="s">
        <v>1271</v>
      </c>
      <c r="I79"/>
      <c r="J79" s="7"/>
      <c r="K79" s="7"/>
      <c r="L79" s="7"/>
      <c r="M79" s="7"/>
      <c r="N79" s="7"/>
      <c r="O79" s="7"/>
      <c r="P79" s="7"/>
      <c r="Q79" s="7"/>
      <c r="R79" s="18" t="s">
        <v>2494</v>
      </c>
      <c r="V79" s="32"/>
      <c r="W79" s="44" t="s">
        <v>2540</v>
      </c>
      <c r="AA79" s="168" t="s">
        <v>2700</v>
      </c>
      <c r="AC79" s="7" t="s">
        <v>3825</v>
      </c>
      <c r="AD79" s="7" t="s">
        <v>3855</v>
      </c>
      <c r="AE79" s="32" t="s">
        <v>3875</v>
      </c>
      <c r="AF79" s="32" t="s">
        <v>3895</v>
      </c>
      <c r="AH79" s="32" t="s">
        <v>3930</v>
      </c>
    </row>
    <row r="80" spans="1:35" ht="15.75" customHeight="1">
      <c r="A80" s="8">
        <v>12</v>
      </c>
      <c r="B80" s="7"/>
      <c r="C80" s="33" t="s">
        <v>1234</v>
      </c>
      <c r="D80" s="7" t="s">
        <v>1247</v>
      </c>
      <c r="E80" s="7" t="s">
        <v>1298</v>
      </c>
      <c r="F80" s="7"/>
      <c r="G80" s="34"/>
      <c r="H80" s="32" t="s">
        <v>1272</v>
      </c>
      <c r="I80"/>
      <c r="J80" s="7"/>
      <c r="K80" s="7"/>
      <c r="L80" s="7"/>
      <c r="M80" s="7"/>
      <c r="N80" s="7"/>
      <c r="O80" s="7"/>
      <c r="P80" s="7"/>
      <c r="Q80" s="7"/>
      <c r="R80" s="18" t="s">
        <v>2495</v>
      </c>
      <c r="V80" s="32"/>
      <c r="W80" s="44" t="s">
        <v>2541</v>
      </c>
      <c r="AA80" s="168" t="s">
        <v>2701</v>
      </c>
      <c r="AC80" s="7" t="s">
        <v>3826</v>
      </c>
      <c r="AD80" s="7" t="s">
        <v>3856</v>
      </c>
      <c r="AE80" s="32" t="s">
        <v>3876</v>
      </c>
      <c r="AF80" s="32" t="s">
        <v>3896</v>
      </c>
      <c r="AH80" s="32" t="s">
        <v>3931</v>
      </c>
    </row>
    <row r="81" spans="1:34" ht="15.75" customHeight="1">
      <c r="A81" s="8">
        <v>13</v>
      </c>
      <c r="B81" s="7"/>
      <c r="C81" s="33" t="s">
        <v>1235</v>
      </c>
      <c r="D81" s="7"/>
      <c r="E81" s="7"/>
      <c r="G81" s="34"/>
      <c r="H81" s="32" t="s">
        <v>1273</v>
      </c>
      <c r="I81" s="7"/>
      <c r="J81" s="7"/>
      <c r="K81" s="7"/>
      <c r="L81" s="7"/>
      <c r="M81" s="7"/>
      <c r="N81" s="7"/>
      <c r="O81" s="7"/>
      <c r="P81" s="7"/>
      <c r="Q81" s="7"/>
      <c r="R81" s="18" t="s">
        <v>2496</v>
      </c>
      <c r="V81" s="32"/>
      <c r="W81" s="44" t="s">
        <v>2542</v>
      </c>
      <c r="AA81" s="168" t="s">
        <v>2702</v>
      </c>
      <c r="AC81" s="7" t="s">
        <v>3827</v>
      </c>
      <c r="AD81" s="7" t="s">
        <v>3857</v>
      </c>
      <c r="AE81" s="32" t="s">
        <v>3877</v>
      </c>
      <c r="AF81" s="32" t="s">
        <v>3897</v>
      </c>
      <c r="AH81" s="32" t="s">
        <v>3932</v>
      </c>
    </row>
    <row r="82" spans="1:34" ht="15.75" customHeight="1">
      <c r="A82" s="8">
        <v>14</v>
      </c>
      <c r="B82" s="7"/>
      <c r="C82" s="33" t="s">
        <v>1236</v>
      </c>
      <c r="D82" s="7"/>
      <c r="E82" s="7"/>
      <c r="F82" s="7"/>
      <c r="G82" s="34"/>
      <c r="H82" s="32" t="s">
        <v>1274</v>
      </c>
      <c r="I82" s="7"/>
      <c r="J82" s="7"/>
      <c r="K82" s="7"/>
      <c r="L82" s="7"/>
      <c r="M82" s="7"/>
      <c r="N82" s="7"/>
      <c r="O82" s="7"/>
      <c r="P82" s="7"/>
      <c r="Q82" s="7"/>
      <c r="R82" s="18" t="s">
        <v>2497</v>
      </c>
      <c r="V82" s="32"/>
      <c r="W82" s="44" t="s">
        <v>2543</v>
      </c>
      <c r="AA82" s="168" t="s">
        <v>2703</v>
      </c>
      <c r="AC82" s="7" t="s">
        <v>3828</v>
      </c>
      <c r="AD82" s="7" t="s">
        <v>3858</v>
      </c>
      <c r="AE82" s="32" t="s">
        <v>3878</v>
      </c>
      <c r="AF82" s="32" t="s">
        <v>3898</v>
      </c>
      <c r="AH82" s="32" t="s">
        <v>3933</v>
      </c>
    </row>
    <row r="83" spans="1:34" ht="15.75" customHeight="1">
      <c r="A83" s="8">
        <v>15</v>
      </c>
      <c r="B83" s="7"/>
      <c r="C83" s="33" t="s">
        <v>1237</v>
      </c>
      <c r="D83" s="7"/>
      <c r="E83" s="7"/>
      <c r="G83" s="34"/>
      <c r="H83" s="32" t="s">
        <v>1275</v>
      </c>
      <c r="I83" s="7"/>
      <c r="J83" s="7"/>
      <c r="K83" s="7"/>
      <c r="L83" s="7"/>
      <c r="M83" s="7"/>
      <c r="N83" s="7"/>
      <c r="O83" s="7"/>
      <c r="P83" s="7"/>
      <c r="Q83" s="7"/>
      <c r="R83" s="18" t="s">
        <v>2498</v>
      </c>
      <c r="V83" s="32"/>
      <c r="W83" s="44" t="s">
        <v>2544</v>
      </c>
      <c r="AA83" s="168" t="s">
        <v>2704</v>
      </c>
      <c r="AC83" s="7" t="s">
        <v>3829</v>
      </c>
      <c r="AD83" s="7" t="s">
        <v>3859</v>
      </c>
      <c r="AE83" s="32" t="s">
        <v>3879</v>
      </c>
      <c r="AF83" s="32" t="s">
        <v>3899</v>
      </c>
      <c r="AH83" s="32" t="s">
        <v>3934</v>
      </c>
    </row>
    <row r="84" spans="1:34" ht="15.75" customHeight="1">
      <c r="A84" s="8">
        <v>16</v>
      </c>
      <c r="B84" s="7"/>
      <c r="C84" s="33" t="s">
        <v>1238</v>
      </c>
      <c r="D84" s="7"/>
      <c r="E84" s="7"/>
      <c r="F84" s="7"/>
      <c r="G84" s="34"/>
      <c r="H84" s="32" t="s">
        <v>1276</v>
      </c>
      <c r="I84" s="7"/>
      <c r="J84" s="7"/>
      <c r="K84" s="7"/>
      <c r="L84" s="7"/>
      <c r="M84" s="7"/>
      <c r="N84" s="7"/>
      <c r="O84" s="7"/>
      <c r="P84" s="7"/>
      <c r="Q84" s="7"/>
      <c r="R84" s="44" t="s">
        <v>2499</v>
      </c>
      <c r="V84" s="32"/>
      <c r="W84" s="44" t="s">
        <v>2545</v>
      </c>
      <c r="AA84" s="168" t="s">
        <v>2705</v>
      </c>
      <c r="AC84" s="7" t="s">
        <v>3830</v>
      </c>
      <c r="AD84" s="7" t="s">
        <v>3860</v>
      </c>
      <c r="AE84" s="32" t="s">
        <v>3880</v>
      </c>
      <c r="AF84" s="32" t="s">
        <v>3900</v>
      </c>
      <c r="AH84" s="32" t="s">
        <v>3935</v>
      </c>
    </row>
    <row r="85" spans="1:34" ht="15.75" customHeight="1">
      <c r="A85" s="8">
        <v>17</v>
      </c>
      <c r="B85" s="7"/>
      <c r="C85" s="33" t="s">
        <v>1239</v>
      </c>
      <c r="D85" s="7"/>
      <c r="E85" s="7"/>
      <c r="G85" s="34"/>
      <c r="H85" s="7"/>
      <c r="I85" s="7"/>
      <c r="J85" s="7"/>
      <c r="K85" s="7"/>
      <c r="L85" s="7"/>
      <c r="M85" s="7"/>
      <c r="N85" s="7"/>
      <c r="O85" s="7"/>
      <c r="P85" s="7"/>
      <c r="Q85" s="7"/>
      <c r="R85" s="44" t="s">
        <v>2500</v>
      </c>
      <c r="V85" s="32"/>
      <c r="W85" s="44" t="s">
        <v>2546</v>
      </c>
      <c r="AA85" s="168" t="s">
        <v>2706</v>
      </c>
      <c r="AC85" s="7" t="s">
        <v>3831</v>
      </c>
      <c r="AD85" s="7" t="s">
        <v>3861</v>
      </c>
      <c r="AE85" s="32" t="s">
        <v>3881</v>
      </c>
      <c r="AF85" s="32" t="s">
        <v>3901</v>
      </c>
      <c r="AH85" s="32" t="s">
        <v>3936</v>
      </c>
    </row>
    <row r="86" spans="1:34" ht="15.75" customHeight="1">
      <c r="A86" s="8">
        <v>18</v>
      </c>
      <c r="B86" s="7"/>
      <c r="C86" s="33" t="s">
        <v>1240</v>
      </c>
      <c r="D86" s="7"/>
      <c r="E86" s="7"/>
      <c r="G86" s="34"/>
      <c r="H86" s="7"/>
      <c r="I86" s="7"/>
      <c r="J86" s="7"/>
      <c r="K86" s="7"/>
      <c r="L86" s="7"/>
      <c r="M86" s="7"/>
      <c r="N86" s="7"/>
      <c r="O86" s="7"/>
      <c r="P86" s="7"/>
      <c r="Q86" s="7"/>
      <c r="R86" s="44" t="s">
        <v>2501</v>
      </c>
      <c r="V86" s="32"/>
      <c r="W86" s="44" t="s">
        <v>2547</v>
      </c>
      <c r="AA86" s="168" t="s">
        <v>2707</v>
      </c>
      <c r="AC86" s="7" t="s">
        <v>3832</v>
      </c>
      <c r="AD86" s="7" t="s">
        <v>3862</v>
      </c>
      <c r="AE86" s="32" t="s">
        <v>3882</v>
      </c>
      <c r="AF86" s="32" t="s">
        <v>3902</v>
      </c>
      <c r="AH86" s="32" t="s">
        <v>3937</v>
      </c>
    </row>
    <row r="87" spans="1:34" ht="15.75" customHeight="1">
      <c r="A87" s="8">
        <v>19</v>
      </c>
      <c r="B87" s="7"/>
      <c r="C87" s="33" t="s">
        <v>1241</v>
      </c>
      <c r="D87" s="7"/>
      <c r="E87" s="7"/>
      <c r="F87" s="7"/>
      <c r="G87" s="34"/>
      <c r="H87" s="7"/>
      <c r="I87" s="7"/>
      <c r="J87" s="7"/>
      <c r="K87" s="7"/>
      <c r="L87" s="7"/>
      <c r="M87" s="7"/>
      <c r="N87" s="7"/>
      <c r="O87" s="7"/>
      <c r="P87" s="7"/>
      <c r="Q87" s="7"/>
      <c r="R87" s="44" t="s">
        <v>2502</v>
      </c>
      <c r="V87" s="32"/>
      <c r="W87" s="44" t="s">
        <v>2548</v>
      </c>
      <c r="AA87" s="168" t="s">
        <v>2708</v>
      </c>
      <c r="AC87" s="7" t="s">
        <v>3833</v>
      </c>
      <c r="AD87" s="7" t="s">
        <v>3863</v>
      </c>
      <c r="AE87" s="32" t="s">
        <v>3883</v>
      </c>
      <c r="AF87" s="32" t="s">
        <v>3903</v>
      </c>
      <c r="AH87" s="32" t="s">
        <v>3938</v>
      </c>
    </row>
    <row r="88" spans="1:34" ht="15.75" customHeight="1">
      <c r="A88" s="8">
        <v>20</v>
      </c>
      <c r="B88" s="7"/>
      <c r="C88" s="33" t="s">
        <v>1242</v>
      </c>
      <c r="D88" s="7"/>
      <c r="E88" s="7"/>
      <c r="G88" s="34"/>
      <c r="H88" s="7"/>
      <c r="I88" s="7"/>
      <c r="J88" s="7"/>
      <c r="K88" s="7"/>
      <c r="L88" s="7"/>
      <c r="M88" s="7"/>
      <c r="N88" s="7"/>
      <c r="O88" s="7"/>
      <c r="P88" s="7"/>
      <c r="Q88" s="7"/>
      <c r="R88" s="44" t="s">
        <v>2503</v>
      </c>
      <c r="V88" s="32"/>
      <c r="W88" s="44" t="s">
        <v>2549</v>
      </c>
      <c r="AA88" s="168" t="s">
        <v>2709</v>
      </c>
      <c r="AC88" s="7" t="s">
        <v>3834</v>
      </c>
      <c r="AD88" s="7" t="s">
        <v>3864</v>
      </c>
      <c r="AE88" s="32" t="s">
        <v>3884</v>
      </c>
      <c r="AF88" s="32" t="s">
        <v>3904</v>
      </c>
      <c r="AH88" s="32" t="s">
        <v>3939</v>
      </c>
    </row>
    <row r="89" spans="1:34" ht="15.75" customHeight="1">
      <c r="A89" s="8"/>
      <c r="B89" s="7"/>
      <c r="C89" s="33"/>
      <c r="D89" s="7"/>
      <c r="E89" s="7"/>
      <c r="F89" s="7"/>
      <c r="G89" s="7"/>
      <c r="H89" s="7"/>
      <c r="I89" s="7"/>
      <c r="J89" s="7"/>
      <c r="K89" s="7"/>
      <c r="L89" s="7"/>
      <c r="M89" s="7"/>
      <c r="N89" s="7"/>
      <c r="O89" s="7"/>
      <c r="P89" s="7"/>
      <c r="Q89" s="7"/>
      <c r="R89" s="44"/>
      <c r="S89" s="7"/>
      <c r="V89" s="32"/>
      <c r="W89" s="44" t="s">
        <v>2550</v>
      </c>
      <c r="AA89" s="168" t="s">
        <v>2710</v>
      </c>
      <c r="AC89" s="7" t="s">
        <v>3835</v>
      </c>
      <c r="AH89" s="32" t="s">
        <v>3949</v>
      </c>
    </row>
    <row r="90" spans="1:34" ht="15.75" customHeight="1">
      <c r="A90" s="8"/>
      <c r="B90" s="7"/>
      <c r="C90" s="33"/>
      <c r="D90" s="7"/>
      <c r="E90" s="7"/>
      <c r="G90" s="7"/>
      <c r="H90" s="7"/>
      <c r="I90" s="7"/>
      <c r="J90" s="7"/>
      <c r="K90" s="7"/>
      <c r="L90" s="7" t="str">
        <f ca="1">CONCATENATE("You notice a ",INDEX($L$94:$L$113,RANDBETWEEN(1,20))," inside ",INDEX($M$94:$M$103,RANDBETWEEN(1,10)),". It is surrounded by ",INDEX($N$94:$N$113,RANDBETWEEN(1,20))," As you look, you begin hearing ",CHOOSE(RANDBETWEEN(1,4),"low ","deep ","eerie ","unnatural "),INDEX($O$94:$O$105,RANDBETWEEN(1,12)))</f>
        <v>You notice a intact chest inside the room. It is surrounded by signs of a failed ritual. As you look, you begin hearing eerie footsepts</v>
      </c>
      <c r="M90" s="7"/>
      <c r="N90" s="7"/>
      <c r="O90" s="7"/>
      <c r="P90" s="7"/>
      <c r="Q90" s="7"/>
      <c r="R90" s="44"/>
      <c r="S90" s="7"/>
      <c r="V90" s="32"/>
      <c r="W90" s="44" t="s">
        <v>2551</v>
      </c>
      <c r="AA90" s="168" t="s">
        <v>2711</v>
      </c>
      <c r="AC90" s="7" t="s">
        <v>3836</v>
      </c>
      <c r="AH90" s="32" t="s">
        <v>3940</v>
      </c>
    </row>
    <row r="91" spans="1:34" ht="15.75" customHeight="1">
      <c r="A91" s="8"/>
      <c r="B91" s="7"/>
      <c r="C91" s="33"/>
      <c r="D91" s="7"/>
      <c r="E91" s="7"/>
      <c r="I91" s="7"/>
      <c r="J91" s="7"/>
      <c r="K91" s="7"/>
      <c r="L91" s="7"/>
      <c r="M91" s="7"/>
      <c r="N91" s="7"/>
      <c r="O91" s="7"/>
      <c r="P91" s="7"/>
      <c r="Q91" s="7"/>
      <c r="R91" s="44"/>
      <c r="S91" s="7"/>
      <c r="V91" s="32"/>
      <c r="W91" s="44" t="s">
        <v>2552</v>
      </c>
      <c r="AA91" s="168" t="s">
        <v>2712</v>
      </c>
      <c r="AC91" s="7" t="s">
        <v>3837</v>
      </c>
      <c r="AH91" s="32" t="s">
        <v>3941</v>
      </c>
    </row>
    <row r="92" spans="1:34" ht="15.75" customHeight="1">
      <c r="B92" s="7"/>
      <c r="C92" s="33"/>
      <c r="D92" s="7"/>
      <c r="E92" s="7"/>
      <c r="F92" s="7"/>
      <c r="I92" s="7"/>
      <c r="J92" s="7"/>
      <c r="K92" s="7"/>
      <c r="L92" s="7"/>
      <c r="M92" s="7"/>
      <c r="N92" s="7"/>
      <c r="O92" s="7"/>
      <c r="P92" s="7"/>
      <c r="Q92" s="7"/>
      <c r="R92" s="44"/>
      <c r="S92" s="7"/>
      <c r="V92" s="32"/>
      <c r="W92" s="44" t="s">
        <v>2553</v>
      </c>
      <c r="AA92" s="168" t="s">
        <v>2713</v>
      </c>
      <c r="AC92" s="7" t="s">
        <v>3838</v>
      </c>
      <c r="AH92" s="32" t="s">
        <v>3942</v>
      </c>
    </row>
    <row r="93" spans="1:34" ht="15.75" customHeight="1">
      <c r="B93" s="7" t="s">
        <v>6809</v>
      </c>
      <c r="D93" s="7"/>
      <c r="E93" s="7"/>
      <c r="H93" s="7" t="s">
        <v>7172</v>
      </c>
      <c r="I93" s="7"/>
      <c r="J93" s="7"/>
      <c r="L93" s="7" t="s">
        <v>7174</v>
      </c>
      <c r="M93" s="7" t="s">
        <v>7185</v>
      </c>
      <c r="N93" s="7" t="s">
        <v>7203</v>
      </c>
      <c r="O93" s="32" t="s">
        <v>7225</v>
      </c>
      <c r="P93" s="7"/>
      <c r="Q93" s="7"/>
      <c r="R93" s="44"/>
      <c r="S93" s="7"/>
      <c r="V93" s="32"/>
      <c r="W93" s="44" t="s">
        <v>2554</v>
      </c>
      <c r="AA93" s="168" t="s">
        <v>2714</v>
      </c>
      <c r="AC93" s="7" t="s">
        <v>3839</v>
      </c>
      <c r="AH93" s="32" t="s">
        <v>3943</v>
      </c>
    </row>
    <row r="94" spans="1:34" ht="15.75" customHeight="1">
      <c r="A94" s="308">
        <v>1</v>
      </c>
      <c r="B94" s="7" t="s">
        <v>6810</v>
      </c>
      <c r="C94" s="33" t="s">
        <v>6798</v>
      </c>
      <c r="D94" s="7" t="s">
        <v>6833</v>
      </c>
      <c r="E94" s="7" t="s">
        <v>6838</v>
      </c>
      <c r="G94" s="338">
        <v>1</v>
      </c>
      <c r="H94" s="340" t="s">
        <v>7129</v>
      </c>
      <c r="I94" s="340" t="s">
        <v>7149</v>
      </c>
      <c r="L94" s="7" t="s">
        <v>7175</v>
      </c>
      <c r="M94" s="32" t="s">
        <v>7186</v>
      </c>
      <c r="N94" s="32" t="s">
        <v>7205</v>
      </c>
      <c r="O94" s="32" t="s">
        <v>6840</v>
      </c>
      <c r="P94" s="7"/>
      <c r="Q94" s="7"/>
      <c r="R94" s="44"/>
      <c r="S94" s="7"/>
      <c r="V94" s="32"/>
      <c r="W94" s="44" t="s">
        <v>2555</v>
      </c>
      <c r="AA94" s="168" t="s">
        <v>2715</v>
      </c>
      <c r="AC94" s="7" t="s">
        <v>3840</v>
      </c>
      <c r="AH94" s="32" t="s">
        <v>3944</v>
      </c>
    </row>
    <row r="95" spans="1:34" ht="15.75" customHeight="1">
      <c r="A95" s="308">
        <v>2</v>
      </c>
      <c r="B95" s="7" t="s">
        <v>6811</v>
      </c>
      <c r="C95" s="33" t="s">
        <v>6823</v>
      </c>
      <c r="D95" s="7" t="s">
        <v>6833</v>
      </c>
      <c r="E95" s="7" t="s">
        <v>6839</v>
      </c>
      <c r="G95" s="339">
        <v>2</v>
      </c>
      <c r="H95" s="341" t="s">
        <v>7130</v>
      </c>
      <c r="I95" s="341" t="s">
        <v>7150</v>
      </c>
      <c r="L95" s="7" t="s">
        <v>7176</v>
      </c>
      <c r="M95" s="32" t="s">
        <v>7187</v>
      </c>
      <c r="N95" s="32" t="s">
        <v>7206</v>
      </c>
      <c r="O95" s="32" t="s">
        <v>6841</v>
      </c>
      <c r="P95" s="7"/>
      <c r="Q95" s="7"/>
      <c r="R95" s="44"/>
      <c r="S95" s="7"/>
      <c r="V95" s="32"/>
      <c r="W95" s="44" t="s">
        <v>2556</v>
      </c>
      <c r="AA95" s="168" t="s">
        <v>2716</v>
      </c>
      <c r="AC95" s="7" t="s">
        <v>3841</v>
      </c>
      <c r="AH95" s="32" t="s">
        <v>3945</v>
      </c>
    </row>
    <row r="96" spans="1:34" ht="15.75" customHeight="1">
      <c r="A96" s="308">
        <v>3</v>
      </c>
      <c r="B96" s="7" t="s">
        <v>6812</v>
      </c>
      <c r="C96" s="33" t="s">
        <v>6824</v>
      </c>
      <c r="D96" s="7" t="s">
        <v>6833</v>
      </c>
      <c r="E96" s="7" t="s">
        <v>6840</v>
      </c>
      <c r="G96" s="338">
        <v>3</v>
      </c>
      <c r="H96" s="340" t="s">
        <v>7131</v>
      </c>
      <c r="I96" s="340" t="s">
        <v>7151</v>
      </c>
      <c r="L96" s="7" t="s">
        <v>7201</v>
      </c>
      <c r="M96" s="32" t="s">
        <v>7188</v>
      </c>
      <c r="N96" s="32" t="s">
        <v>7207</v>
      </c>
      <c r="O96" s="32" t="s">
        <v>6846</v>
      </c>
      <c r="P96" s="7"/>
      <c r="Q96" s="7"/>
      <c r="R96" s="44"/>
      <c r="S96" s="7"/>
      <c r="V96" s="32"/>
      <c r="W96" s="44" t="s">
        <v>2557</v>
      </c>
      <c r="AA96" s="168" t="s">
        <v>2717</v>
      </c>
      <c r="AC96" s="7" t="s">
        <v>3842</v>
      </c>
      <c r="AH96" s="32" t="s">
        <v>3946</v>
      </c>
    </row>
    <row r="97" spans="1:34" ht="15.75" customHeight="1">
      <c r="A97" s="308">
        <v>4</v>
      </c>
      <c r="B97" s="7" t="s">
        <v>6813</v>
      </c>
      <c r="C97" s="33" t="s">
        <v>6239</v>
      </c>
      <c r="D97" s="7" t="s">
        <v>6833</v>
      </c>
      <c r="E97" s="7" t="s">
        <v>6841</v>
      </c>
      <c r="G97" s="339">
        <v>4</v>
      </c>
      <c r="H97" s="341" t="s">
        <v>7132</v>
      </c>
      <c r="I97" s="341" t="s">
        <v>7152</v>
      </c>
      <c r="L97" s="7" t="s">
        <v>7177</v>
      </c>
      <c r="M97" s="32" t="s">
        <v>7189</v>
      </c>
      <c r="N97" s="32" t="s">
        <v>7204</v>
      </c>
      <c r="O97" s="32" t="s">
        <v>6848</v>
      </c>
      <c r="P97" s="7"/>
      <c r="Q97" s="7"/>
      <c r="R97" s="44"/>
      <c r="S97" s="7"/>
      <c r="V97" s="32"/>
      <c r="W97" s="44" t="s">
        <v>2558</v>
      </c>
      <c r="AA97" s="168" t="s">
        <v>2718</v>
      </c>
      <c r="AC97" s="7" t="s">
        <v>3843</v>
      </c>
      <c r="AH97" s="32" t="s">
        <v>3947</v>
      </c>
    </row>
    <row r="98" spans="1:34" ht="15.75" customHeight="1">
      <c r="A98" s="308">
        <v>5</v>
      </c>
      <c r="B98" s="7" t="s">
        <v>6814</v>
      </c>
      <c r="C98" s="33" t="s">
        <v>6825</v>
      </c>
      <c r="D98" s="7" t="s">
        <v>6833</v>
      </c>
      <c r="E98" s="7" t="s">
        <v>6842</v>
      </c>
      <c r="G98" s="338">
        <v>5</v>
      </c>
      <c r="H98" s="340" t="s">
        <v>7133</v>
      </c>
      <c r="I98" s="340" t="s">
        <v>7153</v>
      </c>
      <c r="L98" s="7" t="s">
        <v>7178</v>
      </c>
      <c r="M98" s="32" t="s">
        <v>7190</v>
      </c>
      <c r="N98" s="32" t="s">
        <v>7214</v>
      </c>
      <c r="O98" s="32" t="s">
        <v>7226</v>
      </c>
      <c r="P98" s="7"/>
      <c r="Q98" s="7"/>
      <c r="R98" s="44"/>
      <c r="S98" s="7"/>
      <c r="V98" s="32"/>
      <c r="W98" s="44" t="s">
        <v>2559</v>
      </c>
      <c r="AA98" s="168" t="s">
        <v>2719</v>
      </c>
      <c r="AC98" s="7" t="s">
        <v>3844</v>
      </c>
      <c r="AH98" s="32" t="s">
        <v>3948</v>
      </c>
    </row>
    <row r="99" spans="1:34" ht="15.75" customHeight="1">
      <c r="A99" s="308">
        <v>6</v>
      </c>
      <c r="B99" s="7" t="s">
        <v>6815</v>
      </c>
      <c r="C99" s="33" t="s">
        <v>6826</v>
      </c>
      <c r="D99" s="7" t="s">
        <v>6833</v>
      </c>
      <c r="E99" s="7" t="s">
        <v>6843</v>
      </c>
      <c r="G99" s="339">
        <v>6</v>
      </c>
      <c r="H99" s="341" t="s">
        <v>7134</v>
      </c>
      <c r="I99" s="341" t="s">
        <v>7154</v>
      </c>
      <c r="L99" s="7" t="s">
        <v>7179</v>
      </c>
      <c r="M99" s="32" t="s">
        <v>7191</v>
      </c>
      <c r="N99" s="32" t="s">
        <v>7208</v>
      </c>
      <c r="O99" s="32" t="s">
        <v>6857</v>
      </c>
      <c r="P99" s="7"/>
      <c r="Q99" s="7"/>
      <c r="R99" s="44"/>
      <c r="S99" s="7"/>
      <c r="V99" s="32"/>
      <c r="W99" s="44" t="s">
        <v>2560</v>
      </c>
      <c r="AA99" s="168" t="s">
        <v>2720</v>
      </c>
    </row>
    <row r="100" spans="1:34" ht="15.75" customHeight="1">
      <c r="A100" s="308">
        <v>7</v>
      </c>
      <c r="B100" s="7" t="s">
        <v>6835</v>
      </c>
      <c r="C100" s="33" t="s">
        <v>6827</v>
      </c>
      <c r="D100" s="7" t="s">
        <v>6833</v>
      </c>
      <c r="E100" s="7" t="s">
        <v>6844</v>
      </c>
      <c r="G100" s="338">
        <v>7</v>
      </c>
      <c r="H100" s="340" t="s">
        <v>7135</v>
      </c>
      <c r="I100" s="340" t="s">
        <v>7155</v>
      </c>
      <c r="L100" s="7" t="s">
        <v>7180</v>
      </c>
      <c r="M100" s="32" t="s">
        <v>7195</v>
      </c>
      <c r="N100" s="32" t="s">
        <v>7209</v>
      </c>
      <c r="O100" s="32" t="s">
        <v>6861</v>
      </c>
      <c r="P100" s="7"/>
      <c r="Q100" s="7"/>
      <c r="R100" s="44"/>
      <c r="S100" s="7"/>
      <c r="V100" s="32"/>
      <c r="W100" s="44" t="s">
        <v>2561</v>
      </c>
      <c r="AA100" s="168" t="s">
        <v>2721</v>
      </c>
    </row>
    <row r="101" spans="1:34" ht="15.75" customHeight="1">
      <c r="A101" s="308">
        <v>8</v>
      </c>
      <c r="B101" s="7" t="s">
        <v>6835</v>
      </c>
      <c r="C101" s="33" t="s">
        <v>6832</v>
      </c>
      <c r="D101" s="7" t="s">
        <v>6833</v>
      </c>
      <c r="E101" s="7" t="s">
        <v>6845</v>
      </c>
      <c r="G101" s="339">
        <v>8</v>
      </c>
      <c r="H101" s="341" t="s">
        <v>7136</v>
      </c>
      <c r="I101" s="341" t="s">
        <v>7156</v>
      </c>
      <c r="L101" s="7" t="s">
        <v>7181</v>
      </c>
      <c r="M101" s="32" t="s">
        <v>7193</v>
      </c>
      <c r="N101" s="32" t="s">
        <v>7210</v>
      </c>
      <c r="O101" s="32" t="s">
        <v>6862</v>
      </c>
      <c r="P101" s="7"/>
      <c r="Q101" s="7"/>
      <c r="R101" s="44"/>
      <c r="S101" s="7"/>
      <c r="V101" s="32"/>
      <c r="W101" s="44" t="s">
        <v>2562</v>
      </c>
      <c r="AA101" s="168" t="s">
        <v>2722</v>
      </c>
    </row>
    <row r="102" spans="1:34" ht="15.75" customHeight="1">
      <c r="A102" s="308">
        <v>9</v>
      </c>
      <c r="B102" s="7" t="s">
        <v>6835</v>
      </c>
      <c r="C102" s="33" t="s">
        <v>6824</v>
      </c>
      <c r="D102" s="7" t="s">
        <v>6833</v>
      </c>
      <c r="E102" s="7" t="s">
        <v>6846</v>
      </c>
      <c r="G102" s="338">
        <v>9</v>
      </c>
      <c r="H102" s="340" t="s">
        <v>7137</v>
      </c>
      <c r="I102" s="340" t="s">
        <v>7157</v>
      </c>
      <c r="L102" s="7" t="s">
        <v>7182</v>
      </c>
      <c r="M102" s="32" t="s">
        <v>7194</v>
      </c>
      <c r="N102" s="32" t="s">
        <v>7211</v>
      </c>
      <c r="O102" s="32" t="s">
        <v>6876</v>
      </c>
      <c r="P102" s="7"/>
      <c r="Q102" s="7"/>
      <c r="R102" s="44"/>
      <c r="S102" s="7"/>
      <c r="V102" s="32"/>
      <c r="W102" s="44" t="s">
        <v>2563</v>
      </c>
      <c r="AA102" s="168" t="s">
        <v>2723</v>
      </c>
    </row>
    <row r="103" spans="1:34" ht="15.75" customHeight="1">
      <c r="A103" s="308">
        <v>10</v>
      </c>
      <c r="B103" s="7" t="s">
        <v>6835</v>
      </c>
      <c r="C103" s="33" t="s">
        <v>6832</v>
      </c>
      <c r="D103" s="7" t="s">
        <v>6833</v>
      </c>
      <c r="E103" s="7" t="s">
        <v>6847</v>
      </c>
      <c r="G103" s="339">
        <v>10</v>
      </c>
      <c r="H103" s="341" t="s">
        <v>7138</v>
      </c>
      <c r="I103" s="341" t="s">
        <v>7158</v>
      </c>
      <c r="L103" s="7" t="s">
        <v>7183</v>
      </c>
      <c r="M103" s="32" t="s">
        <v>7192</v>
      </c>
      <c r="N103" s="32" t="s">
        <v>7212</v>
      </c>
      <c r="O103" s="32" t="s">
        <v>6871</v>
      </c>
      <c r="P103" s="7"/>
      <c r="Q103" s="7"/>
      <c r="R103" s="44"/>
      <c r="S103" s="7"/>
      <c r="V103" s="32"/>
      <c r="W103" s="44" t="s">
        <v>2564</v>
      </c>
      <c r="AA103" s="168" t="s">
        <v>2724</v>
      </c>
    </row>
    <row r="104" spans="1:34" ht="15.75" customHeight="1">
      <c r="A104" s="308">
        <v>11</v>
      </c>
      <c r="B104" s="7" t="s">
        <v>6835</v>
      </c>
      <c r="C104" s="33" t="s">
        <v>6824</v>
      </c>
      <c r="D104" s="7" t="s">
        <v>6833</v>
      </c>
      <c r="E104" s="7" t="s">
        <v>6848</v>
      </c>
      <c r="G104" s="338">
        <v>11</v>
      </c>
      <c r="H104" s="340" t="s">
        <v>7139</v>
      </c>
      <c r="I104" s="340" t="s">
        <v>7159</v>
      </c>
      <c r="L104" s="7" t="s">
        <v>7184</v>
      </c>
      <c r="M104" s="7"/>
      <c r="N104" s="32" t="s">
        <v>7213</v>
      </c>
      <c r="O104" s="32" t="s">
        <v>6861</v>
      </c>
      <c r="P104" s="7"/>
      <c r="Q104" s="7"/>
      <c r="R104" s="44"/>
      <c r="S104" s="7"/>
      <c r="V104" s="32"/>
      <c r="W104" s="44" t="s">
        <v>2565</v>
      </c>
      <c r="AA104" s="168" t="s">
        <v>2725</v>
      </c>
    </row>
    <row r="105" spans="1:34" ht="15.75" customHeight="1">
      <c r="A105" s="308">
        <v>12</v>
      </c>
      <c r="B105" s="7" t="s">
        <v>6835</v>
      </c>
      <c r="C105" s="33" t="s">
        <v>6832</v>
      </c>
      <c r="D105" s="7" t="s">
        <v>6833</v>
      </c>
      <c r="E105" s="7" t="s">
        <v>6849</v>
      </c>
      <c r="F105" s="7"/>
      <c r="G105" s="339">
        <v>12</v>
      </c>
      <c r="H105" s="341" t="s">
        <v>7140</v>
      </c>
      <c r="I105" s="341" t="s">
        <v>7160</v>
      </c>
      <c r="L105" s="7" t="s">
        <v>7196</v>
      </c>
      <c r="M105" s="7"/>
      <c r="N105" s="32" t="s">
        <v>7215</v>
      </c>
      <c r="O105" s="32" t="s">
        <v>6881</v>
      </c>
      <c r="P105" s="7"/>
      <c r="Q105" s="7"/>
      <c r="R105" s="44"/>
      <c r="S105" s="7"/>
      <c r="V105" s="32"/>
      <c r="W105" s="44" t="s">
        <v>2566</v>
      </c>
      <c r="AA105" s="168" t="s">
        <v>2726</v>
      </c>
    </row>
    <row r="106" spans="1:34" ht="15.75" customHeight="1">
      <c r="A106" s="308">
        <v>13</v>
      </c>
      <c r="B106" s="7" t="s">
        <v>6835</v>
      </c>
      <c r="C106" s="33" t="s">
        <v>6824</v>
      </c>
      <c r="D106" s="7" t="s">
        <v>6238</v>
      </c>
      <c r="E106" s="7" t="s">
        <v>6850</v>
      </c>
      <c r="F106" s="7"/>
      <c r="G106" s="338">
        <v>13</v>
      </c>
      <c r="H106" s="340" t="s">
        <v>7141</v>
      </c>
      <c r="I106" s="340" t="s">
        <v>7161</v>
      </c>
      <c r="L106" s="7" t="s">
        <v>7197</v>
      </c>
      <c r="M106" s="7"/>
      <c r="N106" s="32" t="s">
        <v>7217</v>
      </c>
      <c r="O106" s="7"/>
      <c r="P106" s="7"/>
      <c r="Q106" s="7"/>
      <c r="R106" s="44"/>
      <c r="S106" s="7"/>
      <c r="V106" s="32"/>
      <c r="W106" s="44" t="s">
        <v>2567</v>
      </c>
      <c r="AA106" s="168" t="s">
        <v>2727</v>
      </c>
    </row>
    <row r="107" spans="1:34" ht="15.75" customHeight="1">
      <c r="A107" s="308">
        <v>14</v>
      </c>
      <c r="B107" s="7" t="s">
        <v>6822</v>
      </c>
      <c r="C107" s="33" t="s">
        <v>6826</v>
      </c>
      <c r="D107" s="7" t="s">
        <v>6238</v>
      </c>
      <c r="E107" s="7" t="s">
        <v>6851</v>
      </c>
      <c r="F107" s="7"/>
      <c r="G107" s="339">
        <v>14</v>
      </c>
      <c r="H107" s="341" t="s">
        <v>7142</v>
      </c>
      <c r="I107" s="341" t="s">
        <v>7162</v>
      </c>
      <c r="L107" s="32" t="s">
        <v>7198</v>
      </c>
      <c r="M107" s="7"/>
      <c r="N107" s="32" t="s">
        <v>7218</v>
      </c>
      <c r="O107" s="7"/>
      <c r="P107" s="7"/>
      <c r="Q107" s="7"/>
      <c r="R107" s="44"/>
      <c r="S107" s="7"/>
      <c r="V107" s="32"/>
      <c r="W107" s="44" t="s">
        <v>2568</v>
      </c>
      <c r="AA107" s="168" t="s">
        <v>2728</v>
      </c>
    </row>
    <row r="108" spans="1:34" ht="15.75" customHeight="1">
      <c r="A108" s="308">
        <v>15</v>
      </c>
      <c r="B108" s="7" t="s">
        <v>6821</v>
      </c>
      <c r="C108" s="33" t="s">
        <v>6827</v>
      </c>
      <c r="D108" s="7" t="s">
        <v>6837</v>
      </c>
      <c r="E108" s="7" t="s">
        <v>6852</v>
      </c>
      <c r="F108" s="7"/>
      <c r="G108" s="338">
        <v>15</v>
      </c>
      <c r="H108" s="340" t="s">
        <v>7143</v>
      </c>
      <c r="I108" s="340" t="s">
        <v>7163</v>
      </c>
      <c r="K108" s="7"/>
      <c r="L108" s="32" t="s">
        <v>7216</v>
      </c>
      <c r="M108" s="7"/>
      <c r="N108" s="32" t="s">
        <v>7229</v>
      </c>
      <c r="O108" s="7"/>
      <c r="P108" s="7"/>
      <c r="Q108" s="7"/>
      <c r="R108" s="44"/>
      <c r="S108" s="7"/>
      <c r="V108" s="32"/>
      <c r="W108" s="44" t="s">
        <v>2569</v>
      </c>
      <c r="AA108" s="168" t="s">
        <v>2729</v>
      </c>
    </row>
    <row r="109" spans="1:34" ht="15.75" customHeight="1">
      <c r="A109" s="308">
        <v>16</v>
      </c>
      <c r="B109" s="7" t="s">
        <v>6820</v>
      </c>
      <c r="C109" s="33" t="s">
        <v>6831</v>
      </c>
      <c r="D109" s="7" t="s">
        <v>6837</v>
      </c>
      <c r="E109" s="7" t="s">
        <v>6853</v>
      </c>
      <c r="F109" s="7"/>
      <c r="G109" s="339">
        <v>16</v>
      </c>
      <c r="H109" s="341" t="s">
        <v>7144</v>
      </c>
      <c r="I109" s="341" t="s">
        <v>7164</v>
      </c>
      <c r="K109" s="7"/>
      <c r="L109" s="32" t="s">
        <v>7199</v>
      </c>
      <c r="M109" s="7"/>
      <c r="N109" s="32" t="s">
        <v>7220</v>
      </c>
      <c r="O109" s="7"/>
      <c r="P109" s="7"/>
      <c r="Q109" s="7"/>
      <c r="R109" s="7"/>
      <c r="S109" s="7"/>
      <c r="T109" s="7"/>
      <c r="U109" s="7"/>
      <c r="AA109" s="168" t="s">
        <v>2730</v>
      </c>
    </row>
    <row r="110" spans="1:34" ht="15.75" customHeight="1">
      <c r="A110" s="308">
        <v>17</v>
      </c>
      <c r="B110" s="7" t="s">
        <v>6819</v>
      </c>
      <c r="C110" s="33" t="s">
        <v>6830</v>
      </c>
      <c r="D110" s="7" t="s">
        <v>6797</v>
      </c>
      <c r="E110" s="7" t="s">
        <v>6854</v>
      </c>
      <c r="F110" s="7"/>
      <c r="G110" s="338">
        <v>17</v>
      </c>
      <c r="H110" s="340" t="s">
        <v>7145</v>
      </c>
      <c r="I110" s="340" t="s">
        <v>7165</v>
      </c>
      <c r="K110" s="7"/>
      <c r="L110" s="32" t="s">
        <v>7200</v>
      </c>
      <c r="M110" s="7"/>
      <c r="N110" s="32" t="s">
        <v>7221</v>
      </c>
      <c r="O110" s="7"/>
      <c r="P110" s="7"/>
      <c r="Q110" s="7"/>
      <c r="R110" s="7"/>
      <c r="S110" s="7"/>
      <c r="T110" s="7"/>
      <c r="U110" s="7"/>
      <c r="AA110" s="168" t="s">
        <v>2731</v>
      </c>
    </row>
    <row r="111" spans="1:34" ht="15.75" customHeight="1">
      <c r="A111" s="308">
        <v>18</v>
      </c>
      <c r="B111" s="7" t="s">
        <v>6818</v>
      </c>
      <c r="C111" s="33" t="s">
        <v>6237</v>
      </c>
      <c r="D111" s="7" t="s">
        <v>6797</v>
      </c>
      <c r="E111" s="7" t="s">
        <v>6855</v>
      </c>
      <c r="F111" s="7"/>
      <c r="G111" s="339">
        <v>18</v>
      </c>
      <c r="H111" s="341" t="s">
        <v>7146</v>
      </c>
      <c r="I111" s="341" t="s">
        <v>7166</v>
      </c>
      <c r="K111" s="7"/>
      <c r="L111" s="32" t="s">
        <v>7219</v>
      </c>
      <c r="M111" s="7"/>
      <c r="N111" s="32" t="s">
        <v>7222</v>
      </c>
      <c r="O111" s="7"/>
      <c r="P111" s="7"/>
      <c r="Q111" s="7"/>
      <c r="R111" s="7"/>
      <c r="S111" s="7"/>
      <c r="T111" s="7"/>
      <c r="U111" s="7"/>
      <c r="AA111" s="168" t="s">
        <v>2732</v>
      </c>
    </row>
    <row r="112" spans="1:34" ht="15.75" customHeight="1">
      <c r="A112" s="308">
        <v>19</v>
      </c>
      <c r="B112" s="7" t="s">
        <v>6817</v>
      </c>
      <c r="C112" s="33" t="s">
        <v>6829</v>
      </c>
      <c r="D112" s="7" t="s">
        <v>6834</v>
      </c>
      <c r="E112" s="7" t="s">
        <v>6856</v>
      </c>
      <c r="F112" s="7"/>
      <c r="G112" s="338">
        <v>19</v>
      </c>
      <c r="H112" s="340" t="s">
        <v>7147</v>
      </c>
      <c r="I112" s="340" t="s">
        <v>7167</v>
      </c>
      <c r="K112" s="7"/>
      <c r="L112" s="32" t="s">
        <v>7202</v>
      </c>
      <c r="M112" s="7"/>
      <c r="N112" s="32" t="s">
        <v>7223</v>
      </c>
      <c r="O112" s="7"/>
      <c r="P112" s="7"/>
      <c r="Q112" s="7"/>
      <c r="R112" s="7"/>
      <c r="S112" s="7"/>
      <c r="T112" s="7"/>
      <c r="U112" s="7"/>
      <c r="W112" s="7"/>
      <c r="AA112" s="168" t="s">
        <v>2733</v>
      </c>
    </row>
    <row r="113" spans="1:27" ht="15.75" customHeight="1">
      <c r="A113" s="308">
        <v>20</v>
      </c>
      <c r="B113" s="7" t="s">
        <v>6816</v>
      </c>
      <c r="C113" s="33" t="s">
        <v>6828</v>
      </c>
      <c r="D113" s="7" t="s">
        <v>6834</v>
      </c>
      <c r="E113" s="7" t="s">
        <v>6857</v>
      </c>
      <c r="F113" s="7"/>
      <c r="G113" s="339">
        <v>20</v>
      </c>
      <c r="H113" s="341" t="s">
        <v>7148</v>
      </c>
      <c r="I113" s="341" t="s">
        <v>7168</v>
      </c>
      <c r="K113" s="7"/>
      <c r="L113" s="32" t="s">
        <v>7173</v>
      </c>
      <c r="M113" s="7"/>
      <c r="N113" s="32" t="s">
        <v>7224</v>
      </c>
      <c r="O113" s="7"/>
      <c r="P113" s="7"/>
      <c r="Q113" s="7"/>
      <c r="R113" s="7"/>
      <c r="S113" s="7"/>
      <c r="T113" s="7"/>
      <c r="U113" s="7"/>
      <c r="W113" s="7"/>
      <c r="AA113" s="168" t="s">
        <v>2734</v>
      </c>
    </row>
    <row r="114" spans="1:27" ht="15.75" customHeight="1">
      <c r="A114" s="308">
        <v>21</v>
      </c>
      <c r="B114" s="7"/>
      <c r="C114" s="33"/>
      <c r="D114" s="7"/>
      <c r="E114" s="7" t="s">
        <v>6858</v>
      </c>
      <c r="F114" s="7"/>
      <c r="G114" s="7"/>
      <c r="H114" s="7"/>
      <c r="I114" s="7"/>
      <c r="J114" s="7"/>
      <c r="K114" s="7"/>
      <c r="L114" s="7"/>
      <c r="M114" s="7"/>
      <c r="N114" s="7"/>
      <c r="O114" s="7"/>
      <c r="P114" s="7"/>
      <c r="Q114" s="7"/>
      <c r="R114" s="7"/>
      <c r="S114" s="7"/>
      <c r="T114" s="7"/>
      <c r="U114" s="7"/>
      <c r="W114" s="7"/>
      <c r="AA114" s="168" t="s">
        <v>2735</v>
      </c>
    </row>
    <row r="115" spans="1:27" ht="15.75" customHeight="1">
      <c r="A115" s="308">
        <v>22</v>
      </c>
      <c r="B115" s="7"/>
      <c r="C115" s="33"/>
      <c r="D115" s="7"/>
      <c r="E115" s="7" t="s">
        <v>6859</v>
      </c>
      <c r="F115" s="7"/>
      <c r="G115" s="7"/>
      <c r="H115" s="7"/>
      <c r="I115" s="7"/>
      <c r="J115" s="7"/>
      <c r="K115" s="7"/>
      <c r="L115" s="7"/>
      <c r="M115" s="7"/>
      <c r="N115" s="7"/>
      <c r="O115" s="7"/>
      <c r="P115" s="7"/>
      <c r="Q115" s="7"/>
      <c r="R115" s="7"/>
      <c r="S115" s="7"/>
      <c r="T115" s="7"/>
      <c r="U115" s="7"/>
      <c r="W115" s="7"/>
      <c r="AA115" s="168" t="s">
        <v>2736</v>
      </c>
    </row>
    <row r="116" spans="1:27" ht="15.75" customHeight="1">
      <c r="A116" s="308">
        <v>23</v>
      </c>
      <c r="B116" s="7"/>
      <c r="C116" s="33"/>
      <c r="D116" s="7"/>
      <c r="E116" s="7" t="s">
        <v>6860</v>
      </c>
      <c r="F116" s="7"/>
      <c r="G116" s="7"/>
      <c r="H116" s="7"/>
      <c r="I116" s="7"/>
      <c r="J116" s="7"/>
      <c r="K116" s="7"/>
      <c r="L116" s="7"/>
      <c r="M116" s="7"/>
      <c r="N116" s="7"/>
      <c r="O116" s="7"/>
      <c r="P116" s="7"/>
      <c r="Q116" s="7"/>
      <c r="R116" s="7"/>
      <c r="S116" s="7"/>
      <c r="T116" s="7"/>
      <c r="U116" s="7"/>
      <c r="W116" s="7"/>
      <c r="AA116" s="168" t="s">
        <v>2737</v>
      </c>
    </row>
    <row r="117" spans="1:27" ht="15.75" customHeight="1">
      <c r="A117" s="308">
        <v>24</v>
      </c>
      <c r="B117" s="7"/>
      <c r="C117" s="33"/>
      <c r="D117" s="7"/>
      <c r="E117" s="7" t="s">
        <v>6861</v>
      </c>
      <c r="F117" s="7"/>
      <c r="G117" s="7"/>
      <c r="H117" s="7"/>
      <c r="I117" s="7"/>
      <c r="J117" s="7"/>
      <c r="K117" s="7"/>
      <c r="L117" s="7"/>
      <c r="M117" s="7"/>
      <c r="N117" s="7"/>
      <c r="O117" s="7"/>
      <c r="P117" s="7"/>
      <c r="Q117" s="7"/>
      <c r="R117" s="7"/>
      <c r="S117" s="7"/>
      <c r="T117" s="7"/>
      <c r="U117" s="7"/>
      <c r="W117" s="7"/>
      <c r="AA117" s="168" t="s">
        <v>2738</v>
      </c>
    </row>
    <row r="118" spans="1:27" ht="15.75" customHeight="1">
      <c r="A118" s="308">
        <v>25</v>
      </c>
      <c r="B118" s="7"/>
      <c r="C118" s="33"/>
      <c r="D118" s="7"/>
      <c r="E118" s="7" t="s">
        <v>6862</v>
      </c>
      <c r="F118" s="7"/>
      <c r="G118" s="7"/>
      <c r="H118" s="7"/>
      <c r="I118" s="7"/>
      <c r="J118" s="7"/>
      <c r="K118" s="7"/>
      <c r="L118" s="7"/>
      <c r="M118" s="7"/>
      <c r="N118" s="7"/>
      <c r="O118" s="7"/>
      <c r="P118" s="7"/>
      <c r="Q118" s="7"/>
      <c r="R118" s="7"/>
      <c r="S118" s="7"/>
      <c r="T118" s="7"/>
      <c r="U118" s="7"/>
      <c r="W118" s="7"/>
      <c r="AA118" s="168" t="s">
        <v>2739</v>
      </c>
    </row>
    <row r="119" spans="1:27" ht="15.75" customHeight="1">
      <c r="A119" s="308">
        <v>26</v>
      </c>
      <c r="B119" s="7"/>
      <c r="C119" s="33"/>
      <c r="D119" s="7"/>
      <c r="E119" s="7" t="s">
        <v>6863</v>
      </c>
      <c r="F119" s="7"/>
      <c r="G119" s="7"/>
      <c r="H119" s="7"/>
      <c r="I119" s="7"/>
      <c r="J119" s="7"/>
      <c r="K119" s="7"/>
      <c r="L119" s="7"/>
      <c r="M119" s="7"/>
      <c r="N119" s="7"/>
      <c r="O119" s="7"/>
      <c r="P119" s="7"/>
      <c r="Q119" s="7"/>
      <c r="R119" s="7"/>
      <c r="S119" s="7"/>
      <c r="T119" s="7"/>
      <c r="U119" s="7"/>
      <c r="W119" s="7"/>
      <c r="AA119" s="168" t="s">
        <v>2740</v>
      </c>
    </row>
    <row r="120" spans="1:27" ht="15.75" customHeight="1">
      <c r="A120" s="308">
        <v>27</v>
      </c>
      <c r="B120" s="7"/>
      <c r="C120" s="33"/>
      <c r="D120" s="7"/>
      <c r="E120" s="7" t="s">
        <v>6864</v>
      </c>
      <c r="F120" s="7"/>
      <c r="G120" s="7"/>
      <c r="H120" s="7"/>
      <c r="I120" s="7"/>
      <c r="J120" s="7"/>
      <c r="K120" s="7"/>
      <c r="L120" s="7"/>
      <c r="M120" s="7"/>
      <c r="N120" s="7"/>
      <c r="O120" s="7"/>
      <c r="P120" s="7"/>
      <c r="Q120" s="7"/>
      <c r="R120" s="7"/>
      <c r="S120" s="7"/>
      <c r="T120" s="7"/>
      <c r="U120" s="7"/>
      <c r="W120" s="7"/>
      <c r="AA120" s="168" t="s">
        <v>2741</v>
      </c>
    </row>
    <row r="121" spans="1:27" ht="15.75" customHeight="1">
      <c r="A121" s="308">
        <v>28</v>
      </c>
      <c r="B121" s="7"/>
      <c r="C121" s="33"/>
      <c r="D121" s="7"/>
      <c r="E121" s="7" t="s">
        <v>6865</v>
      </c>
      <c r="F121" s="7"/>
      <c r="G121" s="7"/>
      <c r="H121" s="7"/>
      <c r="I121" s="7"/>
      <c r="J121" s="7"/>
      <c r="K121" s="7"/>
      <c r="L121" s="7"/>
      <c r="M121" s="7"/>
      <c r="N121" s="7"/>
      <c r="O121" s="7"/>
      <c r="P121" s="7"/>
      <c r="Q121" s="7"/>
      <c r="R121" s="7"/>
      <c r="S121" s="7"/>
      <c r="T121" s="7"/>
      <c r="U121" s="7"/>
      <c r="W121" s="7"/>
      <c r="AA121" s="168" t="s">
        <v>2742</v>
      </c>
    </row>
    <row r="122" spans="1:27" ht="15.75" customHeight="1">
      <c r="A122" s="308">
        <v>29</v>
      </c>
      <c r="B122" s="7"/>
      <c r="C122" s="33"/>
      <c r="D122" s="7"/>
      <c r="E122" s="7" t="s">
        <v>6946</v>
      </c>
      <c r="F122" s="7"/>
      <c r="G122" s="7"/>
      <c r="H122" s="7"/>
      <c r="I122" s="7"/>
      <c r="J122" s="7"/>
      <c r="K122" s="7"/>
      <c r="L122" s="7"/>
      <c r="M122" s="7"/>
      <c r="N122" s="7"/>
      <c r="O122" s="7"/>
      <c r="P122" s="7"/>
      <c r="Q122" s="7"/>
      <c r="R122" s="7"/>
      <c r="S122" s="7"/>
      <c r="T122" s="7"/>
      <c r="U122" s="7"/>
      <c r="W122" s="7"/>
      <c r="AA122" s="168" t="s">
        <v>2743</v>
      </c>
    </row>
    <row r="123" spans="1:27" ht="15.75" customHeight="1">
      <c r="A123" s="308">
        <v>30</v>
      </c>
      <c r="B123" s="7"/>
      <c r="C123" s="33"/>
      <c r="D123" s="7"/>
      <c r="E123" s="7" t="s">
        <v>6866</v>
      </c>
      <c r="F123" s="7"/>
      <c r="G123" s="7"/>
      <c r="H123" s="7"/>
      <c r="I123" s="7"/>
      <c r="J123" s="7"/>
      <c r="K123" s="7"/>
      <c r="L123" s="7"/>
      <c r="M123" s="7"/>
      <c r="N123" s="7"/>
      <c r="O123" s="7"/>
      <c r="P123" s="7"/>
      <c r="Q123" s="7"/>
      <c r="R123" s="7"/>
      <c r="S123" s="7"/>
      <c r="T123" s="7"/>
      <c r="U123" s="7"/>
      <c r="W123" s="7"/>
      <c r="AA123" s="168" t="s">
        <v>2744</v>
      </c>
    </row>
    <row r="124" spans="1:27" ht="15.75" customHeight="1">
      <c r="A124" s="308">
        <v>31</v>
      </c>
      <c r="B124" s="7"/>
      <c r="C124" s="33"/>
      <c r="D124" s="7"/>
      <c r="E124" s="7" t="s">
        <v>6867</v>
      </c>
      <c r="F124" s="7"/>
      <c r="G124" s="7"/>
      <c r="H124" s="7"/>
      <c r="I124" s="7"/>
      <c r="J124" s="7"/>
      <c r="K124" s="7"/>
      <c r="L124" s="7"/>
      <c r="M124" s="7"/>
      <c r="N124" s="7"/>
      <c r="O124" s="7"/>
      <c r="P124" s="7"/>
      <c r="Q124" s="7"/>
      <c r="R124" s="7"/>
      <c r="S124" s="7"/>
      <c r="T124" s="7"/>
      <c r="U124" s="7"/>
      <c r="W124" s="7"/>
      <c r="AA124" s="168" t="s">
        <v>2745</v>
      </c>
    </row>
    <row r="125" spans="1:27" ht="15.75" customHeight="1">
      <c r="A125" s="308">
        <v>32</v>
      </c>
      <c r="B125" s="7"/>
      <c r="C125" s="33"/>
      <c r="D125" s="7"/>
      <c r="E125" s="7" t="s">
        <v>6868</v>
      </c>
      <c r="F125" s="7"/>
      <c r="G125" s="7"/>
      <c r="H125" s="7"/>
      <c r="I125" s="7"/>
      <c r="J125" s="7"/>
      <c r="K125" s="7"/>
      <c r="L125" s="7"/>
      <c r="M125" s="7"/>
      <c r="N125" s="7"/>
      <c r="O125" s="7"/>
      <c r="P125" s="7"/>
      <c r="Q125" s="7"/>
      <c r="R125" s="7"/>
      <c r="S125" s="7"/>
      <c r="T125" s="7"/>
      <c r="U125" s="7"/>
      <c r="W125" s="7"/>
      <c r="AA125" s="168" t="s">
        <v>2746</v>
      </c>
    </row>
    <row r="126" spans="1:27" ht="15.75" customHeight="1">
      <c r="A126" s="308">
        <v>33</v>
      </c>
      <c r="B126" s="7"/>
      <c r="C126" s="33"/>
      <c r="D126" s="7"/>
      <c r="E126" s="7" t="s">
        <v>6869</v>
      </c>
      <c r="F126" s="7"/>
      <c r="G126" s="7"/>
      <c r="H126" s="7"/>
      <c r="I126" s="7"/>
      <c r="J126" s="7"/>
      <c r="K126" s="7"/>
      <c r="L126" s="7"/>
      <c r="M126" s="7"/>
      <c r="N126" s="7"/>
      <c r="O126" s="7"/>
      <c r="P126" s="7"/>
      <c r="Q126" s="7"/>
      <c r="R126" s="7"/>
      <c r="S126" s="7"/>
      <c r="T126" s="7"/>
      <c r="U126" s="7"/>
      <c r="W126" s="7"/>
      <c r="AA126" s="168" t="s">
        <v>2747</v>
      </c>
    </row>
    <row r="127" spans="1:27" ht="15.75" customHeight="1">
      <c r="A127" s="308">
        <v>34</v>
      </c>
      <c r="B127" s="7"/>
      <c r="C127" s="33"/>
      <c r="D127" s="7"/>
      <c r="E127" s="7" t="s">
        <v>6870</v>
      </c>
      <c r="F127" s="7"/>
      <c r="G127" s="7"/>
      <c r="H127" s="7"/>
      <c r="I127" s="7"/>
      <c r="J127" s="7"/>
      <c r="K127" s="7"/>
      <c r="L127" s="7"/>
      <c r="M127" s="7"/>
      <c r="N127" s="7"/>
      <c r="O127" s="7"/>
      <c r="P127" s="7"/>
      <c r="Q127" s="7"/>
      <c r="R127" s="7"/>
      <c r="S127" s="7"/>
      <c r="T127" s="7"/>
      <c r="U127" s="7"/>
      <c r="W127" s="7"/>
      <c r="AA127" s="168" t="s">
        <v>2748</v>
      </c>
    </row>
    <row r="128" spans="1:27" ht="15.75" customHeight="1">
      <c r="A128" s="308">
        <v>35</v>
      </c>
      <c r="B128" s="7"/>
      <c r="C128" s="33"/>
      <c r="D128" s="7"/>
      <c r="E128" s="7" t="s">
        <v>6871</v>
      </c>
      <c r="F128" s="7"/>
      <c r="G128" s="7"/>
      <c r="H128" s="7"/>
      <c r="I128" s="7"/>
      <c r="J128" s="7"/>
      <c r="K128" s="7"/>
      <c r="L128" s="7"/>
      <c r="M128" s="7"/>
      <c r="N128" s="7"/>
      <c r="O128" s="7"/>
      <c r="P128" s="7"/>
      <c r="Q128" s="7"/>
      <c r="R128" s="7"/>
      <c r="S128" s="7"/>
      <c r="T128" s="7"/>
      <c r="U128" s="7"/>
      <c r="W128" s="7"/>
      <c r="AA128" s="168" t="s">
        <v>2749</v>
      </c>
    </row>
    <row r="129" spans="1:27" ht="15.75" customHeight="1">
      <c r="A129" s="308">
        <v>36</v>
      </c>
      <c r="B129" s="7"/>
      <c r="C129" s="33"/>
      <c r="D129" s="7"/>
      <c r="E129" s="7" t="s">
        <v>6872</v>
      </c>
      <c r="F129" s="7"/>
      <c r="G129" s="7"/>
      <c r="H129" s="7"/>
      <c r="I129" s="7"/>
      <c r="J129" s="7"/>
      <c r="K129" s="7"/>
      <c r="L129" s="7"/>
      <c r="M129" s="7"/>
      <c r="N129" s="7"/>
      <c r="O129" s="7"/>
      <c r="P129" s="7"/>
      <c r="Q129" s="7"/>
      <c r="R129" s="7"/>
      <c r="S129" s="7"/>
      <c r="T129" s="7"/>
      <c r="U129" s="7"/>
      <c r="W129" s="7"/>
      <c r="AA129" s="168" t="s">
        <v>2750</v>
      </c>
    </row>
    <row r="130" spans="1:27" ht="15.75" customHeight="1">
      <c r="A130" s="308">
        <v>37</v>
      </c>
      <c r="B130" s="7"/>
      <c r="C130" s="33"/>
      <c r="D130" s="7"/>
      <c r="E130" s="7" t="s">
        <v>6873</v>
      </c>
      <c r="F130" s="7"/>
      <c r="G130" s="7"/>
      <c r="H130" s="7"/>
      <c r="I130" s="7"/>
      <c r="J130" s="7"/>
      <c r="K130" s="7"/>
      <c r="L130" s="7"/>
      <c r="M130" s="7"/>
      <c r="N130" s="7"/>
      <c r="O130" s="7"/>
      <c r="P130" s="7"/>
      <c r="Q130" s="7"/>
      <c r="R130" s="7"/>
      <c r="S130" s="7"/>
      <c r="T130" s="7"/>
      <c r="U130" s="7"/>
      <c r="W130" s="7"/>
      <c r="AA130" s="168" t="s">
        <v>2751</v>
      </c>
    </row>
    <row r="131" spans="1:27" ht="15.75" customHeight="1">
      <c r="A131" s="308">
        <v>38</v>
      </c>
      <c r="B131" s="7"/>
      <c r="C131" s="33"/>
      <c r="D131" s="7"/>
      <c r="E131" s="7" t="s">
        <v>6874</v>
      </c>
      <c r="F131" s="7"/>
      <c r="G131" s="7"/>
      <c r="H131" s="7"/>
      <c r="I131" s="7"/>
      <c r="J131" s="7"/>
      <c r="K131" s="7"/>
      <c r="L131" s="7"/>
      <c r="M131" s="7"/>
      <c r="N131" s="7"/>
      <c r="O131" s="7"/>
      <c r="P131" s="7"/>
      <c r="Q131" s="7"/>
      <c r="R131" s="7"/>
      <c r="S131" s="7"/>
      <c r="T131" s="7"/>
      <c r="U131" s="7"/>
      <c r="W131" s="7"/>
      <c r="AA131" s="168" t="s">
        <v>2752</v>
      </c>
    </row>
    <row r="132" spans="1:27" ht="15.75" customHeight="1">
      <c r="A132" s="308">
        <v>39</v>
      </c>
      <c r="B132" s="7"/>
      <c r="C132" s="33"/>
      <c r="D132" s="7"/>
      <c r="E132" s="7" t="s">
        <v>6875</v>
      </c>
      <c r="F132" s="7"/>
      <c r="G132" s="7"/>
      <c r="H132" s="7"/>
      <c r="I132" s="7"/>
      <c r="J132" s="7"/>
      <c r="K132" s="7"/>
      <c r="L132" s="7"/>
      <c r="M132" s="7"/>
      <c r="N132" s="7"/>
      <c r="O132" s="7"/>
      <c r="P132" s="7"/>
      <c r="Q132" s="7"/>
      <c r="R132" s="7"/>
      <c r="S132" s="7"/>
      <c r="T132" s="7"/>
      <c r="U132" s="7"/>
      <c r="W132" s="7"/>
      <c r="AA132" s="168" t="s">
        <v>2753</v>
      </c>
    </row>
    <row r="133" spans="1:27" ht="15.75" customHeight="1">
      <c r="A133" s="308">
        <v>40</v>
      </c>
      <c r="B133" s="7"/>
      <c r="C133" s="33"/>
      <c r="D133" s="7"/>
      <c r="E133" s="7" t="s">
        <v>6876</v>
      </c>
      <c r="F133" s="7"/>
      <c r="G133" s="7"/>
      <c r="H133" s="7"/>
      <c r="I133" s="7"/>
      <c r="J133" s="7"/>
      <c r="K133" s="7"/>
      <c r="L133" s="7"/>
      <c r="M133" s="7"/>
      <c r="N133" s="7"/>
      <c r="O133" s="7"/>
      <c r="P133" s="7"/>
      <c r="Q133" s="7"/>
      <c r="R133" s="7"/>
      <c r="S133" s="7"/>
      <c r="T133" s="7"/>
      <c r="U133" s="7"/>
      <c r="W133" s="7"/>
      <c r="AA133" s="168" t="s">
        <v>2754</v>
      </c>
    </row>
    <row r="134" spans="1:27" ht="15.75" customHeight="1">
      <c r="A134" s="308">
        <v>41</v>
      </c>
      <c r="B134" s="7"/>
      <c r="C134" s="33"/>
      <c r="D134" s="7"/>
      <c r="E134" s="7" t="s">
        <v>6877</v>
      </c>
      <c r="F134" s="7"/>
      <c r="G134" s="7"/>
      <c r="H134" s="7"/>
      <c r="I134" s="7"/>
      <c r="J134" s="7"/>
      <c r="K134" s="7"/>
      <c r="L134" s="7"/>
      <c r="M134" s="7"/>
      <c r="N134" s="7"/>
      <c r="O134" s="7"/>
      <c r="P134" s="7"/>
      <c r="Q134" s="7"/>
      <c r="R134" s="7"/>
      <c r="S134" s="7"/>
      <c r="T134" s="7"/>
      <c r="U134" s="7"/>
      <c r="W134" s="7"/>
      <c r="AA134" s="168" t="s">
        <v>2755</v>
      </c>
    </row>
    <row r="135" spans="1:27" ht="15.75" customHeight="1">
      <c r="A135" s="308">
        <v>42</v>
      </c>
      <c r="B135" s="7"/>
      <c r="C135" s="33"/>
      <c r="D135" s="7"/>
      <c r="E135" s="7" t="s">
        <v>6878</v>
      </c>
      <c r="F135" s="7"/>
      <c r="G135" s="7"/>
      <c r="H135" s="7"/>
      <c r="I135" s="7"/>
      <c r="J135" s="7"/>
      <c r="K135" s="7"/>
      <c r="L135" s="7"/>
      <c r="M135" s="7"/>
      <c r="N135" s="7"/>
      <c r="O135" s="7"/>
      <c r="P135" s="7"/>
      <c r="Q135" s="7"/>
      <c r="R135" s="7"/>
      <c r="S135" s="7"/>
      <c r="T135" s="7"/>
      <c r="U135" s="7"/>
      <c r="W135" s="7"/>
      <c r="AA135" s="168" t="s">
        <v>2756</v>
      </c>
    </row>
    <row r="136" spans="1:27" ht="15.75" customHeight="1">
      <c r="A136" s="308">
        <v>43</v>
      </c>
      <c r="B136" s="7"/>
      <c r="C136" s="33"/>
      <c r="D136" s="7"/>
      <c r="E136" s="7" t="s">
        <v>6879</v>
      </c>
      <c r="F136" s="7"/>
      <c r="G136" s="7"/>
      <c r="H136" s="7"/>
      <c r="I136" s="7"/>
      <c r="J136" s="7"/>
      <c r="K136" s="7"/>
      <c r="L136" s="7"/>
      <c r="M136" s="7"/>
      <c r="N136" s="7"/>
      <c r="O136" s="7"/>
      <c r="P136" s="7"/>
      <c r="Q136" s="7"/>
      <c r="R136" s="7"/>
      <c r="S136" s="7"/>
      <c r="T136" s="7"/>
      <c r="U136" s="7"/>
      <c r="W136" s="7"/>
      <c r="AA136" s="168" t="s">
        <v>2757</v>
      </c>
    </row>
    <row r="137" spans="1:27" ht="15.75" customHeight="1">
      <c r="A137" s="308">
        <v>44</v>
      </c>
      <c r="B137" s="7"/>
      <c r="C137" s="33"/>
      <c r="D137" s="7"/>
      <c r="E137" s="7" t="s">
        <v>6880</v>
      </c>
      <c r="F137" s="7"/>
      <c r="G137" s="7"/>
      <c r="H137" s="7"/>
      <c r="I137" s="7"/>
      <c r="J137" s="7"/>
      <c r="K137" s="7"/>
      <c r="L137" s="7"/>
      <c r="M137" s="7"/>
      <c r="N137" s="7"/>
      <c r="O137" s="7"/>
      <c r="P137" s="7"/>
      <c r="Q137" s="7"/>
      <c r="R137" s="7"/>
      <c r="S137" s="7"/>
      <c r="T137" s="7"/>
      <c r="U137" s="7"/>
      <c r="W137" s="7"/>
      <c r="AA137" s="168" t="s">
        <v>2758</v>
      </c>
    </row>
    <row r="138" spans="1:27" ht="15.75" customHeight="1">
      <c r="A138" s="308">
        <v>45</v>
      </c>
      <c r="B138" s="7"/>
      <c r="C138" s="33"/>
      <c r="D138" s="7"/>
      <c r="E138" s="7" t="s">
        <v>6881</v>
      </c>
      <c r="F138" s="7"/>
      <c r="G138" s="7"/>
      <c r="H138" s="7"/>
      <c r="I138" s="7"/>
      <c r="J138" s="7"/>
      <c r="K138" s="7"/>
      <c r="L138" s="7"/>
      <c r="M138" s="7"/>
      <c r="N138" s="7"/>
      <c r="O138" s="7"/>
      <c r="P138" s="7"/>
      <c r="Q138" s="7"/>
      <c r="R138" s="7"/>
      <c r="S138" s="7"/>
      <c r="T138" s="7"/>
      <c r="U138" s="7"/>
      <c r="W138" s="7"/>
      <c r="AA138" s="168" t="s">
        <v>2759</v>
      </c>
    </row>
    <row r="139" spans="1:27" ht="15.75" customHeight="1">
      <c r="A139" s="308">
        <v>46</v>
      </c>
      <c r="B139" s="7"/>
      <c r="C139" s="33"/>
      <c r="D139" s="7"/>
      <c r="E139" s="7" t="s">
        <v>6882</v>
      </c>
      <c r="F139" s="7"/>
      <c r="G139" s="7"/>
      <c r="H139" s="7"/>
      <c r="I139" s="7"/>
      <c r="J139" s="7"/>
      <c r="K139" s="7"/>
      <c r="L139" s="7"/>
      <c r="M139" s="7"/>
      <c r="N139" s="7"/>
      <c r="O139" s="7"/>
      <c r="P139" s="7"/>
      <c r="Q139" s="7"/>
      <c r="R139" s="7"/>
      <c r="S139" s="7"/>
      <c r="T139" s="7"/>
      <c r="U139" s="7"/>
      <c r="W139" s="7"/>
      <c r="AA139" s="168" t="s">
        <v>2760</v>
      </c>
    </row>
    <row r="140" spans="1:27" ht="15.75" customHeight="1">
      <c r="A140" s="8"/>
      <c r="B140" s="7"/>
      <c r="C140" s="33"/>
      <c r="D140" s="7"/>
      <c r="E140" s="7"/>
      <c r="F140" s="7"/>
      <c r="G140" s="7"/>
      <c r="H140" s="7"/>
      <c r="I140" s="7"/>
      <c r="J140" s="7"/>
      <c r="K140" s="7"/>
      <c r="L140" s="7"/>
      <c r="M140" s="7"/>
      <c r="N140" s="7"/>
      <c r="O140" s="7"/>
      <c r="P140" s="7"/>
      <c r="Q140" s="7"/>
      <c r="R140" s="7"/>
      <c r="S140" s="7"/>
      <c r="T140" s="7"/>
      <c r="U140" s="7"/>
      <c r="W140" s="7"/>
      <c r="AA140" s="168" t="s">
        <v>2761</v>
      </c>
    </row>
    <row r="141" spans="1:27" ht="15.75" customHeight="1">
      <c r="A141" s="8"/>
      <c r="B141" s="7"/>
      <c r="C141" s="33"/>
      <c r="D141" s="7"/>
      <c r="E141" s="7"/>
      <c r="F141" s="7"/>
      <c r="G141" s="7"/>
      <c r="H141" s="7"/>
      <c r="I141" s="7"/>
      <c r="J141" s="7"/>
      <c r="K141" s="7"/>
      <c r="L141" s="7"/>
      <c r="M141" s="7"/>
      <c r="N141" s="7"/>
      <c r="O141" s="7"/>
      <c r="P141" s="7"/>
      <c r="Q141" s="7"/>
      <c r="R141" s="7"/>
      <c r="S141" s="7"/>
      <c r="T141" s="7"/>
      <c r="U141" s="7"/>
      <c r="W141" s="7"/>
      <c r="AA141" s="168" t="s">
        <v>2762</v>
      </c>
    </row>
    <row r="142" spans="1:27" ht="15.75" customHeight="1">
      <c r="A142" s="8"/>
      <c r="B142" s="7"/>
      <c r="C142" s="33"/>
      <c r="D142" s="7"/>
      <c r="E142" s="7"/>
      <c r="F142" s="7"/>
      <c r="G142" s="7"/>
      <c r="H142" s="7"/>
      <c r="I142" s="7"/>
      <c r="J142" s="7"/>
      <c r="K142" s="7"/>
      <c r="L142" s="7"/>
      <c r="M142" s="7"/>
      <c r="N142" s="7"/>
      <c r="O142" s="7"/>
      <c r="P142" s="7"/>
      <c r="Q142" s="7"/>
      <c r="R142" s="7"/>
      <c r="S142" s="7"/>
      <c r="T142" s="7"/>
      <c r="U142" s="7"/>
      <c r="W142" s="7"/>
      <c r="AA142" s="168" t="s">
        <v>2763</v>
      </c>
    </row>
    <row r="143" spans="1:27" ht="15.75" customHeight="1">
      <c r="A143" s="8"/>
      <c r="B143" s="7"/>
      <c r="C143" s="33"/>
      <c r="D143" s="7"/>
      <c r="E143" s="7"/>
      <c r="F143" s="7"/>
      <c r="G143" s="7"/>
      <c r="H143" s="7"/>
      <c r="I143" s="7"/>
      <c r="J143" s="7"/>
      <c r="K143" s="7"/>
      <c r="L143" s="7"/>
      <c r="M143" s="7"/>
      <c r="N143" s="7"/>
      <c r="O143" s="7"/>
      <c r="P143" s="7"/>
      <c r="Q143" s="7"/>
      <c r="R143" s="7"/>
      <c r="S143" s="7"/>
      <c r="T143" s="7"/>
      <c r="U143" s="7"/>
      <c r="W143" s="7"/>
      <c r="AA143" s="168" t="s">
        <v>2764</v>
      </c>
    </row>
    <row r="144" spans="1:27" ht="15.75" customHeight="1">
      <c r="A144" s="8"/>
      <c r="B144" s="7"/>
      <c r="C144" s="33"/>
      <c r="D144" s="7"/>
      <c r="E144" s="7"/>
      <c r="F144" s="7"/>
      <c r="G144" s="7"/>
      <c r="H144" s="7"/>
      <c r="I144" s="7"/>
      <c r="J144" s="7"/>
      <c r="K144" s="7"/>
      <c r="L144" s="7"/>
      <c r="M144" s="7"/>
      <c r="N144" s="7"/>
      <c r="O144" s="7"/>
      <c r="P144" s="7"/>
      <c r="Q144" s="7"/>
      <c r="R144" s="7"/>
      <c r="S144" s="7"/>
      <c r="T144" s="7"/>
      <c r="U144" s="7"/>
      <c r="W144" s="7"/>
      <c r="AA144" s="168" t="s">
        <v>2765</v>
      </c>
    </row>
    <row r="145" spans="1:27" ht="15.75" customHeight="1">
      <c r="A145" s="8"/>
      <c r="B145" s="7"/>
      <c r="C145" s="33"/>
      <c r="D145" s="7"/>
      <c r="E145" s="7"/>
      <c r="F145" s="7"/>
      <c r="G145" s="7"/>
      <c r="H145" s="7"/>
      <c r="I145" s="7"/>
      <c r="J145" s="7"/>
      <c r="K145" s="7"/>
      <c r="L145" s="7"/>
      <c r="M145" s="7"/>
      <c r="N145" s="7"/>
      <c r="O145" s="7"/>
      <c r="P145" s="7"/>
      <c r="Q145" s="7"/>
      <c r="R145" s="7"/>
      <c r="S145" s="7"/>
      <c r="T145" s="7"/>
      <c r="U145" s="7"/>
      <c r="W145" s="7"/>
      <c r="AA145" s="168" t="s">
        <v>2766</v>
      </c>
    </row>
    <row r="146" spans="1:27" ht="15.75" customHeight="1">
      <c r="A146" s="8"/>
      <c r="B146" s="7"/>
      <c r="C146" s="33"/>
      <c r="D146" s="7"/>
      <c r="E146" s="7"/>
      <c r="F146" s="7"/>
      <c r="G146" s="7"/>
      <c r="H146" s="7"/>
      <c r="I146" s="7"/>
      <c r="J146" s="7"/>
      <c r="K146" s="7"/>
      <c r="L146" s="7"/>
      <c r="M146" s="7"/>
      <c r="N146" s="7"/>
      <c r="O146" s="7"/>
      <c r="P146" s="7"/>
      <c r="Q146" s="7"/>
      <c r="R146" s="7"/>
      <c r="S146" s="7"/>
      <c r="T146" s="7"/>
      <c r="U146" s="7"/>
      <c r="W146" s="7"/>
      <c r="AA146" s="168" t="s">
        <v>2767</v>
      </c>
    </row>
    <row r="147" spans="1:27" ht="15.75" customHeight="1">
      <c r="A147" s="8"/>
      <c r="B147" s="7"/>
      <c r="C147" s="33"/>
      <c r="D147" s="7"/>
      <c r="E147" s="7"/>
      <c r="F147" s="7"/>
      <c r="G147" s="7"/>
      <c r="H147" s="7"/>
      <c r="I147" s="7"/>
      <c r="J147" s="7"/>
      <c r="K147" s="7"/>
      <c r="L147" s="7"/>
      <c r="M147" s="7"/>
      <c r="N147" s="7"/>
      <c r="O147" s="7"/>
      <c r="P147" s="7"/>
      <c r="Q147" s="7"/>
      <c r="R147" s="7"/>
      <c r="S147" s="7"/>
      <c r="T147" s="7"/>
      <c r="U147" s="7"/>
      <c r="W147" s="7"/>
      <c r="AA147" s="168" t="s">
        <v>2768</v>
      </c>
    </row>
    <row r="148" spans="1:27" ht="15.75" customHeight="1">
      <c r="A148" s="8"/>
      <c r="B148" s="7"/>
      <c r="C148" s="33"/>
      <c r="D148" s="7"/>
      <c r="E148" s="7"/>
      <c r="F148" s="7"/>
      <c r="G148" s="7"/>
      <c r="H148" s="7"/>
      <c r="I148" s="7"/>
      <c r="J148" s="7"/>
      <c r="K148" s="7"/>
      <c r="L148" s="7"/>
      <c r="M148" s="7"/>
      <c r="N148" s="7"/>
      <c r="O148" s="7"/>
      <c r="P148" s="7"/>
      <c r="Q148" s="7"/>
      <c r="R148" s="7"/>
      <c r="S148" s="7"/>
      <c r="T148" s="7"/>
      <c r="U148" s="7"/>
      <c r="W148" s="7"/>
      <c r="AA148" s="168" t="s">
        <v>2769</v>
      </c>
    </row>
    <row r="149" spans="1:27" ht="15.75" customHeight="1">
      <c r="A149" s="8"/>
      <c r="B149" s="7"/>
      <c r="C149" s="33"/>
      <c r="D149" s="7"/>
      <c r="E149" s="7"/>
      <c r="F149" s="7"/>
      <c r="G149" s="7"/>
      <c r="H149" s="7"/>
      <c r="I149" s="7"/>
      <c r="J149" s="7"/>
      <c r="K149" s="7"/>
      <c r="L149" s="7"/>
      <c r="M149" s="7"/>
      <c r="N149" s="7"/>
      <c r="O149" s="7"/>
      <c r="P149" s="7"/>
      <c r="Q149" s="7"/>
      <c r="R149" s="7"/>
      <c r="S149" s="7"/>
      <c r="T149" s="7"/>
      <c r="U149" s="7"/>
      <c r="W149" s="7"/>
      <c r="AA149" s="168" t="s">
        <v>2770</v>
      </c>
    </row>
    <row r="150" spans="1:27" ht="15.75" customHeight="1">
      <c r="A150" s="8"/>
      <c r="B150" s="7"/>
      <c r="C150" s="33"/>
      <c r="D150" s="7"/>
      <c r="E150" s="7"/>
      <c r="F150" s="7"/>
      <c r="G150" s="7"/>
      <c r="H150" s="7"/>
      <c r="I150" s="7"/>
      <c r="J150" s="7"/>
      <c r="K150" s="7"/>
      <c r="L150" s="7"/>
      <c r="M150" s="7"/>
      <c r="N150" s="7"/>
      <c r="O150" s="7"/>
      <c r="P150" s="7"/>
      <c r="Q150" s="7"/>
      <c r="R150" s="7"/>
      <c r="S150" s="7"/>
      <c r="T150" s="7"/>
      <c r="U150" s="7"/>
      <c r="W150" s="7"/>
      <c r="AA150" s="168" t="s">
        <v>2771</v>
      </c>
    </row>
    <row r="151" spans="1:27" ht="15.75" customHeight="1">
      <c r="A151" s="8"/>
      <c r="B151" s="7"/>
      <c r="C151" s="33"/>
      <c r="D151" s="7"/>
      <c r="E151" s="7"/>
      <c r="F151" s="7"/>
      <c r="G151" s="7"/>
      <c r="H151" s="7"/>
      <c r="I151" s="7"/>
      <c r="J151" s="7"/>
      <c r="K151" s="7"/>
      <c r="L151" s="7"/>
      <c r="M151" s="7"/>
      <c r="N151" s="7"/>
      <c r="O151" s="7"/>
      <c r="P151" s="7"/>
      <c r="Q151" s="7"/>
      <c r="R151" s="7"/>
      <c r="S151" s="7"/>
      <c r="T151" s="7"/>
      <c r="U151" s="7"/>
      <c r="W151" s="7"/>
      <c r="AA151" s="168" t="s">
        <v>2772</v>
      </c>
    </row>
    <row r="152" spans="1:27" ht="15.75" customHeight="1">
      <c r="A152" s="8"/>
      <c r="B152" s="7"/>
      <c r="C152" s="33"/>
      <c r="D152" s="7"/>
      <c r="E152" s="7"/>
      <c r="F152" s="7"/>
      <c r="G152" s="7"/>
      <c r="H152" s="7"/>
      <c r="I152" s="7"/>
      <c r="J152" s="7"/>
      <c r="K152" s="7"/>
      <c r="L152" s="7"/>
      <c r="M152" s="7"/>
      <c r="N152" s="7"/>
      <c r="O152" s="7"/>
      <c r="P152" s="7"/>
      <c r="Q152" s="7"/>
      <c r="R152" s="7"/>
      <c r="S152" s="7"/>
      <c r="T152" s="7"/>
      <c r="U152" s="7"/>
      <c r="W152" s="7"/>
      <c r="AA152" s="168" t="s">
        <v>2773</v>
      </c>
    </row>
    <row r="153" spans="1:27" ht="15.75" customHeight="1">
      <c r="A153" s="8"/>
      <c r="B153" s="7"/>
      <c r="C153" s="33"/>
      <c r="D153" s="7"/>
      <c r="E153" s="7"/>
      <c r="F153" s="7"/>
      <c r="G153" s="7"/>
      <c r="H153" s="7"/>
      <c r="I153" s="7"/>
      <c r="J153" s="7"/>
      <c r="K153" s="7"/>
      <c r="L153" s="7"/>
      <c r="M153" s="7"/>
      <c r="N153" s="7"/>
      <c r="O153" s="7"/>
      <c r="P153" s="7"/>
      <c r="Q153" s="7"/>
      <c r="R153" s="7"/>
      <c r="S153" s="7"/>
      <c r="T153" s="7"/>
      <c r="U153" s="7"/>
      <c r="W153" s="7"/>
      <c r="AA153" s="168" t="s">
        <v>2774</v>
      </c>
    </row>
    <row r="154" spans="1:27" ht="15.75" customHeight="1">
      <c r="A154" s="8"/>
      <c r="B154" s="7"/>
      <c r="C154" s="33"/>
      <c r="D154" s="7"/>
      <c r="E154" s="7"/>
      <c r="F154" s="7"/>
      <c r="G154" s="7"/>
      <c r="H154" s="7"/>
      <c r="I154" s="7"/>
      <c r="J154" s="7"/>
      <c r="K154" s="7"/>
      <c r="L154" s="7"/>
      <c r="M154" s="7"/>
      <c r="N154" s="7"/>
      <c r="O154" s="7"/>
      <c r="P154" s="7"/>
      <c r="Q154" s="7"/>
      <c r="R154" s="7"/>
      <c r="S154" s="7"/>
      <c r="T154" s="7"/>
      <c r="U154" s="7"/>
      <c r="W154" s="7"/>
      <c r="AA154" s="168" t="s">
        <v>2775</v>
      </c>
    </row>
    <row r="155" spans="1:27" ht="15.75" customHeight="1">
      <c r="A155" s="8"/>
      <c r="B155" s="7"/>
      <c r="C155" s="33"/>
      <c r="D155" s="7"/>
      <c r="E155" s="7"/>
      <c r="F155" s="7"/>
      <c r="G155" s="7"/>
      <c r="H155" s="7"/>
      <c r="I155" s="7"/>
      <c r="J155" s="7"/>
      <c r="K155" s="7"/>
      <c r="L155" s="7"/>
      <c r="M155" s="7"/>
      <c r="N155" s="7"/>
      <c r="O155" s="7"/>
      <c r="P155" s="7"/>
      <c r="Q155" s="7"/>
      <c r="R155" s="7"/>
      <c r="S155" s="7"/>
      <c r="T155" s="7"/>
      <c r="U155" s="7"/>
      <c r="W155" s="7"/>
      <c r="AA155" s="168" t="s">
        <v>2776</v>
      </c>
    </row>
    <row r="156" spans="1:27" ht="15.75" customHeight="1">
      <c r="A156" s="8"/>
      <c r="B156" s="7"/>
      <c r="C156" s="33"/>
      <c r="D156" s="7"/>
      <c r="E156" s="7"/>
      <c r="F156" s="7"/>
      <c r="G156" s="7"/>
      <c r="H156" s="7"/>
      <c r="I156" s="7"/>
      <c r="J156" s="7"/>
      <c r="K156" s="7"/>
      <c r="L156" s="7"/>
      <c r="M156" s="7"/>
      <c r="N156" s="7"/>
      <c r="O156" s="7"/>
      <c r="P156" s="7"/>
      <c r="Q156" s="7"/>
      <c r="R156" s="7"/>
      <c r="S156" s="7"/>
      <c r="T156" s="7"/>
      <c r="U156" s="7"/>
      <c r="W156" s="7"/>
      <c r="AA156" s="168" t="s">
        <v>2777</v>
      </c>
    </row>
    <row r="157" spans="1:27" ht="15.75" customHeight="1">
      <c r="A157" s="8"/>
      <c r="B157" s="7"/>
      <c r="C157" s="33"/>
      <c r="D157" s="7"/>
      <c r="E157" s="7"/>
      <c r="F157" s="7"/>
      <c r="G157" s="7"/>
      <c r="H157" s="7"/>
      <c r="I157" s="7"/>
      <c r="J157" s="7"/>
      <c r="K157" s="7"/>
      <c r="L157" s="7"/>
      <c r="M157" s="7"/>
      <c r="N157" s="7"/>
      <c r="O157" s="7"/>
      <c r="P157" s="7"/>
      <c r="Q157" s="7"/>
      <c r="R157" s="7"/>
      <c r="S157" s="7"/>
      <c r="T157" s="7"/>
      <c r="U157" s="7"/>
      <c r="W157" s="7"/>
      <c r="AA157" s="168" t="s">
        <v>2778</v>
      </c>
    </row>
    <row r="158" spans="1:27" ht="15.75" customHeight="1">
      <c r="A158" s="8"/>
      <c r="B158" s="7"/>
      <c r="C158" s="33"/>
      <c r="D158" s="7"/>
      <c r="E158" s="7"/>
      <c r="F158" s="7"/>
      <c r="G158" s="7"/>
      <c r="H158" s="7"/>
      <c r="I158" s="7"/>
      <c r="J158" s="7"/>
      <c r="K158" s="7"/>
      <c r="L158" s="7"/>
      <c r="M158" s="7"/>
      <c r="N158" s="7"/>
      <c r="O158" s="7"/>
      <c r="P158" s="7"/>
      <c r="Q158" s="7"/>
      <c r="R158" s="7"/>
      <c r="S158" s="7"/>
      <c r="T158" s="7"/>
      <c r="U158" s="7"/>
      <c r="W158" s="7"/>
      <c r="AA158" s="168" t="s">
        <v>2779</v>
      </c>
    </row>
    <row r="159" spans="1:27" ht="15.75" customHeight="1">
      <c r="A159" s="8"/>
      <c r="B159" s="7"/>
      <c r="C159" s="33"/>
      <c r="D159" s="7"/>
      <c r="E159" s="7"/>
      <c r="F159" s="7"/>
      <c r="G159" s="7"/>
      <c r="H159" s="7"/>
      <c r="I159" s="7"/>
      <c r="J159" s="7"/>
      <c r="K159" s="7"/>
      <c r="L159" s="7"/>
      <c r="M159" s="7"/>
      <c r="N159" s="7"/>
      <c r="O159" s="7"/>
      <c r="P159" s="7"/>
      <c r="Q159" s="7"/>
      <c r="R159" s="7"/>
      <c r="S159" s="7"/>
      <c r="T159" s="7"/>
      <c r="U159" s="7"/>
      <c r="W159" s="7"/>
      <c r="AA159" s="168" t="s">
        <v>2780</v>
      </c>
    </row>
    <row r="160" spans="1:27" ht="15.75" customHeight="1">
      <c r="A160" s="8"/>
      <c r="B160" s="7"/>
      <c r="C160" s="33"/>
      <c r="D160" s="7"/>
      <c r="E160" s="7"/>
      <c r="F160" s="7"/>
      <c r="G160" s="7"/>
      <c r="H160" s="7"/>
      <c r="I160" s="7"/>
      <c r="J160" s="7"/>
      <c r="K160" s="7"/>
      <c r="L160" s="7"/>
      <c r="M160" s="7"/>
      <c r="N160" s="7"/>
      <c r="O160" s="7"/>
      <c r="P160" s="7"/>
      <c r="Q160" s="7"/>
      <c r="R160" s="7"/>
      <c r="S160" s="7"/>
      <c r="T160" s="7"/>
      <c r="U160" s="7"/>
      <c r="W160" s="7"/>
      <c r="AA160" s="168" t="s">
        <v>2781</v>
      </c>
    </row>
    <row r="161" spans="1:27" ht="15.75" customHeight="1">
      <c r="A161" s="8"/>
      <c r="B161" s="7"/>
      <c r="C161" s="33"/>
      <c r="D161" s="7"/>
      <c r="E161" s="7"/>
      <c r="F161" s="7"/>
      <c r="G161" s="7"/>
      <c r="H161" s="7"/>
      <c r="I161" s="7"/>
      <c r="J161" s="7"/>
      <c r="K161" s="7"/>
      <c r="L161" s="7"/>
      <c r="M161" s="7"/>
      <c r="N161" s="7"/>
      <c r="O161" s="7"/>
      <c r="P161" s="7"/>
      <c r="Q161" s="7"/>
      <c r="R161" s="7"/>
      <c r="S161" s="7"/>
      <c r="T161" s="7"/>
      <c r="U161" s="7"/>
      <c r="W161" s="7"/>
      <c r="AA161" s="168" t="s">
        <v>2782</v>
      </c>
    </row>
    <row r="162" spans="1:27" ht="15.75" customHeight="1">
      <c r="A162" s="8"/>
      <c r="B162" s="7"/>
      <c r="C162" s="33"/>
      <c r="D162" s="7"/>
      <c r="E162" s="7"/>
      <c r="F162" s="7"/>
      <c r="G162" s="7"/>
      <c r="H162" s="7"/>
      <c r="I162" s="7"/>
      <c r="J162" s="7"/>
      <c r="K162" s="7"/>
      <c r="L162" s="7"/>
      <c r="M162" s="7"/>
      <c r="N162" s="7"/>
      <c r="O162" s="7"/>
      <c r="P162" s="7"/>
      <c r="Q162" s="7"/>
      <c r="R162" s="7"/>
      <c r="S162" s="7"/>
      <c r="T162" s="7"/>
      <c r="U162" s="7"/>
      <c r="W162" s="7"/>
      <c r="AA162" s="168" t="s">
        <v>2783</v>
      </c>
    </row>
    <row r="163" spans="1:27" ht="15.75" customHeight="1">
      <c r="A163" s="8"/>
      <c r="B163" s="7"/>
      <c r="C163" s="33"/>
      <c r="D163" s="7"/>
      <c r="E163" s="7"/>
      <c r="F163" s="7"/>
      <c r="G163" s="7"/>
      <c r="H163" s="7"/>
      <c r="I163" s="7"/>
      <c r="J163" s="7"/>
      <c r="K163" s="7"/>
      <c r="L163" s="7"/>
      <c r="M163" s="7"/>
      <c r="N163" s="7"/>
      <c r="O163" s="7"/>
      <c r="P163" s="7"/>
      <c r="Q163" s="7"/>
      <c r="R163" s="7"/>
      <c r="S163" s="7"/>
      <c r="T163" s="7"/>
      <c r="U163" s="7"/>
      <c r="W163" s="7"/>
      <c r="AA163" s="168" t="s">
        <v>2784</v>
      </c>
    </row>
    <row r="164" spans="1:27" ht="15.75" customHeight="1">
      <c r="A164" s="8"/>
      <c r="B164" s="7"/>
      <c r="C164" s="33"/>
      <c r="D164" s="7"/>
      <c r="E164" s="7"/>
      <c r="F164" s="7"/>
      <c r="G164" s="7"/>
      <c r="H164" s="7"/>
      <c r="I164" s="7"/>
      <c r="J164" s="7"/>
      <c r="K164" s="7"/>
      <c r="L164" s="7"/>
      <c r="M164" s="7"/>
      <c r="N164" s="7"/>
      <c r="O164" s="7"/>
      <c r="P164" s="7"/>
      <c r="Q164" s="7"/>
      <c r="R164" s="7"/>
      <c r="S164" s="7"/>
      <c r="T164" s="7"/>
      <c r="U164" s="7"/>
      <c r="W164" s="7"/>
      <c r="AA164" s="168" t="s">
        <v>2785</v>
      </c>
    </row>
    <row r="165" spans="1:27" ht="15.75" customHeight="1">
      <c r="A165" s="8"/>
      <c r="B165" s="7"/>
      <c r="C165" s="33"/>
      <c r="D165" s="7"/>
      <c r="E165" s="7"/>
      <c r="F165" s="7"/>
      <c r="G165" s="7"/>
      <c r="H165" s="7"/>
      <c r="I165" s="7"/>
      <c r="J165" s="7"/>
      <c r="K165" s="7"/>
      <c r="L165" s="7"/>
      <c r="M165" s="7"/>
      <c r="N165" s="7"/>
      <c r="O165" s="7"/>
      <c r="P165" s="7"/>
      <c r="Q165" s="7"/>
      <c r="R165" s="7"/>
      <c r="S165" s="7"/>
      <c r="T165" s="7"/>
      <c r="U165" s="7"/>
      <c r="W165" s="7"/>
      <c r="AA165" s="168" t="s">
        <v>2786</v>
      </c>
    </row>
    <row r="166" spans="1:27" ht="15.75" customHeight="1">
      <c r="A166" s="8"/>
      <c r="B166" s="7"/>
      <c r="C166" s="33"/>
      <c r="D166" s="7"/>
      <c r="E166" s="7"/>
      <c r="F166" s="7"/>
      <c r="G166" s="7"/>
      <c r="H166" s="7"/>
      <c r="I166" s="7"/>
      <c r="J166" s="7"/>
      <c r="K166" s="7"/>
      <c r="L166" s="7"/>
      <c r="M166" s="7"/>
      <c r="N166" s="7"/>
      <c r="O166" s="7"/>
      <c r="P166" s="7"/>
      <c r="Q166" s="7"/>
      <c r="R166" s="7"/>
      <c r="S166" s="7"/>
      <c r="T166" s="7"/>
      <c r="U166" s="7"/>
      <c r="W166" s="7"/>
      <c r="AA166" s="168" t="s">
        <v>2787</v>
      </c>
    </row>
    <row r="167" spans="1:27" ht="15.75" customHeight="1">
      <c r="A167" s="8"/>
      <c r="B167" s="7"/>
      <c r="C167" s="33"/>
      <c r="D167" s="7"/>
      <c r="E167" s="7"/>
      <c r="F167" s="7"/>
      <c r="G167" s="7"/>
      <c r="H167" s="7"/>
      <c r="I167" s="7"/>
      <c r="J167" s="7"/>
      <c r="K167" s="7"/>
      <c r="L167" s="7"/>
      <c r="M167" s="7"/>
      <c r="N167" s="7"/>
      <c r="O167" s="7"/>
      <c r="P167" s="7"/>
      <c r="Q167" s="7"/>
      <c r="R167" s="7"/>
      <c r="S167" s="7"/>
      <c r="T167" s="7"/>
      <c r="U167" s="7"/>
      <c r="W167" s="7"/>
      <c r="AA167" s="168" t="s">
        <v>2788</v>
      </c>
    </row>
    <row r="168" spans="1:27" ht="15.75" customHeight="1">
      <c r="A168" s="8"/>
      <c r="B168" s="7"/>
      <c r="C168" s="33"/>
      <c r="D168" s="7"/>
      <c r="E168" s="7"/>
      <c r="F168" s="7"/>
      <c r="G168" s="7"/>
      <c r="H168" s="7"/>
      <c r="I168" s="7"/>
      <c r="J168" s="7"/>
      <c r="K168" s="7"/>
      <c r="L168" s="7"/>
      <c r="M168" s="7"/>
      <c r="N168" s="7"/>
      <c r="O168" s="7"/>
      <c r="P168" s="7"/>
      <c r="Q168" s="7"/>
      <c r="R168" s="7"/>
      <c r="S168" s="7"/>
      <c r="T168" s="7"/>
      <c r="U168" s="7"/>
      <c r="W168" s="7"/>
      <c r="AA168" s="168" t="s">
        <v>2789</v>
      </c>
    </row>
    <row r="169" spans="1:27" ht="15.75" customHeight="1">
      <c r="A169" s="8"/>
      <c r="B169" s="7"/>
      <c r="C169" s="33"/>
      <c r="D169" s="7"/>
      <c r="E169" s="7"/>
      <c r="F169" s="7"/>
      <c r="G169" s="7"/>
      <c r="H169" s="7"/>
      <c r="I169" s="7"/>
      <c r="J169" s="7"/>
      <c r="K169" s="7"/>
      <c r="L169" s="7"/>
      <c r="M169" s="7"/>
      <c r="N169" s="7"/>
      <c r="O169" s="7"/>
      <c r="P169" s="7"/>
      <c r="Q169" s="7"/>
      <c r="R169" s="7"/>
      <c r="S169" s="7"/>
      <c r="T169" s="7"/>
      <c r="U169" s="7"/>
      <c r="W169" s="7"/>
      <c r="AA169" s="168" t="s">
        <v>2790</v>
      </c>
    </row>
    <row r="170" spans="1:27" ht="15.75" customHeight="1">
      <c r="A170" s="8"/>
      <c r="B170" s="7"/>
      <c r="C170" s="33"/>
      <c r="D170" s="7"/>
      <c r="E170" s="7"/>
      <c r="F170" s="7"/>
      <c r="G170" s="7"/>
      <c r="H170" s="7"/>
      <c r="I170" s="7"/>
      <c r="J170" s="7"/>
      <c r="K170" s="7"/>
      <c r="L170" s="7"/>
      <c r="M170" s="7"/>
      <c r="N170" s="7"/>
      <c r="O170" s="7"/>
      <c r="P170" s="7"/>
      <c r="Q170" s="7"/>
      <c r="R170" s="7"/>
      <c r="S170" s="7"/>
      <c r="T170" s="7"/>
      <c r="U170" s="7"/>
      <c r="W170" s="7"/>
      <c r="AA170" s="168" t="s">
        <v>2791</v>
      </c>
    </row>
    <row r="171" spans="1:27" ht="15.75" customHeight="1">
      <c r="A171" s="8"/>
      <c r="B171" s="7"/>
      <c r="C171" s="33"/>
      <c r="D171" s="7"/>
      <c r="E171" s="7"/>
      <c r="F171" s="7"/>
      <c r="G171" s="7"/>
      <c r="H171" s="7"/>
      <c r="I171" s="7"/>
      <c r="J171" s="7"/>
      <c r="K171" s="7"/>
      <c r="L171" s="7"/>
      <c r="M171" s="7"/>
      <c r="N171" s="7"/>
      <c r="O171" s="7"/>
      <c r="P171" s="7"/>
      <c r="Q171" s="7"/>
      <c r="R171" s="7"/>
      <c r="S171" s="7"/>
      <c r="T171" s="7"/>
      <c r="U171" s="7"/>
      <c r="W171" s="7"/>
      <c r="AA171" s="168" t="s">
        <v>2792</v>
      </c>
    </row>
    <row r="172" spans="1:27" ht="15.75" customHeight="1">
      <c r="A172" s="8"/>
      <c r="B172" s="7"/>
      <c r="C172" s="33"/>
      <c r="D172" s="7"/>
      <c r="E172" s="7"/>
      <c r="F172" s="7"/>
      <c r="G172" s="7"/>
      <c r="H172" s="7"/>
      <c r="I172" s="7"/>
      <c r="J172" s="7"/>
      <c r="K172" s="7"/>
      <c r="L172" s="7"/>
      <c r="M172" s="7"/>
      <c r="N172" s="7"/>
      <c r="O172" s="7"/>
      <c r="P172" s="7"/>
      <c r="Q172" s="7"/>
      <c r="R172" s="7"/>
      <c r="S172" s="7"/>
      <c r="T172" s="7"/>
      <c r="U172" s="7"/>
      <c r="W172" s="7"/>
      <c r="AA172" s="168" t="s">
        <v>2793</v>
      </c>
    </row>
    <row r="173" spans="1:27" ht="15.75" customHeight="1">
      <c r="A173" s="8"/>
      <c r="B173" s="7"/>
      <c r="C173" s="33"/>
      <c r="D173" s="7"/>
      <c r="E173" s="7"/>
      <c r="F173" s="7"/>
      <c r="G173" s="7"/>
      <c r="H173" s="7"/>
      <c r="I173" s="7"/>
      <c r="J173" s="7"/>
      <c r="K173" s="7"/>
      <c r="L173" s="7"/>
      <c r="M173" s="7"/>
      <c r="N173" s="7"/>
      <c r="O173" s="7"/>
      <c r="P173" s="7"/>
      <c r="Q173" s="7"/>
      <c r="R173" s="7"/>
      <c r="S173" s="7"/>
      <c r="T173" s="7"/>
      <c r="U173" s="7"/>
      <c r="W173" s="7"/>
      <c r="AA173" s="168" t="s">
        <v>2794</v>
      </c>
    </row>
    <row r="174" spans="1:27" ht="15.75" customHeight="1">
      <c r="A174" s="8"/>
      <c r="B174" s="7"/>
      <c r="C174" s="33"/>
      <c r="D174" s="7"/>
      <c r="E174" s="7"/>
      <c r="F174" s="7"/>
      <c r="G174" s="7"/>
      <c r="H174" s="7"/>
      <c r="I174" s="7"/>
      <c r="J174" s="7"/>
      <c r="K174" s="7"/>
      <c r="L174" s="7"/>
      <c r="M174" s="7"/>
      <c r="N174" s="7"/>
      <c r="O174" s="7"/>
      <c r="P174" s="7"/>
      <c r="Q174" s="7"/>
      <c r="R174" s="7"/>
      <c r="S174" s="7"/>
      <c r="T174" s="7"/>
      <c r="U174" s="7"/>
      <c r="W174" s="7"/>
      <c r="AA174" s="168" t="s">
        <v>2795</v>
      </c>
    </row>
    <row r="175" spans="1:27" ht="15.75" customHeight="1">
      <c r="A175" s="8"/>
      <c r="B175" s="7"/>
      <c r="C175" s="33"/>
      <c r="D175" s="7"/>
      <c r="E175" s="7"/>
      <c r="F175" s="7"/>
      <c r="G175" s="7"/>
      <c r="H175" s="7"/>
      <c r="I175" s="7"/>
      <c r="J175" s="7"/>
      <c r="K175" s="7"/>
      <c r="L175" s="7"/>
      <c r="M175" s="7"/>
      <c r="N175" s="7"/>
      <c r="O175" s="7"/>
      <c r="P175" s="7"/>
      <c r="Q175" s="7"/>
      <c r="R175" s="7"/>
      <c r="S175" s="7"/>
      <c r="T175" s="7"/>
      <c r="U175" s="7"/>
      <c r="W175" s="7"/>
      <c r="AA175" s="168" t="s">
        <v>2796</v>
      </c>
    </row>
    <row r="176" spans="1:27" ht="15.75" customHeight="1">
      <c r="A176" s="8"/>
      <c r="B176" s="7"/>
      <c r="C176" s="33"/>
      <c r="D176" s="7"/>
      <c r="E176" s="7"/>
      <c r="F176" s="7"/>
      <c r="G176" s="7"/>
      <c r="H176" s="7"/>
      <c r="I176" s="7"/>
      <c r="J176" s="7"/>
      <c r="K176" s="7"/>
      <c r="L176" s="7"/>
      <c r="M176" s="7"/>
      <c r="N176" s="7"/>
      <c r="O176" s="7"/>
      <c r="P176" s="7"/>
      <c r="Q176" s="7"/>
      <c r="R176" s="7"/>
      <c r="S176" s="7"/>
      <c r="T176" s="7"/>
      <c r="U176" s="7"/>
      <c r="W176" s="7"/>
      <c r="AA176" s="168" t="s">
        <v>2797</v>
      </c>
    </row>
    <row r="177" spans="1:27" ht="15.75" customHeight="1">
      <c r="A177" s="8"/>
      <c r="B177" s="7"/>
      <c r="C177" s="33"/>
      <c r="D177" s="7"/>
      <c r="E177" s="7"/>
      <c r="F177" s="7"/>
      <c r="G177" s="7"/>
      <c r="H177" s="7"/>
      <c r="I177" s="7"/>
      <c r="J177" s="7"/>
      <c r="K177" s="7"/>
      <c r="L177" s="7"/>
      <c r="M177" s="7"/>
      <c r="N177" s="7"/>
      <c r="O177" s="7"/>
      <c r="P177" s="7"/>
      <c r="Q177" s="7"/>
      <c r="R177" s="7"/>
      <c r="S177" s="7"/>
      <c r="T177" s="7"/>
      <c r="U177" s="7"/>
      <c r="W177" s="7"/>
      <c r="AA177" s="168" t="s">
        <v>2798</v>
      </c>
    </row>
    <row r="178" spans="1:27" ht="15.75" customHeight="1">
      <c r="A178" s="8"/>
      <c r="B178" s="7"/>
      <c r="C178" s="33"/>
      <c r="D178" s="7"/>
      <c r="E178" s="7"/>
      <c r="F178" s="7"/>
      <c r="G178" s="7"/>
      <c r="H178" s="7"/>
      <c r="I178" s="7"/>
      <c r="J178" s="7"/>
      <c r="K178" s="7"/>
      <c r="L178" s="7"/>
      <c r="M178" s="7"/>
      <c r="N178" s="7"/>
      <c r="O178" s="7"/>
      <c r="P178" s="7"/>
      <c r="Q178" s="7"/>
      <c r="R178" s="7"/>
      <c r="S178" s="7"/>
      <c r="T178" s="7"/>
      <c r="U178" s="7"/>
      <c r="W178" s="7"/>
      <c r="AA178" s="168" t="s">
        <v>2799</v>
      </c>
    </row>
    <row r="179" spans="1:27" ht="15.75" customHeight="1">
      <c r="A179" s="8"/>
      <c r="B179" s="7"/>
      <c r="C179" s="33"/>
      <c r="D179" s="7"/>
      <c r="E179" s="7"/>
      <c r="F179" s="7"/>
      <c r="G179" s="7"/>
      <c r="H179" s="7"/>
      <c r="I179" s="7"/>
      <c r="J179" s="7"/>
      <c r="K179" s="7"/>
      <c r="L179" s="7"/>
      <c r="M179" s="7"/>
      <c r="N179" s="7"/>
      <c r="O179" s="7"/>
      <c r="P179" s="7"/>
      <c r="Q179" s="7"/>
      <c r="R179" s="7"/>
      <c r="S179" s="7"/>
      <c r="T179" s="7"/>
      <c r="U179" s="7"/>
      <c r="W179" s="7"/>
      <c r="AA179" s="168" t="s">
        <v>2800</v>
      </c>
    </row>
    <row r="180" spans="1:27" ht="15.75" customHeight="1">
      <c r="A180" s="8"/>
      <c r="B180" s="7"/>
      <c r="C180" s="33"/>
      <c r="D180" s="7"/>
      <c r="E180" s="7"/>
      <c r="F180" s="7"/>
      <c r="G180" s="7"/>
      <c r="H180" s="7"/>
      <c r="I180" s="7"/>
      <c r="J180" s="7"/>
      <c r="K180" s="7"/>
      <c r="L180" s="7"/>
      <c r="M180" s="7"/>
      <c r="N180" s="7"/>
      <c r="O180" s="7"/>
      <c r="P180" s="7"/>
      <c r="Q180" s="7"/>
      <c r="R180" s="7"/>
      <c r="S180" s="7"/>
      <c r="T180" s="7"/>
      <c r="U180" s="7"/>
      <c r="W180" s="7"/>
      <c r="AA180" s="168" t="s">
        <v>2801</v>
      </c>
    </row>
    <row r="181" spans="1:27" ht="15.75" customHeight="1">
      <c r="A181" s="8"/>
      <c r="B181" s="7"/>
      <c r="C181" s="33"/>
      <c r="D181" s="7"/>
      <c r="E181" s="7"/>
      <c r="F181" s="7"/>
      <c r="G181" s="7"/>
      <c r="H181" s="7"/>
      <c r="I181" s="7"/>
      <c r="J181" s="7"/>
      <c r="K181" s="7"/>
      <c r="L181" s="7"/>
      <c r="M181" s="7"/>
      <c r="N181" s="7"/>
      <c r="O181" s="7"/>
      <c r="P181" s="7"/>
      <c r="Q181" s="7"/>
      <c r="R181" s="7"/>
      <c r="S181" s="7"/>
      <c r="T181" s="7"/>
      <c r="U181" s="7"/>
      <c r="W181" s="7"/>
      <c r="AA181" s="168" t="s">
        <v>2802</v>
      </c>
    </row>
    <row r="182" spans="1:27" ht="15.75" customHeight="1">
      <c r="A182" s="8"/>
      <c r="B182" s="7"/>
      <c r="C182" s="33"/>
      <c r="D182" s="7"/>
      <c r="E182" s="7"/>
      <c r="F182" s="7"/>
      <c r="G182" s="7"/>
      <c r="H182" s="7"/>
      <c r="I182" s="7"/>
      <c r="J182" s="7"/>
      <c r="K182" s="7"/>
      <c r="L182" s="7"/>
      <c r="M182" s="7"/>
      <c r="N182" s="7"/>
      <c r="O182" s="7"/>
      <c r="P182" s="7"/>
      <c r="Q182" s="7"/>
      <c r="R182" s="7"/>
      <c r="S182" s="7"/>
      <c r="T182" s="7"/>
      <c r="U182" s="7"/>
      <c r="W182" s="7"/>
      <c r="AA182" s="168" t="s">
        <v>2803</v>
      </c>
    </row>
    <row r="183" spans="1:27" ht="15.75" customHeight="1">
      <c r="A183" s="8"/>
      <c r="B183" s="7"/>
      <c r="C183" s="33"/>
      <c r="D183" s="7"/>
      <c r="E183" s="7"/>
      <c r="F183" s="7"/>
      <c r="G183" s="7"/>
      <c r="H183" s="7"/>
      <c r="I183" s="7"/>
      <c r="J183" s="7"/>
      <c r="K183" s="7"/>
      <c r="L183" s="7"/>
      <c r="M183" s="7"/>
      <c r="N183" s="7"/>
      <c r="O183" s="7"/>
      <c r="P183" s="7"/>
      <c r="Q183" s="7"/>
      <c r="R183" s="7"/>
      <c r="S183" s="7"/>
      <c r="T183" s="7"/>
      <c r="U183" s="7"/>
      <c r="W183" s="7"/>
      <c r="AA183" s="168" t="s">
        <v>2804</v>
      </c>
    </row>
    <row r="184" spans="1:27" ht="15.75" customHeight="1">
      <c r="A184" s="8"/>
      <c r="B184" s="7"/>
      <c r="C184" s="33"/>
      <c r="D184" s="7"/>
      <c r="E184" s="7"/>
      <c r="F184" s="7"/>
      <c r="G184" s="7"/>
      <c r="H184" s="7"/>
      <c r="I184" s="7"/>
      <c r="J184" s="7"/>
      <c r="K184" s="7"/>
      <c r="L184" s="7"/>
      <c r="M184" s="7"/>
      <c r="N184" s="7"/>
      <c r="O184" s="7"/>
      <c r="P184" s="7"/>
      <c r="Q184" s="7"/>
      <c r="R184" s="7"/>
      <c r="S184" s="7"/>
      <c r="T184" s="7"/>
      <c r="U184" s="7"/>
      <c r="W184" s="7"/>
      <c r="AA184" s="168" t="s">
        <v>2805</v>
      </c>
    </row>
    <row r="185" spans="1:27" ht="15.75" customHeight="1">
      <c r="A185" s="8"/>
      <c r="B185" s="7"/>
      <c r="C185" s="33"/>
      <c r="D185" s="7"/>
      <c r="E185" s="7"/>
      <c r="F185" s="7"/>
      <c r="G185" s="7"/>
      <c r="H185" s="7"/>
      <c r="I185" s="7"/>
      <c r="J185" s="7"/>
      <c r="K185" s="7"/>
      <c r="L185" s="7"/>
      <c r="M185" s="7"/>
      <c r="N185" s="7"/>
      <c r="O185" s="7"/>
      <c r="P185" s="7"/>
      <c r="Q185" s="7"/>
      <c r="R185" s="7"/>
      <c r="S185" s="7"/>
      <c r="T185" s="7"/>
      <c r="U185" s="7"/>
      <c r="W185" s="7"/>
      <c r="AA185" s="168" t="s">
        <v>2806</v>
      </c>
    </row>
    <row r="186" spans="1:27" ht="15.75" customHeight="1">
      <c r="A186" s="8"/>
      <c r="B186" s="7"/>
      <c r="C186" s="33"/>
      <c r="D186" s="7"/>
      <c r="E186" s="7"/>
      <c r="F186" s="7"/>
      <c r="G186" s="7"/>
      <c r="H186" s="7"/>
      <c r="I186" s="7"/>
      <c r="J186" s="7"/>
      <c r="K186" s="7"/>
      <c r="L186" s="7"/>
      <c r="M186" s="7"/>
      <c r="N186" s="7"/>
      <c r="O186" s="7"/>
      <c r="P186" s="7"/>
      <c r="Q186" s="7"/>
      <c r="R186" s="7"/>
      <c r="S186" s="7"/>
      <c r="T186" s="7"/>
      <c r="U186" s="7"/>
      <c r="W186" s="7"/>
      <c r="AA186" s="168" t="s">
        <v>2807</v>
      </c>
    </row>
    <row r="187" spans="1:27" ht="15.75" customHeight="1">
      <c r="A187" s="8"/>
      <c r="B187" s="7"/>
      <c r="C187" s="33"/>
      <c r="D187" s="7"/>
      <c r="E187" s="7"/>
      <c r="F187" s="7"/>
      <c r="G187" s="7"/>
      <c r="H187" s="7"/>
      <c r="I187" s="7"/>
      <c r="J187" s="7"/>
      <c r="K187" s="7"/>
      <c r="L187" s="7"/>
      <c r="M187" s="7"/>
      <c r="N187" s="7"/>
      <c r="O187" s="7"/>
      <c r="P187" s="7"/>
      <c r="Q187" s="7"/>
      <c r="R187" s="7"/>
      <c r="S187" s="7"/>
      <c r="T187" s="7"/>
      <c r="U187" s="7"/>
      <c r="W187" s="7"/>
      <c r="AA187" s="168" t="s">
        <v>2808</v>
      </c>
    </row>
    <row r="188" spans="1:27" ht="15.75" customHeight="1">
      <c r="A188" s="8"/>
      <c r="B188" s="7"/>
      <c r="C188" s="33"/>
      <c r="D188" s="7"/>
      <c r="E188" s="7"/>
      <c r="F188" s="7"/>
      <c r="G188" s="7"/>
      <c r="H188" s="7"/>
      <c r="I188" s="7"/>
      <c r="J188" s="7"/>
      <c r="K188" s="7"/>
      <c r="L188" s="7"/>
      <c r="M188" s="7"/>
      <c r="N188" s="7"/>
      <c r="O188" s="7"/>
      <c r="P188" s="7"/>
      <c r="Q188" s="7"/>
      <c r="R188" s="7"/>
      <c r="S188" s="7"/>
      <c r="T188" s="7"/>
      <c r="U188" s="7"/>
      <c r="W188" s="7"/>
      <c r="AA188" s="168" t="s">
        <v>2809</v>
      </c>
    </row>
    <row r="189" spans="1:27" ht="15.75" customHeight="1">
      <c r="A189" s="8"/>
      <c r="B189" s="7"/>
      <c r="C189" s="33"/>
      <c r="D189" s="7"/>
      <c r="E189" s="7"/>
      <c r="F189" s="7"/>
      <c r="G189" s="7"/>
      <c r="H189" s="7"/>
      <c r="I189" s="7"/>
      <c r="J189" s="7"/>
      <c r="K189" s="7"/>
      <c r="L189" s="7"/>
      <c r="M189" s="7"/>
      <c r="N189" s="7"/>
      <c r="O189" s="7"/>
      <c r="P189" s="7"/>
      <c r="Q189" s="7"/>
      <c r="R189" s="7"/>
      <c r="S189" s="7"/>
      <c r="T189" s="7"/>
      <c r="U189" s="7"/>
      <c r="W189" s="7"/>
      <c r="AA189" s="168" t="s">
        <v>2810</v>
      </c>
    </row>
    <row r="190" spans="1:27" ht="15.75" customHeight="1">
      <c r="A190" s="8"/>
      <c r="B190" s="7"/>
      <c r="C190" s="33"/>
      <c r="D190" s="7"/>
      <c r="E190" s="7"/>
      <c r="F190" s="7"/>
      <c r="G190" s="7"/>
      <c r="H190" s="7"/>
      <c r="I190" s="7"/>
      <c r="J190" s="7"/>
      <c r="K190" s="7"/>
      <c r="L190" s="7"/>
      <c r="M190" s="7"/>
      <c r="N190" s="7"/>
      <c r="O190" s="7"/>
      <c r="P190" s="7"/>
      <c r="Q190" s="7"/>
      <c r="R190" s="7"/>
      <c r="S190" s="7"/>
      <c r="T190" s="7"/>
      <c r="U190" s="7"/>
      <c r="W190" s="7"/>
      <c r="AA190" s="168" t="s">
        <v>2811</v>
      </c>
    </row>
    <row r="191" spans="1:27" ht="15.75" customHeight="1">
      <c r="A191" s="8"/>
      <c r="B191" s="7"/>
      <c r="C191" s="33"/>
      <c r="D191" s="7"/>
      <c r="E191" s="7"/>
      <c r="F191" s="7"/>
      <c r="G191" s="7"/>
      <c r="H191" s="7"/>
      <c r="I191" s="7"/>
      <c r="J191" s="7"/>
      <c r="K191" s="7"/>
      <c r="L191" s="7"/>
      <c r="M191" s="7"/>
      <c r="N191" s="7"/>
      <c r="O191" s="7"/>
      <c r="P191" s="7"/>
      <c r="Q191" s="7"/>
      <c r="R191" s="7"/>
      <c r="S191" s="7"/>
      <c r="T191" s="7"/>
      <c r="U191" s="7"/>
      <c r="W191" s="7"/>
      <c r="AA191" s="168" t="s">
        <v>2812</v>
      </c>
    </row>
    <row r="192" spans="1:27" ht="15.75" customHeight="1">
      <c r="A192" s="8"/>
      <c r="B192" s="7"/>
      <c r="C192" s="33"/>
      <c r="D192" s="7"/>
      <c r="E192" s="7"/>
      <c r="F192" s="7"/>
      <c r="G192" s="7"/>
      <c r="H192" s="7"/>
      <c r="I192" s="7"/>
      <c r="J192" s="7"/>
      <c r="K192" s="7"/>
      <c r="L192" s="7"/>
      <c r="M192" s="7"/>
      <c r="N192" s="7"/>
      <c r="O192" s="7"/>
      <c r="P192" s="7"/>
      <c r="Q192" s="7"/>
      <c r="R192" s="7"/>
      <c r="S192" s="7"/>
      <c r="T192" s="7"/>
      <c r="U192" s="7"/>
      <c r="W192" s="7"/>
      <c r="AA192" s="168" t="s">
        <v>2813</v>
      </c>
    </row>
    <row r="193" spans="1:27" ht="15.75" customHeight="1">
      <c r="A193" s="8"/>
      <c r="B193" s="7"/>
      <c r="C193" s="33"/>
      <c r="D193" s="7"/>
      <c r="E193" s="7"/>
      <c r="F193" s="7"/>
      <c r="G193" s="7"/>
      <c r="H193" s="7"/>
      <c r="I193" s="7"/>
      <c r="J193" s="7"/>
      <c r="K193" s="7"/>
      <c r="L193" s="7"/>
      <c r="M193" s="7"/>
      <c r="N193" s="7"/>
      <c r="O193" s="7"/>
      <c r="P193" s="7"/>
      <c r="Q193" s="7"/>
      <c r="R193" s="7"/>
      <c r="S193" s="7"/>
      <c r="T193" s="7"/>
      <c r="U193" s="7"/>
      <c r="W193" s="7"/>
      <c r="AA193" s="168" t="s">
        <v>2814</v>
      </c>
    </row>
    <row r="194" spans="1:27" ht="15.75" customHeight="1">
      <c r="A194" s="8"/>
      <c r="B194" s="7"/>
      <c r="C194" s="33"/>
      <c r="D194" s="7"/>
      <c r="E194" s="7"/>
      <c r="F194" s="7"/>
      <c r="G194" s="7"/>
      <c r="H194" s="7"/>
      <c r="I194" s="7"/>
      <c r="J194" s="7"/>
      <c r="K194" s="7"/>
      <c r="L194" s="7"/>
      <c r="M194" s="7"/>
      <c r="N194" s="7"/>
      <c r="O194" s="7"/>
      <c r="P194" s="7"/>
      <c r="Q194" s="7"/>
      <c r="R194" s="7"/>
      <c r="S194" s="7"/>
      <c r="T194" s="7"/>
      <c r="U194" s="7"/>
      <c r="W194" s="7"/>
      <c r="AA194" s="168" t="s">
        <v>2815</v>
      </c>
    </row>
    <row r="195" spans="1:27" ht="15.75" customHeight="1">
      <c r="A195" s="8"/>
      <c r="B195" s="7"/>
      <c r="C195" s="33"/>
      <c r="D195" s="7"/>
      <c r="E195" s="7"/>
      <c r="F195" s="7"/>
      <c r="G195" s="7"/>
      <c r="H195" s="7"/>
      <c r="I195" s="7"/>
      <c r="J195" s="7"/>
      <c r="K195" s="7"/>
      <c r="L195" s="7"/>
      <c r="M195" s="7"/>
      <c r="N195" s="7"/>
      <c r="O195" s="7"/>
      <c r="P195" s="7"/>
      <c r="Q195" s="7"/>
      <c r="R195" s="7"/>
      <c r="S195" s="7"/>
      <c r="T195" s="7"/>
      <c r="U195" s="7"/>
      <c r="W195" s="7"/>
      <c r="AA195" s="168" t="s">
        <v>2816</v>
      </c>
    </row>
    <row r="196" spans="1:27" ht="15.75" customHeight="1">
      <c r="A196" s="8"/>
      <c r="B196" s="7"/>
      <c r="C196" s="33"/>
      <c r="D196" s="7"/>
      <c r="E196" s="7"/>
      <c r="F196" s="7"/>
      <c r="G196" s="7"/>
      <c r="H196" s="7"/>
      <c r="I196" s="7"/>
      <c r="J196" s="7"/>
      <c r="K196" s="7"/>
      <c r="L196" s="7"/>
      <c r="M196" s="7"/>
      <c r="N196" s="7"/>
      <c r="O196" s="7"/>
      <c r="P196" s="7"/>
      <c r="Q196" s="7"/>
      <c r="R196" s="7"/>
      <c r="S196" s="7"/>
      <c r="T196" s="7"/>
      <c r="U196" s="7"/>
      <c r="W196" s="7"/>
      <c r="AA196" s="168" t="s">
        <v>2817</v>
      </c>
    </row>
    <row r="197" spans="1:27" ht="15.75" customHeight="1">
      <c r="A197" s="8"/>
      <c r="B197" s="7"/>
      <c r="C197" s="33"/>
      <c r="D197" s="7"/>
      <c r="E197" s="7"/>
      <c r="F197" s="7"/>
      <c r="G197" s="7"/>
      <c r="H197" s="7"/>
      <c r="I197" s="7"/>
      <c r="J197" s="7"/>
      <c r="K197" s="7"/>
      <c r="L197" s="7"/>
      <c r="M197" s="7"/>
      <c r="N197" s="7"/>
      <c r="O197" s="7"/>
      <c r="P197" s="7"/>
      <c r="Q197" s="7"/>
      <c r="R197" s="7"/>
      <c r="S197" s="7"/>
      <c r="T197" s="7"/>
      <c r="U197" s="7"/>
      <c r="W197" s="7"/>
      <c r="AA197" s="168" t="s">
        <v>2818</v>
      </c>
    </row>
    <row r="198" spans="1:27" ht="15.75" customHeight="1">
      <c r="A198" s="8"/>
      <c r="B198" s="7"/>
      <c r="C198" s="33"/>
      <c r="D198" s="7"/>
      <c r="E198" s="7"/>
      <c r="F198" s="7"/>
      <c r="G198" s="7"/>
      <c r="H198" s="7"/>
      <c r="I198" s="7"/>
      <c r="J198" s="7"/>
      <c r="K198" s="7"/>
      <c r="L198" s="7"/>
      <c r="M198" s="7"/>
      <c r="N198" s="7"/>
      <c r="O198" s="7"/>
      <c r="P198" s="7"/>
      <c r="Q198" s="7"/>
      <c r="R198" s="7"/>
      <c r="S198" s="7"/>
      <c r="T198" s="7"/>
      <c r="U198" s="7"/>
      <c r="W198" s="7"/>
      <c r="AA198" s="168" t="s">
        <v>2819</v>
      </c>
    </row>
    <row r="199" spans="1:27" ht="15.75" customHeight="1">
      <c r="A199" s="8"/>
      <c r="B199" s="7"/>
      <c r="C199" s="33"/>
      <c r="D199" s="7"/>
      <c r="E199" s="7"/>
      <c r="F199" s="7"/>
      <c r="G199" s="7"/>
      <c r="H199" s="7"/>
      <c r="I199" s="7"/>
      <c r="J199" s="7"/>
      <c r="K199" s="7"/>
      <c r="L199" s="7"/>
      <c r="M199" s="7"/>
      <c r="N199" s="7"/>
      <c r="O199" s="7"/>
      <c r="P199" s="7"/>
      <c r="Q199" s="7"/>
      <c r="R199" s="7"/>
      <c r="S199" s="7"/>
      <c r="T199" s="7"/>
      <c r="U199" s="7"/>
      <c r="W199" s="7"/>
      <c r="AA199" s="168" t="s">
        <v>2820</v>
      </c>
    </row>
    <row r="200" spans="1:27" ht="15.75" customHeight="1">
      <c r="A200" s="8"/>
      <c r="B200" s="7"/>
      <c r="C200" s="33"/>
      <c r="D200" s="7"/>
      <c r="E200" s="7"/>
      <c r="F200" s="7"/>
      <c r="G200" s="7"/>
      <c r="H200" s="7"/>
      <c r="I200" s="7"/>
      <c r="J200" s="7"/>
      <c r="K200" s="7"/>
      <c r="L200" s="7"/>
      <c r="M200" s="7"/>
      <c r="N200" s="7"/>
      <c r="O200" s="7"/>
      <c r="P200" s="7"/>
      <c r="Q200" s="7"/>
      <c r="R200" s="7"/>
      <c r="S200" s="7"/>
      <c r="T200" s="7"/>
      <c r="U200" s="7"/>
      <c r="W200" s="7"/>
      <c r="AA200" s="168" t="s">
        <v>2821</v>
      </c>
    </row>
    <row r="201" spans="1:27" ht="15.75" customHeight="1">
      <c r="A201" s="8"/>
      <c r="B201" s="7"/>
      <c r="C201" s="33"/>
      <c r="D201" s="7"/>
      <c r="E201" s="7"/>
      <c r="F201" s="7"/>
      <c r="G201" s="7"/>
      <c r="H201" s="7"/>
      <c r="I201" s="7"/>
      <c r="J201" s="7"/>
      <c r="K201" s="7"/>
      <c r="L201" s="7"/>
      <c r="M201" s="7"/>
      <c r="N201" s="7"/>
      <c r="O201" s="7"/>
      <c r="P201" s="7"/>
      <c r="Q201" s="7"/>
      <c r="R201" s="7"/>
      <c r="S201" s="7"/>
      <c r="T201" s="7"/>
      <c r="U201" s="7"/>
      <c r="W201" s="7"/>
      <c r="AA201" s="168" t="s">
        <v>2822</v>
      </c>
    </row>
    <row r="202" spans="1:27" ht="15.75" customHeight="1">
      <c r="A202" s="8"/>
      <c r="B202" s="7"/>
      <c r="C202" s="33"/>
      <c r="D202" s="7"/>
      <c r="E202" s="7"/>
      <c r="F202" s="7"/>
      <c r="G202" s="7"/>
      <c r="H202" s="7"/>
      <c r="I202" s="7"/>
      <c r="J202" s="7"/>
      <c r="K202" s="7"/>
      <c r="L202" s="7"/>
      <c r="M202" s="7"/>
      <c r="N202" s="7"/>
      <c r="O202" s="7"/>
      <c r="P202" s="7"/>
      <c r="Q202" s="7"/>
      <c r="R202" s="7"/>
      <c r="S202" s="7"/>
      <c r="T202" s="7"/>
      <c r="U202" s="7"/>
      <c r="W202" s="7"/>
      <c r="AA202" s="168" t="s">
        <v>2823</v>
      </c>
    </row>
    <row r="203" spans="1:27" ht="15.75" customHeight="1">
      <c r="A203" s="8"/>
      <c r="B203" s="7"/>
      <c r="C203" s="33"/>
      <c r="D203" s="7"/>
      <c r="E203" s="7"/>
      <c r="F203" s="7"/>
      <c r="G203" s="7"/>
      <c r="H203" s="7"/>
      <c r="I203" s="7"/>
      <c r="J203" s="7"/>
      <c r="K203" s="7"/>
      <c r="L203" s="7"/>
      <c r="M203" s="7"/>
      <c r="N203" s="7"/>
      <c r="O203" s="7"/>
      <c r="P203" s="7"/>
      <c r="Q203" s="7"/>
      <c r="R203" s="7"/>
      <c r="S203" s="7"/>
      <c r="T203" s="7"/>
      <c r="U203" s="7"/>
      <c r="W203" s="7"/>
      <c r="AA203" s="168" t="s">
        <v>2824</v>
      </c>
    </row>
    <row r="204" spans="1:27" ht="15.75" customHeight="1">
      <c r="A204" s="8"/>
      <c r="B204" s="7"/>
      <c r="C204" s="33"/>
      <c r="D204" s="7"/>
      <c r="E204" s="7"/>
      <c r="F204" s="7"/>
      <c r="G204" s="7"/>
      <c r="H204" s="7"/>
      <c r="I204" s="7"/>
      <c r="J204" s="7"/>
      <c r="K204" s="7"/>
      <c r="L204" s="7"/>
      <c r="M204" s="7"/>
      <c r="N204" s="7"/>
      <c r="O204" s="7"/>
      <c r="P204" s="7"/>
      <c r="Q204" s="7"/>
      <c r="R204" s="7"/>
      <c r="S204" s="7"/>
      <c r="T204" s="7"/>
      <c r="U204" s="7"/>
      <c r="W204" s="7"/>
      <c r="AA204" s="168" t="s">
        <v>2825</v>
      </c>
    </row>
    <row r="205" spans="1:27" ht="15.75" customHeight="1">
      <c r="A205" s="8"/>
      <c r="B205" s="7"/>
      <c r="C205" s="33"/>
      <c r="D205" s="7"/>
      <c r="E205" s="7"/>
      <c r="F205" s="7"/>
      <c r="G205" s="7"/>
      <c r="H205" s="7"/>
      <c r="I205" s="7"/>
      <c r="J205" s="7"/>
      <c r="K205" s="7"/>
      <c r="L205" s="7"/>
      <c r="M205" s="7"/>
      <c r="N205" s="7"/>
      <c r="O205" s="7"/>
      <c r="P205" s="7"/>
      <c r="Q205" s="7"/>
      <c r="R205" s="7"/>
      <c r="S205" s="7"/>
      <c r="T205" s="7"/>
      <c r="U205" s="7"/>
      <c r="W205" s="7"/>
      <c r="AA205" s="168" t="s">
        <v>2826</v>
      </c>
    </row>
    <row r="206" spans="1:27" ht="15.75" customHeight="1">
      <c r="A206" s="8"/>
      <c r="B206" s="7"/>
      <c r="C206" s="33"/>
      <c r="D206" s="7"/>
      <c r="E206" s="7"/>
      <c r="F206" s="7"/>
      <c r="G206" s="7"/>
      <c r="H206" s="7"/>
      <c r="I206" s="7"/>
      <c r="J206" s="7"/>
      <c r="K206" s="7"/>
      <c r="L206" s="7"/>
      <c r="M206" s="7"/>
      <c r="N206" s="7"/>
      <c r="O206" s="7"/>
      <c r="P206" s="7"/>
      <c r="Q206" s="7"/>
      <c r="R206" s="7"/>
      <c r="S206" s="7"/>
      <c r="T206" s="7"/>
      <c r="U206" s="7"/>
      <c r="W206" s="7"/>
      <c r="AA206" s="168" t="s">
        <v>2827</v>
      </c>
    </row>
    <row r="207" spans="1:27" ht="15.75" customHeight="1">
      <c r="A207" s="8"/>
      <c r="B207" s="7"/>
      <c r="C207" s="33"/>
      <c r="D207" s="7"/>
      <c r="E207" s="7"/>
      <c r="F207" s="7"/>
      <c r="G207" s="7"/>
      <c r="H207" s="7"/>
      <c r="I207" s="7"/>
      <c r="J207" s="7"/>
      <c r="K207" s="7"/>
      <c r="L207" s="7"/>
      <c r="M207" s="7"/>
      <c r="N207" s="7"/>
      <c r="O207" s="7"/>
      <c r="P207" s="7"/>
      <c r="Q207" s="7"/>
      <c r="R207" s="7"/>
      <c r="S207" s="7"/>
      <c r="T207" s="7"/>
      <c r="U207" s="7"/>
      <c r="W207" s="7"/>
      <c r="AA207" s="168" t="s">
        <v>2828</v>
      </c>
    </row>
    <row r="208" spans="1:27" ht="15.75" customHeight="1">
      <c r="A208" s="8"/>
      <c r="B208" s="7"/>
      <c r="C208" s="33"/>
      <c r="D208" s="7"/>
      <c r="E208" s="7"/>
      <c r="F208" s="7"/>
      <c r="G208" s="7"/>
      <c r="H208" s="7"/>
      <c r="I208" s="7"/>
      <c r="J208" s="7"/>
      <c r="K208" s="7"/>
      <c r="L208" s="7"/>
      <c r="M208" s="7"/>
      <c r="N208" s="7"/>
      <c r="O208" s="7"/>
      <c r="P208" s="7"/>
      <c r="Q208" s="7"/>
      <c r="R208" s="7"/>
      <c r="S208" s="7"/>
      <c r="T208" s="7"/>
      <c r="U208" s="7"/>
      <c r="W208" s="7"/>
      <c r="AA208" s="168" t="s">
        <v>2829</v>
      </c>
    </row>
    <row r="209" spans="1:27" ht="15.75" customHeight="1">
      <c r="A209" s="8"/>
      <c r="B209" s="7"/>
      <c r="C209" s="33"/>
      <c r="D209" s="7"/>
      <c r="E209" s="7"/>
      <c r="F209" s="7"/>
      <c r="G209" s="7"/>
      <c r="H209" s="7"/>
      <c r="I209" s="7"/>
      <c r="J209" s="7"/>
      <c r="K209" s="7"/>
      <c r="L209" s="7"/>
      <c r="M209" s="7"/>
      <c r="N209" s="7"/>
      <c r="O209" s="7"/>
      <c r="P209" s="7"/>
      <c r="Q209" s="7"/>
      <c r="R209" s="7"/>
      <c r="S209" s="7"/>
      <c r="T209" s="7"/>
      <c r="U209" s="7"/>
      <c r="W209" s="7"/>
      <c r="AA209" s="168" t="s">
        <v>2830</v>
      </c>
    </row>
    <row r="210" spans="1:27" ht="15.75" customHeight="1">
      <c r="A210" s="8"/>
      <c r="B210" s="7"/>
      <c r="C210" s="33"/>
      <c r="D210" s="7"/>
      <c r="E210" s="7"/>
      <c r="F210" s="7"/>
      <c r="G210" s="7"/>
      <c r="H210" s="7"/>
      <c r="I210" s="7"/>
      <c r="J210" s="7"/>
      <c r="K210" s="7"/>
      <c r="L210" s="7"/>
      <c r="M210" s="7"/>
      <c r="N210" s="7"/>
      <c r="O210" s="7"/>
      <c r="P210" s="7"/>
      <c r="Q210" s="7"/>
      <c r="R210" s="7"/>
      <c r="S210" s="7"/>
      <c r="T210" s="7"/>
      <c r="U210" s="7"/>
      <c r="W210" s="7"/>
      <c r="AA210" s="168" t="s">
        <v>2831</v>
      </c>
    </row>
    <row r="211" spans="1:27" ht="15.75" customHeight="1">
      <c r="A211" s="8"/>
      <c r="B211" s="7"/>
      <c r="C211" s="33"/>
      <c r="D211" s="7"/>
      <c r="E211" s="7"/>
      <c r="F211" s="7"/>
      <c r="G211" s="7"/>
      <c r="H211" s="7"/>
      <c r="I211" s="7"/>
      <c r="J211" s="7"/>
      <c r="K211" s="7"/>
      <c r="L211" s="7"/>
      <c r="M211" s="7"/>
      <c r="N211" s="7"/>
      <c r="O211" s="7"/>
      <c r="P211" s="7"/>
      <c r="Q211" s="7"/>
      <c r="R211" s="7"/>
      <c r="S211" s="7"/>
      <c r="T211" s="7"/>
      <c r="U211" s="7"/>
      <c r="W211" s="7"/>
      <c r="AA211" s="168" t="s">
        <v>2832</v>
      </c>
    </row>
    <row r="212" spans="1:27" ht="15.75" customHeight="1">
      <c r="A212" s="8"/>
      <c r="B212" s="7"/>
      <c r="C212" s="33"/>
      <c r="D212" s="7"/>
      <c r="E212" s="7"/>
      <c r="F212" s="7"/>
      <c r="G212" s="7"/>
      <c r="H212" s="7"/>
      <c r="I212" s="7"/>
      <c r="J212" s="7"/>
      <c r="K212" s="7"/>
      <c r="L212" s="7"/>
      <c r="M212" s="7"/>
      <c r="N212" s="7"/>
      <c r="O212" s="7"/>
      <c r="P212" s="7"/>
      <c r="Q212" s="7"/>
      <c r="R212" s="7"/>
      <c r="S212" s="7"/>
      <c r="T212" s="7"/>
      <c r="U212" s="7"/>
      <c r="W212" s="7"/>
      <c r="AA212" s="168" t="s">
        <v>2833</v>
      </c>
    </row>
    <row r="213" spans="1:27" ht="15.75" customHeight="1">
      <c r="A213" s="8"/>
      <c r="B213" s="7"/>
      <c r="C213" s="33"/>
      <c r="D213" s="7"/>
      <c r="E213" s="7"/>
      <c r="F213" s="7"/>
      <c r="G213" s="7"/>
      <c r="H213" s="7"/>
      <c r="I213" s="7"/>
      <c r="J213" s="7"/>
      <c r="K213" s="7"/>
      <c r="L213" s="7"/>
      <c r="M213" s="7"/>
      <c r="N213" s="7"/>
      <c r="O213" s="7"/>
      <c r="P213" s="7"/>
      <c r="Q213" s="7"/>
      <c r="R213" s="7"/>
      <c r="S213" s="7"/>
      <c r="T213" s="7"/>
      <c r="U213" s="7"/>
      <c r="W213" s="7"/>
      <c r="AA213" s="168" t="s">
        <v>2834</v>
      </c>
    </row>
    <row r="214" spans="1:27" ht="15.75" customHeight="1">
      <c r="A214" s="8"/>
      <c r="B214" s="7"/>
      <c r="C214" s="33"/>
      <c r="D214" s="7"/>
      <c r="E214" s="7"/>
      <c r="F214" s="7"/>
      <c r="G214" s="7"/>
      <c r="H214" s="7"/>
      <c r="I214" s="7"/>
      <c r="J214" s="7"/>
      <c r="K214" s="7"/>
      <c r="L214" s="7"/>
      <c r="M214" s="7"/>
      <c r="N214" s="7"/>
      <c r="O214" s="7"/>
      <c r="P214" s="7"/>
      <c r="Q214" s="7"/>
      <c r="R214" s="7"/>
      <c r="S214" s="7"/>
      <c r="T214" s="7"/>
      <c r="U214" s="7"/>
      <c r="W214" s="7"/>
      <c r="AA214" s="168" t="s">
        <v>2835</v>
      </c>
    </row>
    <row r="215" spans="1:27" ht="15.75" customHeight="1">
      <c r="A215" s="8"/>
      <c r="B215" s="7"/>
      <c r="C215" s="33"/>
      <c r="D215" s="7"/>
      <c r="E215" s="7"/>
      <c r="F215" s="7"/>
      <c r="G215" s="7"/>
      <c r="H215" s="7"/>
      <c r="I215" s="7"/>
      <c r="J215" s="7"/>
      <c r="K215" s="7"/>
      <c r="L215" s="7"/>
      <c r="M215" s="7"/>
      <c r="N215" s="7"/>
      <c r="O215" s="7"/>
      <c r="P215" s="7"/>
      <c r="Q215" s="7"/>
      <c r="R215" s="7"/>
      <c r="S215" s="7"/>
      <c r="T215" s="7"/>
      <c r="U215" s="7"/>
      <c r="W215" s="7"/>
      <c r="AA215" s="168" t="s">
        <v>2836</v>
      </c>
    </row>
    <row r="216" spans="1:27" ht="15.75" customHeight="1">
      <c r="A216" s="8"/>
      <c r="B216" s="7"/>
      <c r="C216" s="33"/>
      <c r="D216" s="7"/>
      <c r="E216" s="7"/>
      <c r="F216" s="7"/>
      <c r="G216" s="7"/>
      <c r="H216" s="7"/>
      <c r="I216" s="7"/>
      <c r="J216" s="7"/>
      <c r="K216" s="7"/>
      <c r="L216" s="7"/>
      <c r="M216" s="7"/>
      <c r="N216" s="7"/>
      <c r="O216" s="7"/>
      <c r="P216" s="7"/>
      <c r="Q216" s="7"/>
      <c r="R216" s="7"/>
      <c r="S216" s="7"/>
      <c r="T216" s="7"/>
      <c r="U216" s="7"/>
      <c r="W216" s="7"/>
      <c r="AA216" s="168" t="s">
        <v>2837</v>
      </c>
    </row>
    <row r="217" spans="1:27" ht="15.75" customHeight="1">
      <c r="A217" s="8"/>
      <c r="B217" s="7"/>
      <c r="C217" s="33"/>
      <c r="D217" s="7"/>
      <c r="E217" s="7"/>
      <c r="F217" s="7"/>
      <c r="G217" s="7"/>
      <c r="H217" s="7"/>
      <c r="I217" s="7"/>
      <c r="J217" s="7"/>
      <c r="K217" s="7"/>
      <c r="L217" s="7"/>
      <c r="M217" s="7"/>
      <c r="N217" s="7"/>
      <c r="O217" s="7"/>
      <c r="P217" s="7"/>
      <c r="Q217" s="7"/>
      <c r="R217" s="7"/>
      <c r="S217" s="7"/>
      <c r="T217" s="7"/>
      <c r="U217" s="7"/>
      <c r="W217" s="7"/>
      <c r="AA217" s="168" t="s">
        <v>2838</v>
      </c>
    </row>
    <row r="218" spans="1:27" ht="15.75" customHeight="1">
      <c r="A218" s="8"/>
      <c r="B218" s="7"/>
      <c r="C218" s="33"/>
      <c r="D218" s="7"/>
      <c r="E218" s="7"/>
      <c r="F218" s="7"/>
      <c r="G218" s="7"/>
      <c r="H218" s="7"/>
      <c r="I218" s="7"/>
      <c r="J218" s="7"/>
      <c r="K218" s="7"/>
      <c r="L218" s="7"/>
      <c r="M218" s="7"/>
      <c r="N218" s="7"/>
      <c r="O218" s="7"/>
      <c r="P218" s="7"/>
      <c r="Q218" s="7"/>
      <c r="R218" s="7"/>
      <c r="S218" s="7"/>
      <c r="T218" s="7"/>
      <c r="U218" s="7"/>
      <c r="W218" s="7"/>
      <c r="AA218" s="168" t="s">
        <v>2839</v>
      </c>
    </row>
    <row r="219" spans="1:27" ht="15.75" customHeight="1">
      <c r="A219" s="8"/>
      <c r="B219" s="7"/>
      <c r="C219" s="33"/>
      <c r="D219" s="7"/>
      <c r="E219" s="7"/>
      <c r="F219" s="7"/>
      <c r="G219" s="7"/>
      <c r="H219" s="7"/>
      <c r="I219" s="7"/>
      <c r="J219" s="7"/>
      <c r="K219" s="7"/>
      <c r="L219" s="7"/>
      <c r="M219" s="7"/>
      <c r="N219" s="7"/>
      <c r="O219" s="7"/>
      <c r="P219" s="7"/>
      <c r="Q219" s="7"/>
      <c r="R219" s="7"/>
      <c r="S219" s="7"/>
      <c r="T219" s="7"/>
      <c r="U219" s="7"/>
      <c r="W219" s="7"/>
      <c r="AA219" s="168" t="s">
        <v>2840</v>
      </c>
    </row>
    <row r="220" spans="1:27" ht="15.75" customHeight="1">
      <c r="A220" s="8"/>
      <c r="B220" s="7"/>
      <c r="C220" s="33"/>
      <c r="D220" s="7"/>
      <c r="E220" s="7"/>
      <c r="F220" s="7"/>
      <c r="G220" s="7"/>
      <c r="H220" s="7"/>
      <c r="I220" s="7"/>
      <c r="J220" s="7"/>
      <c r="K220" s="7"/>
      <c r="L220" s="7"/>
      <c r="M220" s="7"/>
      <c r="N220" s="7"/>
      <c r="O220" s="7"/>
      <c r="P220" s="7"/>
      <c r="Q220" s="7"/>
      <c r="R220" s="7"/>
      <c r="S220" s="7"/>
      <c r="T220" s="7"/>
      <c r="U220" s="7"/>
      <c r="W220" s="7"/>
      <c r="AA220" s="168" t="s">
        <v>2841</v>
      </c>
    </row>
    <row r="221" spans="1:27" ht="15.75" customHeight="1">
      <c r="A221" s="8"/>
      <c r="B221" s="7"/>
      <c r="C221" s="33"/>
      <c r="D221" s="7"/>
      <c r="E221" s="7"/>
      <c r="F221" s="7"/>
      <c r="G221" s="7"/>
      <c r="H221" s="7"/>
      <c r="I221" s="7"/>
      <c r="J221" s="7"/>
      <c r="K221" s="7"/>
      <c r="L221" s="7"/>
      <c r="M221" s="7"/>
      <c r="N221" s="7"/>
      <c r="O221" s="7"/>
      <c r="P221" s="7"/>
      <c r="Q221" s="7"/>
      <c r="R221" s="7"/>
      <c r="S221" s="7"/>
      <c r="T221" s="7"/>
      <c r="U221" s="7"/>
      <c r="W221" s="7"/>
      <c r="AA221" s="168" t="s">
        <v>2842</v>
      </c>
    </row>
    <row r="222" spans="1:27" ht="15.75" customHeight="1">
      <c r="A222" s="8"/>
      <c r="B222" s="7"/>
      <c r="C222" s="33"/>
      <c r="D222" s="7"/>
      <c r="E222" s="7"/>
      <c r="F222" s="7"/>
      <c r="G222" s="7"/>
      <c r="H222" s="7"/>
      <c r="I222" s="7"/>
      <c r="J222" s="7"/>
      <c r="K222" s="7"/>
      <c r="L222" s="7"/>
      <c r="M222" s="7"/>
      <c r="N222" s="7"/>
      <c r="O222" s="7"/>
      <c r="P222" s="7"/>
      <c r="Q222" s="7"/>
      <c r="R222" s="7"/>
      <c r="S222" s="7"/>
      <c r="T222" s="7"/>
      <c r="U222" s="7"/>
      <c r="W222" s="7"/>
      <c r="AA222" s="168" t="s">
        <v>2843</v>
      </c>
    </row>
    <row r="223" spans="1:27" ht="15.75" customHeight="1">
      <c r="A223" s="8"/>
      <c r="B223" s="7"/>
      <c r="C223" s="33"/>
      <c r="D223" s="7"/>
      <c r="E223" s="7"/>
      <c r="F223" s="7"/>
      <c r="G223" s="7"/>
      <c r="H223" s="7"/>
      <c r="I223" s="7"/>
      <c r="J223" s="7"/>
      <c r="K223" s="7"/>
      <c r="L223" s="7"/>
      <c r="M223" s="7"/>
      <c r="N223" s="7"/>
      <c r="O223" s="7"/>
      <c r="P223" s="7"/>
      <c r="Q223" s="7"/>
      <c r="R223" s="7"/>
      <c r="S223" s="7"/>
      <c r="T223" s="7"/>
      <c r="U223" s="7"/>
      <c r="W223" s="7"/>
      <c r="AA223" s="168" t="s">
        <v>2844</v>
      </c>
    </row>
    <row r="224" spans="1:27" ht="15.75" customHeight="1">
      <c r="A224" s="8"/>
      <c r="B224" s="7"/>
      <c r="C224" s="33"/>
      <c r="D224" s="7"/>
      <c r="E224" s="7"/>
      <c r="F224" s="7"/>
      <c r="G224" s="7"/>
      <c r="H224" s="7"/>
      <c r="I224" s="7"/>
      <c r="J224" s="7"/>
      <c r="K224" s="7"/>
      <c r="L224" s="7"/>
      <c r="M224" s="7"/>
      <c r="N224" s="7"/>
      <c r="O224" s="7"/>
      <c r="P224" s="7"/>
      <c r="Q224" s="7"/>
      <c r="R224" s="7"/>
      <c r="S224" s="7"/>
      <c r="T224" s="7"/>
      <c r="U224" s="7"/>
      <c r="W224" s="7"/>
      <c r="AA224" s="168" t="s">
        <v>2845</v>
      </c>
    </row>
    <row r="225" spans="1:27" ht="15.75" customHeight="1">
      <c r="A225" s="8"/>
      <c r="B225" s="7"/>
      <c r="C225" s="33"/>
      <c r="D225" s="7"/>
      <c r="E225" s="7"/>
      <c r="F225" s="7"/>
      <c r="G225" s="7"/>
      <c r="H225" s="7"/>
      <c r="I225" s="7"/>
      <c r="J225" s="7"/>
      <c r="K225" s="7"/>
      <c r="L225" s="7"/>
      <c r="M225" s="7"/>
      <c r="N225" s="7"/>
      <c r="O225" s="7"/>
      <c r="P225" s="7"/>
      <c r="Q225" s="7"/>
      <c r="R225" s="7"/>
      <c r="S225" s="7"/>
      <c r="T225" s="7"/>
      <c r="U225" s="7"/>
      <c r="W225" s="7"/>
      <c r="AA225" s="168" t="s">
        <v>2846</v>
      </c>
    </row>
    <row r="226" spans="1:27" ht="15.75" customHeight="1">
      <c r="A226" s="8"/>
      <c r="B226" s="7"/>
      <c r="C226" s="33"/>
      <c r="D226" s="7"/>
      <c r="E226" s="7"/>
      <c r="F226" s="7"/>
      <c r="G226" s="7"/>
      <c r="H226" s="7"/>
      <c r="I226" s="7"/>
      <c r="J226" s="7"/>
      <c r="K226" s="7"/>
      <c r="L226" s="7"/>
      <c r="M226" s="7"/>
      <c r="N226" s="7"/>
      <c r="O226" s="7"/>
      <c r="P226" s="7"/>
      <c r="Q226" s="7"/>
      <c r="R226" s="7"/>
      <c r="S226" s="7"/>
      <c r="T226" s="7"/>
      <c r="U226" s="7"/>
      <c r="W226" s="7"/>
      <c r="AA226" s="168" t="s">
        <v>2847</v>
      </c>
    </row>
    <row r="227" spans="1:27" ht="15.75" customHeight="1">
      <c r="A227" s="8"/>
      <c r="B227" s="7"/>
      <c r="C227" s="33"/>
      <c r="D227" s="7"/>
      <c r="E227" s="7"/>
      <c r="F227" s="7"/>
      <c r="G227" s="7"/>
      <c r="H227" s="7"/>
      <c r="I227" s="7"/>
      <c r="J227" s="7"/>
      <c r="K227" s="7"/>
      <c r="L227" s="7"/>
      <c r="M227" s="7"/>
      <c r="N227" s="7"/>
      <c r="O227" s="7"/>
      <c r="P227" s="7"/>
      <c r="Q227" s="7"/>
      <c r="R227" s="7"/>
      <c r="S227" s="7"/>
      <c r="T227" s="7"/>
      <c r="U227" s="7"/>
      <c r="W227" s="7"/>
      <c r="AA227" s="168" t="s">
        <v>2848</v>
      </c>
    </row>
    <row r="228" spans="1:27" ht="15.75" customHeight="1">
      <c r="A228" s="8"/>
      <c r="B228" s="7"/>
      <c r="C228" s="33"/>
      <c r="D228" s="7"/>
      <c r="E228" s="7"/>
      <c r="F228" s="7"/>
      <c r="G228" s="7"/>
      <c r="H228" s="7"/>
      <c r="I228" s="7"/>
      <c r="J228" s="7"/>
      <c r="K228" s="7"/>
      <c r="L228" s="7"/>
      <c r="M228" s="7"/>
      <c r="N228" s="7"/>
      <c r="O228" s="7"/>
      <c r="P228" s="7"/>
      <c r="Q228" s="7"/>
      <c r="R228" s="7"/>
      <c r="S228" s="7"/>
      <c r="T228" s="7"/>
      <c r="U228" s="7"/>
      <c r="W228" s="7"/>
      <c r="AA228" s="168" t="s">
        <v>2849</v>
      </c>
    </row>
    <row r="229" spans="1:27" ht="15.75" customHeight="1">
      <c r="A229" s="8"/>
      <c r="B229" s="7"/>
      <c r="C229" s="33"/>
      <c r="D229" s="7"/>
      <c r="E229" s="7"/>
      <c r="F229" s="7"/>
      <c r="G229" s="7"/>
      <c r="H229" s="7"/>
      <c r="I229" s="7"/>
      <c r="J229" s="7"/>
      <c r="K229" s="7"/>
      <c r="L229" s="7"/>
      <c r="M229" s="7"/>
      <c r="N229" s="7"/>
      <c r="O229" s="7"/>
      <c r="P229" s="7"/>
      <c r="Q229" s="7"/>
      <c r="R229" s="7"/>
      <c r="S229" s="7"/>
      <c r="T229" s="7"/>
      <c r="U229" s="7"/>
      <c r="W229" s="7"/>
      <c r="AA229" s="168" t="s">
        <v>2850</v>
      </c>
    </row>
    <row r="230" spans="1:27" ht="15.75" customHeight="1">
      <c r="A230" s="8"/>
      <c r="B230" s="7"/>
      <c r="C230" s="33"/>
      <c r="D230" s="7"/>
      <c r="E230" s="7"/>
      <c r="F230" s="7"/>
      <c r="G230" s="7"/>
      <c r="H230" s="7"/>
      <c r="I230" s="7"/>
      <c r="J230" s="7"/>
      <c r="K230" s="7"/>
      <c r="L230" s="7"/>
      <c r="M230" s="7"/>
      <c r="N230" s="7"/>
      <c r="O230" s="7"/>
      <c r="P230" s="7"/>
      <c r="Q230" s="7"/>
      <c r="R230" s="7"/>
      <c r="S230" s="7"/>
      <c r="T230" s="7"/>
      <c r="U230" s="7"/>
      <c r="W230" s="7"/>
      <c r="AA230" s="168" t="s">
        <v>2851</v>
      </c>
    </row>
    <row r="231" spans="1:27" ht="15.75" customHeight="1">
      <c r="A231" s="8"/>
      <c r="B231" s="7"/>
      <c r="C231" s="33"/>
      <c r="D231" s="7"/>
      <c r="E231" s="7"/>
      <c r="F231" s="7"/>
      <c r="G231" s="7"/>
      <c r="H231" s="7"/>
      <c r="I231" s="7"/>
      <c r="J231" s="7"/>
      <c r="K231" s="7"/>
      <c r="L231" s="7"/>
      <c r="M231" s="7"/>
      <c r="N231" s="7"/>
      <c r="O231" s="7"/>
      <c r="P231" s="7"/>
      <c r="Q231" s="7"/>
      <c r="R231" s="7"/>
      <c r="S231" s="7"/>
      <c r="T231" s="7"/>
      <c r="U231" s="7"/>
      <c r="W231" s="7"/>
      <c r="AA231" s="168" t="s">
        <v>2852</v>
      </c>
    </row>
    <row r="232" spans="1:27" ht="15.75" customHeight="1">
      <c r="A232" s="8"/>
      <c r="B232" s="7"/>
      <c r="C232" s="33"/>
      <c r="D232" s="7"/>
      <c r="E232" s="7"/>
      <c r="F232" s="7"/>
      <c r="G232" s="7"/>
      <c r="H232" s="7"/>
      <c r="I232" s="7"/>
      <c r="J232" s="7"/>
      <c r="K232" s="7"/>
      <c r="L232" s="7"/>
      <c r="M232" s="7"/>
      <c r="N232" s="7"/>
      <c r="O232" s="7"/>
      <c r="P232" s="7"/>
      <c r="Q232" s="7"/>
      <c r="R232" s="7"/>
      <c r="S232" s="7"/>
      <c r="T232" s="7"/>
      <c r="U232" s="7"/>
      <c r="W232" s="7"/>
      <c r="AA232" s="168" t="s">
        <v>2853</v>
      </c>
    </row>
    <row r="233" spans="1:27" ht="15.75" customHeight="1">
      <c r="A233" s="8"/>
      <c r="B233" s="7"/>
      <c r="C233" s="33"/>
      <c r="D233" s="7"/>
      <c r="E233" s="7"/>
      <c r="F233" s="7"/>
      <c r="G233" s="7"/>
      <c r="H233" s="7"/>
      <c r="I233" s="7"/>
      <c r="J233" s="7"/>
      <c r="K233" s="7"/>
      <c r="L233" s="7"/>
      <c r="M233" s="7"/>
      <c r="N233" s="7"/>
      <c r="O233" s="7"/>
      <c r="P233" s="7"/>
      <c r="Q233" s="7"/>
      <c r="R233" s="7"/>
      <c r="S233" s="7"/>
      <c r="T233" s="7"/>
      <c r="U233" s="7"/>
      <c r="W233" s="7"/>
      <c r="AA233" s="168" t="s">
        <v>2854</v>
      </c>
    </row>
    <row r="234" spans="1:27" ht="15.75" customHeight="1">
      <c r="A234" s="8"/>
      <c r="B234" s="7"/>
      <c r="C234" s="33"/>
      <c r="D234" s="7"/>
      <c r="E234" s="7"/>
      <c r="F234" s="7"/>
      <c r="G234" s="7"/>
      <c r="H234" s="7"/>
      <c r="I234" s="7"/>
      <c r="J234" s="7"/>
      <c r="K234" s="7"/>
      <c r="L234" s="7"/>
      <c r="M234" s="7"/>
      <c r="N234" s="7"/>
      <c r="O234" s="7"/>
      <c r="P234" s="7"/>
      <c r="Q234" s="7"/>
      <c r="R234" s="7"/>
      <c r="S234" s="7"/>
      <c r="T234" s="7"/>
      <c r="U234" s="7"/>
      <c r="W234" s="7"/>
      <c r="AA234" s="168" t="s">
        <v>2855</v>
      </c>
    </row>
    <row r="235" spans="1:27" ht="15.75" customHeight="1">
      <c r="A235" s="8"/>
      <c r="B235" s="7"/>
      <c r="C235" s="33"/>
      <c r="D235" s="7"/>
      <c r="E235" s="7"/>
      <c r="F235" s="7"/>
      <c r="G235" s="7"/>
      <c r="H235" s="7"/>
      <c r="I235" s="7"/>
      <c r="J235" s="7"/>
      <c r="K235" s="7"/>
      <c r="L235" s="7"/>
      <c r="M235" s="7"/>
      <c r="N235" s="7"/>
      <c r="O235" s="7"/>
      <c r="P235" s="7"/>
      <c r="Q235" s="7"/>
      <c r="R235" s="7"/>
      <c r="S235" s="7"/>
      <c r="T235" s="7"/>
      <c r="U235" s="7"/>
      <c r="W235" s="7"/>
      <c r="AA235" s="168" t="s">
        <v>2856</v>
      </c>
    </row>
    <row r="236" spans="1:27" ht="15.75" customHeight="1">
      <c r="A236" s="8"/>
      <c r="B236" s="7"/>
      <c r="C236" s="33"/>
      <c r="D236" s="7"/>
      <c r="E236" s="7"/>
      <c r="F236" s="7"/>
      <c r="G236" s="7"/>
      <c r="H236" s="7"/>
      <c r="I236" s="7"/>
      <c r="J236" s="7"/>
      <c r="K236" s="7"/>
      <c r="L236" s="7"/>
      <c r="M236" s="7"/>
      <c r="N236" s="7"/>
      <c r="O236" s="7"/>
      <c r="P236" s="7"/>
      <c r="Q236" s="7"/>
      <c r="R236" s="7"/>
      <c r="S236" s="7"/>
      <c r="T236" s="7"/>
      <c r="U236" s="7"/>
      <c r="W236" s="7"/>
      <c r="AA236" s="168" t="s">
        <v>2857</v>
      </c>
    </row>
    <row r="237" spans="1:27" ht="15.75" customHeight="1">
      <c r="A237" s="8"/>
      <c r="B237" s="7"/>
      <c r="C237" s="33"/>
      <c r="D237" s="7"/>
      <c r="E237" s="7"/>
      <c r="F237" s="7"/>
      <c r="G237" s="7"/>
      <c r="H237" s="7"/>
      <c r="I237" s="7"/>
      <c r="J237" s="7"/>
      <c r="K237" s="7"/>
      <c r="L237" s="7"/>
      <c r="M237" s="7"/>
      <c r="N237" s="7"/>
      <c r="O237" s="7"/>
      <c r="P237" s="7"/>
      <c r="Q237" s="7"/>
      <c r="R237" s="7"/>
      <c r="S237" s="7"/>
      <c r="T237" s="7"/>
      <c r="U237" s="7"/>
      <c r="W237" s="7"/>
      <c r="AA237" s="168" t="s">
        <v>2858</v>
      </c>
    </row>
    <row r="238" spans="1:27" ht="15.75" customHeight="1">
      <c r="A238" s="8"/>
      <c r="B238" s="7"/>
      <c r="C238" s="33"/>
      <c r="D238" s="7"/>
      <c r="E238" s="7"/>
      <c r="F238" s="7"/>
      <c r="G238" s="7"/>
      <c r="H238" s="7"/>
      <c r="I238" s="7"/>
      <c r="J238" s="7"/>
      <c r="K238" s="7"/>
      <c r="L238" s="7"/>
      <c r="M238" s="7"/>
      <c r="N238" s="7"/>
      <c r="O238" s="7"/>
      <c r="P238" s="7"/>
      <c r="Q238" s="7"/>
      <c r="R238" s="7"/>
      <c r="S238" s="7"/>
      <c r="T238" s="7"/>
      <c r="U238" s="7"/>
      <c r="W238" s="7"/>
      <c r="AA238" s="168" t="s">
        <v>2859</v>
      </c>
    </row>
    <row r="239" spans="1:27" ht="15.75" customHeight="1">
      <c r="A239" s="8"/>
      <c r="B239" s="7"/>
      <c r="C239" s="33"/>
      <c r="D239" s="7"/>
      <c r="E239" s="7"/>
      <c r="F239" s="7"/>
      <c r="G239" s="7"/>
      <c r="H239" s="7"/>
      <c r="I239" s="7"/>
      <c r="J239" s="7"/>
      <c r="K239" s="7"/>
      <c r="L239" s="7"/>
      <c r="M239" s="7"/>
      <c r="N239" s="7"/>
      <c r="O239" s="7"/>
      <c r="P239" s="7"/>
      <c r="Q239" s="7"/>
      <c r="R239" s="7"/>
      <c r="S239" s="7"/>
      <c r="T239" s="7"/>
      <c r="U239" s="7"/>
      <c r="W239" s="7"/>
      <c r="AA239" s="168" t="s">
        <v>2860</v>
      </c>
    </row>
    <row r="240" spans="1:27" ht="15.75" customHeight="1">
      <c r="A240" s="8"/>
      <c r="B240" s="7"/>
      <c r="C240" s="33"/>
      <c r="D240" s="7"/>
      <c r="E240" s="7"/>
      <c r="F240" s="7"/>
      <c r="G240" s="7"/>
      <c r="H240" s="7"/>
      <c r="I240" s="7"/>
      <c r="J240" s="7"/>
      <c r="K240" s="7"/>
      <c r="L240" s="7"/>
      <c r="M240" s="7"/>
      <c r="N240" s="7"/>
      <c r="O240" s="7"/>
      <c r="P240" s="7"/>
      <c r="Q240" s="7"/>
      <c r="R240" s="7"/>
      <c r="S240" s="7"/>
      <c r="T240" s="7"/>
      <c r="U240" s="7"/>
      <c r="W240" s="7"/>
      <c r="AA240" s="168" t="s">
        <v>2861</v>
      </c>
    </row>
    <row r="241" spans="1:27" ht="15.75" customHeight="1">
      <c r="A241" s="8"/>
      <c r="B241" s="7"/>
      <c r="C241" s="33"/>
      <c r="D241" s="7"/>
      <c r="E241" s="7"/>
      <c r="F241" s="7"/>
      <c r="G241" s="7"/>
      <c r="H241" s="7"/>
      <c r="I241" s="7"/>
      <c r="J241" s="7"/>
      <c r="K241" s="7"/>
      <c r="L241" s="7"/>
      <c r="M241" s="7"/>
      <c r="N241" s="7"/>
      <c r="O241" s="7"/>
      <c r="P241" s="7"/>
      <c r="Q241" s="7"/>
      <c r="R241" s="7"/>
      <c r="S241" s="7"/>
      <c r="T241" s="7"/>
      <c r="U241" s="7"/>
      <c r="W241" s="7"/>
      <c r="AA241" s="168" t="s">
        <v>2862</v>
      </c>
    </row>
    <row r="242" spans="1:27" ht="15.75" customHeight="1">
      <c r="A242" s="8"/>
      <c r="B242" s="7"/>
      <c r="C242" s="33"/>
      <c r="D242" s="7"/>
      <c r="E242" s="7"/>
      <c r="F242" s="7"/>
      <c r="G242" s="7"/>
      <c r="H242" s="7"/>
      <c r="I242" s="7"/>
      <c r="J242" s="7"/>
      <c r="K242" s="7"/>
      <c r="L242" s="7"/>
      <c r="M242" s="7"/>
      <c r="N242" s="7"/>
      <c r="O242" s="7"/>
      <c r="P242" s="7"/>
      <c r="Q242" s="7"/>
      <c r="R242" s="7"/>
      <c r="S242" s="7"/>
      <c r="T242" s="7"/>
      <c r="U242" s="7"/>
      <c r="W242" s="7"/>
      <c r="AA242" s="168" t="s">
        <v>2863</v>
      </c>
    </row>
    <row r="243" spans="1:27" ht="15.75" customHeight="1">
      <c r="A243" s="8"/>
      <c r="B243" s="7"/>
      <c r="C243" s="33"/>
      <c r="D243" s="7"/>
      <c r="E243" s="7"/>
      <c r="F243" s="7"/>
      <c r="G243" s="7"/>
      <c r="H243" s="7"/>
      <c r="I243" s="7"/>
      <c r="J243" s="7"/>
      <c r="K243" s="7"/>
      <c r="L243" s="7"/>
      <c r="M243" s="7"/>
      <c r="N243" s="7"/>
      <c r="O243" s="7"/>
      <c r="P243" s="7"/>
      <c r="Q243" s="7"/>
      <c r="R243" s="7"/>
      <c r="S243" s="7"/>
      <c r="T243" s="7"/>
      <c r="U243" s="7"/>
      <c r="W243" s="7"/>
      <c r="AA243" s="168" t="s">
        <v>2864</v>
      </c>
    </row>
    <row r="244" spans="1:27" ht="15.75" customHeight="1">
      <c r="A244" s="8"/>
      <c r="B244" s="7"/>
      <c r="C244" s="33"/>
      <c r="D244" s="7"/>
      <c r="E244" s="7"/>
      <c r="F244" s="7"/>
      <c r="G244" s="7"/>
      <c r="H244" s="7"/>
      <c r="I244" s="7"/>
      <c r="J244" s="7"/>
      <c r="K244" s="7"/>
      <c r="L244" s="7"/>
      <c r="M244" s="7"/>
      <c r="N244" s="7"/>
      <c r="O244" s="7"/>
      <c r="P244" s="7"/>
      <c r="Q244" s="7"/>
      <c r="R244" s="7"/>
      <c r="S244" s="7"/>
      <c r="T244" s="7"/>
      <c r="U244" s="7"/>
      <c r="W244" s="7"/>
      <c r="AA244" s="168" t="s">
        <v>2865</v>
      </c>
    </row>
    <row r="245" spans="1:27" ht="15.75" customHeight="1">
      <c r="A245" s="8"/>
      <c r="B245" s="7"/>
      <c r="C245" s="33"/>
      <c r="D245" s="7"/>
      <c r="E245" s="7"/>
      <c r="F245" s="7"/>
      <c r="G245" s="7"/>
      <c r="H245" s="7"/>
      <c r="I245" s="7"/>
      <c r="J245" s="7"/>
      <c r="K245" s="7"/>
      <c r="L245" s="7"/>
      <c r="M245" s="7"/>
      <c r="N245" s="7"/>
      <c r="O245" s="7"/>
      <c r="P245" s="7"/>
      <c r="Q245" s="7"/>
      <c r="R245" s="7"/>
      <c r="S245" s="7"/>
      <c r="T245" s="7"/>
      <c r="U245" s="7"/>
      <c r="W245" s="7"/>
      <c r="AA245" s="168" t="s">
        <v>2866</v>
      </c>
    </row>
    <row r="246" spans="1:27" ht="15.75" customHeight="1">
      <c r="A246" s="8"/>
      <c r="B246" s="7"/>
      <c r="C246" s="33"/>
      <c r="D246" s="7"/>
      <c r="E246" s="7"/>
      <c r="F246" s="7"/>
      <c r="G246" s="7"/>
      <c r="H246" s="7"/>
      <c r="I246" s="7"/>
      <c r="J246" s="7"/>
      <c r="K246" s="7"/>
      <c r="L246" s="7"/>
      <c r="M246" s="7"/>
      <c r="N246" s="7"/>
      <c r="O246" s="7"/>
      <c r="P246" s="7"/>
      <c r="Q246" s="7"/>
      <c r="R246" s="7"/>
      <c r="S246" s="7"/>
      <c r="T246" s="7"/>
      <c r="U246" s="7"/>
      <c r="W246" s="7"/>
      <c r="AA246" s="168" t="s">
        <v>2867</v>
      </c>
    </row>
    <row r="247" spans="1:27" ht="15.75" customHeight="1">
      <c r="A247" s="8"/>
      <c r="B247" s="7"/>
      <c r="C247" s="33"/>
      <c r="D247" s="7"/>
      <c r="E247" s="7"/>
      <c r="F247" s="7"/>
      <c r="G247" s="7"/>
      <c r="H247" s="7"/>
      <c r="I247" s="7"/>
      <c r="J247" s="7"/>
      <c r="K247" s="7"/>
      <c r="L247" s="7"/>
      <c r="M247" s="7"/>
      <c r="N247" s="7"/>
      <c r="O247" s="7"/>
      <c r="P247" s="7"/>
      <c r="Q247" s="7"/>
      <c r="R247" s="7"/>
      <c r="S247" s="7"/>
      <c r="T247" s="7"/>
      <c r="U247" s="7"/>
      <c r="W247" s="7"/>
      <c r="AA247" s="168" t="s">
        <v>2868</v>
      </c>
    </row>
    <row r="248" spans="1:27" ht="15.75" customHeight="1">
      <c r="A248" s="8"/>
      <c r="B248" s="7"/>
      <c r="C248" s="33"/>
      <c r="D248" s="7"/>
      <c r="E248" s="7"/>
      <c r="F248" s="7"/>
      <c r="G248" s="7"/>
      <c r="H248" s="7"/>
      <c r="I248" s="7"/>
      <c r="J248" s="7"/>
      <c r="K248" s="7"/>
      <c r="L248" s="7"/>
      <c r="M248" s="7"/>
      <c r="N248" s="7"/>
      <c r="O248" s="7"/>
      <c r="P248" s="7"/>
      <c r="Q248" s="7"/>
      <c r="R248" s="7"/>
      <c r="S248" s="7"/>
      <c r="T248" s="7"/>
      <c r="U248" s="7"/>
      <c r="W248" s="7"/>
      <c r="AA248" s="168" t="s">
        <v>2869</v>
      </c>
    </row>
    <row r="249" spans="1:27" ht="15.75" customHeight="1">
      <c r="A249" s="8"/>
      <c r="B249" s="7"/>
      <c r="C249" s="33"/>
      <c r="D249" s="7"/>
      <c r="E249" s="7"/>
      <c r="F249" s="7"/>
      <c r="G249" s="7"/>
      <c r="H249" s="7"/>
      <c r="I249" s="7"/>
      <c r="J249" s="7"/>
      <c r="K249" s="7"/>
      <c r="L249" s="7"/>
      <c r="M249" s="7"/>
      <c r="N249" s="7"/>
      <c r="O249" s="7"/>
      <c r="P249" s="7"/>
      <c r="Q249" s="7"/>
      <c r="R249" s="7"/>
      <c r="S249" s="7"/>
      <c r="T249" s="7"/>
      <c r="U249" s="7"/>
      <c r="W249" s="7"/>
      <c r="AA249" s="168" t="s">
        <v>2870</v>
      </c>
    </row>
    <row r="250" spans="1:27" ht="15.75" customHeight="1">
      <c r="A250" s="8"/>
      <c r="B250" s="7"/>
      <c r="C250" s="33"/>
      <c r="D250" s="7"/>
      <c r="E250" s="7"/>
      <c r="F250" s="7"/>
      <c r="G250" s="7"/>
      <c r="H250" s="7"/>
      <c r="I250" s="7"/>
      <c r="J250" s="7"/>
      <c r="K250" s="7"/>
      <c r="L250" s="7"/>
      <c r="M250" s="7"/>
      <c r="N250" s="7"/>
      <c r="O250" s="7"/>
      <c r="P250" s="7"/>
      <c r="Q250" s="7"/>
      <c r="R250" s="7"/>
      <c r="S250" s="7"/>
      <c r="T250" s="7"/>
      <c r="U250" s="7"/>
      <c r="W250" s="7"/>
      <c r="AA250" s="168" t="s">
        <v>2871</v>
      </c>
    </row>
    <row r="251" spans="1:27" ht="15.75" customHeight="1">
      <c r="A251" s="8"/>
      <c r="B251" s="7"/>
      <c r="C251" s="33"/>
      <c r="D251" s="7"/>
      <c r="E251" s="7"/>
      <c r="F251" s="7"/>
      <c r="G251" s="7"/>
      <c r="H251" s="7"/>
      <c r="I251" s="7"/>
      <c r="J251" s="7"/>
      <c r="K251" s="7"/>
      <c r="L251" s="7"/>
      <c r="M251" s="7"/>
      <c r="N251" s="7"/>
      <c r="O251" s="7"/>
      <c r="P251" s="7"/>
      <c r="Q251" s="7"/>
      <c r="R251" s="7"/>
      <c r="S251" s="7"/>
      <c r="T251" s="7"/>
      <c r="U251" s="7"/>
      <c r="W251" s="7"/>
      <c r="AA251" s="168" t="s">
        <v>2872</v>
      </c>
    </row>
    <row r="252" spans="1:27" ht="15.75" customHeight="1">
      <c r="A252" s="8"/>
      <c r="B252" s="7"/>
      <c r="C252" s="33"/>
      <c r="D252" s="7"/>
      <c r="E252" s="7"/>
      <c r="F252" s="7"/>
      <c r="G252" s="7"/>
      <c r="H252" s="7"/>
      <c r="I252" s="7"/>
      <c r="J252" s="7"/>
      <c r="K252" s="7"/>
      <c r="L252" s="7"/>
      <c r="M252" s="7"/>
      <c r="N252" s="7"/>
      <c r="O252" s="7"/>
      <c r="P252" s="7"/>
      <c r="Q252" s="7"/>
      <c r="R252" s="7"/>
      <c r="S252" s="7"/>
      <c r="T252" s="7"/>
      <c r="U252" s="7"/>
      <c r="W252" s="7"/>
      <c r="AA252" s="168" t="s">
        <v>2873</v>
      </c>
    </row>
    <row r="253" spans="1:27" ht="15.75" customHeight="1">
      <c r="A253" s="8"/>
      <c r="B253" s="7"/>
      <c r="C253" s="33"/>
      <c r="D253" s="7"/>
      <c r="E253" s="7"/>
      <c r="F253" s="7"/>
      <c r="G253" s="7"/>
      <c r="H253" s="7"/>
      <c r="I253" s="7"/>
      <c r="J253" s="7"/>
      <c r="K253" s="7"/>
      <c r="L253" s="7"/>
      <c r="M253" s="7"/>
      <c r="N253" s="7"/>
      <c r="O253" s="7"/>
      <c r="P253" s="7"/>
      <c r="Q253" s="7"/>
      <c r="R253" s="7"/>
      <c r="S253" s="7"/>
      <c r="T253" s="7"/>
      <c r="U253" s="7"/>
      <c r="W253" s="7"/>
      <c r="AA253" s="168" t="s">
        <v>2874</v>
      </c>
    </row>
    <row r="254" spans="1:27" ht="15.75" customHeight="1">
      <c r="A254" s="8"/>
      <c r="B254" s="7"/>
      <c r="C254" s="33"/>
      <c r="D254" s="7"/>
      <c r="E254" s="7"/>
      <c r="F254" s="7"/>
      <c r="G254" s="7"/>
      <c r="H254" s="7"/>
      <c r="I254" s="7"/>
      <c r="J254" s="7"/>
      <c r="K254" s="7"/>
      <c r="L254" s="7"/>
      <c r="M254" s="7"/>
      <c r="N254" s="7"/>
      <c r="O254" s="7"/>
      <c r="P254" s="7"/>
      <c r="Q254" s="7"/>
      <c r="R254" s="7"/>
      <c r="S254" s="7"/>
      <c r="T254" s="7"/>
      <c r="U254" s="7"/>
      <c r="W254" s="7"/>
      <c r="AA254" s="168" t="s">
        <v>2875</v>
      </c>
    </row>
    <row r="255" spans="1:27" ht="15.75" customHeight="1">
      <c r="A255" s="8"/>
      <c r="B255" s="7"/>
      <c r="C255" s="33"/>
      <c r="D255" s="7"/>
      <c r="E255" s="7"/>
      <c r="F255" s="7"/>
      <c r="G255" s="7"/>
      <c r="H255" s="7"/>
      <c r="I255" s="7"/>
      <c r="J255" s="7"/>
      <c r="K255" s="7"/>
      <c r="L255" s="7"/>
      <c r="M255" s="7"/>
      <c r="N255" s="7"/>
      <c r="O255" s="7"/>
      <c r="P255" s="7"/>
      <c r="Q255" s="7"/>
      <c r="R255" s="7"/>
      <c r="S255" s="7"/>
      <c r="T255" s="7"/>
      <c r="U255" s="7"/>
      <c r="W255" s="7"/>
      <c r="AA255" s="168" t="s">
        <v>2876</v>
      </c>
    </row>
    <row r="256" spans="1:27" ht="15.75" customHeight="1">
      <c r="A256" s="8"/>
      <c r="B256" s="7"/>
      <c r="C256" s="33"/>
      <c r="D256" s="7"/>
      <c r="E256" s="7"/>
      <c r="F256" s="7"/>
      <c r="G256" s="7"/>
      <c r="H256" s="7"/>
      <c r="I256" s="7"/>
      <c r="J256" s="7"/>
      <c r="K256" s="7"/>
      <c r="L256" s="7"/>
      <c r="M256" s="7"/>
      <c r="N256" s="7"/>
      <c r="O256" s="7"/>
      <c r="P256" s="7"/>
      <c r="Q256" s="7"/>
      <c r="R256" s="7"/>
      <c r="S256" s="7"/>
      <c r="T256" s="7"/>
      <c r="U256" s="7"/>
      <c r="W256" s="7"/>
      <c r="AA256" s="168" t="s">
        <v>2877</v>
      </c>
    </row>
    <row r="257" spans="1:27" ht="15.75" customHeight="1">
      <c r="A257" s="8"/>
      <c r="B257" s="7"/>
      <c r="C257" s="33"/>
      <c r="D257" s="7"/>
      <c r="E257" s="7"/>
      <c r="F257" s="7"/>
      <c r="G257" s="7"/>
      <c r="H257" s="7"/>
      <c r="I257" s="7"/>
      <c r="J257" s="7"/>
      <c r="K257" s="7"/>
      <c r="L257" s="7"/>
      <c r="M257" s="7"/>
      <c r="N257" s="7"/>
      <c r="O257" s="7"/>
      <c r="P257" s="7"/>
      <c r="Q257" s="7"/>
      <c r="R257" s="7"/>
      <c r="S257" s="7"/>
      <c r="T257" s="7"/>
      <c r="U257" s="7"/>
      <c r="W257" s="7"/>
      <c r="AA257" s="168" t="s">
        <v>2878</v>
      </c>
    </row>
    <row r="258" spans="1:27" ht="15.75" customHeight="1">
      <c r="A258" s="8"/>
      <c r="B258" s="7"/>
      <c r="C258" s="33"/>
      <c r="D258" s="7"/>
      <c r="E258" s="7"/>
      <c r="F258" s="7"/>
      <c r="G258" s="7"/>
      <c r="H258" s="7"/>
      <c r="I258" s="7"/>
      <c r="J258" s="7"/>
      <c r="K258" s="7"/>
      <c r="L258" s="7"/>
      <c r="M258" s="7"/>
      <c r="N258" s="7"/>
      <c r="O258" s="7"/>
      <c r="P258" s="7"/>
      <c r="Q258" s="7"/>
      <c r="R258" s="7"/>
      <c r="S258" s="7"/>
      <c r="T258" s="7"/>
      <c r="U258" s="7"/>
      <c r="W258" s="7"/>
      <c r="AA258" s="168" t="s">
        <v>2879</v>
      </c>
    </row>
    <row r="259" spans="1:27" ht="15.75" customHeight="1">
      <c r="A259" s="8"/>
      <c r="B259" s="7"/>
      <c r="C259" s="33"/>
      <c r="D259" s="7"/>
      <c r="E259" s="7"/>
      <c r="F259" s="7"/>
      <c r="G259" s="7"/>
      <c r="H259" s="7"/>
      <c r="I259" s="7"/>
      <c r="J259" s="7"/>
      <c r="K259" s="7"/>
      <c r="L259" s="7"/>
      <c r="M259" s="7"/>
      <c r="N259" s="7"/>
      <c r="O259" s="7"/>
      <c r="P259" s="7"/>
      <c r="Q259" s="7"/>
      <c r="R259" s="7"/>
      <c r="S259" s="7"/>
      <c r="T259" s="7"/>
      <c r="U259" s="7"/>
      <c r="W259" s="7"/>
      <c r="AA259" s="168" t="s">
        <v>2880</v>
      </c>
    </row>
    <row r="260" spans="1:27" ht="15.75" customHeight="1">
      <c r="A260" s="8"/>
      <c r="B260" s="7"/>
      <c r="C260" s="33"/>
      <c r="D260" s="7"/>
      <c r="E260" s="7"/>
      <c r="F260" s="7"/>
      <c r="G260" s="7"/>
      <c r="H260" s="7"/>
      <c r="I260" s="7"/>
      <c r="J260" s="7"/>
      <c r="K260" s="7"/>
      <c r="L260" s="7"/>
      <c r="M260" s="7"/>
      <c r="N260" s="7"/>
      <c r="O260" s="7"/>
      <c r="P260" s="7"/>
      <c r="Q260" s="7"/>
      <c r="R260" s="7"/>
      <c r="S260" s="7"/>
      <c r="T260" s="7"/>
      <c r="U260" s="7"/>
      <c r="W260" s="7"/>
      <c r="AA260" s="168" t="s">
        <v>2881</v>
      </c>
    </row>
    <row r="261" spans="1:27" ht="15.75" customHeight="1">
      <c r="A261" s="8"/>
      <c r="B261" s="7"/>
      <c r="C261" s="33"/>
      <c r="D261" s="7"/>
      <c r="E261" s="7"/>
      <c r="F261" s="7"/>
      <c r="G261" s="7"/>
      <c r="H261" s="7"/>
      <c r="I261" s="7"/>
      <c r="J261" s="7"/>
      <c r="K261" s="7"/>
      <c r="L261" s="7"/>
      <c r="M261" s="7"/>
      <c r="N261" s="7"/>
      <c r="O261" s="7"/>
      <c r="P261" s="7"/>
      <c r="Q261" s="7"/>
      <c r="R261" s="7"/>
      <c r="S261" s="7"/>
      <c r="T261" s="7"/>
      <c r="U261" s="7"/>
      <c r="W261" s="7"/>
      <c r="AA261" s="168" t="s">
        <v>2882</v>
      </c>
    </row>
    <row r="262" spans="1:27" ht="15.75" customHeight="1">
      <c r="A262" s="8"/>
      <c r="B262" s="7"/>
      <c r="C262" s="33"/>
      <c r="D262" s="7"/>
      <c r="E262" s="7"/>
      <c r="F262" s="7"/>
      <c r="G262" s="7"/>
      <c r="H262" s="7"/>
      <c r="I262" s="7"/>
      <c r="J262" s="7"/>
      <c r="K262" s="7"/>
      <c r="L262" s="7"/>
      <c r="M262" s="7"/>
      <c r="N262" s="7"/>
      <c r="O262" s="7"/>
      <c r="P262" s="7"/>
      <c r="Q262" s="7"/>
      <c r="R262" s="7"/>
      <c r="S262" s="7"/>
      <c r="T262" s="7"/>
      <c r="U262" s="7"/>
      <c r="W262" s="7"/>
      <c r="AA262" s="168" t="s">
        <v>2883</v>
      </c>
    </row>
    <row r="263" spans="1:27" ht="15.75" customHeight="1">
      <c r="A263" s="8"/>
      <c r="B263" s="7"/>
      <c r="C263" s="33"/>
      <c r="D263" s="7"/>
      <c r="E263" s="7"/>
      <c r="F263" s="7"/>
      <c r="G263" s="7"/>
      <c r="H263" s="7"/>
      <c r="I263" s="7"/>
      <c r="J263" s="7"/>
      <c r="K263" s="7"/>
      <c r="L263" s="7"/>
      <c r="M263" s="7"/>
      <c r="N263" s="7"/>
      <c r="O263" s="7"/>
      <c r="P263" s="7"/>
      <c r="Q263" s="7"/>
      <c r="R263" s="7"/>
      <c r="S263" s="7"/>
      <c r="T263" s="7"/>
      <c r="U263" s="7"/>
      <c r="W263" s="7"/>
      <c r="AA263" s="168" t="s">
        <v>2884</v>
      </c>
    </row>
    <row r="264" spans="1:27" ht="15.75" customHeight="1">
      <c r="A264" s="8"/>
      <c r="B264" s="7"/>
      <c r="C264" s="33"/>
      <c r="D264" s="7"/>
      <c r="E264" s="7"/>
      <c r="F264" s="7"/>
      <c r="G264" s="7"/>
      <c r="H264" s="7"/>
      <c r="I264" s="7"/>
      <c r="J264" s="7"/>
      <c r="K264" s="7"/>
      <c r="L264" s="7"/>
      <c r="M264" s="7"/>
      <c r="N264" s="7"/>
      <c r="O264" s="7"/>
      <c r="P264" s="7"/>
      <c r="Q264" s="7"/>
      <c r="R264" s="7"/>
      <c r="S264" s="7"/>
      <c r="T264" s="7"/>
      <c r="U264" s="7"/>
      <c r="W264" s="7"/>
      <c r="AA264" s="168" t="s">
        <v>2885</v>
      </c>
    </row>
    <row r="265" spans="1:27" ht="15.75" customHeight="1">
      <c r="A265" s="8"/>
      <c r="B265" s="7"/>
      <c r="C265" s="33"/>
      <c r="D265" s="7"/>
      <c r="E265" s="7"/>
      <c r="F265" s="7"/>
      <c r="G265" s="7"/>
      <c r="H265" s="7"/>
      <c r="I265" s="7"/>
      <c r="J265" s="7"/>
      <c r="K265" s="7"/>
      <c r="L265" s="7"/>
      <c r="M265" s="7"/>
      <c r="N265" s="7"/>
      <c r="O265" s="7"/>
      <c r="P265" s="7"/>
      <c r="Q265" s="7"/>
      <c r="R265" s="7"/>
      <c r="S265" s="7"/>
      <c r="T265" s="7"/>
      <c r="U265" s="7"/>
      <c r="W265" s="7"/>
      <c r="AA265" s="168" t="s">
        <v>2886</v>
      </c>
    </row>
    <row r="266" spans="1:27" ht="15.75" customHeight="1">
      <c r="A266" s="8"/>
      <c r="B266" s="7"/>
      <c r="C266" s="33"/>
      <c r="D266" s="7"/>
      <c r="E266" s="7"/>
      <c r="F266" s="7"/>
      <c r="G266" s="7"/>
      <c r="H266" s="7"/>
      <c r="I266" s="7"/>
      <c r="J266" s="7"/>
      <c r="K266" s="7"/>
      <c r="L266" s="7"/>
      <c r="M266" s="7"/>
      <c r="N266" s="7"/>
      <c r="O266" s="7"/>
      <c r="P266" s="7"/>
      <c r="Q266" s="7"/>
      <c r="R266" s="7"/>
      <c r="S266" s="7"/>
      <c r="T266" s="7"/>
      <c r="U266" s="7"/>
      <c r="W266" s="7"/>
      <c r="AA266" s="168" t="s">
        <v>2887</v>
      </c>
    </row>
    <row r="267" spans="1:27" ht="15.75" customHeight="1">
      <c r="A267" s="8"/>
      <c r="B267" s="7"/>
      <c r="C267" s="33"/>
      <c r="D267" s="7"/>
      <c r="E267" s="7"/>
      <c r="F267" s="7"/>
      <c r="G267" s="7"/>
      <c r="H267" s="7"/>
      <c r="I267" s="7"/>
      <c r="J267" s="7"/>
      <c r="K267" s="7"/>
      <c r="L267" s="7"/>
      <c r="M267" s="7"/>
      <c r="N267" s="7"/>
      <c r="O267" s="7"/>
      <c r="P267" s="7"/>
      <c r="Q267" s="7"/>
      <c r="R267" s="7"/>
      <c r="S267" s="7"/>
      <c r="T267" s="7"/>
      <c r="U267" s="7"/>
      <c r="W267" s="7"/>
      <c r="AA267" s="168" t="s">
        <v>2888</v>
      </c>
    </row>
    <row r="268" spans="1:27" ht="15.75" customHeight="1">
      <c r="A268" s="8"/>
      <c r="B268" s="7"/>
      <c r="C268" s="33"/>
      <c r="D268" s="7"/>
      <c r="E268" s="7"/>
      <c r="F268" s="7"/>
      <c r="G268" s="7"/>
      <c r="H268" s="7"/>
      <c r="I268" s="7"/>
      <c r="J268" s="7"/>
      <c r="K268" s="7"/>
      <c r="L268" s="7"/>
      <c r="M268" s="7"/>
      <c r="N268" s="7"/>
      <c r="O268" s="7"/>
      <c r="P268" s="7"/>
      <c r="Q268" s="7"/>
      <c r="R268" s="7"/>
      <c r="S268" s="7"/>
      <c r="T268" s="7"/>
      <c r="U268" s="7"/>
      <c r="W268" s="7"/>
      <c r="AA268" s="168" t="s">
        <v>2889</v>
      </c>
    </row>
    <row r="269" spans="1:27" ht="15.75" customHeight="1">
      <c r="A269" s="8"/>
      <c r="B269" s="7"/>
      <c r="C269" s="33"/>
      <c r="D269" s="7"/>
      <c r="E269" s="7"/>
      <c r="F269" s="7"/>
      <c r="G269" s="7"/>
      <c r="H269" s="7"/>
      <c r="I269" s="7"/>
      <c r="J269" s="7"/>
      <c r="K269" s="7"/>
      <c r="L269" s="7"/>
      <c r="M269" s="7"/>
      <c r="N269" s="7"/>
      <c r="O269" s="7"/>
      <c r="P269" s="7"/>
      <c r="Q269" s="7"/>
      <c r="R269" s="7"/>
      <c r="S269" s="7"/>
      <c r="T269" s="7"/>
      <c r="U269" s="7"/>
      <c r="W269" s="7"/>
      <c r="AA269" s="168" t="s">
        <v>2890</v>
      </c>
    </row>
    <row r="270" spans="1:27" ht="15.75" customHeight="1">
      <c r="A270" s="8"/>
      <c r="B270" s="7"/>
      <c r="C270" s="33"/>
      <c r="D270" s="7"/>
      <c r="E270" s="7"/>
      <c r="F270" s="7"/>
      <c r="G270" s="7"/>
      <c r="H270" s="7"/>
      <c r="I270" s="7"/>
      <c r="J270" s="7"/>
      <c r="K270" s="7"/>
      <c r="L270" s="7"/>
      <c r="M270" s="7"/>
      <c r="N270" s="7"/>
      <c r="O270" s="7"/>
      <c r="P270" s="7"/>
      <c r="Q270" s="7"/>
      <c r="R270" s="7"/>
      <c r="S270" s="7"/>
      <c r="T270" s="7"/>
      <c r="U270" s="7"/>
      <c r="W270" s="7"/>
      <c r="AA270" s="168" t="s">
        <v>2891</v>
      </c>
    </row>
    <row r="271" spans="1:27" ht="15.75" customHeight="1">
      <c r="A271" s="8"/>
      <c r="B271" s="7"/>
      <c r="C271" s="33"/>
      <c r="D271" s="7"/>
      <c r="E271" s="7"/>
      <c r="F271" s="7"/>
      <c r="G271" s="7"/>
      <c r="H271" s="7"/>
      <c r="I271" s="7"/>
      <c r="J271" s="7"/>
      <c r="K271" s="7"/>
      <c r="L271" s="7"/>
      <c r="M271" s="7"/>
      <c r="N271" s="7"/>
      <c r="O271" s="7"/>
      <c r="P271" s="7"/>
      <c r="Q271" s="7"/>
      <c r="R271" s="7"/>
      <c r="S271" s="7"/>
      <c r="T271" s="7"/>
      <c r="U271" s="7"/>
      <c r="W271" s="7"/>
      <c r="AA271" s="168" t="s">
        <v>2892</v>
      </c>
    </row>
    <row r="272" spans="1:27" ht="15.75" customHeight="1">
      <c r="A272" s="8"/>
      <c r="B272" s="7"/>
      <c r="C272" s="33"/>
      <c r="D272" s="7"/>
      <c r="E272" s="7"/>
      <c r="F272" s="7"/>
      <c r="G272" s="7"/>
      <c r="H272" s="7"/>
      <c r="I272" s="7"/>
      <c r="J272" s="7"/>
      <c r="K272" s="7"/>
      <c r="L272" s="7"/>
      <c r="M272" s="7"/>
      <c r="N272" s="7"/>
      <c r="O272" s="7"/>
      <c r="P272" s="7"/>
      <c r="Q272" s="7"/>
      <c r="R272" s="7"/>
      <c r="S272" s="7"/>
      <c r="T272" s="7"/>
      <c r="U272" s="7"/>
      <c r="W272" s="7"/>
      <c r="AA272" s="168" t="s">
        <v>2893</v>
      </c>
    </row>
    <row r="273" spans="1:27" ht="15.75" customHeight="1">
      <c r="A273" s="8"/>
      <c r="B273" s="7"/>
      <c r="C273" s="33"/>
      <c r="D273" s="7"/>
      <c r="E273" s="7"/>
      <c r="F273" s="7"/>
      <c r="G273" s="7"/>
      <c r="H273" s="7"/>
      <c r="I273" s="7"/>
      <c r="J273" s="7"/>
      <c r="K273" s="7"/>
      <c r="L273" s="7"/>
      <c r="M273" s="7"/>
      <c r="N273" s="7"/>
      <c r="O273" s="7"/>
      <c r="P273" s="7"/>
      <c r="Q273" s="7"/>
      <c r="R273" s="7"/>
      <c r="S273" s="7"/>
      <c r="T273" s="7"/>
      <c r="U273" s="7"/>
      <c r="W273" s="7"/>
      <c r="AA273" s="168" t="s">
        <v>2894</v>
      </c>
    </row>
    <row r="274" spans="1:27" ht="15.75" customHeight="1">
      <c r="A274" s="8"/>
      <c r="B274" s="7"/>
      <c r="C274" s="33"/>
      <c r="D274" s="7"/>
      <c r="E274" s="7"/>
      <c r="F274" s="7"/>
      <c r="G274" s="7"/>
      <c r="H274" s="7"/>
      <c r="I274" s="7"/>
      <c r="J274" s="7"/>
      <c r="K274" s="7"/>
      <c r="L274" s="7"/>
      <c r="M274" s="7"/>
      <c r="N274" s="7"/>
      <c r="O274" s="7"/>
      <c r="P274" s="7"/>
      <c r="Q274" s="7"/>
      <c r="R274" s="7"/>
      <c r="S274" s="7"/>
      <c r="T274" s="7"/>
      <c r="U274" s="7"/>
      <c r="W274" s="7"/>
      <c r="AA274" s="168" t="s">
        <v>2895</v>
      </c>
    </row>
    <row r="275" spans="1:27" ht="15.75" customHeight="1">
      <c r="A275" s="8"/>
      <c r="B275" s="7"/>
      <c r="C275" s="33"/>
      <c r="D275" s="7"/>
      <c r="E275" s="7"/>
      <c r="F275" s="7"/>
      <c r="G275" s="7"/>
      <c r="H275" s="7"/>
      <c r="I275" s="7"/>
      <c r="J275" s="7"/>
      <c r="K275" s="7"/>
      <c r="L275" s="7"/>
      <c r="M275" s="7"/>
      <c r="N275" s="7"/>
      <c r="O275" s="7"/>
      <c r="P275" s="7"/>
      <c r="Q275" s="7"/>
      <c r="R275" s="7"/>
      <c r="S275" s="7"/>
      <c r="T275" s="7"/>
      <c r="U275" s="7"/>
      <c r="W275" s="7"/>
      <c r="AA275" s="168" t="s">
        <v>2896</v>
      </c>
    </row>
    <row r="276" spans="1:27" ht="15.75" customHeight="1">
      <c r="A276" s="8"/>
      <c r="B276" s="7"/>
      <c r="C276" s="33"/>
      <c r="D276" s="7"/>
      <c r="E276" s="7"/>
      <c r="F276" s="7"/>
      <c r="G276" s="7"/>
      <c r="H276" s="7"/>
      <c r="I276" s="7"/>
      <c r="J276" s="7"/>
      <c r="K276" s="7"/>
      <c r="L276" s="7"/>
      <c r="M276" s="7"/>
      <c r="N276" s="7"/>
      <c r="O276" s="7"/>
      <c r="P276" s="7"/>
      <c r="Q276" s="7"/>
      <c r="R276" s="7"/>
      <c r="S276" s="7"/>
      <c r="T276" s="7"/>
      <c r="U276" s="7"/>
      <c r="W276" s="7"/>
      <c r="AA276" s="168" t="s">
        <v>2897</v>
      </c>
    </row>
    <row r="277" spans="1:27" ht="15.75" customHeight="1">
      <c r="A277" s="8"/>
      <c r="B277" s="7"/>
      <c r="C277" s="33"/>
      <c r="D277" s="7"/>
      <c r="E277" s="7"/>
      <c r="F277" s="7"/>
      <c r="G277" s="7"/>
      <c r="H277" s="7"/>
      <c r="I277" s="7"/>
      <c r="J277" s="7"/>
      <c r="K277" s="7"/>
      <c r="L277" s="7"/>
      <c r="M277" s="7"/>
      <c r="N277" s="7"/>
      <c r="O277" s="7"/>
      <c r="P277" s="7"/>
      <c r="Q277" s="7"/>
      <c r="R277" s="7"/>
      <c r="S277" s="7"/>
      <c r="T277" s="7"/>
      <c r="U277" s="7"/>
      <c r="W277" s="7"/>
      <c r="AA277" s="168" t="s">
        <v>2898</v>
      </c>
    </row>
    <row r="278" spans="1:27" ht="15.75" customHeight="1">
      <c r="A278" s="8"/>
      <c r="B278" s="7"/>
      <c r="C278" s="33"/>
      <c r="D278" s="7"/>
      <c r="E278" s="7"/>
      <c r="F278" s="7"/>
      <c r="G278" s="7"/>
      <c r="H278" s="7"/>
      <c r="I278" s="7"/>
      <c r="J278" s="7"/>
      <c r="K278" s="7"/>
      <c r="L278" s="7"/>
      <c r="M278" s="7"/>
      <c r="N278" s="7"/>
      <c r="O278" s="7"/>
      <c r="P278" s="7"/>
      <c r="Q278" s="7"/>
      <c r="R278" s="7"/>
      <c r="S278" s="7"/>
      <c r="T278" s="7"/>
      <c r="U278" s="7"/>
      <c r="W278" s="7"/>
      <c r="AA278" s="168" t="s">
        <v>2899</v>
      </c>
    </row>
    <row r="279" spans="1:27" ht="15.75" customHeight="1">
      <c r="A279" s="8"/>
      <c r="B279" s="7"/>
      <c r="C279" s="33"/>
      <c r="D279" s="7"/>
      <c r="E279" s="7"/>
      <c r="F279" s="7"/>
      <c r="G279" s="7"/>
      <c r="H279" s="7"/>
      <c r="I279" s="7"/>
      <c r="J279" s="7"/>
      <c r="K279" s="7"/>
      <c r="L279" s="7"/>
      <c r="M279" s="7"/>
      <c r="N279" s="7"/>
      <c r="O279" s="7"/>
      <c r="P279" s="7"/>
      <c r="Q279" s="7"/>
      <c r="R279" s="7"/>
      <c r="S279" s="7"/>
      <c r="T279" s="7"/>
      <c r="U279" s="7"/>
      <c r="W279" s="7"/>
      <c r="AA279" s="168" t="s">
        <v>2900</v>
      </c>
    </row>
    <row r="280" spans="1:27" ht="15.75" customHeight="1">
      <c r="A280" s="8"/>
      <c r="B280" s="7"/>
      <c r="C280" s="33"/>
      <c r="D280" s="7"/>
      <c r="E280" s="7"/>
      <c r="F280" s="7"/>
      <c r="G280" s="7"/>
      <c r="H280" s="7"/>
      <c r="I280" s="7"/>
      <c r="J280" s="7"/>
      <c r="K280" s="7"/>
      <c r="L280" s="7"/>
      <c r="M280" s="7"/>
      <c r="N280" s="7"/>
      <c r="O280" s="7"/>
      <c r="P280" s="7"/>
      <c r="Q280" s="7"/>
      <c r="R280" s="7"/>
      <c r="S280" s="7"/>
      <c r="T280" s="7"/>
      <c r="U280" s="7"/>
      <c r="W280" s="7"/>
      <c r="AA280" s="168" t="s">
        <v>2901</v>
      </c>
    </row>
    <row r="281" spans="1:27" ht="15.75" customHeight="1">
      <c r="A281" s="8"/>
      <c r="B281" s="7"/>
      <c r="C281" s="33"/>
      <c r="D281" s="7"/>
      <c r="E281" s="7"/>
      <c r="F281" s="7"/>
      <c r="G281" s="7"/>
      <c r="H281" s="7"/>
      <c r="I281" s="7"/>
      <c r="J281" s="7"/>
      <c r="K281" s="7"/>
      <c r="L281" s="7"/>
      <c r="M281" s="7"/>
      <c r="N281" s="7"/>
      <c r="O281" s="7"/>
      <c r="P281" s="7"/>
      <c r="Q281" s="7"/>
      <c r="R281" s="7"/>
      <c r="S281" s="7"/>
      <c r="T281" s="7"/>
      <c r="U281" s="7"/>
      <c r="W281" s="7"/>
      <c r="AA281" s="168" t="s">
        <v>2902</v>
      </c>
    </row>
    <row r="282" spans="1:27" ht="15.75" customHeight="1">
      <c r="A282" s="8"/>
      <c r="B282" s="7"/>
      <c r="C282" s="33"/>
      <c r="D282" s="7"/>
      <c r="E282" s="7"/>
      <c r="F282" s="7"/>
      <c r="G282" s="7"/>
      <c r="H282" s="7"/>
      <c r="I282" s="7"/>
      <c r="J282" s="7"/>
      <c r="K282" s="7"/>
      <c r="L282" s="7"/>
      <c r="M282" s="7"/>
      <c r="N282" s="7"/>
      <c r="O282" s="7"/>
      <c r="P282" s="7"/>
      <c r="Q282" s="7"/>
      <c r="R282" s="7"/>
      <c r="S282" s="7"/>
      <c r="T282" s="7"/>
      <c r="U282" s="7"/>
      <c r="W282" s="7"/>
      <c r="AA282" s="168" t="s">
        <v>2903</v>
      </c>
    </row>
    <row r="283" spans="1:27" ht="15.75" customHeight="1">
      <c r="A283" s="8"/>
      <c r="B283" s="7"/>
      <c r="C283" s="33"/>
      <c r="D283" s="7"/>
      <c r="E283" s="7"/>
      <c r="F283" s="7"/>
      <c r="G283" s="7"/>
      <c r="H283" s="7"/>
      <c r="I283" s="7"/>
      <c r="J283" s="7"/>
      <c r="K283" s="7"/>
      <c r="L283" s="7"/>
      <c r="M283" s="7"/>
      <c r="N283" s="7"/>
      <c r="O283" s="7"/>
      <c r="P283" s="7"/>
      <c r="Q283" s="7"/>
      <c r="R283" s="7"/>
      <c r="S283" s="7"/>
      <c r="T283" s="7"/>
      <c r="U283" s="7"/>
      <c r="W283" s="7"/>
      <c r="AA283" s="168" t="s">
        <v>2904</v>
      </c>
    </row>
    <row r="284" spans="1:27" ht="15.75" customHeight="1">
      <c r="A284" s="8"/>
      <c r="B284" s="7"/>
      <c r="C284" s="33"/>
      <c r="D284" s="7"/>
      <c r="E284" s="7"/>
      <c r="F284" s="7"/>
      <c r="G284" s="7"/>
      <c r="H284" s="7"/>
      <c r="I284" s="7"/>
      <c r="J284" s="7"/>
      <c r="K284" s="7"/>
      <c r="L284" s="7"/>
      <c r="M284" s="7"/>
      <c r="N284" s="7"/>
      <c r="O284" s="7"/>
      <c r="P284" s="7"/>
      <c r="Q284" s="7"/>
      <c r="R284" s="7"/>
      <c r="S284" s="7"/>
      <c r="T284" s="7"/>
      <c r="U284" s="7"/>
      <c r="W284" s="7"/>
      <c r="AA284" s="168" t="s">
        <v>2905</v>
      </c>
    </row>
    <row r="285" spans="1:27" ht="15.75" customHeight="1">
      <c r="A285" s="8"/>
      <c r="B285" s="7"/>
      <c r="C285" s="33"/>
      <c r="D285" s="7"/>
      <c r="E285" s="7"/>
      <c r="F285" s="7"/>
      <c r="G285" s="7"/>
      <c r="H285" s="7"/>
      <c r="I285" s="7"/>
      <c r="J285" s="7"/>
      <c r="K285" s="7"/>
      <c r="L285" s="7"/>
      <c r="M285" s="7"/>
      <c r="N285" s="7"/>
      <c r="O285" s="7"/>
      <c r="P285" s="7"/>
      <c r="Q285" s="7"/>
      <c r="R285" s="7"/>
      <c r="S285" s="7"/>
      <c r="T285" s="7"/>
      <c r="U285" s="7"/>
      <c r="W285" s="7"/>
      <c r="AA285" s="168" t="s">
        <v>2906</v>
      </c>
    </row>
    <row r="286" spans="1:27" ht="15.75" customHeight="1">
      <c r="A286" s="8"/>
      <c r="B286" s="7"/>
      <c r="C286" s="33"/>
      <c r="D286" s="7"/>
      <c r="E286" s="7"/>
      <c r="F286" s="7"/>
      <c r="G286" s="7"/>
      <c r="H286" s="7"/>
      <c r="I286" s="7"/>
      <c r="J286" s="7"/>
      <c r="K286" s="7"/>
      <c r="L286" s="7"/>
      <c r="M286" s="7"/>
      <c r="N286" s="7"/>
      <c r="O286" s="7"/>
      <c r="P286" s="7"/>
      <c r="Q286" s="7"/>
      <c r="R286" s="7"/>
      <c r="S286" s="7"/>
      <c r="T286" s="7"/>
      <c r="U286" s="7"/>
      <c r="W286" s="7"/>
      <c r="AA286" s="168" t="s">
        <v>2907</v>
      </c>
    </row>
    <row r="287" spans="1:27" ht="15.75" customHeight="1">
      <c r="A287" s="8"/>
      <c r="B287" s="7"/>
      <c r="C287" s="33"/>
      <c r="D287" s="7"/>
      <c r="E287" s="7"/>
      <c r="F287" s="7"/>
      <c r="G287" s="7"/>
      <c r="H287" s="7"/>
      <c r="I287" s="7"/>
      <c r="J287" s="7"/>
      <c r="K287" s="7"/>
      <c r="L287" s="7"/>
      <c r="M287" s="7"/>
      <c r="N287" s="7"/>
      <c r="O287" s="7"/>
      <c r="P287" s="7"/>
      <c r="Q287" s="7"/>
      <c r="R287" s="7"/>
      <c r="S287" s="7"/>
      <c r="T287" s="7"/>
      <c r="U287" s="7"/>
      <c r="W287" s="7"/>
      <c r="AA287" s="168" t="s">
        <v>2908</v>
      </c>
    </row>
    <row r="288" spans="1:27" ht="15.75" customHeight="1">
      <c r="A288" s="8"/>
      <c r="B288" s="7"/>
      <c r="C288" s="33"/>
      <c r="D288" s="7"/>
      <c r="E288" s="7"/>
      <c r="F288" s="7"/>
      <c r="G288" s="7"/>
      <c r="H288" s="7"/>
      <c r="I288" s="7"/>
      <c r="J288" s="7"/>
      <c r="K288" s="7"/>
      <c r="L288" s="7"/>
      <c r="M288" s="7"/>
      <c r="N288" s="7"/>
      <c r="O288" s="7"/>
      <c r="P288" s="7"/>
      <c r="Q288" s="7"/>
      <c r="R288" s="7"/>
      <c r="S288" s="7"/>
      <c r="T288" s="7"/>
      <c r="U288" s="7"/>
      <c r="W288" s="7"/>
    </row>
    <row r="289" spans="1:23" ht="15.75" customHeight="1">
      <c r="A289" s="8"/>
      <c r="B289" s="7"/>
      <c r="C289" s="33"/>
      <c r="D289" s="7"/>
      <c r="E289" s="7"/>
      <c r="F289" s="7"/>
      <c r="G289" s="7"/>
      <c r="H289" s="7"/>
      <c r="I289" s="7"/>
      <c r="J289" s="7"/>
      <c r="K289" s="7"/>
      <c r="L289" s="7"/>
      <c r="M289" s="7"/>
      <c r="N289" s="7"/>
      <c r="O289" s="7"/>
      <c r="P289" s="7"/>
      <c r="Q289" s="7"/>
      <c r="R289" s="7"/>
      <c r="S289" s="7"/>
      <c r="T289" s="7"/>
      <c r="U289" s="7"/>
      <c r="W289" s="7"/>
    </row>
    <row r="290" spans="1:23" ht="15.75" customHeight="1">
      <c r="A290" s="8"/>
      <c r="B290" s="7"/>
      <c r="C290" s="33"/>
      <c r="D290" s="7"/>
      <c r="E290" s="7"/>
      <c r="F290" s="7"/>
      <c r="G290" s="7"/>
      <c r="H290" s="7"/>
      <c r="I290" s="7"/>
      <c r="J290" s="7"/>
      <c r="K290" s="7"/>
      <c r="L290" s="7"/>
      <c r="M290" s="7"/>
      <c r="N290" s="7"/>
      <c r="O290" s="7"/>
      <c r="P290" s="7"/>
      <c r="Q290" s="7"/>
      <c r="R290" s="7"/>
      <c r="S290" s="7"/>
      <c r="T290" s="7"/>
      <c r="U290" s="7"/>
      <c r="W290" s="7"/>
    </row>
    <row r="291" spans="1:23" ht="15.75" customHeight="1">
      <c r="A291" s="8"/>
      <c r="B291" s="7"/>
      <c r="C291" s="33"/>
      <c r="D291" s="7"/>
      <c r="E291" s="7"/>
      <c r="F291" s="7"/>
      <c r="G291" s="7"/>
      <c r="H291" s="7"/>
      <c r="I291" s="7"/>
      <c r="J291" s="7"/>
      <c r="K291" s="7"/>
      <c r="L291" s="7"/>
      <c r="M291" s="7"/>
      <c r="N291" s="7"/>
      <c r="O291" s="7"/>
      <c r="P291" s="7"/>
      <c r="Q291" s="7"/>
      <c r="R291" s="7"/>
      <c r="S291" s="7"/>
      <c r="T291" s="7"/>
      <c r="U291" s="7"/>
      <c r="W291" s="7"/>
    </row>
    <row r="292" spans="1:23" ht="15.75" customHeight="1">
      <c r="A292" s="8"/>
      <c r="B292" s="7"/>
      <c r="C292" s="33"/>
      <c r="D292" s="7"/>
      <c r="E292" s="7"/>
      <c r="F292" s="7"/>
      <c r="G292" s="7"/>
      <c r="H292" s="7"/>
      <c r="I292" s="7"/>
      <c r="J292" s="7"/>
      <c r="K292" s="7"/>
      <c r="L292" s="7"/>
      <c r="M292" s="7"/>
      <c r="N292" s="7"/>
      <c r="O292" s="7"/>
      <c r="P292" s="7"/>
      <c r="Q292" s="7"/>
      <c r="R292" s="7"/>
      <c r="S292" s="7"/>
      <c r="T292" s="7"/>
      <c r="U292" s="7"/>
      <c r="W292" s="7"/>
    </row>
    <row r="293" spans="1:23" ht="15.75" customHeight="1">
      <c r="A293" s="8"/>
      <c r="B293" s="7"/>
      <c r="C293" s="33"/>
      <c r="D293" s="7"/>
      <c r="E293" s="7"/>
      <c r="F293" s="7"/>
      <c r="G293" s="7"/>
      <c r="H293" s="7"/>
      <c r="I293" s="7"/>
      <c r="J293" s="7"/>
      <c r="K293" s="7"/>
      <c r="L293" s="7"/>
      <c r="M293" s="7"/>
      <c r="N293" s="7"/>
      <c r="O293" s="7"/>
      <c r="P293" s="7"/>
      <c r="Q293" s="7"/>
      <c r="R293" s="7"/>
      <c r="S293" s="7"/>
      <c r="T293" s="7"/>
      <c r="U293" s="7"/>
      <c r="W293" s="7"/>
    </row>
    <row r="294" spans="1:23" ht="15.75" customHeight="1">
      <c r="A294" s="8"/>
      <c r="B294" s="7"/>
      <c r="C294" s="33"/>
      <c r="D294" s="7"/>
      <c r="E294" s="7"/>
      <c r="F294" s="7"/>
      <c r="G294" s="7"/>
      <c r="H294" s="7"/>
      <c r="I294" s="7"/>
      <c r="J294" s="7"/>
      <c r="K294" s="7"/>
      <c r="L294" s="7"/>
      <c r="M294" s="7"/>
      <c r="N294" s="7"/>
      <c r="O294" s="7"/>
      <c r="P294" s="7"/>
      <c r="Q294" s="7"/>
      <c r="R294" s="7"/>
      <c r="S294" s="7"/>
      <c r="T294" s="7"/>
      <c r="U294" s="7"/>
      <c r="W294" s="7"/>
    </row>
    <row r="295" spans="1:23" ht="15.75" customHeight="1">
      <c r="A295" s="8"/>
      <c r="B295" s="7"/>
      <c r="C295" s="33"/>
      <c r="D295" s="7"/>
      <c r="E295" s="7"/>
      <c r="F295" s="7"/>
      <c r="G295" s="7"/>
      <c r="H295" s="7"/>
      <c r="I295" s="7"/>
      <c r="J295" s="7"/>
      <c r="K295" s="7"/>
      <c r="L295" s="7"/>
      <c r="M295" s="7"/>
      <c r="N295" s="7"/>
      <c r="O295" s="7"/>
      <c r="P295" s="7"/>
      <c r="Q295" s="7"/>
      <c r="R295" s="7"/>
      <c r="S295" s="7"/>
      <c r="T295" s="7"/>
      <c r="U295" s="7"/>
      <c r="W295" s="7"/>
    </row>
    <row r="296" spans="1:23" ht="15.75" customHeight="1">
      <c r="A296" s="8"/>
      <c r="B296" s="7"/>
      <c r="C296" s="33"/>
      <c r="D296" s="7"/>
      <c r="E296" s="7"/>
      <c r="F296" s="7"/>
      <c r="G296" s="7"/>
      <c r="H296" s="7"/>
      <c r="I296" s="7"/>
      <c r="J296" s="7"/>
      <c r="K296" s="7"/>
      <c r="L296" s="7"/>
      <c r="M296" s="7"/>
      <c r="N296" s="7"/>
      <c r="O296" s="7"/>
      <c r="P296" s="7"/>
      <c r="Q296" s="7"/>
      <c r="R296" s="7"/>
      <c r="S296" s="7"/>
      <c r="T296" s="7"/>
      <c r="U296" s="7"/>
      <c r="W296" s="7"/>
    </row>
    <row r="297" spans="1:23" ht="15.75" customHeight="1">
      <c r="A297" s="8"/>
      <c r="B297" s="7"/>
      <c r="C297" s="33"/>
      <c r="D297" s="7"/>
      <c r="E297" s="7"/>
      <c r="F297" s="7"/>
      <c r="G297" s="7"/>
      <c r="H297" s="7"/>
      <c r="I297" s="7"/>
      <c r="J297" s="7"/>
      <c r="K297" s="7"/>
      <c r="L297" s="7"/>
      <c r="M297" s="7"/>
      <c r="N297" s="7"/>
      <c r="O297" s="7"/>
      <c r="P297" s="7"/>
      <c r="Q297" s="7"/>
      <c r="R297" s="7"/>
      <c r="S297" s="7"/>
      <c r="T297" s="7"/>
      <c r="U297" s="7"/>
      <c r="W297" s="7"/>
    </row>
    <row r="298" spans="1:23" ht="15.75" customHeight="1">
      <c r="A298" s="8"/>
      <c r="B298" s="7"/>
      <c r="C298" s="33"/>
      <c r="D298" s="7"/>
      <c r="E298" s="7"/>
      <c r="F298" s="7"/>
      <c r="G298" s="7"/>
      <c r="H298" s="7"/>
      <c r="I298" s="7"/>
      <c r="J298" s="7"/>
      <c r="K298" s="7"/>
      <c r="L298" s="7"/>
      <c r="M298" s="7"/>
      <c r="N298" s="7"/>
      <c r="O298" s="7"/>
      <c r="P298" s="7"/>
      <c r="Q298" s="7"/>
      <c r="R298" s="7"/>
      <c r="S298" s="7"/>
      <c r="T298" s="7"/>
      <c r="U298" s="7"/>
      <c r="W298" s="7"/>
    </row>
    <row r="299" spans="1:23" ht="15.75" customHeight="1">
      <c r="A299" s="8"/>
      <c r="B299" s="7"/>
      <c r="C299" s="33"/>
      <c r="D299" s="7"/>
      <c r="E299" s="7"/>
      <c r="F299" s="7"/>
      <c r="G299" s="7"/>
      <c r="H299" s="7"/>
      <c r="I299" s="7"/>
      <c r="J299" s="7"/>
      <c r="K299" s="7"/>
      <c r="L299" s="7"/>
      <c r="M299" s="7"/>
      <c r="N299" s="7"/>
      <c r="O299" s="7"/>
      <c r="P299" s="7"/>
      <c r="Q299" s="7"/>
      <c r="R299" s="7"/>
      <c r="S299" s="7"/>
      <c r="T299" s="7"/>
      <c r="U299" s="7"/>
      <c r="W299" s="7"/>
    </row>
    <row r="300" spans="1:23" ht="15.75" customHeight="1">
      <c r="A300" s="8"/>
      <c r="B300" s="7"/>
      <c r="C300" s="33"/>
      <c r="D300" s="7"/>
      <c r="E300" s="7"/>
      <c r="F300" s="7"/>
      <c r="G300" s="7"/>
      <c r="H300" s="7"/>
      <c r="I300" s="7"/>
      <c r="J300" s="7"/>
      <c r="K300" s="7"/>
      <c r="L300" s="7"/>
      <c r="M300" s="7"/>
      <c r="N300" s="7"/>
      <c r="O300" s="7"/>
      <c r="P300" s="7"/>
      <c r="Q300" s="7"/>
      <c r="R300" s="7"/>
      <c r="S300" s="7"/>
      <c r="T300" s="7"/>
      <c r="U300" s="7"/>
      <c r="W300" s="7"/>
    </row>
    <row r="301" spans="1:23" ht="15.75" customHeight="1">
      <c r="A301" s="8"/>
      <c r="B301" s="7"/>
      <c r="C301" s="33"/>
      <c r="D301" s="7"/>
      <c r="E301" s="7"/>
      <c r="F301" s="7"/>
      <c r="G301" s="7"/>
      <c r="H301" s="7"/>
      <c r="I301" s="7"/>
      <c r="J301" s="7"/>
      <c r="K301" s="7"/>
      <c r="L301" s="7"/>
      <c r="M301" s="7"/>
      <c r="N301" s="7"/>
      <c r="O301" s="7"/>
      <c r="P301" s="7"/>
      <c r="Q301" s="7"/>
      <c r="R301" s="7"/>
      <c r="S301" s="7"/>
      <c r="T301" s="7"/>
      <c r="U301" s="7"/>
      <c r="W301" s="7"/>
    </row>
    <row r="302" spans="1:23" ht="15.75" customHeight="1">
      <c r="A302" s="8"/>
      <c r="B302" s="7"/>
      <c r="C302" s="33"/>
      <c r="D302" s="7"/>
      <c r="E302" s="7"/>
      <c r="F302" s="7"/>
      <c r="G302" s="7"/>
      <c r="H302" s="7"/>
      <c r="I302" s="7"/>
      <c r="J302" s="7"/>
      <c r="K302" s="7"/>
      <c r="L302" s="7"/>
      <c r="M302" s="7"/>
      <c r="N302" s="7"/>
      <c r="O302" s="7"/>
      <c r="P302" s="7"/>
      <c r="Q302" s="7"/>
      <c r="R302" s="7"/>
      <c r="S302" s="7"/>
      <c r="T302" s="7"/>
      <c r="U302" s="7"/>
      <c r="W302" s="7"/>
    </row>
    <row r="303" spans="1:23" ht="15.75" customHeight="1">
      <c r="A303" s="8"/>
      <c r="B303" s="7"/>
      <c r="C303" s="33"/>
      <c r="D303" s="7"/>
      <c r="E303" s="7"/>
      <c r="F303" s="7"/>
      <c r="G303" s="7"/>
      <c r="H303" s="7"/>
      <c r="I303" s="7"/>
      <c r="J303" s="7"/>
      <c r="K303" s="7"/>
      <c r="L303" s="7"/>
      <c r="M303" s="7"/>
      <c r="N303" s="7"/>
      <c r="O303" s="7"/>
      <c r="P303" s="7"/>
      <c r="Q303" s="7"/>
      <c r="R303" s="7"/>
      <c r="S303" s="7"/>
      <c r="T303" s="7"/>
      <c r="U303" s="7"/>
      <c r="W303" s="7"/>
    </row>
    <row r="304" spans="1:23" ht="15.75" customHeight="1">
      <c r="A304" s="8"/>
      <c r="B304" s="7"/>
      <c r="C304" s="33"/>
      <c r="D304" s="7"/>
      <c r="E304" s="7"/>
      <c r="F304" s="7"/>
      <c r="G304" s="7"/>
      <c r="H304" s="7"/>
      <c r="I304" s="7"/>
      <c r="J304" s="7"/>
      <c r="K304" s="7"/>
      <c r="L304" s="7"/>
      <c r="M304" s="7"/>
      <c r="N304" s="7"/>
      <c r="O304" s="7"/>
      <c r="P304" s="7"/>
      <c r="Q304" s="7"/>
      <c r="R304" s="7"/>
      <c r="S304" s="7"/>
      <c r="T304" s="7"/>
      <c r="U304" s="7"/>
      <c r="W304" s="7"/>
    </row>
    <row r="305" spans="1:23" ht="15.75" customHeight="1">
      <c r="A305" s="8"/>
      <c r="B305" s="7"/>
      <c r="C305" s="33"/>
      <c r="D305" s="7"/>
      <c r="E305" s="7"/>
      <c r="F305" s="7"/>
      <c r="G305" s="7"/>
      <c r="H305" s="7"/>
      <c r="I305" s="7"/>
      <c r="J305" s="7"/>
      <c r="K305" s="7"/>
      <c r="L305" s="7"/>
      <c r="M305" s="7"/>
      <c r="N305" s="7"/>
      <c r="O305" s="7"/>
      <c r="P305" s="7"/>
      <c r="Q305" s="7"/>
      <c r="R305" s="7"/>
      <c r="S305" s="7"/>
      <c r="T305" s="7"/>
      <c r="U305" s="7"/>
      <c r="W305" s="7"/>
    </row>
    <row r="306" spans="1:23" ht="15.75" customHeight="1">
      <c r="A306" s="8"/>
      <c r="B306" s="7"/>
      <c r="C306" s="33"/>
      <c r="D306" s="7"/>
      <c r="E306" s="7"/>
      <c r="F306" s="7"/>
      <c r="G306" s="7"/>
      <c r="H306" s="7"/>
      <c r="I306" s="7"/>
      <c r="J306" s="7"/>
      <c r="K306" s="7"/>
      <c r="L306" s="7"/>
      <c r="M306" s="7"/>
      <c r="N306" s="7"/>
      <c r="O306" s="7"/>
      <c r="P306" s="7"/>
      <c r="Q306" s="7"/>
      <c r="R306" s="7"/>
      <c r="S306" s="7"/>
      <c r="T306" s="7"/>
      <c r="U306" s="7"/>
      <c r="W306" s="7"/>
    </row>
    <row r="307" spans="1:23" ht="15.75" customHeight="1">
      <c r="A307" s="8"/>
      <c r="B307" s="7"/>
      <c r="C307" s="33"/>
      <c r="D307" s="7"/>
      <c r="E307" s="7"/>
      <c r="F307" s="7"/>
      <c r="G307" s="7"/>
      <c r="H307" s="7"/>
      <c r="I307" s="7"/>
      <c r="J307" s="7"/>
      <c r="K307" s="7"/>
      <c r="L307" s="7"/>
      <c r="M307" s="7"/>
      <c r="N307" s="7"/>
      <c r="O307" s="7"/>
      <c r="P307" s="7"/>
      <c r="Q307" s="7"/>
      <c r="R307" s="7"/>
      <c r="S307" s="7"/>
      <c r="T307" s="7"/>
      <c r="U307" s="7"/>
      <c r="W307" s="7"/>
    </row>
    <row r="308" spans="1:23" ht="15.75" customHeight="1">
      <c r="A308" s="8"/>
      <c r="B308" s="7"/>
      <c r="C308" s="33"/>
      <c r="D308" s="7"/>
      <c r="E308" s="7"/>
      <c r="F308" s="7"/>
      <c r="G308" s="7"/>
      <c r="H308" s="7"/>
      <c r="I308" s="7"/>
      <c r="J308" s="7"/>
      <c r="K308" s="7"/>
      <c r="L308" s="7"/>
      <c r="M308" s="7"/>
      <c r="N308" s="7"/>
      <c r="O308" s="7"/>
      <c r="P308" s="7"/>
      <c r="Q308" s="7"/>
      <c r="R308" s="7"/>
      <c r="S308" s="7"/>
      <c r="T308" s="7"/>
      <c r="U308" s="7"/>
      <c r="W308" s="7"/>
    </row>
    <row r="309" spans="1:23" ht="15.75" customHeight="1">
      <c r="A309" s="8"/>
      <c r="B309" s="7"/>
      <c r="C309" s="33"/>
      <c r="D309" s="7"/>
      <c r="E309" s="7"/>
      <c r="F309" s="7"/>
      <c r="G309" s="7"/>
      <c r="H309" s="7"/>
      <c r="I309" s="7"/>
      <c r="J309" s="7"/>
      <c r="K309" s="7"/>
      <c r="L309" s="7"/>
      <c r="M309" s="7"/>
      <c r="N309" s="7"/>
      <c r="O309" s="7"/>
      <c r="P309" s="7"/>
      <c r="Q309" s="7"/>
      <c r="R309" s="7"/>
      <c r="S309" s="7"/>
      <c r="T309" s="7"/>
      <c r="U309" s="7"/>
      <c r="W309" s="7"/>
    </row>
    <row r="310" spans="1:23" ht="15.75" customHeight="1">
      <c r="A310" s="8"/>
      <c r="B310" s="7"/>
      <c r="C310" s="33"/>
      <c r="D310" s="7"/>
      <c r="E310" s="7"/>
      <c r="F310" s="7"/>
      <c r="G310" s="7"/>
      <c r="H310" s="7"/>
      <c r="I310" s="7"/>
      <c r="J310" s="7"/>
      <c r="K310" s="7"/>
      <c r="L310" s="7"/>
      <c r="M310" s="7"/>
      <c r="N310" s="7"/>
      <c r="O310" s="7"/>
      <c r="P310" s="7"/>
      <c r="Q310" s="7"/>
      <c r="R310" s="7"/>
      <c r="S310" s="7"/>
      <c r="T310" s="7"/>
      <c r="U310" s="7"/>
      <c r="W310" s="7"/>
    </row>
    <row r="311" spans="1:23" ht="15.75" customHeight="1">
      <c r="A311" s="8"/>
      <c r="B311" s="7"/>
      <c r="C311" s="33"/>
      <c r="D311" s="7"/>
      <c r="E311" s="7"/>
      <c r="F311" s="7"/>
      <c r="G311" s="7"/>
      <c r="H311" s="7"/>
      <c r="I311" s="7"/>
      <c r="J311" s="7"/>
      <c r="K311" s="7"/>
      <c r="L311" s="7"/>
      <c r="M311" s="7"/>
      <c r="N311" s="7"/>
      <c r="O311" s="7"/>
      <c r="P311" s="7"/>
      <c r="Q311" s="7"/>
      <c r="R311" s="7"/>
      <c r="S311" s="7"/>
      <c r="T311" s="7"/>
      <c r="U311" s="7"/>
      <c r="W311" s="7"/>
    </row>
    <row r="312" spans="1:23" ht="15.75" customHeight="1">
      <c r="A312" s="8"/>
      <c r="B312" s="7"/>
      <c r="C312" s="33"/>
      <c r="D312" s="7"/>
      <c r="E312" s="7"/>
      <c r="F312" s="7"/>
      <c r="G312" s="7"/>
      <c r="H312" s="7"/>
      <c r="I312" s="7"/>
      <c r="J312" s="7"/>
      <c r="K312" s="7"/>
      <c r="L312" s="7"/>
      <c r="M312" s="7"/>
      <c r="N312" s="7"/>
      <c r="O312" s="7"/>
      <c r="P312" s="7"/>
      <c r="Q312" s="7"/>
      <c r="R312" s="7"/>
      <c r="S312" s="7"/>
      <c r="T312" s="7"/>
      <c r="U312" s="7"/>
      <c r="W312" s="7"/>
    </row>
    <row r="313" spans="1:23" ht="15.75" customHeight="1">
      <c r="A313" s="8"/>
      <c r="B313" s="7"/>
      <c r="C313" s="33"/>
      <c r="D313" s="7"/>
      <c r="E313" s="7"/>
      <c r="F313" s="7"/>
      <c r="G313" s="7"/>
      <c r="H313" s="7"/>
      <c r="I313" s="7"/>
      <c r="J313" s="7"/>
      <c r="K313" s="7"/>
      <c r="L313" s="7"/>
      <c r="M313" s="7"/>
      <c r="N313" s="7"/>
      <c r="O313" s="7"/>
      <c r="P313" s="7"/>
      <c r="Q313" s="7"/>
      <c r="R313" s="7"/>
      <c r="S313" s="7"/>
      <c r="T313" s="7"/>
      <c r="U313" s="7"/>
      <c r="W313" s="7"/>
    </row>
    <row r="314" spans="1:23" ht="15.75" customHeight="1">
      <c r="A314" s="8"/>
      <c r="B314" s="7"/>
      <c r="C314" s="33"/>
      <c r="D314" s="7"/>
      <c r="E314" s="7"/>
      <c r="F314" s="7"/>
      <c r="G314" s="7"/>
      <c r="H314" s="7"/>
      <c r="I314" s="7"/>
      <c r="J314" s="7"/>
      <c r="K314" s="7"/>
      <c r="L314" s="7"/>
      <c r="M314" s="7"/>
      <c r="N314" s="7"/>
      <c r="O314" s="7"/>
      <c r="P314" s="7"/>
      <c r="Q314" s="7"/>
      <c r="R314" s="7"/>
      <c r="S314" s="7"/>
      <c r="T314" s="7"/>
      <c r="U314" s="7"/>
      <c r="W314" s="7"/>
    </row>
    <row r="315" spans="1:23" ht="15.75" customHeight="1">
      <c r="A315" s="8"/>
      <c r="B315" s="7"/>
      <c r="C315" s="33"/>
      <c r="D315" s="7"/>
      <c r="E315" s="7"/>
      <c r="F315" s="7"/>
      <c r="G315" s="7"/>
      <c r="H315" s="7"/>
      <c r="I315" s="7"/>
      <c r="J315" s="7"/>
      <c r="K315" s="7"/>
      <c r="L315" s="7"/>
      <c r="M315" s="7"/>
      <c r="N315" s="7"/>
      <c r="O315" s="7"/>
      <c r="P315" s="7"/>
      <c r="Q315" s="7"/>
      <c r="R315" s="7"/>
      <c r="S315" s="7"/>
      <c r="T315" s="7"/>
      <c r="U315" s="7"/>
      <c r="W315" s="7"/>
    </row>
    <row r="316" spans="1:23" ht="15.75" customHeight="1">
      <c r="A316" s="8"/>
      <c r="B316" s="7"/>
      <c r="C316" s="33"/>
      <c r="D316" s="7"/>
      <c r="E316" s="7"/>
      <c r="F316" s="7"/>
      <c r="G316" s="7"/>
      <c r="H316" s="7"/>
      <c r="I316" s="7"/>
      <c r="J316" s="7"/>
      <c r="K316" s="7"/>
      <c r="L316" s="7"/>
      <c r="M316" s="7"/>
      <c r="N316" s="7"/>
      <c r="O316" s="7"/>
      <c r="P316" s="7"/>
      <c r="Q316" s="7"/>
      <c r="R316" s="7"/>
      <c r="S316" s="7"/>
      <c r="T316" s="7"/>
      <c r="U316" s="7"/>
      <c r="W316" s="7"/>
    </row>
    <row r="317" spans="1:23" ht="15.75" customHeight="1">
      <c r="A317" s="8"/>
      <c r="B317" s="7"/>
      <c r="C317" s="33"/>
      <c r="D317" s="7"/>
      <c r="E317" s="7"/>
      <c r="F317" s="7"/>
      <c r="G317" s="7"/>
      <c r="H317" s="7"/>
      <c r="I317" s="7"/>
      <c r="J317" s="7"/>
      <c r="K317" s="7"/>
      <c r="L317" s="7"/>
      <c r="M317" s="7"/>
      <c r="N317" s="7"/>
      <c r="O317" s="7"/>
      <c r="P317" s="7"/>
      <c r="Q317" s="7"/>
      <c r="R317" s="7"/>
      <c r="S317" s="7"/>
      <c r="T317" s="7"/>
      <c r="U317" s="7"/>
      <c r="W317" s="7"/>
    </row>
    <row r="318" spans="1:23" ht="15.75" customHeight="1">
      <c r="A318" s="8"/>
      <c r="B318" s="7"/>
      <c r="C318" s="33"/>
      <c r="D318" s="7"/>
      <c r="E318" s="7"/>
      <c r="F318" s="7"/>
      <c r="G318" s="7"/>
      <c r="H318" s="7"/>
      <c r="I318" s="7"/>
      <c r="J318" s="7"/>
      <c r="K318" s="7"/>
      <c r="L318" s="7"/>
      <c r="M318" s="7"/>
      <c r="N318" s="7"/>
      <c r="O318" s="7"/>
      <c r="P318" s="7"/>
      <c r="Q318" s="7"/>
      <c r="R318" s="7"/>
      <c r="S318" s="7"/>
      <c r="T318" s="7"/>
      <c r="U318" s="7"/>
      <c r="W318" s="7"/>
    </row>
    <row r="319" spans="1:23" ht="15.75" customHeight="1">
      <c r="A319" s="8"/>
      <c r="B319" s="7"/>
      <c r="C319" s="33"/>
      <c r="D319" s="7"/>
      <c r="E319" s="7"/>
      <c r="F319" s="7"/>
      <c r="G319" s="7"/>
      <c r="H319" s="7"/>
      <c r="I319" s="7"/>
      <c r="J319" s="7"/>
      <c r="K319" s="7"/>
      <c r="L319" s="7"/>
      <c r="M319" s="7"/>
      <c r="N319" s="7"/>
      <c r="O319" s="7"/>
      <c r="P319" s="7"/>
      <c r="Q319" s="7"/>
      <c r="R319" s="7"/>
      <c r="S319" s="7"/>
      <c r="T319" s="7"/>
      <c r="U319" s="7"/>
      <c r="W319" s="7"/>
    </row>
    <row r="320" spans="1:23" ht="15.75" customHeight="1">
      <c r="A320" s="8"/>
      <c r="B320" s="7"/>
      <c r="C320" s="33"/>
      <c r="D320" s="7"/>
      <c r="E320" s="7"/>
      <c r="F320" s="7"/>
      <c r="G320" s="7"/>
      <c r="H320" s="7"/>
      <c r="I320" s="7"/>
      <c r="J320" s="7"/>
      <c r="K320" s="7"/>
      <c r="L320" s="7"/>
      <c r="M320" s="7"/>
      <c r="N320" s="7"/>
      <c r="O320" s="7"/>
      <c r="P320" s="7"/>
      <c r="Q320" s="7"/>
      <c r="R320" s="7"/>
      <c r="S320" s="7"/>
      <c r="T320" s="7"/>
      <c r="U320" s="7"/>
      <c r="W320" s="7"/>
    </row>
    <row r="321" spans="1:23" ht="15.75" customHeight="1">
      <c r="A321" s="8"/>
      <c r="B321" s="7"/>
      <c r="C321" s="33"/>
      <c r="D321" s="7"/>
      <c r="E321" s="7"/>
      <c r="F321" s="7"/>
      <c r="G321" s="7"/>
      <c r="H321" s="7"/>
      <c r="I321" s="7"/>
      <c r="J321" s="7"/>
      <c r="K321" s="7"/>
      <c r="L321" s="7"/>
      <c r="M321" s="7"/>
      <c r="N321" s="7"/>
      <c r="O321" s="7"/>
      <c r="P321" s="7"/>
      <c r="Q321" s="7"/>
      <c r="R321" s="7"/>
      <c r="S321" s="7"/>
      <c r="T321" s="7"/>
      <c r="U321" s="7"/>
      <c r="W321" s="7"/>
    </row>
    <row r="322" spans="1:23" ht="15.75" customHeight="1">
      <c r="A322" s="8"/>
      <c r="B322" s="7"/>
      <c r="C322" s="33"/>
      <c r="D322" s="7"/>
      <c r="E322" s="7"/>
      <c r="F322" s="7"/>
      <c r="G322" s="7"/>
      <c r="H322" s="7"/>
      <c r="I322" s="7"/>
      <c r="J322" s="7"/>
      <c r="K322" s="7"/>
      <c r="L322" s="7"/>
      <c r="M322" s="7"/>
      <c r="N322" s="7"/>
      <c r="O322" s="7"/>
      <c r="P322" s="7"/>
      <c r="Q322" s="7"/>
      <c r="R322" s="7"/>
      <c r="S322" s="7"/>
      <c r="T322" s="7"/>
      <c r="U322" s="7"/>
      <c r="W322" s="7"/>
    </row>
    <row r="323" spans="1:23" ht="15.75" customHeight="1">
      <c r="A323" s="8"/>
      <c r="B323" s="7"/>
      <c r="C323" s="33"/>
      <c r="D323" s="7"/>
      <c r="E323" s="7"/>
      <c r="F323" s="7"/>
      <c r="G323" s="7"/>
      <c r="H323" s="7"/>
      <c r="I323" s="7"/>
      <c r="J323" s="7"/>
      <c r="K323" s="7"/>
      <c r="L323" s="7"/>
      <c r="M323" s="7"/>
      <c r="N323" s="7"/>
      <c r="O323" s="7"/>
      <c r="P323" s="7"/>
      <c r="Q323" s="7"/>
      <c r="R323" s="7"/>
      <c r="S323" s="7"/>
      <c r="T323" s="7"/>
      <c r="U323" s="7"/>
      <c r="W323" s="7"/>
    </row>
    <row r="324" spans="1:23" ht="15.75" customHeight="1">
      <c r="A324" s="8"/>
      <c r="B324" s="7"/>
      <c r="C324" s="33"/>
      <c r="D324" s="7"/>
      <c r="E324" s="7"/>
      <c r="F324" s="7"/>
      <c r="G324" s="7"/>
      <c r="H324" s="7"/>
      <c r="I324" s="7"/>
      <c r="J324" s="7"/>
      <c r="K324" s="7"/>
      <c r="L324" s="7"/>
      <c r="M324" s="7"/>
      <c r="N324" s="7"/>
      <c r="O324" s="7"/>
      <c r="P324" s="7"/>
      <c r="Q324" s="7"/>
      <c r="R324" s="7"/>
      <c r="S324" s="7"/>
      <c r="T324" s="7"/>
      <c r="U324" s="7"/>
      <c r="W324" s="7"/>
    </row>
    <row r="325" spans="1:23" ht="15.75" customHeight="1">
      <c r="A325" s="8"/>
      <c r="B325" s="7"/>
      <c r="C325" s="33"/>
      <c r="D325" s="7"/>
      <c r="E325" s="7"/>
      <c r="F325" s="7"/>
      <c r="G325" s="7"/>
      <c r="H325" s="7"/>
      <c r="I325" s="7"/>
      <c r="J325" s="7"/>
      <c r="K325" s="7"/>
      <c r="L325" s="7"/>
      <c r="M325" s="7"/>
      <c r="N325" s="7"/>
      <c r="O325" s="7"/>
      <c r="P325" s="7"/>
      <c r="Q325" s="7"/>
      <c r="R325" s="7"/>
      <c r="S325" s="7"/>
      <c r="T325" s="7"/>
      <c r="U325" s="7"/>
      <c r="W325" s="7"/>
    </row>
    <row r="326" spans="1:23" ht="15.75" customHeight="1">
      <c r="A326" s="8"/>
      <c r="B326" s="7"/>
      <c r="C326" s="33"/>
      <c r="D326" s="7"/>
      <c r="E326" s="7"/>
      <c r="F326" s="7"/>
      <c r="G326" s="7"/>
      <c r="H326" s="7"/>
      <c r="I326" s="7"/>
      <c r="J326" s="7"/>
      <c r="K326" s="7"/>
      <c r="L326" s="7"/>
      <c r="M326" s="7"/>
      <c r="N326" s="7"/>
      <c r="O326" s="7"/>
      <c r="P326" s="7"/>
      <c r="Q326" s="7"/>
      <c r="R326" s="7"/>
      <c r="S326" s="7"/>
      <c r="T326" s="7"/>
      <c r="U326" s="7"/>
      <c r="W326" s="7"/>
    </row>
    <row r="327" spans="1:23" ht="15.75" customHeight="1">
      <c r="A327" s="8"/>
      <c r="B327" s="7"/>
      <c r="C327" s="33"/>
      <c r="D327" s="7"/>
      <c r="E327" s="7"/>
      <c r="F327" s="7"/>
      <c r="G327" s="7"/>
      <c r="H327" s="7"/>
      <c r="I327" s="7"/>
      <c r="J327" s="7"/>
      <c r="K327" s="7"/>
      <c r="L327" s="7"/>
      <c r="M327" s="7"/>
      <c r="N327" s="7"/>
      <c r="O327" s="7"/>
      <c r="P327" s="7"/>
      <c r="Q327" s="7"/>
      <c r="R327" s="7"/>
      <c r="S327" s="7"/>
      <c r="T327" s="7"/>
      <c r="U327" s="7"/>
      <c r="W327" s="7"/>
    </row>
    <row r="328" spans="1:23" ht="15.75" customHeight="1">
      <c r="A328" s="8"/>
      <c r="B328" s="7"/>
      <c r="C328" s="33"/>
      <c r="D328" s="7"/>
      <c r="E328" s="7"/>
      <c r="F328" s="7"/>
      <c r="G328" s="7"/>
      <c r="H328" s="7"/>
      <c r="I328" s="7"/>
      <c r="J328" s="7"/>
      <c r="K328" s="7"/>
      <c r="L328" s="7"/>
      <c r="M328" s="7"/>
      <c r="N328" s="7"/>
      <c r="O328" s="7"/>
      <c r="P328" s="7"/>
      <c r="Q328" s="7"/>
      <c r="R328" s="7"/>
      <c r="S328" s="7"/>
      <c r="T328" s="7"/>
      <c r="U328" s="7"/>
      <c r="W328" s="7"/>
    </row>
    <row r="329" spans="1:23" ht="15.75" customHeight="1">
      <c r="A329" s="8"/>
      <c r="B329" s="7"/>
      <c r="C329" s="33"/>
      <c r="D329" s="7"/>
      <c r="E329" s="7"/>
      <c r="F329" s="7"/>
      <c r="G329" s="7"/>
      <c r="H329" s="7"/>
      <c r="I329" s="7"/>
      <c r="J329" s="7"/>
      <c r="K329" s="7"/>
      <c r="L329" s="7"/>
      <c r="M329" s="7"/>
      <c r="N329" s="7"/>
      <c r="O329" s="7"/>
      <c r="P329" s="7"/>
      <c r="Q329" s="7"/>
      <c r="R329" s="7"/>
      <c r="S329" s="7"/>
      <c r="T329" s="7"/>
      <c r="U329" s="7"/>
      <c r="W329" s="7"/>
    </row>
    <row r="330" spans="1:23" ht="15.75" customHeight="1">
      <c r="A330" s="8"/>
      <c r="B330" s="7"/>
      <c r="C330" s="33"/>
      <c r="D330" s="7"/>
      <c r="E330" s="7"/>
      <c r="F330" s="7"/>
      <c r="G330" s="7"/>
      <c r="H330" s="7"/>
      <c r="I330" s="7"/>
      <c r="J330" s="7"/>
      <c r="K330" s="7"/>
      <c r="L330" s="7"/>
      <c r="M330" s="7"/>
      <c r="N330" s="7"/>
      <c r="O330" s="7"/>
      <c r="P330" s="7"/>
      <c r="Q330" s="7"/>
      <c r="R330" s="7"/>
      <c r="S330" s="7"/>
      <c r="T330" s="7"/>
      <c r="U330" s="7"/>
      <c r="W330" s="7"/>
    </row>
    <row r="331" spans="1:23" ht="15.75" customHeight="1">
      <c r="A331" s="8"/>
      <c r="B331" s="7"/>
      <c r="C331" s="33"/>
      <c r="D331" s="7"/>
      <c r="E331" s="7"/>
      <c r="F331" s="7"/>
      <c r="G331" s="7"/>
      <c r="H331" s="7"/>
      <c r="I331" s="7"/>
      <c r="J331" s="7"/>
      <c r="K331" s="7"/>
      <c r="L331" s="7"/>
      <c r="M331" s="7"/>
      <c r="N331" s="7"/>
      <c r="O331" s="7"/>
      <c r="P331" s="7"/>
      <c r="Q331" s="7"/>
      <c r="R331" s="7"/>
      <c r="S331" s="7"/>
      <c r="T331" s="7"/>
      <c r="U331" s="7"/>
      <c r="W331" s="7"/>
    </row>
    <row r="332" spans="1:23" ht="15.75" customHeight="1">
      <c r="A332" s="8"/>
      <c r="B332" s="7"/>
      <c r="C332" s="33"/>
      <c r="D332" s="7"/>
      <c r="E332" s="7"/>
      <c r="F332" s="7"/>
      <c r="G332" s="7"/>
      <c r="H332" s="7"/>
      <c r="I332" s="7"/>
      <c r="J332" s="7"/>
      <c r="K332" s="7"/>
      <c r="L332" s="7"/>
      <c r="M332" s="7"/>
      <c r="N332" s="7"/>
      <c r="O332" s="7"/>
      <c r="P332" s="7"/>
      <c r="Q332" s="7"/>
      <c r="R332" s="7"/>
      <c r="S332" s="7"/>
      <c r="T332" s="7"/>
      <c r="U332" s="7"/>
      <c r="W332" s="7"/>
    </row>
    <row r="333" spans="1:23" ht="15.75" customHeight="1">
      <c r="A333" s="8"/>
      <c r="B333" s="7"/>
      <c r="C333" s="33"/>
      <c r="D333" s="7"/>
      <c r="E333" s="7"/>
      <c r="F333" s="7"/>
      <c r="G333" s="7"/>
      <c r="H333" s="7"/>
      <c r="I333" s="7"/>
      <c r="J333" s="7"/>
      <c r="K333" s="7"/>
      <c r="L333" s="7"/>
      <c r="M333" s="7"/>
      <c r="N333" s="7"/>
      <c r="O333" s="7"/>
      <c r="P333" s="7"/>
      <c r="Q333" s="7"/>
      <c r="R333" s="7"/>
      <c r="S333" s="7"/>
      <c r="T333" s="7"/>
      <c r="U333" s="7"/>
      <c r="W333" s="7"/>
    </row>
    <row r="334" spans="1:23" ht="15.75" customHeight="1">
      <c r="A334" s="8"/>
      <c r="B334" s="7"/>
      <c r="C334" s="33"/>
      <c r="D334" s="7"/>
      <c r="E334" s="7"/>
      <c r="F334" s="7"/>
      <c r="G334" s="7"/>
      <c r="H334" s="7"/>
      <c r="I334" s="7"/>
      <c r="J334" s="7"/>
      <c r="K334" s="7"/>
      <c r="L334" s="7"/>
      <c r="M334" s="7"/>
      <c r="N334" s="7"/>
      <c r="O334" s="7"/>
      <c r="P334" s="7"/>
      <c r="Q334" s="7"/>
      <c r="R334" s="7"/>
      <c r="S334" s="7"/>
      <c r="T334" s="7"/>
      <c r="U334" s="7"/>
      <c r="W334" s="7"/>
    </row>
    <row r="335" spans="1:23" ht="15.75" customHeight="1">
      <c r="A335" s="8"/>
      <c r="B335" s="7"/>
      <c r="C335" s="33"/>
      <c r="D335" s="7"/>
      <c r="E335" s="7"/>
      <c r="F335" s="7"/>
      <c r="G335" s="7"/>
      <c r="H335" s="7"/>
      <c r="I335" s="7"/>
      <c r="J335" s="7"/>
      <c r="K335" s="7"/>
      <c r="L335" s="7"/>
      <c r="M335" s="7"/>
      <c r="N335" s="7"/>
      <c r="O335" s="7"/>
      <c r="P335" s="7"/>
      <c r="Q335" s="7"/>
      <c r="R335" s="7"/>
      <c r="S335" s="7"/>
      <c r="T335" s="7"/>
      <c r="U335" s="7"/>
      <c r="W335" s="7"/>
    </row>
    <row r="336" spans="1:23" ht="15.75" customHeight="1">
      <c r="A336" s="8"/>
      <c r="B336" s="7"/>
      <c r="C336" s="33"/>
      <c r="D336" s="7"/>
      <c r="E336" s="7"/>
      <c r="F336" s="7"/>
      <c r="G336" s="7"/>
      <c r="H336" s="7"/>
      <c r="I336" s="7"/>
      <c r="J336" s="7"/>
      <c r="K336" s="7"/>
      <c r="L336" s="7"/>
      <c r="M336" s="7"/>
      <c r="N336" s="7"/>
      <c r="O336" s="7"/>
      <c r="P336" s="7"/>
      <c r="Q336" s="7"/>
      <c r="R336" s="7"/>
      <c r="S336" s="7"/>
      <c r="T336" s="7"/>
      <c r="U336" s="7"/>
      <c r="W336" s="7"/>
    </row>
    <row r="337" spans="1:23" ht="15.75" customHeight="1">
      <c r="A337" s="8"/>
      <c r="B337" s="7"/>
      <c r="C337" s="33"/>
      <c r="D337" s="7"/>
      <c r="E337" s="7"/>
      <c r="F337" s="7"/>
      <c r="G337" s="7"/>
      <c r="H337" s="7"/>
      <c r="I337" s="7"/>
      <c r="J337" s="7"/>
      <c r="K337" s="7"/>
      <c r="L337" s="7"/>
      <c r="M337" s="7"/>
      <c r="N337" s="7"/>
      <c r="O337" s="7"/>
      <c r="P337" s="7"/>
      <c r="Q337" s="7"/>
      <c r="R337" s="7"/>
      <c r="S337" s="7"/>
      <c r="T337" s="7"/>
      <c r="U337" s="7"/>
      <c r="W337" s="7"/>
    </row>
    <row r="338" spans="1:23" ht="15.75" customHeight="1">
      <c r="A338" s="8"/>
      <c r="B338" s="7"/>
      <c r="C338" s="33"/>
      <c r="D338" s="7"/>
      <c r="E338" s="7"/>
      <c r="F338" s="7"/>
      <c r="G338" s="7"/>
      <c r="H338" s="7"/>
      <c r="I338" s="7"/>
      <c r="J338" s="7"/>
      <c r="K338" s="7"/>
      <c r="L338" s="7"/>
      <c r="M338" s="7"/>
      <c r="N338" s="7"/>
      <c r="O338" s="7"/>
      <c r="P338" s="7"/>
      <c r="Q338" s="7"/>
      <c r="R338" s="7"/>
      <c r="S338" s="7"/>
      <c r="T338" s="7"/>
      <c r="U338" s="7"/>
      <c r="W338" s="7"/>
    </row>
    <row r="339" spans="1:23" ht="15.75" customHeight="1">
      <c r="A339" s="8"/>
      <c r="B339" s="7"/>
      <c r="C339" s="33"/>
      <c r="D339" s="7"/>
      <c r="E339" s="7"/>
      <c r="F339" s="7"/>
      <c r="G339" s="7"/>
      <c r="H339" s="7"/>
      <c r="I339" s="7"/>
      <c r="J339" s="7"/>
      <c r="K339" s="7"/>
      <c r="L339" s="7"/>
      <c r="M339" s="7"/>
      <c r="N339" s="7"/>
      <c r="O339" s="7"/>
      <c r="P339" s="7"/>
      <c r="Q339" s="7"/>
      <c r="R339" s="7"/>
      <c r="S339" s="7"/>
      <c r="T339" s="7"/>
      <c r="U339" s="7"/>
      <c r="W339" s="7"/>
    </row>
    <row r="340" spans="1:23" ht="15.75" customHeight="1">
      <c r="A340" s="8"/>
      <c r="B340" s="7"/>
      <c r="C340" s="33"/>
      <c r="D340" s="7"/>
      <c r="E340" s="7"/>
      <c r="F340" s="7"/>
      <c r="G340" s="7"/>
      <c r="H340" s="7"/>
      <c r="I340" s="7"/>
      <c r="J340" s="7"/>
      <c r="K340" s="7"/>
      <c r="L340" s="7"/>
      <c r="M340" s="7"/>
      <c r="N340" s="7"/>
      <c r="O340" s="7"/>
      <c r="P340" s="7"/>
      <c r="Q340" s="7"/>
      <c r="R340" s="7"/>
      <c r="S340" s="7"/>
      <c r="T340" s="7"/>
      <c r="U340" s="7"/>
      <c r="W340" s="7"/>
    </row>
    <row r="341" spans="1:23" ht="15.75" customHeight="1">
      <c r="A341" s="8"/>
      <c r="B341" s="7"/>
      <c r="C341" s="33"/>
      <c r="D341" s="7"/>
      <c r="E341" s="7"/>
      <c r="F341" s="7"/>
      <c r="G341" s="7"/>
      <c r="H341" s="7"/>
      <c r="I341" s="7"/>
      <c r="J341" s="7"/>
      <c r="K341" s="7"/>
      <c r="L341" s="7"/>
      <c r="M341" s="7"/>
      <c r="N341" s="7"/>
      <c r="O341" s="7"/>
      <c r="P341" s="7"/>
      <c r="Q341" s="7"/>
      <c r="R341" s="7"/>
      <c r="S341" s="7"/>
      <c r="T341" s="7"/>
      <c r="U341" s="7"/>
      <c r="W341" s="7"/>
    </row>
    <row r="342" spans="1:23" ht="15.75" customHeight="1">
      <c r="A342" s="8"/>
      <c r="B342" s="7"/>
      <c r="C342" s="33"/>
      <c r="D342" s="7"/>
      <c r="E342" s="7"/>
      <c r="F342" s="7"/>
      <c r="G342" s="7"/>
      <c r="H342" s="7"/>
      <c r="I342" s="7"/>
      <c r="J342" s="7"/>
      <c r="K342" s="7"/>
      <c r="L342" s="7"/>
      <c r="M342" s="7"/>
      <c r="N342" s="7"/>
      <c r="O342" s="7"/>
      <c r="P342" s="7"/>
      <c r="Q342" s="7"/>
      <c r="R342" s="7"/>
      <c r="S342" s="7"/>
      <c r="T342" s="7"/>
      <c r="U342" s="7"/>
      <c r="W342" s="7"/>
    </row>
    <row r="343" spans="1:23" ht="15.75" customHeight="1">
      <c r="A343" s="8"/>
      <c r="B343" s="7"/>
      <c r="C343" s="33"/>
      <c r="D343" s="7"/>
      <c r="E343" s="7"/>
      <c r="F343" s="7"/>
      <c r="G343" s="7"/>
      <c r="H343" s="7"/>
      <c r="I343" s="7"/>
      <c r="J343" s="7"/>
      <c r="K343" s="7"/>
      <c r="L343" s="7"/>
      <c r="M343" s="7"/>
      <c r="N343" s="7"/>
      <c r="O343" s="7"/>
      <c r="P343" s="7"/>
      <c r="Q343" s="7"/>
      <c r="R343" s="7"/>
      <c r="S343" s="7"/>
      <c r="T343" s="7"/>
      <c r="U343" s="7"/>
      <c r="W343" s="7"/>
    </row>
    <row r="344" spans="1:23" ht="15.75" customHeight="1">
      <c r="A344" s="8"/>
      <c r="B344" s="7"/>
      <c r="C344" s="33"/>
      <c r="D344" s="7"/>
      <c r="E344" s="7"/>
      <c r="F344" s="7"/>
      <c r="G344" s="7"/>
      <c r="H344" s="7"/>
      <c r="I344" s="7"/>
      <c r="J344" s="7"/>
      <c r="K344" s="7"/>
      <c r="L344" s="7"/>
      <c r="M344" s="7"/>
      <c r="N344" s="7"/>
      <c r="O344" s="7"/>
      <c r="P344" s="7"/>
      <c r="Q344" s="7"/>
      <c r="R344" s="7"/>
      <c r="S344" s="7"/>
      <c r="T344" s="7"/>
      <c r="U344" s="7"/>
      <c r="W344" s="7"/>
    </row>
    <row r="345" spans="1:23" ht="15.75" customHeight="1">
      <c r="A345" s="8"/>
      <c r="B345" s="7"/>
      <c r="C345" s="33"/>
      <c r="D345" s="7"/>
      <c r="E345" s="7"/>
      <c r="F345" s="7"/>
      <c r="G345" s="7"/>
      <c r="H345" s="7"/>
      <c r="I345" s="7"/>
      <c r="J345" s="7"/>
      <c r="K345" s="7"/>
      <c r="L345" s="7"/>
      <c r="M345" s="7"/>
      <c r="N345" s="7"/>
      <c r="O345" s="7"/>
      <c r="P345" s="7"/>
      <c r="Q345" s="7"/>
      <c r="R345" s="7"/>
      <c r="S345" s="7"/>
      <c r="T345" s="7"/>
      <c r="U345" s="7"/>
      <c r="W345" s="7"/>
    </row>
    <row r="346" spans="1:23" ht="15.75" customHeight="1">
      <c r="A346" s="8"/>
      <c r="B346" s="7"/>
      <c r="C346" s="33"/>
      <c r="D346" s="7"/>
      <c r="E346" s="7"/>
      <c r="F346" s="7"/>
      <c r="G346" s="7"/>
      <c r="H346" s="7"/>
      <c r="I346" s="7"/>
      <c r="J346" s="7"/>
      <c r="K346" s="7"/>
      <c r="L346" s="7"/>
      <c r="M346" s="7"/>
      <c r="N346" s="7"/>
      <c r="O346" s="7"/>
      <c r="P346" s="7"/>
      <c r="Q346" s="7"/>
      <c r="R346" s="7"/>
      <c r="S346" s="7"/>
      <c r="T346" s="7"/>
      <c r="U346" s="7"/>
      <c r="W346" s="7"/>
    </row>
    <row r="347" spans="1:23" ht="15.75" customHeight="1">
      <c r="A347" s="8"/>
      <c r="B347" s="7"/>
      <c r="C347" s="33"/>
      <c r="D347" s="7"/>
      <c r="E347" s="7"/>
      <c r="F347" s="7"/>
      <c r="G347" s="7"/>
      <c r="H347" s="7"/>
      <c r="I347" s="7"/>
      <c r="J347" s="7"/>
      <c r="K347" s="7"/>
      <c r="L347" s="7"/>
      <c r="M347" s="7"/>
      <c r="N347" s="7"/>
      <c r="O347" s="7"/>
      <c r="P347" s="7"/>
      <c r="Q347" s="7"/>
      <c r="R347" s="7"/>
      <c r="S347" s="7"/>
      <c r="T347" s="7"/>
      <c r="U347" s="7"/>
      <c r="W347" s="7"/>
    </row>
    <row r="348" spans="1:23" ht="15.75" customHeight="1">
      <c r="A348" s="8"/>
      <c r="B348" s="7"/>
      <c r="C348" s="33"/>
      <c r="D348" s="7"/>
      <c r="E348" s="7"/>
      <c r="F348" s="7"/>
      <c r="G348" s="7"/>
      <c r="H348" s="7"/>
      <c r="I348" s="7"/>
      <c r="J348" s="7"/>
      <c r="K348" s="7"/>
      <c r="L348" s="7"/>
      <c r="M348" s="7"/>
      <c r="N348" s="7"/>
      <c r="O348" s="7"/>
      <c r="P348" s="7"/>
      <c r="Q348" s="7"/>
      <c r="R348" s="7"/>
      <c r="S348" s="7"/>
      <c r="T348" s="7"/>
      <c r="U348" s="7"/>
      <c r="W348" s="7"/>
    </row>
    <row r="349" spans="1:23" ht="15.75" customHeight="1">
      <c r="A349" s="8"/>
      <c r="B349" s="7"/>
      <c r="C349" s="33"/>
      <c r="D349" s="7"/>
      <c r="E349" s="7"/>
      <c r="F349" s="7"/>
      <c r="G349" s="7"/>
      <c r="H349" s="7"/>
      <c r="I349" s="7"/>
      <c r="J349" s="7"/>
      <c r="K349" s="7"/>
      <c r="L349" s="7"/>
      <c r="M349" s="7"/>
      <c r="N349" s="7"/>
      <c r="O349" s="7"/>
      <c r="P349" s="7"/>
      <c r="Q349" s="7"/>
      <c r="R349" s="7"/>
      <c r="S349" s="7"/>
      <c r="T349" s="7"/>
      <c r="U349" s="7"/>
      <c r="W349" s="7"/>
    </row>
    <row r="350" spans="1:23" ht="15.75" customHeight="1">
      <c r="A350" s="8"/>
      <c r="B350" s="7"/>
      <c r="C350" s="33"/>
      <c r="D350" s="7"/>
      <c r="E350" s="7"/>
      <c r="F350" s="7"/>
      <c r="G350" s="7"/>
      <c r="H350" s="7"/>
      <c r="I350" s="7"/>
      <c r="J350" s="7"/>
      <c r="K350" s="7"/>
      <c r="L350" s="7"/>
      <c r="M350" s="7"/>
      <c r="N350" s="7"/>
      <c r="O350" s="7"/>
      <c r="P350" s="7"/>
      <c r="Q350" s="7"/>
      <c r="R350" s="7"/>
      <c r="S350" s="7"/>
      <c r="T350" s="7"/>
      <c r="U350" s="7"/>
      <c r="W350" s="7"/>
    </row>
    <row r="351" spans="1:23" ht="15.75" customHeight="1">
      <c r="A351" s="8"/>
      <c r="B351" s="7"/>
      <c r="C351" s="33"/>
      <c r="D351" s="7"/>
      <c r="E351" s="7"/>
      <c r="F351" s="7"/>
      <c r="G351" s="7"/>
      <c r="H351" s="7"/>
      <c r="I351" s="7"/>
      <c r="J351" s="7"/>
      <c r="K351" s="7"/>
      <c r="L351" s="7"/>
      <c r="M351" s="7"/>
      <c r="N351" s="7"/>
      <c r="O351" s="7"/>
      <c r="P351" s="7"/>
      <c r="Q351" s="7"/>
      <c r="R351" s="7"/>
      <c r="S351" s="7"/>
      <c r="T351" s="7"/>
      <c r="U351" s="7"/>
      <c r="W351" s="7"/>
    </row>
    <row r="352" spans="1:23" ht="15.75" customHeight="1">
      <c r="A352" s="8"/>
      <c r="B352" s="7"/>
      <c r="C352" s="33"/>
      <c r="D352" s="7"/>
      <c r="E352" s="7"/>
      <c r="F352" s="7"/>
      <c r="G352" s="7"/>
      <c r="H352" s="7"/>
      <c r="I352" s="7"/>
      <c r="J352" s="7"/>
      <c r="K352" s="7"/>
      <c r="L352" s="7"/>
      <c r="M352" s="7"/>
      <c r="N352" s="7"/>
      <c r="O352" s="7"/>
      <c r="P352" s="7"/>
      <c r="Q352" s="7"/>
      <c r="R352" s="7"/>
      <c r="S352" s="7"/>
      <c r="T352" s="7"/>
      <c r="U352" s="7"/>
      <c r="W352" s="7"/>
    </row>
    <row r="353" spans="1:23" ht="15.75" customHeight="1">
      <c r="A353" s="8"/>
      <c r="B353" s="7"/>
      <c r="C353" s="33"/>
      <c r="D353" s="7"/>
      <c r="E353" s="7"/>
      <c r="F353" s="7"/>
      <c r="G353" s="7"/>
      <c r="H353" s="7"/>
      <c r="I353" s="7"/>
      <c r="J353" s="7"/>
      <c r="K353" s="7"/>
      <c r="L353" s="7"/>
      <c r="M353" s="7"/>
      <c r="N353" s="7"/>
      <c r="O353" s="7"/>
      <c r="P353" s="7"/>
      <c r="Q353" s="7"/>
      <c r="R353" s="7"/>
      <c r="S353" s="7"/>
      <c r="T353" s="7"/>
      <c r="U353" s="7"/>
      <c r="W353" s="7"/>
    </row>
    <row r="354" spans="1:23" ht="15.75" customHeight="1">
      <c r="A354" s="8"/>
      <c r="B354" s="7"/>
      <c r="C354" s="33"/>
      <c r="D354" s="7"/>
      <c r="E354" s="7"/>
      <c r="F354" s="7"/>
      <c r="G354" s="7"/>
      <c r="H354" s="7"/>
      <c r="I354" s="7"/>
      <c r="J354" s="7"/>
      <c r="K354" s="7"/>
      <c r="L354" s="7"/>
      <c r="M354" s="7"/>
      <c r="N354" s="7"/>
      <c r="O354" s="7"/>
      <c r="P354" s="7"/>
      <c r="Q354" s="7"/>
      <c r="R354" s="7"/>
      <c r="S354" s="7"/>
      <c r="T354" s="7"/>
      <c r="U354" s="7"/>
      <c r="W354" s="7"/>
    </row>
    <row r="355" spans="1:23" ht="15.75" customHeight="1">
      <c r="A355" s="8"/>
      <c r="B355" s="7"/>
      <c r="C355" s="33"/>
      <c r="D355" s="7"/>
      <c r="E355" s="7"/>
      <c r="F355" s="7"/>
      <c r="G355" s="7"/>
      <c r="H355" s="7"/>
      <c r="I355" s="7"/>
      <c r="J355" s="7"/>
      <c r="K355" s="7"/>
      <c r="L355" s="7"/>
      <c r="M355" s="7"/>
      <c r="N355" s="7"/>
      <c r="O355" s="7"/>
      <c r="P355" s="7"/>
      <c r="Q355" s="7"/>
      <c r="R355" s="7"/>
      <c r="S355" s="7"/>
      <c r="T355" s="7"/>
      <c r="U355" s="7"/>
      <c r="W355" s="7"/>
    </row>
    <row r="356" spans="1:23" ht="15.75" customHeight="1">
      <c r="A356" s="8"/>
      <c r="B356" s="7"/>
      <c r="C356" s="33"/>
      <c r="D356" s="7"/>
      <c r="E356" s="7"/>
      <c r="F356" s="7"/>
      <c r="G356" s="7"/>
      <c r="H356" s="7"/>
      <c r="I356" s="7"/>
      <c r="J356" s="7"/>
      <c r="K356" s="7"/>
      <c r="L356" s="7"/>
      <c r="M356" s="7"/>
      <c r="N356" s="7"/>
      <c r="O356" s="7"/>
      <c r="P356" s="7"/>
      <c r="Q356" s="7"/>
      <c r="R356" s="7"/>
      <c r="S356" s="7"/>
      <c r="T356" s="7"/>
      <c r="U356" s="7"/>
      <c r="W356" s="7"/>
    </row>
    <row r="357" spans="1:23" ht="15.75" customHeight="1">
      <c r="A357" s="8"/>
      <c r="B357" s="7"/>
      <c r="C357" s="33"/>
      <c r="D357" s="7"/>
      <c r="E357" s="7"/>
      <c r="F357" s="7"/>
      <c r="G357" s="7"/>
      <c r="H357" s="7"/>
      <c r="I357" s="7"/>
      <c r="J357" s="7"/>
      <c r="K357" s="7"/>
      <c r="L357" s="7"/>
      <c r="M357" s="7"/>
      <c r="N357" s="7"/>
      <c r="O357" s="7"/>
      <c r="P357" s="7"/>
      <c r="Q357" s="7"/>
      <c r="R357" s="7"/>
      <c r="S357" s="7"/>
      <c r="T357" s="7"/>
      <c r="U357" s="7"/>
      <c r="W357" s="7"/>
    </row>
    <row r="358" spans="1:23" ht="15.75" customHeight="1">
      <c r="A358" s="8"/>
      <c r="B358" s="7"/>
      <c r="C358" s="33"/>
      <c r="D358" s="7"/>
      <c r="E358" s="7"/>
      <c r="F358" s="7"/>
      <c r="G358" s="7"/>
      <c r="H358" s="7"/>
      <c r="I358" s="7"/>
      <c r="J358" s="7"/>
      <c r="K358" s="7"/>
      <c r="L358" s="7"/>
      <c r="M358" s="7"/>
      <c r="N358" s="7"/>
      <c r="O358" s="7"/>
      <c r="P358" s="7"/>
      <c r="Q358" s="7"/>
      <c r="R358" s="7"/>
      <c r="S358" s="7"/>
      <c r="T358" s="7"/>
      <c r="U358" s="7"/>
      <c r="W358" s="7"/>
    </row>
    <row r="359" spans="1:23" ht="15.75" customHeight="1">
      <c r="A359" s="8"/>
      <c r="B359" s="7"/>
      <c r="C359" s="33"/>
      <c r="D359" s="7"/>
      <c r="E359" s="7"/>
      <c r="F359" s="7"/>
      <c r="G359" s="7"/>
      <c r="H359" s="7"/>
      <c r="I359" s="7"/>
      <c r="J359" s="7"/>
      <c r="K359" s="7"/>
      <c r="L359" s="7"/>
      <c r="M359" s="7"/>
      <c r="N359" s="7"/>
      <c r="O359" s="7"/>
      <c r="P359" s="7"/>
      <c r="Q359" s="7"/>
      <c r="R359" s="7"/>
      <c r="S359" s="7"/>
      <c r="T359" s="7"/>
      <c r="U359" s="7"/>
      <c r="W359" s="7"/>
    </row>
    <row r="360" spans="1:23" ht="15.75" customHeight="1">
      <c r="A360" s="8"/>
      <c r="B360" s="7"/>
      <c r="C360" s="33"/>
      <c r="D360" s="7"/>
      <c r="E360" s="7"/>
      <c r="F360" s="7"/>
      <c r="G360" s="7"/>
      <c r="H360" s="7"/>
      <c r="I360" s="7"/>
      <c r="J360" s="7"/>
      <c r="K360" s="7"/>
      <c r="L360" s="7"/>
      <c r="M360" s="7"/>
      <c r="N360" s="7"/>
      <c r="O360" s="7"/>
      <c r="P360" s="7"/>
      <c r="Q360" s="7"/>
      <c r="R360" s="7"/>
      <c r="S360" s="7"/>
      <c r="T360" s="7"/>
      <c r="U360" s="7"/>
      <c r="W360" s="7"/>
    </row>
    <row r="361" spans="1:23" ht="15.75" customHeight="1">
      <c r="A361" s="8"/>
      <c r="B361" s="7"/>
      <c r="C361" s="33"/>
      <c r="D361" s="7"/>
      <c r="E361" s="7"/>
      <c r="F361" s="7"/>
      <c r="G361" s="7"/>
      <c r="H361" s="7"/>
      <c r="I361" s="7"/>
      <c r="J361" s="7"/>
      <c r="K361" s="7"/>
      <c r="L361" s="7"/>
      <c r="M361" s="7"/>
      <c r="N361" s="7"/>
      <c r="O361" s="7"/>
      <c r="P361" s="7"/>
      <c r="Q361" s="7"/>
      <c r="R361" s="7"/>
      <c r="S361" s="7"/>
      <c r="T361" s="7"/>
      <c r="U361" s="7"/>
      <c r="W361" s="7"/>
    </row>
    <row r="362" spans="1:23" ht="15.75" customHeight="1">
      <c r="A362" s="8"/>
      <c r="B362" s="7"/>
      <c r="C362" s="33"/>
      <c r="D362" s="7"/>
      <c r="E362" s="7"/>
      <c r="F362" s="7"/>
      <c r="G362" s="7"/>
      <c r="H362" s="7"/>
      <c r="I362" s="7"/>
      <c r="J362" s="7"/>
      <c r="K362" s="7"/>
      <c r="L362" s="7"/>
      <c r="M362" s="7"/>
      <c r="N362" s="7"/>
      <c r="O362" s="7"/>
      <c r="P362" s="7"/>
      <c r="Q362" s="7"/>
      <c r="R362" s="7"/>
      <c r="S362" s="7"/>
      <c r="T362" s="7"/>
      <c r="U362" s="7"/>
      <c r="W362" s="7"/>
    </row>
    <row r="363" spans="1:23" ht="15.75" customHeight="1">
      <c r="A363" s="8"/>
      <c r="B363" s="7"/>
      <c r="C363" s="33"/>
      <c r="D363" s="7"/>
      <c r="E363" s="7"/>
      <c r="F363" s="7"/>
      <c r="G363" s="7"/>
      <c r="H363" s="7"/>
      <c r="I363" s="7"/>
      <c r="J363" s="7"/>
      <c r="K363" s="7"/>
      <c r="L363" s="7"/>
      <c r="M363" s="7"/>
      <c r="N363" s="7"/>
      <c r="O363" s="7"/>
      <c r="P363" s="7"/>
      <c r="Q363" s="7"/>
      <c r="R363" s="7"/>
      <c r="S363" s="7"/>
      <c r="T363" s="7"/>
      <c r="U363" s="7"/>
      <c r="W363" s="7"/>
    </row>
    <row r="364" spans="1:23" ht="15.75" customHeight="1">
      <c r="A364" s="8"/>
      <c r="B364" s="7"/>
      <c r="C364" s="33"/>
      <c r="D364" s="7"/>
      <c r="E364" s="7"/>
      <c r="F364" s="7"/>
      <c r="G364" s="7"/>
      <c r="H364" s="7"/>
      <c r="I364" s="7"/>
      <c r="J364" s="7"/>
      <c r="K364" s="7"/>
      <c r="L364" s="7"/>
      <c r="M364" s="7"/>
      <c r="N364" s="7"/>
      <c r="O364" s="7"/>
      <c r="P364" s="7"/>
      <c r="Q364" s="7"/>
      <c r="R364" s="7"/>
      <c r="S364" s="7"/>
      <c r="T364" s="7"/>
      <c r="U364" s="7"/>
      <c r="W364" s="7"/>
    </row>
    <row r="365" spans="1:23" ht="15.75" customHeight="1">
      <c r="A365" s="8"/>
      <c r="B365" s="7"/>
      <c r="C365" s="33"/>
      <c r="D365" s="7"/>
      <c r="E365" s="7"/>
      <c r="F365" s="7"/>
      <c r="G365" s="7"/>
      <c r="H365" s="7"/>
      <c r="I365" s="7"/>
      <c r="J365" s="7"/>
      <c r="K365" s="7"/>
      <c r="L365" s="7"/>
      <c r="M365" s="7"/>
      <c r="N365" s="7"/>
      <c r="O365" s="7"/>
      <c r="P365" s="7"/>
      <c r="Q365" s="7"/>
      <c r="R365" s="7"/>
      <c r="S365" s="7"/>
      <c r="T365" s="7"/>
      <c r="U365" s="7"/>
      <c r="W365" s="7"/>
    </row>
    <row r="366" spans="1:23" ht="15.75" customHeight="1">
      <c r="A366" s="8"/>
      <c r="B366" s="7"/>
      <c r="C366" s="33"/>
      <c r="D366" s="7"/>
      <c r="E366" s="7"/>
      <c r="F366" s="7"/>
      <c r="G366" s="7"/>
      <c r="H366" s="7"/>
      <c r="I366" s="7"/>
      <c r="J366" s="7"/>
      <c r="K366" s="7"/>
      <c r="L366" s="7"/>
      <c r="M366" s="7"/>
      <c r="N366" s="7"/>
      <c r="O366" s="7"/>
      <c r="P366" s="7"/>
      <c r="Q366" s="7"/>
      <c r="R366" s="7"/>
      <c r="S366" s="7"/>
      <c r="T366" s="7"/>
      <c r="U366" s="7"/>
      <c r="W366" s="7"/>
    </row>
    <row r="367" spans="1:23" ht="15.75" customHeight="1">
      <c r="A367" s="8"/>
      <c r="B367" s="7"/>
      <c r="C367" s="33"/>
      <c r="D367" s="7"/>
      <c r="E367" s="7"/>
      <c r="F367" s="7"/>
      <c r="G367" s="7"/>
      <c r="H367" s="7"/>
      <c r="I367" s="7"/>
      <c r="J367" s="7"/>
      <c r="K367" s="7"/>
      <c r="L367" s="7"/>
      <c r="M367" s="7"/>
      <c r="N367" s="7"/>
      <c r="O367" s="7"/>
      <c r="P367" s="7"/>
      <c r="Q367" s="7"/>
      <c r="R367" s="7"/>
      <c r="S367" s="7"/>
      <c r="T367" s="7"/>
      <c r="U367" s="7"/>
      <c r="W367" s="7"/>
    </row>
    <row r="368" spans="1:23" ht="15.75" customHeight="1">
      <c r="A368" s="8"/>
      <c r="B368" s="7"/>
      <c r="C368" s="33"/>
      <c r="D368" s="7"/>
      <c r="E368" s="7"/>
      <c r="F368" s="7"/>
      <c r="G368" s="7"/>
      <c r="H368" s="7"/>
      <c r="I368" s="7"/>
      <c r="J368" s="7"/>
      <c r="K368" s="7"/>
      <c r="L368" s="7"/>
      <c r="M368" s="7"/>
      <c r="N368" s="7"/>
      <c r="O368" s="7"/>
      <c r="P368" s="7"/>
      <c r="Q368" s="7"/>
      <c r="R368" s="7"/>
      <c r="S368" s="7"/>
      <c r="T368" s="7"/>
      <c r="U368" s="7"/>
      <c r="W368" s="7"/>
    </row>
    <row r="369" spans="1:23" ht="15.75" customHeight="1">
      <c r="A369" s="8"/>
      <c r="B369" s="7"/>
      <c r="C369" s="33"/>
      <c r="D369" s="7"/>
      <c r="E369" s="7"/>
      <c r="F369" s="7"/>
      <c r="G369" s="7"/>
      <c r="H369" s="7"/>
      <c r="I369" s="7"/>
      <c r="J369" s="7"/>
      <c r="K369" s="7"/>
      <c r="L369" s="7"/>
      <c r="M369" s="7"/>
      <c r="N369" s="7"/>
      <c r="O369" s="7"/>
      <c r="P369" s="7"/>
      <c r="Q369" s="7"/>
      <c r="R369" s="7"/>
      <c r="S369" s="7"/>
      <c r="T369" s="7"/>
      <c r="U369" s="7"/>
      <c r="W369" s="7"/>
    </row>
    <row r="370" spans="1:23" ht="15.75" customHeight="1">
      <c r="A370" s="8"/>
      <c r="B370" s="7"/>
      <c r="C370" s="33"/>
      <c r="D370" s="7"/>
      <c r="E370" s="7"/>
      <c r="F370" s="7"/>
      <c r="G370" s="7"/>
      <c r="H370" s="7"/>
      <c r="I370" s="7"/>
      <c r="J370" s="7"/>
      <c r="K370" s="7"/>
      <c r="L370" s="7"/>
      <c r="M370" s="7"/>
      <c r="N370" s="7"/>
      <c r="O370" s="7"/>
      <c r="P370" s="7"/>
      <c r="Q370" s="7"/>
      <c r="R370" s="7"/>
      <c r="S370" s="7"/>
      <c r="T370" s="7"/>
      <c r="U370" s="7"/>
      <c r="W370" s="7"/>
    </row>
    <row r="371" spans="1:23" ht="15.75" customHeight="1">
      <c r="A371" s="8"/>
      <c r="B371" s="7"/>
      <c r="C371" s="33"/>
      <c r="D371" s="7"/>
      <c r="E371" s="7"/>
      <c r="F371" s="7"/>
      <c r="G371" s="7"/>
      <c r="H371" s="7"/>
      <c r="I371" s="7"/>
      <c r="J371" s="7"/>
      <c r="K371" s="7"/>
      <c r="L371" s="7"/>
      <c r="M371" s="7"/>
      <c r="N371" s="7"/>
      <c r="O371" s="7"/>
      <c r="P371" s="7"/>
      <c r="Q371" s="7"/>
      <c r="R371" s="7"/>
      <c r="S371" s="7"/>
      <c r="T371" s="7"/>
      <c r="U371" s="7"/>
      <c r="W371" s="7"/>
    </row>
    <row r="372" spans="1:23" ht="15.75" customHeight="1">
      <c r="A372" s="8"/>
      <c r="B372" s="7"/>
      <c r="C372" s="33"/>
      <c r="D372" s="7"/>
      <c r="E372" s="7"/>
      <c r="F372" s="7"/>
      <c r="G372" s="7"/>
      <c r="H372" s="7"/>
      <c r="I372" s="7"/>
      <c r="J372" s="7"/>
      <c r="K372" s="7"/>
      <c r="L372" s="7"/>
      <c r="M372" s="7"/>
      <c r="N372" s="7"/>
      <c r="O372" s="7"/>
      <c r="P372" s="7"/>
      <c r="Q372" s="7"/>
      <c r="R372" s="7"/>
      <c r="S372" s="7"/>
      <c r="T372" s="7"/>
      <c r="U372" s="7"/>
      <c r="W372" s="7"/>
    </row>
    <row r="373" spans="1:23" ht="15.75" customHeight="1">
      <c r="A373" s="8"/>
      <c r="B373" s="7"/>
      <c r="C373" s="33"/>
      <c r="D373" s="7"/>
      <c r="E373" s="7"/>
      <c r="F373" s="7"/>
      <c r="G373" s="7"/>
      <c r="H373" s="7"/>
      <c r="I373" s="7"/>
      <c r="J373" s="7"/>
      <c r="K373" s="7"/>
      <c r="L373" s="7"/>
      <c r="M373" s="7"/>
      <c r="N373" s="7"/>
      <c r="O373" s="7"/>
      <c r="P373" s="7"/>
      <c r="Q373" s="7"/>
      <c r="R373" s="7"/>
      <c r="S373" s="7"/>
      <c r="T373" s="7"/>
      <c r="U373" s="7"/>
      <c r="W373" s="7"/>
    </row>
    <row r="374" spans="1:23" ht="15.75" customHeight="1">
      <c r="A374" s="8"/>
      <c r="B374" s="7"/>
      <c r="C374" s="33"/>
      <c r="D374" s="7"/>
      <c r="E374" s="7"/>
      <c r="F374" s="7"/>
      <c r="G374" s="7"/>
      <c r="H374" s="7"/>
      <c r="I374" s="7"/>
      <c r="J374" s="7"/>
      <c r="K374" s="7"/>
      <c r="L374" s="7"/>
      <c r="M374" s="7"/>
      <c r="N374" s="7"/>
      <c r="O374" s="7"/>
      <c r="P374" s="7"/>
      <c r="Q374" s="7"/>
      <c r="R374" s="7"/>
      <c r="S374" s="7"/>
      <c r="T374" s="7"/>
      <c r="U374" s="7"/>
      <c r="W374" s="7"/>
    </row>
    <row r="375" spans="1:23" ht="15.75" customHeight="1">
      <c r="A375" s="8"/>
      <c r="B375" s="7"/>
      <c r="C375" s="33"/>
      <c r="D375" s="7"/>
      <c r="E375" s="7"/>
      <c r="F375" s="7"/>
      <c r="G375" s="7"/>
      <c r="H375" s="7"/>
      <c r="I375" s="7"/>
      <c r="J375" s="7"/>
      <c r="K375" s="7"/>
      <c r="L375" s="7"/>
      <c r="M375" s="7"/>
      <c r="N375" s="7"/>
      <c r="O375" s="7"/>
      <c r="P375" s="7"/>
      <c r="Q375" s="7"/>
      <c r="R375" s="7"/>
      <c r="S375" s="7"/>
      <c r="T375" s="7"/>
      <c r="U375" s="7"/>
      <c r="W375" s="7"/>
    </row>
    <row r="376" spans="1:23" ht="15.75" customHeight="1">
      <c r="A376" s="8"/>
      <c r="B376" s="7"/>
      <c r="C376" s="33"/>
      <c r="D376" s="7"/>
      <c r="E376" s="7"/>
      <c r="F376" s="7"/>
      <c r="G376" s="7"/>
      <c r="H376" s="7"/>
      <c r="I376" s="7"/>
      <c r="J376" s="7"/>
      <c r="K376" s="7"/>
      <c r="L376" s="7"/>
      <c r="M376" s="7"/>
      <c r="N376" s="7"/>
      <c r="O376" s="7"/>
      <c r="P376" s="7"/>
      <c r="Q376" s="7"/>
      <c r="R376" s="7"/>
      <c r="S376" s="7"/>
      <c r="T376" s="7"/>
      <c r="U376" s="7"/>
      <c r="W376" s="7"/>
    </row>
    <row r="377" spans="1:23" ht="15.75" customHeight="1">
      <c r="A377" s="8"/>
      <c r="B377" s="7"/>
      <c r="C377" s="33"/>
      <c r="D377" s="7"/>
      <c r="E377" s="7"/>
      <c r="F377" s="7"/>
      <c r="G377" s="7"/>
      <c r="H377" s="7"/>
      <c r="I377" s="7"/>
      <c r="J377" s="7"/>
      <c r="K377" s="7"/>
      <c r="L377" s="7"/>
      <c r="M377" s="7"/>
      <c r="N377" s="7"/>
      <c r="O377" s="7"/>
      <c r="P377" s="7"/>
      <c r="Q377" s="7"/>
      <c r="R377" s="7"/>
      <c r="S377" s="7"/>
      <c r="T377" s="7"/>
      <c r="U377" s="7"/>
      <c r="W377" s="7"/>
    </row>
    <row r="378" spans="1:23" ht="15.75" customHeight="1">
      <c r="A378" s="8"/>
      <c r="B378" s="7"/>
      <c r="C378" s="33"/>
      <c r="D378" s="7"/>
      <c r="E378" s="7"/>
      <c r="F378" s="7"/>
      <c r="G378" s="7"/>
      <c r="H378" s="7"/>
      <c r="I378" s="7"/>
      <c r="J378" s="7"/>
      <c r="K378" s="7"/>
      <c r="L378" s="7"/>
      <c r="M378" s="7"/>
      <c r="N378" s="7"/>
      <c r="O378" s="7"/>
      <c r="P378" s="7"/>
      <c r="Q378" s="7"/>
      <c r="R378" s="7"/>
      <c r="S378" s="7"/>
      <c r="T378" s="7"/>
      <c r="U378" s="7"/>
      <c r="W378" s="7"/>
    </row>
    <row r="379" spans="1:23" ht="15.75" customHeight="1">
      <c r="A379" s="8"/>
      <c r="B379" s="7"/>
      <c r="C379" s="33"/>
      <c r="D379" s="7"/>
      <c r="E379" s="7"/>
      <c r="F379" s="7"/>
      <c r="G379" s="7"/>
      <c r="H379" s="7"/>
      <c r="I379" s="7"/>
      <c r="J379" s="7"/>
      <c r="K379" s="7"/>
      <c r="L379" s="7"/>
      <c r="M379" s="7"/>
      <c r="N379" s="7"/>
      <c r="O379" s="7"/>
      <c r="P379" s="7"/>
      <c r="Q379" s="7"/>
      <c r="R379" s="7"/>
      <c r="S379" s="7"/>
      <c r="T379" s="7"/>
      <c r="U379" s="7"/>
      <c r="W379" s="7"/>
    </row>
    <row r="380" spans="1:23" ht="15.75" customHeight="1">
      <c r="A380" s="8"/>
      <c r="B380" s="7"/>
      <c r="C380" s="33"/>
      <c r="D380" s="7"/>
      <c r="E380" s="7"/>
      <c r="F380" s="7"/>
      <c r="G380" s="7"/>
      <c r="H380" s="7"/>
      <c r="I380" s="7"/>
      <c r="J380" s="7"/>
      <c r="K380" s="7"/>
      <c r="L380" s="7"/>
      <c r="M380" s="7"/>
      <c r="N380" s="7"/>
      <c r="O380" s="7"/>
      <c r="P380" s="7"/>
      <c r="Q380" s="7"/>
      <c r="R380" s="7"/>
      <c r="S380" s="7"/>
      <c r="T380" s="7"/>
      <c r="U380" s="7"/>
      <c r="W380" s="7"/>
    </row>
    <row r="381" spans="1:23" ht="15.75" customHeight="1">
      <c r="A381" s="8"/>
      <c r="B381" s="7"/>
      <c r="C381" s="33"/>
      <c r="D381" s="7"/>
      <c r="E381" s="7"/>
      <c r="F381" s="7"/>
      <c r="G381" s="7"/>
      <c r="H381" s="7"/>
      <c r="I381" s="7"/>
      <c r="J381" s="7"/>
      <c r="K381" s="7"/>
      <c r="L381" s="7"/>
      <c r="M381" s="7"/>
      <c r="N381" s="7"/>
      <c r="O381" s="7"/>
      <c r="P381" s="7"/>
      <c r="Q381" s="7"/>
      <c r="R381" s="7"/>
      <c r="S381" s="7"/>
      <c r="T381" s="7"/>
      <c r="U381" s="7"/>
      <c r="W381" s="7"/>
    </row>
    <row r="382" spans="1:23" ht="15.75" customHeight="1">
      <c r="A382" s="8"/>
      <c r="B382" s="7"/>
      <c r="C382" s="33"/>
      <c r="D382" s="7"/>
      <c r="E382" s="7"/>
      <c r="F382" s="7"/>
      <c r="G382" s="7"/>
      <c r="H382" s="7"/>
      <c r="I382" s="7"/>
      <c r="J382" s="7"/>
      <c r="K382" s="7"/>
      <c r="L382" s="7"/>
      <c r="M382" s="7"/>
      <c r="N382" s="7"/>
      <c r="O382" s="7"/>
      <c r="P382" s="7"/>
      <c r="Q382" s="7"/>
      <c r="R382" s="7"/>
      <c r="S382" s="7"/>
      <c r="T382" s="7"/>
      <c r="U382" s="7"/>
      <c r="W382" s="7"/>
    </row>
    <row r="383" spans="1:23" ht="15.75" customHeight="1">
      <c r="A383" s="8"/>
      <c r="B383" s="7"/>
      <c r="C383" s="33"/>
      <c r="D383" s="7"/>
      <c r="E383" s="7"/>
      <c r="F383" s="7"/>
      <c r="G383" s="7"/>
      <c r="H383" s="7"/>
      <c r="I383" s="7"/>
      <c r="J383" s="7"/>
      <c r="K383" s="7"/>
      <c r="L383" s="7"/>
      <c r="M383" s="7"/>
      <c r="N383" s="7"/>
      <c r="O383" s="7"/>
      <c r="P383" s="7"/>
      <c r="Q383" s="7"/>
      <c r="R383" s="7"/>
      <c r="S383" s="7"/>
      <c r="T383" s="7"/>
      <c r="U383" s="7"/>
      <c r="W383" s="7"/>
    </row>
    <row r="384" spans="1:23" ht="15.75" customHeight="1">
      <c r="A384" s="8"/>
      <c r="B384" s="7"/>
      <c r="C384" s="33"/>
      <c r="D384" s="7"/>
      <c r="E384" s="7"/>
      <c r="F384" s="7"/>
      <c r="G384" s="7"/>
      <c r="H384" s="7"/>
      <c r="I384" s="7"/>
      <c r="J384" s="7"/>
      <c r="K384" s="7"/>
      <c r="L384" s="7"/>
      <c r="M384" s="7"/>
      <c r="N384" s="7"/>
      <c r="O384" s="7"/>
      <c r="P384" s="7"/>
      <c r="Q384" s="7"/>
      <c r="R384" s="7"/>
      <c r="S384" s="7"/>
      <c r="T384" s="7"/>
      <c r="U384" s="7"/>
      <c r="W384" s="7"/>
    </row>
    <row r="385" spans="1:23" ht="15.75" customHeight="1">
      <c r="A385" s="8"/>
      <c r="B385" s="7"/>
      <c r="C385" s="33"/>
      <c r="D385" s="7"/>
      <c r="E385" s="7"/>
      <c r="F385" s="7"/>
      <c r="G385" s="7"/>
      <c r="H385" s="7"/>
      <c r="I385" s="7"/>
      <c r="J385" s="7"/>
      <c r="K385" s="7"/>
      <c r="L385" s="7"/>
      <c r="M385" s="7"/>
      <c r="N385" s="7"/>
      <c r="O385" s="7"/>
      <c r="P385" s="7"/>
      <c r="Q385" s="7"/>
      <c r="R385" s="7"/>
      <c r="S385" s="7"/>
      <c r="T385" s="7"/>
      <c r="U385" s="7"/>
      <c r="W385" s="7"/>
    </row>
    <row r="386" spans="1:23" ht="15.75" customHeight="1">
      <c r="A386" s="8"/>
      <c r="B386" s="7"/>
      <c r="C386" s="33"/>
      <c r="D386" s="7"/>
      <c r="E386" s="7"/>
      <c r="F386" s="7"/>
      <c r="G386" s="7"/>
      <c r="H386" s="7"/>
      <c r="I386" s="7"/>
      <c r="J386" s="7"/>
      <c r="K386" s="7"/>
      <c r="L386" s="7"/>
      <c r="M386" s="7"/>
      <c r="N386" s="7"/>
      <c r="O386" s="7"/>
      <c r="P386" s="7"/>
      <c r="Q386" s="7"/>
      <c r="R386" s="7"/>
      <c r="S386" s="7"/>
      <c r="T386" s="7"/>
      <c r="U386" s="7"/>
      <c r="W386" s="7"/>
    </row>
    <row r="387" spans="1:23" ht="15.75" customHeight="1">
      <c r="A387" s="8"/>
      <c r="B387" s="7"/>
      <c r="C387" s="33"/>
      <c r="D387" s="7"/>
      <c r="E387" s="7"/>
      <c r="F387" s="7"/>
      <c r="G387" s="7"/>
      <c r="H387" s="7"/>
      <c r="I387" s="7"/>
      <c r="J387" s="7"/>
      <c r="K387" s="7"/>
      <c r="L387" s="7"/>
      <c r="M387" s="7"/>
      <c r="N387" s="7"/>
      <c r="O387" s="7"/>
      <c r="P387" s="7"/>
      <c r="Q387" s="7"/>
      <c r="R387" s="7"/>
      <c r="S387" s="7"/>
      <c r="T387" s="7"/>
      <c r="U387" s="7"/>
      <c r="W387" s="7"/>
    </row>
    <row r="388" spans="1:23" ht="15.75" customHeight="1">
      <c r="A388" s="8"/>
      <c r="B388" s="7"/>
      <c r="C388" s="33"/>
      <c r="D388" s="7"/>
      <c r="E388" s="7"/>
      <c r="F388" s="7"/>
      <c r="G388" s="7"/>
      <c r="H388" s="7"/>
      <c r="I388" s="7"/>
      <c r="J388" s="7"/>
      <c r="K388" s="7"/>
      <c r="L388" s="7"/>
      <c r="M388" s="7"/>
      <c r="N388" s="7"/>
      <c r="O388" s="7"/>
      <c r="P388" s="7"/>
      <c r="Q388" s="7"/>
      <c r="R388" s="7"/>
      <c r="S388" s="7"/>
      <c r="T388" s="7"/>
      <c r="U388" s="7"/>
      <c r="W388" s="7"/>
    </row>
    <row r="389" spans="1:23" ht="15.75" customHeight="1">
      <c r="A389" s="8"/>
      <c r="B389" s="7"/>
      <c r="C389" s="33"/>
      <c r="D389" s="7"/>
      <c r="E389" s="7"/>
      <c r="F389" s="7"/>
      <c r="G389" s="7"/>
      <c r="H389" s="7"/>
      <c r="I389" s="7"/>
      <c r="J389" s="7"/>
      <c r="K389" s="7"/>
      <c r="L389" s="7"/>
      <c r="M389" s="7"/>
      <c r="N389" s="7"/>
      <c r="O389" s="7"/>
      <c r="P389" s="7"/>
      <c r="Q389" s="7"/>
      <c r="R389" s="7"/>
      <c r="S389" s="7"/>
      <c r="T389" s="7"/>
      <c r="U389" s="7"/>
      <c r="W389" s="7"/>
    </row>
    <row r="390" spans="1:23" ht="15.75" customHeight="1">
      <c r="A390" s="8"/>
      <c r="B390" s="7"/>
      <c r="C390" s="33"/>
      <c r="D390" s="7"/>
      <c r="E390" s="7"/>
      <c r="F390" s="7"/>
      <c r="G390" s="7"/>
      <c r="H390" s="7"/>
      <c r="I390" s="7"/>
      <c r="J390" s="7"/>
      <c r="K390" s="7"/>
      <c r="L390" s="7"/>
      <c r="M390" s="7"/>
      <c r="N390" s="7"/>
      <c r="O390" s="7"/>
      <c r="P390" s="7"/>
      <c r="Q390" s="7"/>
      <c r="R390" s="7"/>
      <c r="S390" s="7"/>
      <c r="T390" s="7"/>
      <c r="U390" s="7"/>
      <c r="W390" s="7"/>
    </row>
    <row r="391" spans="1:23" ht="15.75" customHeight="1">
      <c r="A391" s="8"/>
      <c r="B391" s="7"/>
      <c r="C391" s="33"/>
      <c r="D391" s="7"/>
      <c r="E391" s="7"/>
      <c r="F391" s="7"/>
      <c r="G391" s="7"/>
      <c r="H391" s="7"/>
      <c r="I391" s="7"/>
      <c r="J391" s="7"/>
      <c r="K391" s="7"/>
      <c r="L391" s="7"/>
      <c r="M391" s="7"/>
      <c r="N391" s="7"/>
      <c r="O391" s="7"/>
      <c r="P391" s="7"/>
      <c r="Q391" s="7"/>
      <c r="R391" s="7"/>
      <c r="S391" s="7"/>
      <c r="T391" s="7"/>
      <c r="U391" s="7"/>
      <c r="W391" s="7"/>
    </row>
    <row r="392" spans="1:23" ht="15.75" customHeight="1">
      <c r="A392" s="8"/>
      <c r="B392" s="7"/>
      <c r="C392" s="33"/>
      <c r="D392" s="7"/>
      <c r="E392" s="7"/>
      <c r="F392" s="7"/>
      <c r="G392" s="7"/>
      <c r="H392" s="7"/>
      <c r="I392" s="7"/>
      <c r="J392" s="7"/>
      <c r="K392" s="7"/>
      <c r="L392" s="7"/>
      <c r="M392" s="7"/>
      <c r="N392" s="7"/>
      <c r="O392" s="7"/>
      <c r="P392" s="7"/>
      <c r="Q392" s="7"/>
      <c r="R392" s="7"/>
      <c r="S392" s="7"/>
      <c r="T392" s="7"/>
      <c r="U392" s="7"/>
      <c r="W392" s="7"/>
    </row>
    <row r="393" spans="1:23" ht="15.75" customHeight="1">
      <c r="A393" s="8"/>
      <c r="B393" s="7"/>
      <c r="C393" s="33"/>
      <c r="D393" s="7"/>
      <c r="E393" s="7"/>
      <c r="F393" s="7"/>
      <c r="G393" s="7"/>
      <c r="H393" s="7"/>
      <c r="I393" s="7"/>
      <c r="J393" s="7"/>
      <c r="K393" s="7"/>
      <c r="L393" s="7"/>
      <c r="M393" s="7"/>
      <c r="N393" s="7"/>
      <c r="O393" s="7"/>
      <c r="P393" s="7"/>
      <c r="Q393" s="7"/>
      <c r="R393" s="7"/>
      <c r="S393" s="7"/>
      <c r="T393" s="7"/>
      <c r="U393" s="7"/>
      <c r="W393" s="7"/>
    </row>
    <row r="394" spans="1:23" ht="15.75" customHeight="1">
      <c r="A394" s="8"/>
      <c r="B394" s="7"/>
      <c r="C394" s="33"/>
      <c r="D394" s="7"/>
      <c r="E394" s="7"/>
      <c r="F394" s="7"/>
      <c r="G394" s="7"/>
      <c r="H394" s="7"/>
      <c r="I394" s="7"/>
      <c r="J394" s="7"/>
      <c r="K394" s="7"/>
      <c r="L394" s="7"/>
      <c r="M394" s="7"/>
      <c r="N394" s="7"/>
      <c r="O394" s="7"/>
      <c r="P394" s="7"/>
      <c r="Q394" s="7"/>
      <c r="R394" s="7"/>
      <c r="S394" s="7"/>
      <c r="T394" s="7"/>
      <c r="U394" s="7"/>
      <c r="W394" s="7"/>
    </row>
    <row r="395" spans="1:23" ht="15.75" customHeight="1">
      <c r="A395" s="8"/>
      <c r="B395" s="7"/>
      <c r="C395" s="33"/>
      <c r="D395" s="7"/>
      <c r="E395" s="7"/>
      <c r="F395" s="7"/>
      <c r="G395" s="7"/>
      <c r="H395" s="7"/>
      <c r="I395" s="7"/>
      <c r="J395" s="7"/>
      <c r="K395" s="7"/>
      <c r="L395" s="7"/>
      <c r="M395" s="7"/>
      <c r="N395" s="7"/>
      <c r="O395" s="7"/>
      <c r="P395" s="7"/>
      <c r="Q395" s="7"/>
      <c r="R395" s="7"/>
      <c r="S395" s="7"/>
      <c r="T395" s="7"/>
      <c r="U395" s="7"/>
      <c r="W395" s="7"/>
    </row>
    <row r="396" spans="1:23" ht="15.75" customHeight="1">
      <c r="A396" s="8"/>
      <c r="B396" s="7"/>
      <c r="C396" s="33"/>
      <c r="D396" s="7"/>
      <c r="E396" s="7"/>
      <c r="F396" s="7"/>
      <c r="G396" s="7"/>
      <c r="H396" s="7"/>
      <c r="I396" s="7"/>
      <c r="J396" s="7"/>
      <c r="K396" s="7"/>
      <c r="L396" s="7"/>
      <c r="M396" s="7"/>
      <c r="N396" s="7"/>
      <c r="O396" s="7"/>
      <c r="P396" s="7"/>
      <c r="Q396" s="7"/>
      <c r="R396" s="7"/>
      <c r="S396" s="7"/>
      <c r="T396" s="7"/>
      <c r="U396" s="7"/>
      <c r="W396" s="7"/>
    </row>
    <row r="397" spans="1:23" ht="15.75" customHeight="1">
      <c r="A397" s="8"/>
      <c r="B397" s="7"/>
      <c r="C397" s="33"/>
      <c r="D397" s="7"/>
      <c r="E397" s="7"/>
      <c r="F397" s="7"/>
      <c r="G397" s="7"/>
      <c r="H397" s="7"/>
      <c r="I397" s="7"/>
      <c r="J397" s="7"/>
      <c r="K397" s="7"/>
      <c r="L397" s="7"/>
      <c r="M397" s="7"/>
      <c r="N397" s="7"/>
      <c r="O397" s="7"/>
      <c r="P397" s="7"/>
      <c r="Q397" s="7"/>
      <c r="R397" s="7"/>
      <c r="S397" s="7"/>
      <c r="T397" s="7"/>
      <c r="U397" s="7"/>
      <c r="W397" s="7"/>
    </row>
    <row r="398" spans="1:23" ht="15.75" customHeight="1">
      <c r="A398" s="8"/>
      <c r="B398" s="7"/>
      <c r="C398" s="33"/>
      <c r="D398" s="7"/>
      <c r="E398" s="7"/>
      <c r="F398" s="7"/>
      <c r="G398" s="7"/>
      <c r="H398" s="7"/>
      <c r="I398" s="7"/>
      <c r="J398" s="7"/>
      <c r="K398" s="7"/>
      <c r="L398" s="7"/>
      <c r="M398" s="7"/>
      <c r="N398" s="7"/>
      <c r="O398" s="7"/>
      <c r="P398" s="7"/>
      <c r="Q398" s="7"/>
      <c r="R398" s="7"/>
      <c r="S398" s="7"/>
      <c r="T398" s="7"/>
      <c r="U398" s="7"/>
      <c r="W398" s="7"/>
    </row>
    <row r="399" spans="1:23" ht="15.75" customHeight="1">
      <c r="A399" s="8"/>
      <c r="B399" s="7"/>
      <c r="C399" s="33"/>
      <c r="D399" s="7"/>
      <c r="E399" s="7"/>
      <c r="F399" s="7"/>
      <c r="G399" s="7"/>
      <c r="H399" s="7"/>
      <c r="I399" s="7"/>
      <c r="J399" s="7"/>
      <c r="K399" s="7"/>
      <c r="L399" s="7"/>
      <c r="M399" s="7"/>
      <c r="N399" s="7"/>
      <c r="O399" s="7"/>
      <c r="P399" s="7"/>
      <c r="Q399" s="7"/>
      <c r="R399" s="7"/>
      <c r="S399" s="7"/>
      <c r="T399" s="7"/>
      <c r="U399" s="7"/>
      <c r="W399" s="7"/>
    </row>
    <row r="400" spans="1:23" ht="15.75" customHeight="1">
      <c r="A400" s="8"/>
      <c r="B400" s="7"/>
      <c r="C400" s="33"/>
      <c r="D400" s="7"/>
      <c r="E400" s="7"/>
      <c r="F400" s="7"/>
      <c r="G400" s="7"/>
      <c r="H400" s="7"/>
      <c r="I400" s="7"/>
      <c r="J400" s="7"/>
      <c r="K400" s="7"/>
      <c r="L400" s="7"/>
      <c r="M400" s="7"/>
      <c r="N400" s="7"/>
      <c r="O400" s="7"/>
      <c r="P400" s="7"/>
      <c r="Q400" s="7"/>
      <c r="R400" s="7"/>
      <c r="S400" s="7"/>
      <c r="T400" s="7"/>
      <c r="U400" s="7"/>
      <c r="W400" s="7"/>
    </row>
    <row r="401" spans="1:23" ht="15.75" customHeight="1">
      <c r="A401" s="8"/>
      <c r="B401" s="7"/>
      <c r="C401" s="33"/>
      <c r="D401" s="7"/>
      <c r="E401" s="7"/>
      <c r="F401" s="7"/>
      <c r="G401" s="7"/>
      <c r="H401" s="7"/>
      <c r="I401" s="7"/>
      <c r="J401" s="7"/>
      <c r="K401" s="7"/>
      <c r="L401" s="7"/>
      <c r="M401" s="7"/>
      <c r="N401" s="7"/>
      <c r="O401" s="7"/>
      <c r="P401" s="7"/>
      <c r="Q401" s="7"/>
      <c r="R401" s="7"/>
      <c r="S401" s="7"/>
      <c r="T401" s="7"/>
      <c r="U401" s="7"/>
      <c r="W401" s="7"/>
    </row>
    <row r="402" spans="1:23" ht="15.75" customHeight="1">
      <c r="A402" s="8"/>
      <c r="B402" s="7"/>
      <c r="C402" s="33"/>
      <c r="D402" s="7"/>
      <c r="E402" s="7"/>
      <c r="F402" s="7"/>
      <c r="G402" s="7"/>
      <c r="H402" s="7"/>
      <c r="I402" s="7"/>
      <c r="J402" s="7"/>
      <c r="K402" s="7"/>
      <c r="L402" s="7"/>
      <c r="M402" s="7"/>
      <c r="N402" s="7"/>
      <c r="O402" s="7"/>
      <c r="P402" s="7"/>
      <c r="Q402" s="7"/>
      <c r="R402" s="7"/>
      <c r="S402" s="7"/>
      <c r="T402" s="7"/>
      <c r="U402" s="7"/>
      <c r="W402" s="7"/>
    </row>
    <row r="403" spans="1:23" ht="15.75" customHeight="1">
      <c r="A403" s="8"/>
      <c r="B403" s="7"/>
      <c r="C403" s="33"/>
      <c r="D403" s="7"/>
      <c r="E403" s="7"/>
      <c r="F403" s="7"/>
      <c r="G403" s="7"/>
      <c r="H403" s="7"/>
      <c r="I403" s="7"/>
      <c r="J403" s="7"/>
      <c r="K403" s="7"/>
      <c r="L403" s="7"/>
      <c r="M403" s="7"/>
      <c r="N403" s="7"/>
      <c r="O403" s="7"/>
      <c r="P403" s="7"/>
      <c r="Q403" s="7"/>
      <c r="R403" s="7"/>
      <c r="S403" s="7"/>
      <c r="T403" s="7"/>
      <c r="U403" s="7"/>
      <c r="W403" s="7"/>
    </row>
    <row r="404" spans="1:23" ht="15.75" customHeight="1">
      <c r="A404" s="8"/>
      <c r="B404" s="7"/>
      <c r="C404" s="33"/>
      <c r="D404" s="7"/>
      <c r="E404" s="7"/>
      <c r="F404" s="7"/>
      <c r="G404" s="7"/>
      <c r="H404" s="7"/>
      <c r="I404" s="7"/>
      <c r="J404" s="7"/>
      <c r="K404" s="7"/>
      <c r="L404" s="7"/>
      <c r="M404" s="7"/>
      <c r="N404" s="7"/>
      <c r="O404" s="7"/>
      <c r="P404" s="7"/>
      <c r="Q404" s="7"/>
      <c r="R404" s="7"/>
      <c r="S404" s="7"/>
      <c r="T404" s="7"/>
      <c r="U404" s="7"/>
      <c r="W404" s="7"/>
    </row>
    <row r="405" spans="1:23" ht="15.75" customHeight="1">
      <c r="A405" s="8"/>
      <c r="B405" s="7"/>
      <c r="C405" s="33"/>
      <c r="D405" s="7"/>
      <c r="E405" s="7"/>
      <c r="F405" s="7"/>
      <c r="G405" s="7"/>
      <c r="H405" s="7"/>
      <c r="I405" s="7"/>
      <c r="J405" s="7"/>
      <c r="K405" s="7"/>
      <c r="L405" s="7"/>
      <c r="M405" s="7"/>
      <c r="N405" s="7"/>
      <c r="O405" s="7"/>
      <c r="P405" s="7"/>
      <c r="Q405" s="7"/>
      <c r="R405" s="7"/>
      <c r="S405" s="7"/>
      <c r="T405" s="7"/>
      <c r="U405" s="7"/>
      <c r="W405" s="7"/>
    </row>
    <row r="406" spans="1:23" ht="15.75" customHeight="1">
      <c r="A406" s="8"/>
      <c r="B406" s="7"/>
      <c r="C406" s="33"/>
      <c r="D406" s="7"/>
      <c r="E406" s="7"/>
      <c r="F406" s="7"/>
      <c r="G406" s="7"/>
      <c r="H406" s="7"/>
      <c r="I406" s="7"/>
      <c r="J406" s="7"/>
      <c r="K406" s="7"/>
      <c r="L406" s="7"/>
      <c r="M406" s="7"/>
      <c r="N406" s="7"/>
      <c r="O406" s="7"/>
      <c r="P406" s="7"/>
      <c r="Q406" s="7"/>
      <c r="R406" s="7"/>
      <c r="S406" s="7"/>
      <c r="T406" s="7"/>
      <c r="U406" s="7"/>
      <c r="W406" s="7"/>
    </row>
    <row r="407" spans="1:23" ht="15.75" customHeight="1">
      <c r="A407" s="8"/>
      <c r="B407" s="7"/>
      <c r="C407" s="33"/>
      <c r="D407" s="7"/>
      <c r="E407" s="7"/>
      <c r="F407" s="7"/>
      <c r="G407" s="7"/>
      <c r="H407" s="7"/>
      <c r="I407" s="7"/>
      <c r="J407" s="7"/>
      <c r="K407" s="7"/>
      <c r="L407" s="7"/>
      <c r="M407" s="7"/>
      <c r="N407" s="7"/>
      <c r="O407" s="7"/>
      <c r="P407" s="7"/>
      <c r="Q407" s="7"/>
      <c r="R407" s="7"/>
      <c r="S407" s="7"/>
      <c r="T407" s="7"/>
      <c r="U407" s="7"/>
      <c r="W407" s="7"/>
    </row>
    <row r="408" spans="1:23" ht="15.75" customHeight="1">
      <c r="A408" s="8"/>
      <c r="B408" s="7"/>
      <c r="C408" s="33"/>
      <c r="D408" s="7"/>
      <c r="E408" s="7"/>
      <c r="F408" s="7"/>
      <c r="G408" s="7"/>
      <c r="H408" s="7"/>
      <c r="I408" s="7"/>
      <c r="J408" s="7"/>
      <c r="K408" s="7"/>
      <c r="L408" s="7"/>
      <c r="M408" s="7"/>
      <c r="N408" s="7"/>
      <c r="O408" s="7"/>
      <c r="P408" s="7"/>
      <c r="Q408" s="7"/>
      <c r="R408" s="7"/>
      <c r="S408" s="7"/>
      <c r="T408" s="7"/>
      <c r="U408" s="7"/>
      <c r="W408" s="7"/>
    </row>
    <row r="409" spans="1:23" ht="15.75" customHeight="1">
      <c r="A409" s="8"/>
      <c r="B409" s="7"/>
      <c r="C409" s="33"/>
      <c r="D409" s="7"/>
      <c r="E409" s="7"/>
      <c r="F409" s="7"/>
      <c r="G409" s="7"/>
      <c r="H409" s="7"/>
      <c r="I409" s="7"/>
      <c r="J409" s="7"/>
      <c r="K409" s="7"/>
      <c r="L409" s="7"/>
      <c r="M409" s="7"/>
      <c r="N409" s="7"/>
      <c r="O409" s="7"/>
      <c r="P409" s="7"/>
      <c r="Q409" s="7"/>
      <c r="R409" s="7"/>
      <c r="S409" s="7"/>
      <c r="T409" s="7"/>
      <c r="U409" s="7"/>
      <c r="W409" s="7"/>
    </row>
    <row r="410" spans="1:23" ht="15.75" customHeight="1">
      <c r="A410" s="8"/>
      <c r="B410" s="7"/>
      <c r="C410" s="33"/>
      <c r="D410" s="7"/>
      <c r="E410" s="7"/>
      <c r="F410" s="7"/>
      <c r="G410" s="7"/>
      <c r="H410" s="7"/>
      <c r="I410" s="7"/>
      <c r="J410" s="7"/>
      <c r="K410" s="7"/>
      <c r="L410" s="7"/>
      <c r="M410" s="7"/>
      <c r="N410" s="7"/>
      <c r="O410" s="7"/>
      <c r="P410" s="7"/>
      <c r="Q410" s="7"/>
      <c r="R410" s="7"/>
      <c r="S410" s="7"/>
      <c r="T410" s="7"/>
      <c r="U410" s="7"/>
      <c r="W410" s="7"/>
    </row>
    <row r="411" spans="1:23" ht="15.75" customHeight="1">
      <c r="A411" s="8"/>
      <c r="B411" s="7"/>
      <c r="C411" s="33"/>
      <c r="D411" s="7"/>
      <c r="E411" s="7"/>
      <c r="F411" s="7"/>
      <c r="G411" s="7"/>
      <c r="H411" s="7"/>
      <c r="I411" s="7"/>
      <c r="J411" s="7"/>
      <c r="K411" s="7"/>
      <c r="L411" s="7"/>
      <c r="M411" s="7"/>
      <c r="N411" s="7"/>
      <c r="O411" s="7"/>
      <c r="P411" s="7"/>
      <c r="Q411" s="7"/>
      <c r="R411" s="7"/>
      <c r="S411" s="7"/>
      <c r="T411" s="7"/>
      <c r="U411" s="7"/>
      <c r="W411" s="7"/>
    </row>
    <row r="412" spans="1:23" ht="15.75" customHeight="1">
      <c r="A412" s="8"/>
      <c r="B412" s="7"/>
      <c r="C412" s="33"/>
      <c r="D412" s="7"/>
      <c r="E412" s="7"/>
      <c r="F412" s="7"/>
      <c r="G412" s="7"/>
      <c r="H412" s="7"/>
      <c r="I412" s="7"/>
      <c r="J412" s="7"/>
      <c r="K412" s="7"/>
      <c r="L412" s="7"/>
      <c r="M412" s="7"/>
      <c r="N412" s="7"/>
      <c r="O412" s="7"/>
      <c r="P412" s="7"/>
      <c r="Q412" s="7"/>
      <c r="R412" s="7"/>
      <c r="S412" s="7"/>
      <c r="T412" s="7"/>
      <c r="U412" s="7"/>
      <c r="W412" s="7"/>
    </row>
    <row r="413" spans="1:23" ht="15.75" customHeight="1">
      <c r="A413" s="8"/>
      <c r="B413" s="7"/>
      <c r="C413" s="33"/>
      <c r="D413" s="7"/>
      <c r="E413" s="7"/>
      <c r="F413" s="7"/>
      <c r="G413" s="7"/>
      <c r="H413" s="7"/>
      <c r="I413" s="7"/>
      <c r="J413" s="7"/>
      <c r="K413" s="7"/>
      <c r="L413" s="7"/>
      <c r="M413" s="7"/>
      <c r="N413" s="7"/>
      <c r="O413" s="7"/>
      <c r="P413" s="7"/>
      <c r="Q413" s="7"/>
      <c r="R413" s="7"/>
      <c r="S413" s="7"/>
      <c r="T413" s="7"/>
      <c r="U413" s="7"/>
      <c r="W413" s="7"/>
    </row>
    <row r="414" spans="1:23" ht="15.75" customHeight="1">
      <c r="A414" s="8"/>
      <c r="B414" s="7"/>
      <c r="C414" s="33"/>
      <c r="D414" s="7"/>
      <c r="E414" s="7"/>
      <c r="F414" s="7"/>
      <c r="G414" s="7"/>
      <c r="H414" s="7"/>
      <c r="I414" s="7"/>
      <c r="J414" s="7"/>
      <c r="K414" s="7"/>
      <c r="L414" s="7"/>
      <c r="M414" s="7"/>
      <c r="N414" s="7"/>
      <c r="O414" s="7"/>
      <c r="P414" s="7"/>
      <c r="Q414" s="7"/>
      <c r="R414" s="7"/>
      <c r="S414" s="7"/>
      <c r="T414" s="7"/>
      <c r="U414" s="7"/>
      <c r="W414" s="7"/>
    </row>
    <row r="415" spans="1:23" ht="15.75" customHeight="1">
      <c r="A415" s="8"/>
      <c r="B415" s="7"/>
      <c r="C415" s="33"/>
      <c r="D415" s="7"/>
      <c r="E415" s="7"/>
      <c r="F415" s="7"/>
      <c r="G415" s="7"/>
      <c r="H415" s="7"/>
      <c r="I415" s="7"/>
      <c r="J415" s="7"/>
      <c r="K415" s="7"/>
      <c r="L415" s="7"/>
      <c r="M415" s="7"/>
      <c r="N415" s="7"/>
      <c r="O415" s="7"/>
      <c r="P415" s="7"/>
      <c r="Q415" s="7"/>
      <c r="R415" s="7"/>
      <c r="S415" s="7"/>
      <c r="T415" s="7"/>
      <c r="U415" s="7"/>
      <c r="W415" s="7"/>
    </row>
    <row r="416" spans="1:23" ht="15.75" customHeight="1">
      <c r="A416" s="8"/>
      <c r="B416" s="7"/>
      <c r="C416" s="33"/>
      <c r="D416" s="7"/>
      <c r="E416" s="7"/>
      <c r="F416" s="7"/>
      <c r="G416" s="7"/>
      <c r="H416" s="7"/>
      <c r="I416" s="7"/>
      <c r="J416" s="7"/>
      <c r="K416" s="7"/>
      <c r="L416" s="7"/>
      <c r="M416" s="7"/>
      <c r="N416" s="7"/>
      <c r="O416" s="7"/>
      <c r="P416" s="7"/>
      <c r="Q416" s="7"/>
      <c r="R416" s="7"/>
      <c r="S416" s="7"/>
      <c r="T416" s="7"/>
      <c r="U416" s="7"/>
      <c r="W416" s="7"/>
    </row>
    <row r="417" spans="1:23" ht="15.75" customHeight="1">
      <c r="A417" s="8"/>
      <c r="B417" s="7"/>
      <c r="C417" s="33"/>
      <c r="D417" s="7"/>
      <c r="E417" s="7"/>
      <c r="F417" s="7"/>
      <c r="G417" s="7"/>
      <c r="H417" s="7"/>
      <c r="I417" s="7"/>
      <c r="J417" s="7"/>
      <c r="K417" s="7"/>
      <c r="L417" s="7"/>
      <c r="M417" s="7"/>
      <c r="N417" s="7"/>
      <c r="O417" s="7"/>
      <c r="P417" s="7"/>
      <c r="Q417" s="7"/>
      <c r="R417" s="7"/>
      <c r="S417" s="7"/>
      <c r="T417" s="7"/>
      <c r="U417" s="7"/>
      <c r="W417" s="7"/>
    </row>
    <row r="418" spans="1:23" ht="15.75" customHeight="1">
      <c r="A418" s="8"/>
      <c r="B418" s="7"/>
      <c r="C418" s="33"/>
      <c r="D418" s="7"/>
      <c r="E418" s="7"/>
      <c r="F418" s="7"/>
      <c r="G418" s="7"/>
      <c r="H418" s="7"/>
      <c r="I418" s="7"/>
      <c r="J418" s="7"/>
      <c r="K418" s="7"/>
      <c r="L418" s="7"/>
      <c r="M418" s="7"/>
      <c r="N418" s="7"/>
      <c r="O418" s="7"/>
      <c r="P418" s="7"/>
      <c r="Q418" s="7"/>
      <c r="R418" s="7"/>
      <c r="S418" s="7"/>
      <c r="T418" s="7"/>
      <c r="U418" s="7"/>
      <c r="W418" s="7"/>
    </row>
    <row r="419" spans="1:23" ht="15.75" customHeight="1">
      <c r="A419" s="8"/>
      <c r="B419" s="7"/>
      <c r="C419" s="33"/>
      <c r="D419" s="7"/>
      <c r="E419" s="7"/>
      <c r="F419" s="7"/>
      <c r="G419" s="7"/>
      <c r="H419" s="7"/>
      <c r="I419" s="7"/>
      <c r="J419" s="7"/>
      <c r="K419" s="7"/>
      <c r="L419" s="7"/>
      <c r="M419" s="7"/>
      <c r="N419" s="7"/>
      <c r="O419" s="7"/>
      <c r="P419" s="7"/>
      <c r="Q419" s="7"/>
      <c r="R419" s="7"/>
      <c r="S419" s="7"/>
      <c r="T419" s="7"/>
      <c r="U419" s="7"/>
      <c r="W419" s="7"/>
    </row>
    <row r="420" spans="1:23" ht="15.75" customHeight="1">
      <c r="A420" s="8"/>
      <c r="B420" s="7"/>
      <c r="C420" s="33"/>
      <c r="D420" s="7"/>
      <c r="E420" s="7"/>
      <c r="F420" s="7"/>
      <c r="G420" s="7"/>
      <c r="H420" s="7"/>
      <c r="I420" s="7"/>
      <c r="J420" s="7"/>
      <c r="K420" s="7"/>
      <c r="L420" s="7"/>
      <c r="M420" s="7"/>
      <c r="N420" s="7"/>
      <c r="O420" s="7"/>
      <c r="P420" s="7"/>
      <c r="Q420" s="7"/>
      <c r="R420" s="7"/>
      <c r="S420" s="7"/>
      <c r="T420" s="7"/>
      <c r="U420" s="7"/>
      <c r="W420" s="7"/>
    </row>
    <row r="421" spans="1:23" ht="15.75" customHeight="1">
      <c r="A421" s="8"/>
      <c r="B421" s="7"/>
      <c r="C421" s="33"/>
      <c r="D421" s="7"/>
      <c r="E421" s="7"/>
      <c r="F421" s="7"/>
      <c r="G421" s="7"/>
      <c r="H421" s="7"/>
      <c r="I421" s="7"/>
      <c r="J421" s="7"/>
      <c r="K421" s="7"/>
      <c r="L421" s="7"/>
      <c r="M421" s="7"/>
      <c r="N421" s="7"/>
      <c r="O421" s="7"/>
      <c r="P421" s="7"/>
      <c r="Q421" s="7"/>
      <c r="R421" s="7"/>
      <c r="S421" s="7"/>
      <c r="T421" s="7"/>
      <c r="U421" s="7"/>
      <c r="W421" s="7"/>
    </row>
    <row r="422" spans="1:23" ht="15.75" customHeight="1">
      <c r="A422" s="8"/>
      <c r="B422" s="7"/>
      <c r="C422" s="33"/>
      <c r="D422" s="7"/>
      <c r="E422" s="7"/>
      <c r="F422" s="7"/>
      <c r="G422" s="7"/>
      <c r="H422" s="7"/>
      <c r="I422" s="7"/>
      <c r="J422" s="7"/>
      <c r="K422" s="7"/>
      <c r="L422" s="7"/>
      <c r="M422" s="7"/>
      <c r="N422" s="7"/>
      <c r="O422" s="7"/>
      <c r="P422" s="7"/>
      <c r="Q422" s="7"/>
      <c r="R422" s="7"/>
      <c r="S422" s="7"/>
      <c r="T422" s="7"/>
      <c r="U422" s="7"/>
      <c r="W422" s="7"/>
    </row>
    <row r="423" spans="1:23" ht="15.75" customHeight="1">
      <c r="A423" s="8"/>
      <c r="B423" s="7"/>
      <c r="C423" s="33"/>
      <c r="D423" s="7"/>
      <c r="E423" s="7"/>
      <c r="F423" s="7"/>
      <c r="G423" s="7"/>
      <c r="H423" s="7"/>
      <c r="I423" s="7"/>
      <c r="J423" s="7"/>
      <c r="K423" s="7"/>
      <c r="L423" s="7"/>
      <c r="M423" s="7"/>
      <c r="N423" s="7"/>
      <c r="O423" s="7"/>
      <c r="P423" s="7"/>
      <c r="Q423" s="7"/>
      <c r="R423" s="7"/>
      <c r="S423" s="7"/>
      <c r="T423" s="7"/>
      <c r="U423" s="7"/>
      <c r="W423" s="7"/>
    </row>
    <row r="424" spans="1:23" ht="15.75" customHeight="1">
      <c r="A424" s="8"/>
      <c r="B424" s="7"/>
      <c r="C424" s="33"/>
      <c r="D424" s="7"/>
      <c r="E424" s="7"/>
      <c r="F424" s="7"/>
      <c r="G424" s="7"/>
      <c r="H424" s="7"/>
      <c r="I424" s="7"/>
      <c r="J424" s="7"/>
      <c r="K424" s="7"/>
      <c r="L424" s="7"/>
      <c r="M424" s="7"/>
      <c r="N424" s="7"/>
      <c r="O424" s="7"/>
      <c r="P424" s="7"/>
      <c r="Q424" s="7"/>
      <c r="R424" s="7"/>
      <c r="S424" s="7"/>
      <c r="T424" s="7"/>
      <c r="U424" s="7"/>
      <c r="W424" s="7"/>
    </row>
    <row r="425" spans="1:23" ht="15.75" customHeight="1">
      <c r="A425" s="8"/>
      <c r="B425" s="7"/>
      <c r="C425" s="33"/>
      <c r="D425" s="7"/>
      <c r="E425" s="7"/>
      <c r="F425" s="7"/>
      <c r="G425" s="7"/>
      <c r="H425" s="7"/>
      <c r="I425" s="7"/>
      <c r="J425" s="7"/>
      <c r="K425" s="7"/>
      <c r="L425" s="7"/>
      <c r="M425" s="7"/>
      <c r="N425" s="7"/>
      <c r="O425" s="7"/>
      <c r="P425" s="7"/>
      <c r="Q425" s="7"/>
      <c r="R425" s="7"/>
      <c r="S425" s="7"/>
      <c r="T425" s="7"/>
      <c r="U425" s="7"/>
      <c r="W425" s="7"/>
    </row>
    <row r="426" spans="1:23" ht="15.75" customHeight="1">
      <c r="A426" s="8"/>
      <c r="B426" s="7"/>
      <c r="C426" s="33"/>
      <c r="D426" s="7"/>
      <c r="E426" s="7"/>
      <c r="F426" s="7"/>
      <c r="G426" s="7"/>
      <c r="H426" s="7"/>
      <c r="I426" s="7"/>
      <c r="J426" s="7"/>
      <c r="K426" s="7"/>
      <c r="L426" s="7"/>
      <c r="M426" s="7"/>
      <c r="N426" s="7"/>
      <c r="O426" s="7"/>
      <c r="P426" s="7"/>
      <c r="Q426" s="7"/>
      <c r="R426" s="7"/>
      <c r="S426" s="7"/>
      <c r="T426" s="7"/>
      <c r="U426" s="7"/>
      <c r="W426" s="7"/>
    </row>
    <row r="427" spans="1:23" ht="15.75" customHeight="1">
      <c r="A427" s="8"/>
      <c r="B427" s="7"/>
      <c r="C427" s="33"/>
      <c r="D427" s="7"/>
      <c r="E427" s="7"/>
      <c r="F427" s="7"/>
      <c r="G427" s="7"/>
      <c r="H427" s="7"/>
      <c r="I427" s="7"/>
      <c r="J427" s="7"/>
      <c r="K427" s="7"/>
      <c r="L427" s="7"/>
      <c r="M427" s="7"/>
      <c r="N427" s="7"/>
      <c r="O427" s="7"/>
      <c r="P427" s="7"/>
      <c r="Q427" s="7"/>
      <c r="R427" s="7"/>
      <c r="S427" s="7"/>
      <c r="T427" s="7"/>
      <c r="U427" s="7"/>
      <c r="W427" s="7"/>
    </row>
    <row r="428" spans="1:23" ht="15.75" customHeight="1">
      <c r="A428" s="8"/>
      <c r="B428" s="7"/>
      <c r="C428" s="33"/>
      <c r="D428" s="7"/>
      <c r="E428" s="7"/>
      <c r="F428" s="7"/>
      <c r="G428" s="7"/>
      <c r="H428" s="7"/>
      <c r="I428" s="7"/>
      <c r="J428" s="7"/>
      <c r="K428" s="7"/>
      <c r="L428" s="7"/>
      <c r="M428" s="7"/>
      <c r="N428" s="7"/>
      <c r="O428" s="7"/>
      <c r="P428" s="7"/>
      <c r="Q428" s="7"/>
      <c r="R428" s="7"/>
      <c r="S428" s="7"/>
      <c r="T428" s="7"/>
      <c r="U428" s="7"/>
      <c r="W428" s="7"/>
    </row>
    <row r="429" spans="1:23" ht="15.75" customHeight="1">
      <c r="A429" s="8"/>
      <c r="B429" s="7"/>
      <c r="C429" s="33"/>
      <c r="D429" s="7"/>
      <c r="E429" s="7"/>
      <c r="F429" s="7"/>
      <c r="G429" s="7"/>
      <c r="H429" s="7"/>
      <c r="I429" s="7"/>
      <c r="J429" s="7"/>
      <c r="K429" s="7"/>
      <c r="L429" s="7"/>
      <c r="M429" s="7"/>
      <c r="N429" s="7"/>
      <c r="O429" s="7"/>
      <c r="P429" s="7"/>
      <c r="Q429" s="7"/>
      <c r="R429" s="7"/>
      <c r="S429" s="7"/>
      <c r="T429" s="7"/>
      <c r="U429" s="7"/>
      <c r="W429" s="7"/>
    </row>
    <row r="430" spans="1:23" ht="15.75" customHeight="1">
      <c r="A430" s="8"/>
      <c r="B430" s="7"/>
      <c r="C430" s="33"/>
      <c r="D430" s="7"/>
      <c r="E430" s="7"/>
      <c r="F430" s="7"/>
      <c r="G430" s="7"/>
      <c r="H430" s="7"/>
      <c r="I430" s="7"/>
      <c r="J430" s="7"/>
      <c r="K430" s="7"/>
      <c r="L430" s="7"/>
      <c r="M430" s="7"/>
      <c r="N430" s="7"/>
      <c r="O430" s="7"/>
      <c r="P430" s="7"/>
      <c r="Q430" s="7"/>
      <c r="R430" s="7"/>
      <c r="S430" s="7"/>
      <c r="T430" s="7"/>
      <c r="U430" s="7"/>
      <c r="W430" s="7"/>
    </row>
    <row r="431" spans="1:23" ht="15.75" customHeight="1">
      <c r="A431" s="8"/>
      <c r="B431" s="7"/>
      <c r="C431" s="33"/>
      <c r="D431" s="7"/>
      <c r="E431" s="7"/>
      <c r="F431" s="7"/>
      <c r="G431" s="7"/>
      <c r="H431" s="7"/>
      <c r="I431" s="7"/>
      <c r="J431" s="7"/>
      <c r="K431" s="7"/>
      <c r="L431" s="7"/>
      <c r="M431" s="7"/>
      <c r="N431" s="7"/>
      <c r="O431" s="7"/>
      <c r="P431" s="7"/>
      <c r="Q431" s="7"/>
      <c r="R431" s="7"/>
      <c r="S431" s="7"/>
      <c r="T431" s="7"/>
      <c r="U431" s="7"/>
      <c r="W431" s="7"/>
    </row>
    <row r="432" spans="1:23" ht="15.75" customHeight="1">
      <c r="A432" s="8"/>
      <c r="B432" s="7"/>
      <c r="C432" s="33"/>
      <c r="D432" s="7"/>
      <c r="E432" s="7"/>
      <c r="F432" s="7"/>
      <c r="G432" s="7"/>
      <c r="H432" s="7"/>
      <c r="I432" s="7"/>
      <c r="J432" s="7"/>
      <c r="K432" s="7"/>
      <c r="L432" s="7"/>
      <c r="M432" s="7"/>
      <c r="N432" s="7"/>
      <c r="O432" s="7"/>
      <c r="P432" s="7"/>
      <c r="Q432" s="7"/>
      <c r="R432" s="7"/>
      <c r="S432" s="7"/>
      <c r="T432" s="7"/>
      <c r="U432" s="7"/>
      <c r="W432" s="7"/>
    </row>
    <row r="433" spans="1:23" ht="15.75" customHeight="1">
      <c r="A433" s="8"/>
      <c r="B433" s="7"/>
      <c r="C433" s="33"/>
      <c r="D433" s="7"/>
      <c r="E433" s="7"/>
      <c r="F433" s="7"/>
      <c r="G433" s="7"/>
      <c r="H433" s="7"/>
      <c r="I433" s="7"/>
      <c r="J433" s="7"/>
      <c r="K433" s="7"/>
      <c r="L433" s="7"/>
      <c r="M433" s="7"/>
      <c r="N433" s="7"/>
      <c r="O433" s="7"/>
      <c r="P433" s="7"/>
      <c r="Q433" s="7"/>
      <c r="R433" s="7"/>
      <c r="S433" s="7"/>
      <c r="T433" s="7"/>
      <c r="U433" s="7"/>
      <c r="W433" s="7"/>
    </row>
    <row r="434" spans="1:23" ht="15.75" customHeight="1">
      <c r="A434" s="8"/>
      <c r="B434" s="7"/>
      <c r="C434" s="33"/>
      <c r="D434" s="7"/>
      <c r="E434" s="7"/>
      <c r="F434" s="7"/>
      <c r="G434" s="7"/>
      <c r="H434" s="7"/>
      <c r="I434" s="7"/>
      <c r="J434" s="7"/>
      <c r="K434" s="7"/>
      <c r="L434" s="7"/>
      <c r="M434" s="7"/>
      <c r="N434" s="7"/>
      <c r="O434" s="7"/>
      <c r="P434" s="7"/>
      <c r="Q434" s="7"/>
      <c r="R434" s="7"/>
      <c r="S434" s="7"/>
      <c r="T434" s="7"/>
      <c r="U434" s="7"/>
      <c r="W434" s="7"/>
    </row>
    <row r="435" spans="1:23" ht="15.75" customHeight="1">
      <c r="A435" s="8"/>
      <c r="B435" s="7"/>
      <c r="C435" s="33"/>
      <c r="D435" s="7"/>
      <c r="E435" s="7"/>
      <c r="F435" s="7"/>
      <c r="G435" s="7"/>
      <c r="H435" s="7"/>
      <c r="I435" s="7"/>
      <c r="J435" s="7"/>
      <c r="K435" s="7"/>
      <c r="L435" s="7"/>
      <c r="M435" s="7"/>
      <c r="N435" s="7"/>
      <c r="O435" s="7"/>
      <c r="P435" s="7"/>
      <c r="Q435" s="7"/>
      <c r="R435" s="7"/>
      <c r="S435" s="7"/>
      <c r="T435" s="7"/>
      <c r="U435" s="7"/>
      <c r="W435" s="7"/>
    </row>
    <row r="436" spans="1:23" ht="15.75" customHeight="1">
      <c r="A436" s="8"/>
      <c r="B436" s="7"/>
      <c r="C436" s="33"/>
      <c r="D436" s="7"/>
      <c r="E436" s="7"/>
      <c r="F436" s="7"/>
      <c r="G436" s="7"/>
      <c r="H436" s="7"/>
      <c r="I436" s="7"/>
      <c r="J436" s="7"/>
      <c r="K436" s="7"/>
      <c r="L436" s="7"/>
      <c r="M436" s="7"/>
      <c r="N436" s="7"/>
      <c r="O436" s="7"/>
      <c r="P436" s="7"/>
      <c r="Q436" s="7"/>
      <c r="R436" s="7"/>
      <c r="S436" s="7"/>
      <c r="T436" s="7"/>
      <c r="U436" s="7"/>
      <c r="W436" s="7"/>
    </row>
    <row r="437" spans="1:23" ht="15.75" customHeight="1">
      <c r="A437" s="8"/>
      <c r="B437" s="7"/>
      <c r="C437" s="33"/>
      <c r="D437" s="7"/>
      <c r="E437" s="7"/>
      <c r="F437" s="7"/>
      <c r="G437" s="7"/>
      <c r="H437" s="7"/>
      <c r="I437" s="7"/>
      <c r="J437" s="7"/>
      <c r="K437" s="7"/>
      <c r="L437" s="7"/>
      <c r="M437" s="7"/>
      <c r="N437" s="7"/>
      <c r="O437" s="7"/>
      <c r="P437" s="7"/>
      <c r="Q437" s="7"/>
      <c r="R437" s="7"/>
      <c r="S437" s="7"/>
      <c r="T437" s="7"/>
      <c r="U437" s="7"/>
      <c r="W437" s="7"/>
    </row>
    <row r="438" spans="1:23" ht="15.75" customHeight="1">
      <c r="A438" s="8"/>
      <c r="B438" s="7"/>
      <c r="C438" s="33"/>
      <c r="D438" s="7"/>
      <c r="E438" s="7"/>
      <c r="F438" s="7"/>
      <c r="G438" s="7"/>
      <c r="H438" s="7"/>
      <c r="I438" s="7"/>
      <c r="J438" s="7"/>
      <c r="K438" s="7"/>
      <c r="L438" s="7"/>
      <c r="M438" s="7"/>
      <c r="N438" s="7"/>
      <c r="O438" s="7"/>
      <c r="P438" s="7"/>
      <c r="Q438" s="7"/>
      <c r="R438" s="7"/>
      <c r="S438" s="7"/>
      <c r="T438" s="7"/>
      <c r="U438" s="7"/>
      <c r="W438" s="7"/>
    </row>
    <row r="439" spans="1:23" ht="15.75" customHeight="1">
      <c r="A439" s="8"/>
      <c r="B439" s="7"/>
      <c r="C439" s="33"/>
      <c r="D439" s="7"/>
      <c r="E439" s="7"/>
      <c r="F439" s="7"/>
      <c r="G439" s="7"/>
      <c r="H439" s="7"/>
      <c r="I439" s="7"/>
      <c r="J439" s="7"/>
      <c r="K439" s="7"/>
      <c r="L439" s="7"/>
      <c r="M439" s="7"/>
      <c r="N439" s="7"/>
      <c r="O439" s="7"/>
      <c r="P439" s="7"/>
      <c r="Q439" s="7"/>
      <c r="R439" s="7"/>
      <c r="S439" s="7"/>
      <c r="T439" s="7"/>
      <c r="U439" s="7"/>
      <c r="W439" s="7"/>
    </row>
    <row r="440" spans="1:23" ht="15.75" customHeight="1">
      <c r="A440" s="8"/>
      <c r="B440" s="7"/>
      <c r="C440" s="33"/>
      <c r="D440" s="7"/>
      <c r="E440" s="7"/>
      <c r="F440" s="7"/>
      <c r="G440" s="7"/>
      <c r="H440" s="7"/>
      <c r="I440" s="7"/>
      <c r="J440" s="7"/>
      <c r="K440" s="7"/>
      <c r="L440" s="7"/>
      <c r="M440" s="7"/>
      <c r="N440" s="7"/>
      <c r="O440" s="7"/>
      <c r="P440" s="7"/>
      <c r="Q440" s="7"/>
      <c r="R440" s="7"/>
      <c r="S440" s="7"/>
      <c r="T440" s="7"/>
      <c r="U440" s="7"/>
      <c r="W440" s="7"/>
    </row>
    <row r="441" spans="1:23" ht="15.75" customHeight="1">
      <c r="A441" s="8"/>
      <c r="B441" s="7"/>
      <c r="C441" s="33"/>
      <c r="D441" s="7"/>
      <c r="E441" s="7"/>
      <c r="F441" s="7"/>
      <c r="G441" s="7"/>
      <c r="H441" s="7"/>
      <c r="I441" s="7"/>
      <c r="J441" s="7"/>
      <c r="K441" s="7"/>
      <c r="L441" s="7"/>
      <c r="M441" s="7"/>
      <c r="N441" s="7"/>
      <c r="O441" s="7"/>
      <c r="P441" s="7"/>
      <c r="Q441" s="7"/>
      <c r="R441" s="7"/>
      <c r="S441" s="7"/>
      <c r="T441" s="7"/>
      <c r="U441" s="7"/>
      <c r="W441" s="7"/>
    </row>
    <row r="442" spans="1:23" ht="15.75" customHeight="1">
      <c r="A442" s="8"/>
      <c r="B442" s="7"/>
      <c r="C442" s="33"/>
      <c r="D442" s="7"/>
      <c r="E442" s="7"/>
      <c r="F442" s="7"/>
      <c r="G442" s="7"/>
      <c r="H442" s="7"/>
      <c r="I442" s="7"/>
      <c r="J442" s="7"/>
      <c r="K442" s="7"/>
      <c r="L442" s="7"/>
      <c r="M442" s="7"/>
      <c r="N442" s="7"/>
      <c r="O442" s="7"/>
      <c r="P442" s="7"/>
      <c r="Q442" s="7"/>
      <c r="R442" s="7"/>
      <c r="S442" s="7"/>
      <c r="T442" s="7"/>
      <c r="U442" s="7"/>
      <c r="W442" s="7"/>
    </row>
    <row r="443" spans="1:23" ht="15.75" customHeight="1">
      <c r="A443" s="8"/>
      <c r="B443" s="7"/>
      <c r="C443" s="33"/>
      <c r="D443" s="7"/>
      <c r="E443" s="7"/>
      <c r="F443" s="7"/>
      <c r="G443" s="7"/>
      <c r="H443" s="7"/>
      <c r="I443" s="7"/>
      <c r="J443" s="7"/>
      <c r="K443" s="7"/>
      <c r="L443" s="7"/>
      <c r="M443" s="7"/>
      <c r="N443" s="7"/>
      <c r="O443" s="7"/>
      <c r="P443" s="7"/>
      <c r="Q443" s="7"/>
      <c r="R443" s="7"/>
      <c r="S443" s="7"/>
      <c r="T443" s="7"/>
      <c r="U443" s="7"/>
      <c r="W443" s="7"/>
    </row>
    <row r="444" spans="1:23" ht="15.75" customHeight="1">
      <c r="A444" s="8"/>
      <c r="B444" s="7"/>
      <c r="C444" s="33"/>
      <c r="D444" s="7"/>
      <c r="E444" s="7"/>
      <c r="F444" s="7"/>
      <c r="G444" s="7"/>
      <c r="H444" s="7"/>
      <c r="I444" s="7"/>
      <c r="J444" s="7"/>
      <c r="K444" s="7"/>
      <c r="L444" s="7"/>
      <c r="M444" s="7"/>
      <c r="N444" s="7"/>
      <c r="O444" s="7"/>
      <c r="P444" s="7"/>
      <c r="Q444" s="7"/>
      <c r="R444" s="7"/>
      <c r="S444" s="7"/>
      <c r="T444" s="7"/>
      <c r="U444" s="7"/>
      <c r="W444" s="7"/>
    </row>
    <row r="445" spans="1:23" ht="15.75" customHeight="1">
      <c r="A445" s="8"/>
      <c r="B445" s="7"/>
      <c r="C445" s="33"/>
      <c r="D445" s="7"/>
      <c r="E445" s="7"/>
      <c r="F445" s="7"/>
      <c r="G445" s="7"/>
      <c r="H445" s="7"/>
      <c r="I445" s="7"/>
      <c r="J445" s="7"/>
      <c r="K445" s="7"/>
      <c r="L445" s="7"/>
      <c r="M445" s="7"/>
      <c r="N445" s="7"/>
      <c r="O445" s="7"/>
      <c r="P445" s="7"/>
      <c r="Q445" s="7"/>
      <c r="R445" s="7"/>
      <c r="S445" s="7"/>
      <c r="T445" s="7"/>
      <c r="U445" s="7"/>
      <c r="W445" s="7"/>
    </row>
    <row r="446" spans="1:23" ht="15.75" customHeight="1">
      <c r="A446" s="8"/>
      <c r="B446" s="7"/>
      <c r="C446" s="33"/>
      <c r="D446" s="7"/>
      <c r="E446" s="7"/>
      <c r="F446" s="7"/>
      <c r="G446" s="7"/>
      <c r="H446" s="7"/>
      <c r="I446" s="7"/>
      <c r="J446" s="7"/>
      <c r="K446" s="7"/>
      <c r="L446" s="7"/>
      <c r="M446" s="7"/>
      <c r="N446" s="7"/>
      <c r="O446" s="7"/>
      <c r="P446" s="7"/>
      <c r="Q446" s="7"/>
      <c r="R446" s="7"/>
      <c r="S446" s="7"/>
      <c r="T446" s="7"/>
      <c r="U446" s="7"/>
      <c r="W446" s="7"/>
    </row>
    <row r="447" spans="1:23" ht="15.75" customHeight="1">
      <c r="A447" s="8"/>
      <c r="B447" s="7"/>
      <c r="C447" s="33"/>
      <c r="D447" s="7"/>
      <c r="E447" s="7"/>
      <c r="F447" s="7"/>
      <c r="G447" s="7"/>
      <c r="H447" s="7"/>
      <c r="I447" s="7"/>
      <c r="J447" s="7"/>
      <c r="K447" s="7"/>
      <c r="L447" s="7"/>
      <c r="M447" s="7"/>
      <c r="N447" s="7"/>
      <c r="O447" s="7"/>
      <c r="P447" s="7"/>
      <c r="Q447" s="7"/>
      <c r="R447" s="7"/>
      <c r="S447" s="7"/>
      <c r="T447" s="7"/>
      <c r="U447" s="7"/>
      <c r="W447" s="7"/>
    </row>
    <row r="448" spans="1:23" ht="15.75" customHeight="1">
      <c r="A448" s="8"/>
      <c r="B448" s="7"/>
      <c r="C448" s="33"/>
      <c r="D448" s="7"/>
      <c r="E448" s="7"/>
      <c r="F448" s="7"/>
      <c r="G448" s="7"/>
      <c r="H448" s="7"/>
      <c r="I448" s="7"/>
      <c r="J448" s="7"/>
      <c r="K448" s="7"/>
      <c r="L448" s="7"/>
      <c r="M448" s="7"/>
      <c r="N448" s="7"/>
      <c r="O448" s="7"/>
      <c r="P448" s="7"/>
      <c r="Q448" s="7"/>
      <c r="R448" s="7"/>
      <c r="S448" s="7"/>
      <c r="T448" s="7"/>
      <c r="U448" s="7"/>
      <c r="W448" s="7"/>
    </row>
    <row r="449" spans="1:23" ht="15.75" customHeight="1">
      <c r="A449" s="8"/>
      <c r="B449" s="7"/>
      <c r="C449" s="33"/>
      <c r="D449" s="7"/>
      <c r="E449" s="7"/>
      <c r="F449" s="7"/>
      <c r="G449" s="7"/>
      <c r="H449" s="7"/>
      <c r="I449" s="7"/>
      <c r="J449" s="7"/>
      <c r="K449" s="7"/>
      <c r="L449" s="7"/>
      <c r="M449" s="7"/>
      <c r="N449" s="7"/>
      <c r="O449" s="7"/>
      <c r="P449" s="7"/>
      <c r="Q449" s="7"/>
      <c r="R449" s="7"/>
      <c r="S449" s="7"/>
      <c r="T449" s="7"/>
      <c r="U449" s="7"/>
      <c r="W449" s="7"/>
    </row>
    <row r="450" spans="1:23" ht="15.75" customHeight="1">
      <c r="A450" s="8"/>
      <c r="B450" s="7"/>
      <c r="C450" s="33"/>
      <c r="D450" s="7"/>
      <c r="E450" s="7"/>
      <c r="F450" s="7"/>
      <c r="G450" s="7"/>
      <c r="H450" s="7"/>
      <c r="I450" s="7"/>
      <c r="J450" s="7"/>
      <c r="K450" s="7"/>
      <c r="L450" s="7"/>
      <c r="M450" s="7"/>
      <c r="N450" s="7"/>
      <c r="O450" s="7"/>
      <c r="P450" s="7"/>
      <c r="Q450" s="7"/>
      <c r="R450" s="7"/>
      <c r="S450" s="7"/>
      <c r="T450" s="7"/>
      <c r="U450" s="7"/>
      <c r="W450" s="7"/>
    </row>
    <row r="451" spans="1:23" ht="15.75" customHeight="1">
      <c r="A451" s="8"/>
      <c r="B451" s="7"/>
      <c r="C451" s="33"/>
      <c r="D451" s="7"/>
      <c r="E451" s="7"/>
      <c r="F451" s="7"/>
      <c r="G451" s="7"/>
      <c r="H451" s="7"/>
      <c r="I451" s="7"/>
      <c r="J451" s="7"/>
      <c r="K451" s="7"/>
      <c r="L451" s="7"/>
      <c r="M451" s="7"/>
      <c r="N451" s="7"/>
      <c r="O451" s="7"/>
      <c r="P451" s="7"/>
      <c r="Q451" s="7"/>
      <c r="R451" s="7"/>
      <c r="S451" s="7"/>
      <c r="T451" s="7"/>
      <c r="U451" s="7"/>
      <c r="W451" s="7"/>
    </row>
    <row r="452" spans="1:23" ht="15.75" customHeight="1">
      <c r="A452" s="8"/>
      <c r="B452" s="7"/>
      <c r="C452" s="33"/>
      <c r="D452" s="7"/>
      <c r="E452" s="7"/>
      <c r="F452" s="7"/>
      <c r="G452" s="7"/>
      <c r="H452" s="7"/>
      <c r="I452" s="7"/>
      <c r="J452" s="7"/>
      <c r="K452" s="7"/>
      <c r="L452" s="7"/>
      <c r="M452" s="7"/>
      <c r="N452" s="7"/>
      <c r="O452" s="7"/>
      <c r="P452" s="7"/>
      <c r="Q452" s="7"/>
      <c r="R452" s="7"/>
      <c r="S452" s="7"/>
      <c r="T452" s="7"/>
      <c r="U452" s="7"/>
      <c r="W452" s="7"/>
    </row>
    <row r="453" spans="1:23" ht="15.75" customHeight="1">
      <c r="A453" s="8"/>
      <c r="B453" s="7"/>
      <c r="C453" s="33"/>
      <c r="D453" s="7"/>
      <c r="E453" s="7"/>
      <c r="F453" s="7"/>
      <c r="G453" s="7"/>
      <c r="H453" s="7"/>
      <c r="I453" s="7"/>
      <c r="J453" s="7"/>
      <c r="K453" s="7"/>
      <c r="L453" s="7"/>
      <c r="M453" s="7"/>
      <c r="N453" s="7"/>
      <c r="O453" s="7"/>
      <c r="P453" s="7"/>
      <c r="Q453" s="7"/>
      <c r="R453" s="7"/>
      <c r="S453" s="7"/>
      <c r="T453" s="7"/>
      <c r="U453" s="7"/>
      <c r="W453" s="7"/>
    </row>
    <row r="454" spans="1:23" ht="15.75" customHeight="1">
      <c r="A454" s="8"/>
      <c r="B454" s="7"/>
      <c r="C454" s="33"/>
      <c r="D454" s="7"/>
      <c r="E454" s="7"/>
      <c r="F454" s="7"/>
      <c r="G454" s="7"/>
      <c r="H454" s="7"/>
      <c r="I454" s="7"/>
      <c r="J454" s="7"/>
      <c r="K454" s="7"/>
      <c r="L454" s="7"/>
      <c r="M454" s="7"/>
      <c r="N454" s="7"/>
      <c r="O454" s="7"/>
      <c r="P454" s="7"/>
      <c r="Q454" s="7"/>
      <c r="R454" s="7"/>
      <c r="S454" s="7"/>
      <c r="T454" s="7"/>
      <c r="U454" s="7"/>
      <c r="W454" s="7"/>
    </row>
    <row r="455" spans="1:23" ht="15.75" customHeight="1">
      <c r="A455" s="8"/>
      <c r="B455" s="7"/>
      <c r="C455" s="33"/>
      <c r="D455" s="7"/>
      <c r="E455" s="7"/>
      <c r="F455" s="7"/>
      <c r="G455" s="7"/>
      <c r="H455" s="7"/>
      <c r="I455" s="7"/>
      <c r="J455" s="7"/>
      <c r="K455" s="7"/>
      <c r="L455" s="7"/>
      <c r="M455" s="7"/>
      <c r="N455" s="7"/>
      <c r="O455" s="7"/>
      <c r="P455" s="7"/>
      <c r="Q455" s="7"/>
      <c r="R455" s="7"/>
      <c r="S455" s="7"/>
      <c r="T455" s="7"/>
      <c r="U455" s="7"/>
      <c r="W455" s="7"/>
    </row>
    <row r="456" spans="1:23" ht="15.75" customHeight="1">
      <c r="A456" s="8"/>
      <c r="B456" s="7"/>
      <c r="C456" s="33"/>
      <c r="D456" s="7"/>
      <c r="E456" s="7"/>
      <c r="F456" s="7"/>
      <c r="G456" s="7"/>
      <c r="H456" s="7"/>
      <c r="I456" s="7"/>
      <c r="J456" s="7"/>
      <c r="K456" s="7"/>
      <c r="L456" s="7"/>
      <c r="M456" s="7"/>
      <c r="N456" s="7"/>
      <c r="O456" s="7"/>
      <c r="P456" s="7"/>
      <c r="Q456" s="7"/>
      <c r="R456" s="7"/>
      <c r="S456" s="7"/>
      <c r="T456" s="7"/>
      <c r="U456" s="7"/>
      <c r="W456" s="7"/>
    </row>
    <row r="457" spans="1:23" ht="15.75" customHeight="1">
      <c r="A457" s="8"/>
      <c r="B457" s="7"/>
      <c r="C457" s="33"/>
      <c r="D457" s="7"/>
      <c r="E457" s="7"/>
      <c r="F457" s="7"/>
      <c r="G457" s="7"/>
      <c r="H457" s="7"/>
      <c r="I457" s="7"/>
      <c r="J457" s="7"/>
      <c r="K457" s="7"/>
      <c r="L457" s="7"/>
      <c r="M457" s="7"/>
      <c r="N457" s="7"/>
      <c r="O457" s="7"/>
      <c r="P457" s="7"/>
      <c r="Q457" s="7"/>
      <c r="R457" s="7"/>
      <c r="S457" s="7"/>
      <c r="T457" s="7"/>
      <c r="U457" s="7"/>
      <c r="W457" s="7"/>
    </row>
    <row r="458" spans="1:23" ht="15.75" customHeight="1">
      <c r="A458" s="8"/>
      <c r="B458" s="7"/>
      <c r="C458" s="33"/>
      <c r="D458" s="7"/>
      <c r="E458" s="7"/>
      <c r="F458" s="7"/>
      <c r="G458" s="7"/>
      <c r="H458" s="7"/>
      <c r="I458" s="7"/>
      <c r="J458" s="7"/>
      <c r="K458" s="7"/>
      <c r="L458" s="7"/>
      <c r="M458" s="7"/>
      <c r="N458" s="7"/>
      <c r="O458" s="7"/>
      <c r="P458" s="7"/>
      <c r="Q458" s="7"/>
      <c r="R458" s="7"/>
      <c r="S458" s="7"/>
      <c r="T458" s="7"/>
      <c r="U458" s="7"/>
      <c r="W458" s="7"/>
    </row>
    <row r="459" spans="1:23" ht="15.75" customHeight="1">
      <c r="A459" s="8"/>
      <c r="B459" s="7"/>
      <c r="C459" s="33"/>
      <c r="D459" s="7"/>
      <c r="E459" s="7"/>
      <c r="F459" s="7"/>
      <c r="G459" s="7"/>
      <c r="H459" s="7"/>
      <c r="I459" s="7"/>
      <c r="J459" s="7"/>
      <c r="K459" s="7"/>
      <c r="L459" s="7"/>
      <c r="M459" s="7"/>
      <c r="N459" s="7"/>
      <c r="O459" s="7"/>
      <c r="P459" s="7"/>
      <c r="Q459" s="7"/>
      <c r="R459" s="7"/>
      <c r="S459" s="7"/>
      <c r="T459" s="7"/>
      <c r="U459" s="7"/>
      <c r="W459" s="7"/>
    </row>
    <row r="460" spans="1:23" ht="15.75" customHeight="1">
      <c r="A460" s="8"/>
      <c r="B460" s="7"/>
      <c r="C460" s="33"/>
      <c r="D460" s="7"/>
      <c r="E460" s="7"/>
      <c r="F460" s="7"/>
      <c r="G460" s="7"/>
      <c r="H460" s="7"/>
      <c r="I460" s="7"/>
      <c r="J460" s="7"/>
      <c r="K460" s="7"/>
      <c r="L460" s="7"/>
      <c r="M460" s="7"/>
      <c r="N460" s="7"/>
      <c r="O460" s="7"/>
      <c r="P460" s="7"/>
      <c r="Q460" s="7"/>
      <c r="R460" s="7"/>
      <c r="S460" s="7"/>
      <c r="T460" s="7"/>
      <c r="U460" s="7"/>
      <c r="W460" s="7"/>
    </row>
    <row r="461" spans="1:23" ht="15.75" customHeight="1">
      <c r="A461" s="8"/>
      <c r="B461" s="7"/>
      <c r="C461" s="33"/>
      <c r="D461" s="7"/>
      <c r="E461" s="7"/>
      <c r="F461" s="7"/>
      <c r="G461" s="7"/>
      <c r="H461" s="7"/>
      <c r="I461" s="7"/>
      <c r="J461" s="7"/>
      <c r="K461" s="7"/>
      <c r="L461" s="7"/>
      <c r="M461" s="7"/>
      <c r="N461" s="7"/>
      <c r="O461" s="7"/>
      <c r="P461" s="7"/>
      <c r="Q461" s="7"/>
      <c r="R461" s="7"/>
      <c r="S461" s="7"/>
      <c r="T461" s="7"/>
      <c r="U461" s="7"/>
      <c r="W461" s="7"/>
    </row>
    <row r="462" spans="1:23" ht="15.75" customHeight="1">
      <c r="A462" s="8"/>
      <c r="B462" s="7"/>
      <c r="C462" s="33"/>
      <c r="D462" s="7"/>
      <c r="E462" s="7"/>
      <c r="F462" s="7"/>
      <c r="G462" s="7"/>
      <c r="H462" s="7"/>
      <c r="I462" s="7"/>
      <c r="J462" s="7"/>
      <c r="K462" s="7"/>
      <c r="L462" s="7"/>
      <c r="M462" s="7"/>
      <c r="N462" s="7"/>
      <c r="O462" s="7"/>
      <c r="P462" s="7"/>
      <c r="Q462" s="7"/>
      <c r="R462" s="7"/>
      <c r="S462" s="7"/>
      <c r="T462" s="7"/>
      <c r="U462" s="7"/>
      <c r="W462" s="7"/>
    </row>
    <row r="463" spans="1:23" ht="15.75" customHeight="1">
      <c r="A463" s="8"/>
      <c r="B463" s="7"/>
      <c r="C463" s="33"/>
      <c r="D463" s="7"/>
      <c r="E463" s="7"/>
      <c r="F463" s="7"/>
      <c r="G463" s="7"/>
      <c r="H463" s="7"/>
      <c r="I463" s="7"/>
      <c r="J463" s="7"/>
      <c r="K463" s="7"/>
      <c r="L463" s="7"/>
      <c r="M463" s="7"/>
      <c r="N463" s="7"/>
      <c r="O463" s="7"/>
      <c r="P463" s="7"/>
      <c r="Q463" s="7"/>
      <c r="R463" s="7"/>
      <c r="S463" s="7"/>
      <c r="T463" s="7"/>
      <c r="U463" s="7"/>
      <c r="W463" s="7"/>
    </row>
    <row r="464" spans="1:23" ht="15.75" customHeight="1">
      <c r="A464" s="8"/>
      <c r="B464" s="7"/>
      <c r="C464" s="33"/>
      <c r="D464" s="7"/>
      <c r="E464" s="7"/>
      <c r="F464" s="7"/>
      <c r="G464" s="7"/>
      <c r="H464" s="7"/>
      <c r="I464" s="7"/>
      <c r="J464" s="7"/>
      <c r="K464" s="7"/>
      <c r="L464" s="7"/>
      <c r="M464" s="7"/>
      <c r="N464" s="7"/>
      <c r="O464" s="7"/>
      <c r="P464" s="7"/>
      <c r="Q464" s="7"/>
      <c r="R464" s="7"/>
      <c r="S464" s="7"/>
      <c r="T464" s="7"/>
      <c r="U464" s="7"/>
      <c r="W464" s="7"/>
    </row>
    <row r="465" spans="1:23" ht="15.75" customHeight="1">
      <c r="A465" s="8"/>
      <c r="B465" s="7"/>
      <c r="C465" s="33"/>
      <c r="D465" s="7"/>
      <c r="E465" s="7"/>
      <c r="F465" s="7"/>
      <c r="G465" s="7"/>
      <c r="H465" s="7"/>
      <c r="I465" s="7"/>
      <c r="J465" s="7"/>
      <c r="K465" s="7"/>
      <c r="L465" s="7"/>
      <c r="M465" s="7"/>
      <c r="N465" s="7"/>
      <c r="O465" s="7"/>
      <c r="P465" s="7"/>
      <c r="Q465" s="7"/>
      <c r="R465" s="7"/>
      <c r="S465" s="7"/>
      <c r="T465" s="7"/>
      <c r="U465" s="7"/>
      <c r="W465" s="7"/>
    </row>
    <row r="466" spans="1:23" ht="15.75" customHeight="1">
      <c r="A466" s="8"/>
      <c r="B466" s="7"/>
      <c r="C466" s="33"/>
      <c r="D466" s="7"/>
      <c r="E466" s="7"/>
      <c r="F466" s="7"/>
      <c r="G466" s="7"/>
      <c r="H466" s="7"/>
      <c r="I466" s="7"/>
      <c r="J466" s="7"/>
      <c r="K466" s="7"/>
      <c r="L466" s="7"/>
      <c r="M466" s="7"/>
      <c r="N466" s="7"/>
      <c r="O466" s="7"/>
      <c r="P466" s="7"/>
      <c r="Q466" s="7"/>
      <c r="R466" s="7"/>
      <c r="S466" s="7"/>
      <c r="T466" s="7"/>
      <c r="U466" s="7"/>
      <c r="W466" s="7"/>
    </row>
    <row r="467" spans="1:23" ht="15.75" customHeight="1">
      <c r="A467" s="8"/>
      <c r="B467" s="7"/>
      <c r="C467" s="33"/>
      <c r="D467" s="7"/>
      <c r="E467" s="7"/>
      <c r="F467" s="7"/>
      <c r="G467" s="7"/>
      <c r="H467" s="7"/>
      <c r="I467" s="7"/>
      <c r="J467" s="7"/>
      <c r="K467" s="7"/>
      <c r="L467" s="7"/>
      <c r="M467" s="7"/>
      <c r="N467" s="7"/>
      <c r="O467" s="7"/>
      <c r="P467" s="7"/>
      <c r="Q467" s="7"/>
      <c r="R467" s="7"/>
      <c r="S467" s="7"/>
      <c r="T467" s="7"/>
      <c r="U467" s="7"/>
      <c r="W467" s="7"/>
    </row>
    <row r="468" spans="1:23" ht="15.75" customHeight="1">
      <c r="A468" s="8"/>
      <c r="B468" s="7"/>
      <c r="C468" s="33"/>
      <c r="D468" s="7"/>
      <c r="E468" s="7"/>
      <c r="F468" s="7"/>
      <c r="G468" s="7"/>
      <c r="H468" s="7"/>
      <c r="I468" s="7"/>
      <c r="J468" s="7"/>
      <c r="K468" s="7"/>
      <c r="L468" s="7"/>
      <c r="M468" s="7"/>
      <c r="N468" s="7"/>
      <c r="O468" s="7"/>
      <c r="P468" s="7"/>
      <c r="Q468" s="7"/>
      <c r="R468" s="7"/>
      <c r="S468" s="7"/>
      <c r="T468" s="7"/>
      <c r="U468" s="7"/>
      <c r="W468" s="7"/>
    </row>
    <row r="469" spans="1:23" ht="15.75" customHeight="1">
      <c r="A469" s="8"/>
      <c r="B469" s="7"/>
      <c r="C469" s="33"/>
      <c r="D469" s="7"/>
      <c r="E469" s="7"/>
      <c r="F469" s="7"/>
      <c r="G469" s="7"/>
      <c r="H469" s="7"/>
      <c r="I469" s="7"/>
      <c r="J469" s="7"/>
      <c r="K469" s="7"/>
      <c r="L469" s="7"/>
      <c r="M469" s="7"/>
      <c r="N469" s="7"/>
      <c r="O469" s="7"/>
      <c r="P469" s="7"/>
      <c r="Q469" s="7"/>
      <c r="R469" s="7"/>
      <c r="S469" s="7"/>
      <c r="T469" s="7"/>
      <c r="U469" s="7"/>
      <c r="W469" s="7"/>
    </row>
    <row r="470" spans="1:23" ht="15.75" customHeight="1">
      <c r="A470" s="8"/>
      <c r="B470" s="7"/>
      <c r="C470" s="33"/>
      <c r="D470" s="7"/>
      <c r="E470" s="7"/>
      <c r="F470" s="7"/>
      <c r="G470" s="7"/>
      <c r="H470" s="7"/>
      <c r="I470" s="7"/>
      <c r="J470" s="7"/>
      <c r="K470" s="7"/>
      <c r="L470" s="7"/>
      <c r="M470" s="7"/>
      <c r="N470" s="7"/>
      <c r="O470" s="7"/>
      <c r="P470" s="7"/>
      <c r="Q470" s="7"/>
      <c r="R470" s="7"/>
      <c r="S470" s="7"/>
      <c r="T470" s="7"/>
      <c r="U470" s="7"/>
      <c r="W470" s="7"/>
    </row>
    <row r="471" spans="1:23" ht="15.75" customHeight="1">
      <c r="A471" s="8"/>
      <c r="B471" s="7"/>
      <c r="C471" s="33"/>
      <c r="D471" s="7"/>
      <c r="E471" s="7"/>
      <c r="F471" s="7"/>
      <c r="G471" s="7"/>
      <c r="H471" s="7"/>
      <c r="I471" s="7"/>
      <c r="J471" s="7"/>
      <c r="K471" s="7"/>
      <c r="L471" s="7"/>
      <c r="M471" s="7"/>
      <c r="N471" s="7"/>
      <c r="O471" s="7"/>
      <c r="P471" s="7"/>
      <c r="Q471" s="7"/>
      <c r="R471" s="7"/>
      <c r="S471" s="7"/>
      <c r="T471" s="7"/>
      <c r="U471" s="7"/>
      <c r="W471" s="7"/>
    </row>
    <row r="472" spans="1:23" ht="15.75" customHeight="1">
      <c r="A472" s="8"/>
      <c r="B472" s="7"/>
      <c r="C472" s="33"/>
      <c r="D472" s="7"/>
      <c r="E472" s="7"/>
      <c r="F472" s="7"/>
      <c r="G472" s="7"/>
      <c r="H472" s="7"/>
      <c r="I472" s="7"/>
      <c r="J472" s="7"/>
      <c r="K472" s="7"/>
      <c r="L472" s="7"/>
      <c r="M472" s="7"/>
      <c r="N472" s="7"/>
      <c r="O472" s="7"/>
      <c r="P472" s="7"/>
      <c r="Q472" s="7"/>
      <c r="R472" s="7"/>
      <c r="S472" s="7"/>
      <c r="T472" s="7"/>
      <c r="U472" s="7"/>
      <c r="W472" s="7"/>
    </row>
    <row r="473" spans="1:23" ht="15.75" customHeight="1">
      <c r="A473" s="8"/>
      <c r="B473" s="7"/>
      <c r="C473" s="33"/>
      <c r="D473" s="7"/>
      <c r="E473" s="7"/>
      <c r="F473" s="7"/>
      <c r="G473" s="7"/>
      <c r="H473" s="7"/>
      <c r="I473" s="7"/>
      <c r="J473" s="7"/>
      <c r="K473" s="7"/>
      <c r="L473" s="7"/>
      <c r="M473" s="7"/>
      <c r="N473" s="7"/>
      <c r="O473" s="7"/>
      <c r="P473" s="7"/>
      <c r="Q473" s="7"/>
      <c r="R473" s="7"/>
      <c r="S473" s="7"/>
      <c r="T473" s="7"/>
      <c r="U473" s="7"/>
      <c r="W473" s="7"/>
    </row>
    <row r="474" spans="1:23" ht="15.75" customHeight="1">
      <c r="A474" s="8"/>
      <c r="B474" s="7"/>
      <c r="C474" s="33"/>
      <c r="D474" s="7"/>
      <c r="E474" s="7"/>
      <c r="F474" s="7"/>
      <c r="G474" s="7"/>
      <c r="H474" s="7"/>
      <c r="I474" s="7"/>
      <c r="J474" s="7"/>
      <c r="K474" s="7"/>
      <c r="L474" s="7"/>
      <c r="M474" s="7"/>
      <c r="N474" s="7"/>
      <c r="O474" s="7"/>
      <c r="P474" s="7"/>
      <c r="Q474" s="7"/>
      <c r="R474" s="7"/>
      <c r="S474" s="7"/>
      <c r="T474" s="7"/>
      <c r="U474" s="7"/>
      <c r="W474" s="7"/>
    </row>
    <row r="475" spans="1:23" ht="15.75" customHeight="1">
      <c r="A475" s="8"/>
      <c r="B475" s="7"/>
      <c r="C475" s="33"/>
      <c r="D475" s="7"/>
      <c r="E475" s="7"/>
      <c r="F475" s="7"/>
      <c r="G475" s="7"/>
      <c r="H475" s="7"/>
      <c r="I475" s="7"/>
      <c r="J475" s="7"/>
      <c r="K475" s="7"/>
      <c r="L475" s="7"/>
      <c r="M475" s="7"/>
      <c r="N475" s="7"/>
      <c r="O475" s="7"/>
      <c r="P475" s="7"/>
      <c r="Q475" s="7"/>
      <c r="R475" s="7"/>
      <c r="S475" s="7"/>
      <c r="T475" s="7"/>
      <c r="U475" s="7"/>
      <c r="W475" s="7"/>
    </row>
    <row r="476" spans="1:23" ht="15.75" customHeight="1">
      <c r="A476" s="8"/>
      <c r="B476" s="7"/>
      <c r="C476" s="33"/>
      <c r="D476" s="7"/>
      <c r="E476" s="7"/>
      <c r="F476" s="7"/>
      <c r="G476" s="7"/>
      <c r="H476" s="7"/>
      <c r="I476" s="7"/>
      <c r="J476" s="7"/>
      <c r="K476" s="7"/>
      <c r="L476" s="7"/>
      <c r="M476" s="7"/>
      <c r="N476" s="7"/>
      <c r="O476" s="7"/>
      <c r="P476" s="7"/>
      <c r="Q476" s="7"/>
      <c r="R476" s="7"/>
      <c r="S476" s="7"/>
      <c r="T476" s="7"/>
      <c r="U476" s="7"/>
      <c r="W476" s="7"/>
    </row>
    <row r="477" spans="1:23" ht="15.75" customHeight="1">
      <c r="A477" s="8"/>
      <c r="B477" s="7"/>
      <c r="C477" s="33"/>
      <c r="D477" s="7"/>
      <c r="E477" s="7"/>
      <c r="F477" s="7"/>
      <c r="G477" s="7"/>
      <c r="H477" s="7"/>
      <c r="I477" s="7"/>
      <c r="J477" s="7"/>
      <c r="K477" s="7"/>
      <c r="L477" s="7"/>
      <c r="M477" s="7"/>
      <c r="N477" s="7"/>
      <c r="O477" s="7"/>
      <c r="P477" s="7"/>
      <c r="Q477" s="7"/>
      <c r="R477" s="7"/>
      <c r="S477" s="7"/>
      <c r="T477" s="7"/>
      <c r="U477" s="7"/>
      <c r="W477" s="7"/>
    </row>
    <row r="478" spans="1:23" ht="15.75" customHeight="1">
      <c r="A478" s="8"/>
      <c r="B478" s="7"/>
      <c r="C478" s="33"/>
      <c r="D478" s="7"/>
      <c r="E478" s="7"/>
      <c r="F478" s="7"/>
      <c r="G478" s="7"/>
      <c r="H478" s="7"/>
      <c r="I478" s="7"/>
      <c r="J478" s="7"/>
      <c r="K478" s="7"/>
      <c r="L478" s="7"/>
      <c r="M478" s="7"/>
      <c r="N478" s="7"/>
      <c r="O478" s="7"/>
      <c r="P478" s="7"/>
      <c r="Q478" s="7"/>
      <c r="R478" s="7"/>
      <c r="S478" s="7"/>
      <c r="T478" s="7"/>
      <c r="U478" s="7"/>
      <c r="W478" s="7"/>
    </row>
    <row r="479" spans="1:23" ht="15.75" customHeight="1">
      <c r="A479" s="8"/>
      <c r="B479" s="7"/>
      <c r="C479" s="33"/>
      <c r="D479" s="7"/>
      <c r="E479" s="7"/>
      <c r="F479" s="7"/>
      <c r="G479" s="7"/>
      <c r="H479" s="7"/>
      <c r="I479" s="7"/>
      <c r="J479" s="7"/>
      <c r="K479" s="7"/>
      <c r="L479" s="7"/>
      <c r="M479" s="7"/>
      <c r="N479" s="7"/>
      <c r="O479" s="7"/>
      <c r="P479" s="7"/>
      <c r="Q479" s="7"/>
      <c r="R479" s="7"/>
      <c r="S479" s="7"/>
      <c r="T479" s="7"/>
      <c r="U479" s="7"/>
      <c r="W479" s="7"/>
    </row>
    <row r="480" spans="1:23" ht="15.75" customHeight="1">
      <c r="A480" s="8"/>
      <c r="B480" s="7"/>
      <c r="C480" s="33"/>
      <c r="D480" s="7"/>
      <c r="E480" s="7"/>
      <c r="F480" s="7"/>
      <c r="G480" s="7"/>
      <c r="H480" s="7"/>
      <c r="I480" s="7"/>
      <c r="J480" s="7"/>
      <c r="K480" s="7"/>
      <c r="L480" s="7"/>
      <c r="M480" s="7"/>
      <c r="N480" s="7"/>
      <c r="O480" s="7"/>
      <c r="P480" s="7"/>
      <c r="Q480" s="7"/>
      <c r="R480" s="7"/>
      <c r="S480" s="7"/>
      <c r="T480" s="7"/>
      <c r="U480" s="7"/>
      <c r="W480" s="7"/>
    </row>
    <row r="481" spans="1:23" ht="15.75" customHeight="1">
      <c r="A481" s="8"/>
      <c r="B481" s="7"/>
      <c r="C481" s="33"/>
      <c r="D481" s="7"/>
      <c r="E481" s="7"/>
      <c r="F481" s="7"/>
      <c r="G481" s="7"/>
      <c r="H481" s="7"/>
      <c r="I481" s="7"/>
      <c r="J481" s="7"/>
      <c r="K481" s="7"/>
      <c r="L481" s="7"/>
      <c r="M481" s="7"/>
      <c r="N481" s="7"/>
      <c r="O481" s="7"/>
      <c r="P481" s="7"/>
      <c r="Q481" s="7"/>
      <c r="R481" s="7"/>
      <c r="S481" s="7"/>
      <c r="T481" s="7"/>
      <c r="U481" s="7"/>
      <c r="W481" s="7"/>
    </row>
    <row r="482" spans="1:23" ht="15.75" customHeight="1">
      <c r="A482" s="8"/>
      <c r="B482" s="7"/>
      <c r="C482" s="33"/>
      <c r="D482" s="7"/>
      <c r="E482" s="7"/>
      <c r="F482" s="7"/>
      <c r="G482" s="7"/>
      <c r="H482" s="7"/>
      <c r="I482" s="7"/>
      <c r="J482" s="7"/>
      <c r="K482" s="7"/>
      <c r="L482" s="7"/>
      <c r="M482" s="7"/>
      <c r="N482" s="7"/>
      <c r="O482" s="7"/>
      <c r="P482" s="7"/>
      <c r="Q482" s="7"/>
      <c r="R482" s="7"/>
      <c r="S482" s="7"/>
      <c r="T482" s="7"/>
      <c r="U482" s="7"/>
      <c r="W482" s="7"/>
    </row>
    <row r="483" spans="1:23" ht="15.75" customHeight="1">
      <c r="A483" s="8"/>
      <c r="B483" s="7"/>
      <c r="C483" s="33"/>
      <c r="D483" s="7"/>
      <c r="E483" s="7"/>
      <c r="F483" s="7"/>
      <c r="G483" s="7"/>
      <c r="H483" s="7"/>
      <c r="I483" s="7"/>
      <c r="J483" s="7"/>
      <c r="K483" s="7"/>
      <c r="L483" s="7"/>
      <c r="M483" s="7"/>
      <c r="N483" s="7"/>
      <c r="O483" s="7"/>
      <c r="P483" s="7"/>
      <c r="Q483" s="7"/>
      <c r="R483" s="7"/>
      <c r="S483" s="7"/>
      <c r="T483" s="7"/>
      <c r="U483" s="7"/>
      <c r="W483" s="7"/>
    </row>
    <row r="484" spans="1:23" ht="15.75" customHeight="1">
      <c r="A484" s="8"/>
      <c r="B484" s="7"/>
      <c r="C484" s="33"/>
      <c r="D484" s="7"/>
      <c r="E484" s="7"/>
      <c r="F484" s="7"/>
      <c r="G484" s="7"/>
      <c r="H484" s="7"/>
      <c r="I484" s="7"/>
      <c r="J484" s="7"/>
      <c r="K484" s="7"/>
      <c r="L484" s="7"/>
      <c r="M484" s="7"/>
      <c r="N484" s="7"/>
      <c r="O484" s="7"/>
      <c r="P484" s="7"/>
      <c r="Q484" s="7"/>
      <c r="R484" s="7"/>
      <c r="S484" s="7"/>
      <c r="T484" s="7"/>
      <c r="U484" s="7"/>
      <c r="W484" s="7"/>
    </row>
    <row r="485" spans="1:23" ht="15.75" customHeight="1">
      <c r="A485" s="8"/>
      <c r="B485" s="7"/>
      <c r="C485" s="33"/>
      <c r="D485" s="7"/>
      <c r="E485" s="7"/>
      <c r="F485" s="7"/>
      <c r="G485" s="7"/>
      <c r="H485" s="7"/>
      <c r="I485" s="7"/>
      <c r="J485" s="7"/>
      <c r="K485" s="7"/>
      <c r="L485" s="7"/>
      <c r="M485" s="7"/>
      <c r="N485" s="7"/>
      <c r="O485" s="7"/>
      <c r="P485" s="7"/>
      <c r="Q485" s="7"/>
      <c r="R485" s="7"/>
      <c r="S485" s="7"/>
      <c r="T485" s="7"/>
      <c r="U485" s="7"/>
      <c r="W485" s="7"/>
    </row>
    <row r="486" spans="1:23" ht="15.75" customHeight="1">
      <c r="A486" s="8"/>
      <c r="B486" s="7"/>
      <c r="C486" s="33"/>
      <c r="D486" s="7"/>
      <c r="E486" s="7"/>
      <c r="F486" s="7"/>
      <c r="G486" s="7"/>
      <c r="H486" s="7"/>
      <c r="I486" s="7"/>
      <c r="J486" s="7"/>
      <c r="K486" s="7"/>
      <c r="L486" s="7"/>
      <c r="M486" s="7"/>
      <c r="N486" s="7"/>
      <c r="O486" s="7"/>
      <c r="P486" s="7"/>
      <c r="Q486" s="7"/>
      <c r="R486" s="7"/>
      <c r="S486" s="7"/>
      <c r="T486" s="7"/>
      <c r="U486" s="7"/>
      <c r="W486" s="7"/>
    </row>
    <row r="487" spans="1:23" ht="15.75" customHeight="1">
      <c r="A487" s="8"/>
      <c r="B487" s="7"/>
      <c r="C487" s="33"/>
      <c r="D487" s="7"/>
      <c r="E487" s="7"/>
      <c r="F487" s="7"/>
      <c r="G487" s="7"/>
      <c r="H487" s="7"/>
      <c r="I487" s="7"/>
      <c r="J487" s="7"/>
      <c r="K487" s="7"/>
      <c r="L487" s="7"/>
      <c r="M487" s="7"/>
      <c r="N487" s="7"/>
      <c r="O487" s="7"/>
      <c r="P487" s="7"/>
      <c r="Q487" s="7"/>
      <c r="R487" s="7"/>
      <c r="S487" s="7"/>
      <c r="T487" s="7"/>
      <c r="U487" s="7"/>
      <c r="W487" s="7"/>
    </row>
    <row r="488" spans="1:23" ht="15.75" customHeight="1">
      <c r="A488" s="8"/>
      <c r="B488" s="7"/>
      <c r="C488" s="33"/>
      <c r="D488" s="7"/>
      <c r="E488" s="7"/>
      <c r="F488" s="7"/>
      <c r="G488" s="7"/>
      <c r="H488" s="7"/>
      <c r="I488" s="7"/>
      <c r="J488" s="7"/>
      <c r="K488" s="7"/>
      <c r="L488" s="7"/>
      <c r="M488" s="7"/>
      <c r="N488" s="7"/>
      <c r="O488" s="7"/>
      <c r="P488" s="7"/>
      <c r="Q488" s="7"/>
      <c r="R488" s="7"/>
      <c r="S488" s="7"/>
      <c r="T488" s="7"/>
      <c r="U488" s="7"/>
      <c r="W488" s="7"/>
    </row>
    <row r="489" spans="1:23" ht="15.75" customHeight="1">
      <c r="A489" s="8"/>
      <c r="B489" s="7"/>
      <c r="C489" s="33"/>
      <c r="D489" s="7"/>
      <c r="E489" s="7"/>
      <c r="F489" s="7"/>
      <c r="G489" s="7"/>
      <c r="H489" s="7"/>
      <c r="I489" s="7"/>
      <c r="J489" s="7"/>
      <c r="K489" s="7"/>
      <c r="L489" s="7"/>
      <c r="M489" s="7"/>
      <c r="N489" s="7"/>
      <c r="O489" s="7"/>
      <c r="P489" s="7"/>
      <c r="Q489" s="7"/>
      <c r="R489" s="7"/>
      <c r="S489" s="7"/>
      <c r="T489" s="7"/>
      <c r="U489" s="7"/>
      <c r="W489" s="7"/>
    </row>
    <row r="490" spans="1:23" ht="15.75" customHeight="1">
      <c r="A490" s="8"/>
      <c r="B490" s="7"/>
      <c r="C490" s="33"/>
      <c r="D490" s="7"/>
      <c r="E490" s="7"/>
      <c r="F490" s="7"/>
      <c r="G490" s="7"/>
      <c r="H490" s="7"/>
      <c r="I490" s="7"/>
      <c r="J490" s="7"/>
      <c r="K490" s="7"/>
      <c r="L490" s="7"/>
      <c r="M490" s="7"/>
      <c r="N490" s="7"/>
      <c r="O490" s="7"/>
      <c r="P490" s="7"/>
      <c r="Q490" s="7"/>
      <c r="R490" s="7"/>
      <c r="S490" s="7"/>
      <c r="T490" s="7"/>
      <c r="U490" s="7"/>
      <c r="W490" s="7"/>
    </row>
    <row r="491" spans="1:23" ht="15.75" customHeight="1">
      <c r="A491" s="8"/>
      <c r="B491" s="7"/>
      <c r="C491" s="33"/>
      <c r="D491" s="7"/>
      <c r="E491" s="7"/>
      <c r="F491" s="7"/>
      <c r="G491" s="7"/>
      <c r="H491" s="7"/>
      <c r="I491" s="7"/>
      <c r="J491" s="7"/>
      <c r="K491" s="7"/>
      <c r="L491" s="7"/>
      <c r="M491" s="7"/>
      <c r="N491" s="7"/>
      <c r="O491" s="7"/>
      <c r="P491" s="7"/>
      <c r="Q491" s="7"/>
      <c r="R491" s="7"/>
      <c r="S491" s="7"/>
      <c r="T491" s="7"/>
      <c r="U491" s="7"/>
      <c r="W491" s="7"/>
    </row>
    <row r="492" spans="1:23" ht="15.75" customHeight="1">
      <c r="A492" s="8"/>
      <c r="B492" s="7"/>
      <c r="C492" s="33"/>
      <c r="D492" s="7"/>
      <c r="E492" s="7"/>
      <c r="F492" s="7"/>
      <c r="G492" s="7"/>
      <c r="H492" s="7"/>
      <c r="I492" s="7"/>
      <c r="J492" s="7"/>
      <c r="K492" s="7"/>
      <c r="L492" s="7"/>
      <c r="M492" s="7"/>
      <c r="N492" s="7"/>
      <c r="O492" s="7"/>
      <c r="P492" s="7"/>
      <c r="Q492" s="7"/>
      <c r="R492" s="7"/>
      <c r="S492" s="7"/>
      <c r="T492" s="7"/>
      <c r="U492" s="7"/>
      <c r="W492" s="7"/>
    </row>
    <row r="493" spans="1:23" ht="15.75" customHeight="1">
      <c r="A493" s="8"/>
      <c r="B493" s="7"/>
      <c r="C493" s="33"/>
      <c r="D493" s="7"/>
      <c r="E493" s="7"/>
      <c r="F493" s="7"/>
      <c r="G493" s="7"/>
      <c r="H493" s="7"/>
      <c r="I493" s="7"/>
      <c r="J493" s="7"/>
      <c r="K493" s="7"/>
      <c r="L493" s="7"/>
      <c r="M493" s="7"/>
      <c r="N493" s="7"/>
      <c r="O493" s="7"/>
      <c r="P493" s="7"/>
      <c r="Q493" s="7"/>
      <c r="R493" s="7"/>
      <c r="S493" s="7"/>
      <c r="T493" s="7"/>
      <c r="U493" s="7"/>
      <c r="W493" s="7"/>
    </row>
    <row r="494" spans="1:23" ht="15.75" customHeight="1">
      <c r="A494" s="8"/>
      <c r="B494" s="7"/>
      <c r="C494" s="33"/>
      <c r="D494" s="7"/>
      <c r="E494" s="7"/>
      <c r="F494" s="7"/>
      <c r="G494" s="7"/>
      <c r="H494" s="7"/>
      <c r="I494" s="7"/>
      <c r="J494" s="7"/>
      <c r="K494" s="7"/>
      <c r="L494" s="7"/>
      <c r="M494" s="7"/>
      <c r="N494" s="7"/>
      <c r="O494" s="7"/>
      <c r="P494" s="7"/>
      <c r="Q494" s="7"/>
      <c r="R494" s="7"/>
      <c r="S494" s="7"/>
      <c r="T494" s="7"/>
      <c r="U494" s="7"/>
      <c r="W494" s="7"/>
    </row>
    <row r="495" spans="1:23" ht="15.75" customHeight="1">
      <c r="A495" s="8"/>
      <c r="B495" s="7"/>
      <c r="C495" s="33"/>
      <c r="D495" s="7"/>
      <c r="E495" s="7"/>
      <c r="F495" s="7"/>
      <c r="G495" s="7"/>
      <c r="H495" s="7"/>
      <c r="I495" s="7"/>
      <c r="J495" s="7"/>
      <c r="K495" s="7"/>
      <c r="L495" s="7"/>
      <c r="M495" s="7"/>
      <c r="N495" s="7"/>
      <c r="O495" s="7"/>
      <c r="P495" s="7"/>
      <c r="Q495" s="7"/>
      <c r="R495" s="7"/>
      <c r="S495" s="7"/>
      <c r="T495" s="7"/>
      <c r="U495" s="7"/>
      <c r="W495" s="7"/>
    </row>
    <row r="496" spans="1:23" ht="15.75" customHeight="1">
      <c r="A496" s="8"/>
      <c r="B496" s="7"/>
      <c r="C496" s="33"/>
      <c r="D496" s="7"/>
      <c r="E496" s="7"/>
      <c r="F496" s="7"/>
      <c r="G496" s="7"/>
      <c r="H496" s="7"/>
      <c r="I496" s="7"/>
      <c r="J496" s="7"/>
      <c r="K496" s="7"/>
      <c r="L496" s="7"/>
      <c r="M496" s="7"/>
      <c r="N496" s="7"/>
      <c r="O496" s="7"/>
      <c r="P496" s="7"/>
      <c r="Q496" s="7"/>
      <c r="R496" s="7"/>
      <c r="S496" s="7"/>
      <c r="T496" s="7"/>
      <c r="U496" s="7"/>
      <c r="W496" s="7"/>
    </row>
    <row r="497" spans="1:23" ht="15.75" customHeight="1">
      <c r="A497" s="8"/>
      <c r="B497" s="7"/>
      <c r="C497" s="33"/>
      <c r="D497" s="7"/>
      <c r="E497" s="7"/>
      <c r="F497" s="7"/>
      <c r="G497" s="7"/>
      <c r="H497" s="7"/>
      <c r="I497" s="7"/>
      <c r="J497" s="7"/>
      <c r="K497" s="7"/>
      <c r="L497" s="7"/>
      <c r="M497" s="7"/>
      <c r="N497" s="7"/>
      <c r="O497" s="7"/>
      <c r="P497" s="7"/>
      <c r="Q497" s="7"/>
      <c r="R497" s="7"/>
      <c r="S497" s="7"/>
      <c r="T497" s="7"/>
      <c r="U497" s="7"/>
      <c r="W497" s="7"/>
    </row>
    <row r="498" spans="1:23" ht="15.75" customHeight="1">
      <c r="A498" s="8"/>
      <c r="B498" s="7"/>
      <c r="C498" s="33"/>
      <c r="D498" s="7"/>
      <c r="E498" s="7"/>
      <c r="F498" s="7"/>
      <c r="G498" s="7"/>
      <c r="H498" s="7"/>
      <c r="I498" s="7"/>
      <c r="J498" s="7"/>
      <c r="K498" s="7"/>
      <c r="L498" s="7"/>
      <c r="M498" s="7"/>
      <c r="N498" s="7"/>
      <c r="O498" s="7"/>
      <c r="P498" s="7"/>
      <c r="Q498" s="7"/>
      <c r="R498" s="7"/>
      <c r="S498" s="7"/>
      <c r="T498" s="7"/>
      <c r="U498" s="7"/>
      <c r="W498" s="7"/>
    </row>
    <row r="499" spans="1:23" ht="15.75" customHeight="1">
      <c r="A499" s="8"/>
      <c r="B499" s="7"/>
      <c r="C499" s="33"/>
      <c r="D499" s="7"/>
      <c r="E499" s="7"/>
      <c r="F499" s="7"/>
      <c r="G499" s="7"/>
      <c r="H499" s="7"/>
      <c r="I499" s="7"/>
      <c r="J499" s="7"/>
      <c r="K499" s="7"/>
      <c r="L499" s="7"/>
      <c r="M499" s="7"/>
      <c r="N499" s="7"/>
      <c r="O499" s="7"/>
      <c r="P499" s="7"/>
      <c r="Q499" s="7"/>
      <c r="R499" s="7"/>
      <c r="S499" s="7"/>
      <c r="T499" s="7"/>
      <c r="U499" s="7"/>
      <c r="W499" s="7"/>
    </row>
    <row r="500" spans="1:23" ht="15.75" customHeight="1">
      <c r="A500" s="8"/>
      <c r="B500" s="7"/>
      <c r="C500" s="33"/>
      <c r="D500" s="7"/>
      <c r="E500" s="7"/>
      <c r="F500" s="7"/>
      <c r="G500" s="7"/>
      <c r="H500" s="7"/>
      <c r="I500" s="7"/>
      <c r="J500" s="7"/>
      <c r="K500" s="7"/>
      <c r="L500" s="7"/>
      <c r="M500" s="7"/>
      <c r="N500" s="7"/>
      <c r="O500" s="7"/>
      <c r="P500" s="7"/>
      <c r="Q500" s="7"/>
      <c r="R500" s="7"/>
      <c r="S500" s="7"/>
      <c r="T500" s="7"/>
      <c r="U500" s="7"/>
      <c r="W500" s="7"/>
    </row>
    <row r="501" spans="1:23" ht="15.75" customHeight="1">
      <c r="A501" s="8"/>
      <c r="B501" s="7"/>
      <c r="C501" s="33"/>
      <c r="D501" s="7"/>
      <c r="E501" s="7"/>
      <c r="F501" s="7"/>
      <c r="G501" s="7"/>
      <c r="H501" s="7"/>
      <c r="I501" s="7"/>
      <c r="J501" s="7"/>
      <c r="K501" s="7"/>
      <c r="L501" s="7"/>
      <c r="M501" s="7"/>
      <c r="N501" s="7"/>
      <c r="O501" s="7"/>
      <c r="P501" s="7"/>
      <c r="Q501" s="7"/>
      <c r="R501" s="7"/>
      <c r="S501" s="7"/>
      <c r="T501" s="7"/>
      <c r="U501" s="7"/>
      <c r="W501" s="7"/>
    </row>
    <row r="502" spans="1:23" ht="15.75" customHeight="1">
      <c r="A502" s="8"/>
      <c r="B502" s="7"/>
      <c r="C502" s="33"/>
      <c r="D502" s="7"/>
      <c r="E502" s="7"/>
      <c r="F502" s="7"/>
      <c r="G502" s="7"/>
      <c r="H502" s="7"/>
      <c r="I502" s="7"/>
      <c r="J502" s="7"/>
      <c r="K502" s="7"/>
      <c r="L502" s="7"/>
      <c r="M502" s="7"/>
      <c r="N502" s="7"/>
      <c r="O502" s="7"/>
      <c r="P502" s="7"/>
      <c r="Q502" s="7"/>
      <c r="R502" s="7"/>
      <c r="S502" s="7"/>
      <c r="T502" s="7"/>
      <c r="U502" s="7"/>
      <c r="W502" s="7"/>
    </row>
    <row r="503" spans="1:23" ht="15.75" customHeight="1">
      <c r="A503" s="8"/>
      <c r="B503" s="7"/>
      <c r="C503" s="33"/>
      <c r="D503" s="7"/>
      <c r="E503" s="7"/>
      <c r="F503" s="7"/>
      <c r="G503" s="7"/>
      <c r="H503" s="7"/>
      <c r="I503" s="7"/>
      <c r="J503" s="7"/>
      <c r="K503" s="7"/>
      <c r="L503" s="7"/>
      <c r="M503" s="7"/>
      <c r="N503" s="7"/>
      <c r="O503" s="7"/>
      <c r="P503" s="7"/>
      <c r="Q503" s="7"/>
      <c r="R503" s="7"/>
      <c r="S503" s="7"/>
      <c r="T503" s="7"/>
      <c r="U503" s="7"/>
      <c r="W503" s="7"/>
    </row>
    <row r="504" spans="1:23" ht="15.75" customHeight="1">
      <c r="A504" s="8"/>
      <c r="B504" s="7"/>
      <c r="C504" s="33"/>
      <c r="D504" s="7"/>
      <c r="E504" s="7"/>
      <c r="F504" s="7"/>
      <c r="G504" s="7"/>
      <c r="H504" s="7"/>
      <c r="I504" s="7"/>
      <c r="J504" s="7"/>
      <c r="K504" s="7"/>
      <c r="L504" s="7"/>
      <c r="M504" s="7"/>
      <c r="N504" s="7"/>
      <c r="O504" s="7"/>
      <c r="P504" s="7"/>
      <c r="Q504" s="7"/>
      <c r="R504" s="7"/>
      <c r="S504" s="7"/>
      <c r="T504" s="7"/>
      <c r="U504" s="7"/>
      <c r="W504" s="7"/>
    </row>
    <row r="505" spans="1:23" ht="15.75" customHeight="1">
      <c r="A505" s="8"/>
      <c r="B505" s="7"/>
      <c r="C505" s="33"/>
      <c r="D505" s="7"/>
      <c r="E505" s="7"/>
      <c r="F505" s="7"/>
      <c r="G505" s="7"/>
      <c r="H505" s="7"/>
      <c r="I505" s="7"/>
      <c r="J505" s="7"/>
      <c r="K505" s="7"/>
      <c r="L505" s="7"/>
      <c r="M505" s="7"/>
      <c r="N505" s="7"/>
      <c r="O505" s="7"/>
      <c r="P505" s="7"/>
      <c r="Q505" s="7"/>
      <c r="R505" s="7"/>
      <c r="S505" s="7"/>
      <c r="T505" s="7"/>
      <c r="U505" s="7"/>
      <c r="W505" s="7"/>
    </row>
    <row r="506" spans="1:23" ht="15.75" customHeight="1">
      <c r="A506" s="8"/>
      <c r="B506" s="7"/>
      <c r="C506" s="33"/>
      <c r="D506" s="7"/>
      <c r="E506" s="7"/>
      <c r="F506" s="7"/>
      <c r="G506" s="7"/>
      <c r="H506" s="7"/>
      <c r="I506" s="7"/>
      <c r="J506" s="7"/>
      <c r="K506" s="7"/>
      <c r="L506" s="7"/>
      <c r="M506" s="7"/>
      <c r="N506" s="7"/>
      <c r="O506" s="7"/>
      <c r="P506" s="7"/>
      <c r="Q506" s="7"/>
      <c r="R506" s="7"/>
      <c r="S506" s="7"/>
      <c r="T506" s="7"/>
      <c r="U506" s="7"/>
      <c r="W506" s="7"/>
    </row>
    <row r="507" spans="1:23" ht="15.75" customHeight="1">
      <c r="A507" s="8"/>
      <c r="B507" s="7"/>
      <c r="C507" s="33"/>
      <c r="D507" s="7"/>
      <c r="E507" s="7"/>
      <c r="F507" s="7"/>
      <c r="G507" s="7"/>
      <c r="H507" s="7"/>
      <c r="I507" s="7"/>
      <c r="J507" s="7"/>
      <c r="K507" s="7"/>
      <c r="L507" s="7"/>
      <c r="M507" s="7"/>
      <c r="N507" s="7"/>
      <c r="O507" s="7"/>
      <c r="P507" s="7"/>
      <c r="Q507" s="7"/>
      <c r="R507" s="7"/>
      <c r="S507" s="7"/>
      <c r="T507" s="7"/>
      <c r="U507" s="7"/>
      <c r="W507" s="7"/>
    </row>
    <row r="508" spans="1:23" ht="15.75" customHeight="1">
      <c r="A508" s="8"/>
      <c r="B508" s="7"/>
      <c r="C508" s="33"/>
      <c r="D508" s="7"/>
      <c r="E508" s="7"/>
      <c r="F508" s="7"/>
      <c r="G508" s="7"/>
      <c r="H508" s="7"/>
      <c r="I508" s="7"/>
      <c r="J508" s="7"/>
      <c r="K508" s="7"/>
      <c r="L508" s="7"/>
      <c r="M508" s="7"/>
      <c r="N508" s="7"/>
      <c r="O508" s="7"/>
      <c r="P508" s="7"/>
      <c r="Q508" s="7"/>
      <c r="R508" s="7"/>
      <c r="S508" s="7"/>
      <c r="T508" s="7"/>
      <c r="U508" s="7"/>
      <c r="W508" s="7"/>
    </row>
    <row r="509" spans="1:23" ht="15.75" customHeight="1">
      <c r="A509" s="8"/>
      <c r="B509" s="7"/>
      <c r="C509" s="33"/>
      <c r="D509" s="7"/>
      <c r="E509" s="7"/>
      <c r="F509" s="7"/>
      <c r="G509" s="7"/>
      <c r="H509" s="7"/>
      <c r="I509" s="7"/>
      <c r="J509" s="7"/>
      <c r="K509" s="7"/>
      <c r="L509" s="7"/>
      <c r="M509" s="7"/>
      <c r="N509" s="7"/>
      <c r="O509" s="7"/>
      <c r="P509" s="7"/>
      <c r="Q509" s="7"/>
      <c r="R509" s="7"/>
      <c r="S509" s="7"/>
      <c r="T509" s="7"/>
      <c r="U509" s="7"/>
      <c r="W509" s="7"/>
    </row>
    <row r="510" spans="1:23" ht="15.75" customHeight="1">
      <c r="A510" s="8"/>
      <c r="B510" s="7"/>
      <c r="C510" s="33"/>
      <c r="D510" s="7"/>
      <c r="E510" s="7"/>
      <c r="F510" s="7"/>
      <c r="G510" s="7"/>
      <c r="H510" s="7"/>
      <c r="I510" s="7"/>
      <c r="J510" s="7"/>
      <c r="K510" s="7"/>
      <c r="L510" s="7"/>
      <c r="M510" s="7"/>
      <c r="N510" s="7"/>
      <c r="O510" s="7"/>
      <c r="P510" s="7"/>
      <c r="Q510" s="7"/>
      <c r="R510" s="7"/>
      <c r="S510" s="7"/>
      <c r="T510" s="7"/>
      <c r="U510" s="7"/>
      <c r="W510" s="7"/>
    </row>
    <row r="511" spans="1:23" ht="15.75" customHeight="1">
      <c r="A511" s="8"/>
      <c r="B511" s="7"/>
      <c r="C511" s="33"/>
      <c r="D511" s="7"/>
      <c r="E511" s="7"/>
      <c r="F511" s="7"/>
      <c r="G511" s="7"/>
      <c r="H511" s="7"/>
      <c r="I511" s="7"/>
      <c r="J511" s="7"/>
      <c r="K511" s="7"/>
      <c r="L511" s="7"/>
      <c r="M511" s="7"/>
      <c r="N511" s="7"/>
      <c r="O511" s="7"/>
      <c r="P511" s="7"/>
      <c r="Q511" s="7"/>
      <c r="R511" s="7"/>
      <c r="S511" s="7"/>
      <c r="T511" s="7"/>
      <c r="U511" s="7"/>
      <c r="W511" s="7"/>
    </row>
    <row r="512" spans="1:23" ht="15.75" customHeight="1">
      <c r="A512" s="8"/>
      <c r="B512" s="7"/>
      <c r="C512" s="33"/>
      <c r="D512" s="7"/>
      <c r="E512" s="7"/>
      <c r="F512" s="7"/>
      <c r="G512" s="7"/>
      <c r="H512" s="7"/>
      <c r="I512" s="7"/>
      <c r="J512" s="7"/>
      <c r="K512" s="7"/>
      <c r="L512" s="7"/>
      <c r="M512" s="7"/>
      <c r="N512" s="7"/>
      <c r="O512" s="7"/>
      <c r="P512" s="7"/>
      <c r="Q512" s="7"/>
      <c r="R512" s="7"/>
      <c r="S512" s="7"/>
      <c r="T512" s="7"/>
      <c r="U512" s="7"/>
      <c r="W512" s="7"/>
    </row>
    <row r="513" spans="1:23" ht="15.75" customHeight="1">
      <c r="A513" s="8"/>
      <c r="B513" s="7"/>
      <c r="C513" s="33"/>
      <c r="D513" s="7"/>
      <c r="E513" s="7"/>
      <c r="F513" s="7"/>
      <c r="G513" s="7"/>
      <c r="H513" s="7"/>
      <c r="I513" s="7"/>
      <c r="J513" s="7"/>
      <c r="K513" s="7"/>
      <c r="L513" s="7"/>
      <c r="M513" s="7"/>
      <c r="N513" s="7"/>
      <c r="O513" s="7"/>
      <c r="P513" s="7"/>
      <c r="Q513" s="7"/>
      <c r="R513" s="7"/>
      <c r="S513" s="7"/>
      <c r="T513" s="7"/>
      <c r="U513" s="7"/>
      <c r="W513" s="7"/>
    </row>
    <row r="514" spans="1:23" ht="15.75" customHeight="1">
      <c r="A514" s="8"/>
      <c r="B514" s="7"/>
      <c r="C514" s="33"/>
      <c r="D514" s="7"/>
      <c r="E514" s="7"/>
      <c r="F514" s="7"/>
      <c r="G514" s="7"/>
      <c r="H514" s="7"/>
      <c r="I514" s="7"/>
      <c r="J514" s="7"/>
      <c r="K514" s="7"/>
      <c r="L514" s="7"/>
      <c r="M514" s="7"/>
      <c r="N514" s="7"/>
      <c r="O514" s="7"/>
      <c r="P514" s="7"/>
      <c r="Q514" s="7"/>
      <c r="R514" s="7"/>
      <c r="S514" s="7"/>
      <c r="T514" s="7"/>
      <c r="U514" s="7"/>
      <c r="W514" s="7"/>
    </row>
    <row r="515" spans="1:23" ht="15.75" customHeight="1">
      <c r="A515" s="8"/>
      <c r="B515" s="7"/>
      <c r="C515" s="33"/>
      <c r="D515" s="7"/>
      <c r="E515" s="7"/>
      <c r="F515" s="7"/>
      <c r="G515" s="7"/>
      <c r="H515" s="7"/>
      <c r="I515" s="7"/>
      <c r="J515" s="7"/>
      <c r="K515" s="7"/>
      <c r="L515" s="7"/>
      <c r="M515" s="7"/>
      <c r="N515" s="7"/>
      <c r="O515" s="7"/>
      <c r="P515" s="7"/>
      <c r="Q515" s="7"/>
      <c r="R515" s="7"/>
      <c r="S515" s="7"/>
      <c r="T515" s="7"/>
      <c r="U515" s="7"/>
      <c r="W515" s="7"/>
    </row>
    <row r="516" spans="1:23" ht="15.75" customHeight="1">
      <c r="A516" s="8"/>
      <c r="B516" s="7"/>
      <c r="C516" s="33"/>
      <c r="D516" s="7"/>
      <c r="E516" s="7"/>
      <c r="F516" s="7"/>
      <c r="G516" s="7"/>
      <c r="H516" s="7"/>
      <c r="I516" s="7"/>
      <c r="J516" s="7"/>
      <c r="K516" s="7"/>
      <c r="L516" s="7"/>
      <c r="M516" s="7"/>
      <c r="N516" s="7"/>
      <c r="O516" s="7"/>
      <c r="P516" s="7"/>
      <c r="Q516" s="7"/>
      <c r="R516" s="7"/>
      <c r="S516" s="7"/>
      <c r="T516" s="7"/>
      <c r="U516" s="7"/>
      <c r="W516" s="7"/>
    </row>
    <row r="517" spans="1:23" ht="15.75" customHeight="1">
      <c r="A517" s="8"/>
      <c r="B517" s="7"/>
      <c r="C517" s="33"/>
      <c r="D517" s="7"/>
      <c r="E517" s="7"/>
      <c r="F517" s="7"/>
      <c r="G517" s="7"/>
      <c r="H517" s="7"/>
      <c r="I517" s="7"/>
      <c r="J517" s="7"/>
      <c r="K517" s="7"/>
      <c r="L517" s="7"/>
      <c r="M517" s="7"/>
      <c r="N517" s="7"/>
      <c r="O517" s="7"/>
      <c r="P517" s="7"/>
      <c r="Q517" s="7"/>
      <c r="R517" s="7"/>
      <c r="S517" s="7"/>
      <c r="T517" s="7"/>
      <c r="U517" s="7"/>
      <c r="W517" s="7"/>
    </row>
    <row r="518" spans="1:23" ht="15.75" customHeight="1">
      <c r="A518" s="8"/>
      <c r="B518" s="7"/>
      <c r="C518" s="33"/>
      <c r="D518" s="7"/>
      <c r="E518" s="7"/>
      <c r="F518" s="7"/>
      <c r="G518" s="7"/>
      <c r="H518" s="7"/>
      <c r="I518" s="7"/>
      <c r="J518" s="7"/>
      <c r="K518" s="7"/>
      <c r="L518" s="7"/>
      <c r="M518" s="7"/>
      <c r="N518" s="7"/>
      <c r="O518" s="7"/>
      <c r="P518" s="7"/>
      <c r="Q518" s="7"/>
      <c r="R518" s="7"/>
      <c r="S518" s="7"/>
      <c r="T518" s="7"/>
      <c r="U518" s="7"/>
      <c r="W518" s="7"/>
    </row>
    <row r="519" spans="1:23" ht="15.75" customHeight="1">
      <c r="A519" s="8"/>
      <c r="B519" s="7"/>
      <c r="C519" s="33"/>
      <c r="D519" s="7"/>
      <c r="E519" s="7"/>
      <c r="F519" s="7"/>
      <c r="G519" s="7"/>
      <c r="H519" s="7"/>
      <c r="I519" s="7"/>
      <c r="J519" s="7"/>
      <c r="K519" s="7"/>
      <c r="L519" s="7"/>
      <c r="M519" s="7"/>
      <c r="N519" s="7"/>
      <c r="O519" s="7"/>
      <c r="P519" s="7"/>
      <c r="Q519" s="7"/>
      <c r="R519" s="7"/>
      <c r="S519" s="7"/>
      <c r="T519" s="7"/>
      <c r="U519" s="7"/>
      <c r="W519" s="7"/>
    </row>
    <row r="520" spans="1:23" ht="15.75" customHeight="1">
      <c r="A520" s="8"/>
      <c r="B520" s="7"/>
      <c r="C520" s="33"/>
      <c r="D520" s="7"/>
      <c r="E520" s="7"/>
      <c r="F520" s="7"/>
      <c r="G520" s="7"/>
      <c r="H520" s="7"/>
      <c r="I520" s="7"/>
      <c r="J520" s="7"/>
      <c r="K520" s="7"/>
      <c r="L520" s="7"/>
      <c r="M520" s="7"/>
      <c r="N520" s="7"/>
      <c r="O520" s="7"/>
      <c r="P520" s="7"/>
      <c r="Q520" s="7"/>
      <c r="R520" s="7"/>
      <c r="S520" s="7"/>
      <c r="T520" s="7"/>
      <c r="U520" s="7"/>
      <c r="W520" s="7"/>
    </row>
    <row r="521" spans="1:23" ht="15.75" customHeight="1">
      <c r="A521" s="8"/>
      <c r="B521" s="7"/>
      <c r="C521" s="33"/>
      <c r="D521" s="7"/>
      <c r="E521" s="7"/>
      <c r="F521" s="7"/>
      <c r="G521" s="7"/>
      <c r="H521" s="7"/>
      <c r="I521" s="7"/>
      <c r="J521" s="7"/>
      <c r="K521" s="7"/>
      <c r="L521" s="7"/>
      <c r="M521" s="7"/>
      <c r="N521" s="7"/>
      <c r="O521" s="7"/>
      <c r="P521" s="7"/>
      <c r="Q521" s="7"/>
      <c r="R521" s="7"/>
      <c r="S521" s="7"/>
      <c r="T521" s="7"/>
      <c r="U521" s="7"/>
      <c r="W521" s="7"/>
    </row>
    <row r="522" spans="1:23" ht="15.75" customHeight="1">
      <c r="A522" s="8"/>
      <c r="B522" s="7"/>
      <c r="C522" s="33"/>
      <c r="D522" s="7"/>
      <c r="E522" s="7"/>
      <c r="F522" s="7"/>
      <c r="G522" s="7"/>
      <c r="H522" s="7"/>
      <c r="I522" s="7"/>
      <c r="J522" s="7"/>
      <c r="K522" s="7"/>
      <c r="L522" s="7"/>
      <c r="M522" s="7"/>
      <c r="N522" s="7"/>
      <c r="O522" s="7"/>
      <c r="P522" s="7"/>
      <c r="Q522" s="7"/>
      <c r="R522" s="7"/>
      <c r="S522" s="7"/>
      <c r="T522" s="7"/>
      <c r="U522" s="7"/>
      <c r="W522" s="7"/>
    </row>
    <row r="523" spans="1:23" ht="15.75" customHeight="1">
      <c r="A523" s="8"/>
      <c r="B523" s="7"/>
      <c r="C523" s="33"/>
      <c r="D523" s="7"/>
      <c r="E523" s="7"/>
      <c r="F523" s="7"/>
      <c r="G523" s="7"/>
      <c r="H523" s="7"/>
      <c r="I523" s="7"/>
      <c r="J523" s="7"/>
      <c r="K523" s="7"/>
      <c r="L523" s="7"/>
      <c r="M523" s="7"/>
      <c r="N523" s="7"/>
      <c r="O523" s="7"/>
      <c r="P523" s="7"/>
      <c r="Q523" s="7"/>
      <c r="R523" s="7"/>
      <c r="S523" s="7"/>
      <c r="T523" s="7"/>
      <c r="U523" s="7"/>
      <c r="W523" s="7"/>
    </row>
    <row r="524" spans="1:23" ht="15.75" customHeight="1">
      <c r="A524" s="8"/>
      <c r="B524" s="7"/>
      <c r="C524" s="33"/>
      <c r="D524" s="7"/>
      <c r="E524" s="7"/>
      <c r="F524" s="7"/>
      <c r="G524" s="7"/>
      <c r="H524" s="7"/>
      <c r="I524" s="7"/>
      <c r="J524" s="7"/>
      <c r="K524" s="7"/>
      <c r="L524" s="7"/>
      <c r="M524" s="7"/>
      <c r="N524" s="7"/>
      <c r="O524" s="7"/>
      <c r="P524" s="7"/>
      <c r="Q524" s="7"/>
      <c r="R524" s="7"/>
      <c r="S524" s="7"/>
      <c r="T524" s="7"/>
      <c r="U524" s="7"/>
      <c r="W524" s="7"/>
    </row>
    <row r="525" spans="1:23" ht="15.75" customHeight="1">
      <c r="A525" s="8"/>
      <c r="B525" s="7"/>
      <c r="C525" s="33"/>
      <c r="D525" s="7"/>
      <c r="E525" s="7"/>
      <c r="F525" s="7"/>
      <c r="G525" s="7"/>
      <c r="H525" s="7"/>
      <c r="I525" s="7"/>
      <c r="J525" s="7"/>
      <c r="K525" s="7"/>
      <c r="L525" s="7"/>
      <c r="M525" s="7"/>
      <c r="N525" s="7"/>
      <c r="O525" s="7"/>
      <c r="P525" s="7"/>
      <c r="Q525" s="7"/>
      <c r="R525" s="7"/>
      <c r="S525" s="7"/>
      <c r="T525" s="7"/>
      <c r="U525" s="7"/>
      <c r="W525" s="7"/>
    </row>
    <row r="526" spans="1:23" ht="15.75" customHeight="1">
      <c r="A526" s="8"/>
      <c r="B526" s="7"/>
      <c r="C526" s="33"/>
      <c r="D526" s="7"/>
      <c r="E526" s="7"/>
      <c r="F526" s="7"/>
      <c r="G526" s="7"/>
      <c r="H526" s="7"/>
      <c r="I526" s="7"/>
      <c r="J526" s="7"/>
      <c r="K526" s="7"/>
      <c r="L526" s="7"/>
      <c r="M526" s="7"/>
      <c r="N526" s="7"/>
      <c r="O526" s="7"/>
      <c r="P526" s="7"/>
      <c r="Q526" s="7"/>
      <c r="R526" s="7"/>
      <c r="S526" s="7"/>
      <c r="T526" s="7"/>
      <c r="U526" s="7"/>
      <c r="W526" s="7"/>
    </row>
    <row r="527" spans="1:23" ht="15.75" customHeight="1">
      <c r="A527" s="8"/>
      <c r="B527" s="7"/>
      <c r="C527" s="33"/>
      <c r="D527" s="7"/>
      <c r="E527" s="7"/>
      <c r="F527" s="7"/>
      <c r="G527" s="7"/>
      <c r="H527" s="7"/>
      <c r="I527" s="7"/>
      <c r="J527" s="7"/>
      <c r="K527" s="7"/>
      <c r="L527" s="7"/>
      <c r="M527" s="7"/>
      <c r="N527" s="7"/>
      <c r="O527" s="7"/>
      <c r="P527" s="7"/>
      <c r="Q527" s="7"/>
      <c r="R527" s="7"/>
      <c r="S527" s="7"/>
      <c r="T527" s="7"/>
      <c r="U527" s="7"/>
      <c r="W527" s="7"/>
    </row>
    <row r="528" spans="1:23" ht="15.75" customHeight="1">
      <c r="A528" s="8"/>
      <c r="B528" s="7"/>
      <c r="C528" s="33"/>
      <c r="D528" s="7"/>
      <c r="E528" s="7"/>
      <c r="F528" s="7"/>
      <c r="G528" s="7"/>
      <c r="H528" s="7"/>
      <c r="I528" s="7"/>
      <c r="J528" s="7"/>
      <c r="K528" s="7"/>
      <c r="L528" s="7"/>
      <c r="M528" s="7"/>
      <c r="N528" s="7"/>
      <c r="O528" s="7"/>
      <c r="P528" s="7"/>
      <c r="Q528" s="7"/>
      <c r="R528" s="7"/>
      <c r="S528" s="7"/>
      <c r="T528" s="7"/>
      <c r="U528" s="7"/>
      <c r="W528" s="7"/>
    </row>
    <row r="529" spans="1:23" ht="15.75" customHeight="1">
      <c r="A529" s="8"/>
      <c r="B529" s="7"/>
      <c r="C529" s="33"/>
      <c r="D529" s="7"/>
      <c r="E529" s="7"/>
      <c r="F529" s="7"/>
      <c r="G529" s="7"/>
      <c r="H529" s="7"/>
      <c r="I529" s="7"/>
      <c r="J529" s="7"/>
      <c r="K529" s="7"/>
      <c r="L529" s="7"/>
      <c r="M529" s="7"/>
      <c r="N529" s="7"/>
      <c r="O529" s="7"/>
      <c r="P529" s="7"/>
      <c r="Q529" s="7"/>
      <c r="R529" s="7"/>
      <c r="S529" s="7"/>
      <c r="T529" s="7"/>
      <c r="U529" s="7"/>
      <c r="W529" s="7"/>
    </row>
    <row r="530" spans="1:23" ht="15.75" customHeight="1">
      <c r="A530" s="8"/>
      <c r="B530" s="7"/>
      <c r="C530" s="33"/>
      <c r="D530" s="7"/>
      <c r="E530" s="7"/>
      <c r="F530" s="7"/>
      <c r="G530" s="7"/>
      <c r="H530" s="7"/>
      <c r="I530" s="7"/>
      <c r="J530" s="7"/>
      <c r="K530" s="7"/>
      <c r="L530" s="7"/>
      <c r="M530" s="7"/>
      <c r="N530" s="7"/>
      <c r="O530" s="7"/>
      <c r="P530" s="7"/>
      <c r="Q530" s="7"/>
      <c r="R530" s="7"/>
      <c r="S530" s="7"/>
      <c r="T530" s="7"/>
      <c r="U530" s="7"/>
      <c r="W530" s="7"/>
    </row>
    <row r="531" spans="1:23" ht="15.75" customHeight="1">
      <c r="A531" s="8"/>
      <c r="B531" s="7"/>
      <c r="C531" s="33"/>
      <c r="D531" s="7"/>
      <c r="E531" s="7"/>
      <c r="F531" s="7"/>
      <c r="G531" s="7"/>
      <c r="H531" s="7"/>
      <c r="I531" s="7"/>
      <c r="J531" s="7"/>
      <c r="K531" s="7"/>
      <c r="L531" s="7"/>
      <c r="M531" s="7"/>
      <c r="N531" s="7"/>
      <c r="O531" s="7"/>
      <c r="P531" s="7"/>
      <c r="Q531" s="7"/>
      <c r="R531" s="7"/>
      <c r="S531" s="7"/>
      <c r="T531" s="7"/>
      <c r="U531" s="7"/>
      <c r="W531" s="7"/>
    </row>
    <row r="532" spans="1:23" ht="15.75" customHeight="1">
      <c r="A532" s="8"/>
      <c r="B532" s="7"/>
      <c r="C532" s="33"/>
      <c r="D532" s="7"/>
      <c r="E532" s="7"/>
      <c r="F532" s="7"/>
      <c r="G532" s="7"/>
      <c r="H532" s="7"/>
      <c r="I532" s="7"/>
      <c r="J532" s="7"/>
      <c r="K532" s="7"/>
      <c r="L532" s="7"/>
      <c r="M532" s="7"/>
      <c r="N532" s="7"/>
      <c r="O532" s="7"/>
      <c r="P532" s="7"/>
      <c r="Q532" s="7"/>
      <c r="R532" s="7"/>
      <c r="S532" s="7"/>
      <c r="T532" s="7"/>
      <c r="U532" s="7"/>
      <c r="W532" s="7"/>
    </row>
    <row r="533" spans="1:23" ht="15.75" customHeight="1">
      <c r="A533" s="8"/>
      <c r="B533" s="7"/>
      <c r="C533" s="33"/>
      <c r="D533" s="7"/>
      <c r="E533" s="7"/>
      <c r="F533" s="7"/>
      <c r="G533" s="7"/>
      <c r="H533" s="7"/>
      <c r="I533" s="7"/>
      <c r="J533" s="7"/>
      <c r="K533" s="7"/>
      <c r="L533" s="7"/>
      <c r="M533" s="7"/>
      <c r="N533" s="7"/>
      <c r="O533" s="7"/>
      <c r="P533" s="7"/>
      <c r="Q533" s="7"/>
      <c r="R533" s="7"/>
      <c r="S533" s="7"/>
      <c r="T533" s="7"/>
      <c r="U533" s="7"/>
      <c r="W533" s="7"/>
    </row>
    <row r="534" spans="1:23" ht="15.75" customHeight="1">
      <c r="A534" s="8"/>
      <c r="B534" s="7"/>
      <c r="C534" s="33"/>
      <c r="D534" s="7"/>
      <c r="E534" s="7"/>
      <c r="F534" s="7"/>
      <c r="G534" s="7"/>
      <c r="H534" s="7"/>
      <c r="I534" s="7"/>
      <c r="J534" s="7"/>
      <c r="K534" s="7"/>
      <c r="L534" s="7"/>
      <c r="M534" s="7"/>
      <c r="N534" s="7"/>
      <c r="O534" s="7"/>
      <c r="P534" s="7"/>
      <c r="Q534" s="7"/>
      <c r="R534" s="7"/>
      <c r="S534" s="7"/>
      <c r="T534" s="7"/>
      <c r="U534" s="7"/>
      <c r="W534" s="7"/>
    </row>
    <row r="535" spans="1:23" ht="15.75" customHeight="1">
      <c r="A535" s="8"/>
      <c r="B535" s="7"/>
      <c r="C535" s="33"/>
      <c r="D535" s="7"/>
      <c r="E535" s="7"/>
      <c r="F535" s="7"/>
      <c r="G535" s="7"/>
      <c r="H535" s="7"/>
      <c r="I535" s="7"/>
      <c r="J535" s="7"/>
      <c r="K535" s="7"/>
      <c r="L535" s="7"/>
      <c r="M535" s="7"/>
      <c r="N535" s="7"/>
      <c r="O535" s="7"/>
      <c r="P535" s="7"/>
      <c r="Q535" s="7"/>
      <c r="R535" s="7"/>
      <c r="S535" s="7"/>
      <c r="T535" s="7"/>
      <c r="U535" s="7"/>
      <c r="W535" s="7"/>
    </row>
    <row r="536" spans="1:23" ht="15.75" customHeight="1">
      <c r="A536" s="8"/>
      <c r="B536" s="7"/>
      <c r="C536" s="33"/>
      <c r="D536" s="7"/>
      <c r="E536" s="7"/>
      <c r="F536" s="7"/>
      <c r="G536" s="7"/>
      <c r="H536" s="7"/>
      <c r="I536" s="7"/>
      <c r="J536" s="7"/>
      <c r="K536" s="7"/>
      <c r="L536" s="7"/>
      <c r="M536" s="7"/>
      <c r="N536" s="7"/>
      <c r="O536" s="7"/>
      <c r="P536" s="7"/>
      <c r="Q536" s="7"/>
      <c r="R536" s="7"/>
      <c r="S536" s="7"/>
      <c r="T536" s="7"/>
      <c r="U536" s="7"/>
      <c r="W536" s="7"/>
    </row>
    <row r="537" spans="1:23" ht="15.75" customHeight="1">
      <c r="A537" s="8"/>
      <c r="B537" s="7"/>
      <c r="C537" s="33"/>
      <c r="D537" s="7"/>
      <c r="E537" s="7"/>
      <c r="F537" s="7"/>
      <c r="G537" s="7"/>
      <c r="H537" s="7"/>
      <c r="I537" s="7"/>
      <c r="J537" s="7"/>
      <c r="K537" s="7"/>
      <c r="L537" s="7"/>
      <c r="M537" s="7"/>
      <c r="N537" s="7"/>
      <c r="O537" s="7"/>
      <c r="P537" s="7"/>
      <c r="Q537" s="7"/>
      <c r="R537" s="7"/>
      <c r="S537" s="7"/>
      <c r="T537" s="7"/>
      <c r="U537" s="7"/>
      <c r="W537" s="7"/>
    </row>
    <row r="538" spans="1:23" ht="15.75" customHeight="1">
      <c r="A538" s="8"/>
      <c r="B538" s="7"/>
      <c r="C538" s="33"/>
      <c r="D538" s="7"/>
      <c r="E538" s="7"/>
      <c r="F538" s="7"/>
      <c r="G538" s="7"/>
      <c r="H538" s="7"/>
      <c r="I538" s="7"/>
      <c r="J538" s="7"/>
      <c r="K538" s="7"/>
      <c r="L538" s="7"/>
      <c r="M538" s="7"/>
      <c r="N538" s="7"/>
      <c r="O538" s="7"/>
      <c r="P538" s="7"/>
      <c r="Q538" s="7"/>
      <c r="R538" s="7"/>
      <c r="S538" s="7"/>
      <c r="T538" s="7"/>
      <c r="U538" s="7"/>
      <c r="W538" s="7"/>
    </row>
    <row r="539" spans="1:23" ht="15.75" customHeight="1">
      <c r="A539" s="8"/>
      <c r="B539" s="7"/>
      <c r="C539" s="33"/>
      <c r="D539" s="7"/>
      <c r="E539" s="7"/>
      <c r="F539" s="7"/>
      <c r="G539" s="7"/>
      <c r="H539" s="7"/>
      <c r="I539" s="7"/>
      <c r="J539" s="7"/>
      <c r="K539" s="7"/>
      <c r="L539" s="7"/>
      <c r="M539" s="7"/>
      <c r="N539" s="7"/>
      <c r="O539" s="7"/>
      <c r="P539" s="7"/>
      <c r="Q539" s="7"/>
      <c r="R539" s="7"/>
      <c r="S539" s="7"/>
      <c r="T539" s="7"/>
      <c r="U539" s="7"/>
      <c r="W539" s="7"/>
    </row>
    <row r="540" spans="1:23" ht="15.75" customHeight="1">
      <c r="A540" s="8"/>
      <c r="B540" s="7"/>
      <c r="C540" s="33"/>
      <c r="D540" s="7"/>
      <c r="E540" s="7"/>
      <c r="F540" s="7"/>
      <c r="G540" s="7"/>
      <c r="H540" s="7"/>
      <c r="I540" s="7"/>
      <c r="J540" s="7"/>
      <c r="K540" s="7"/>
      <c r="L540" s="7"/>
      <c r="M540" s="7"/>
      <c r="N540" s="7"/>
      <c r="O540" s="7"/>
      <c r="P540" s="7"/>
      <c r="Q540" s="7"/>
      <c r="R540" s="7"/>
      <c r="S540" s="7"/>
      <c r="T540" s="7"/>
      <c r="U540" s="7"/>
      <c r="W540" s="7"/>
    </row>
    <row r="541" spans="1:23" ht="15.75" customHeight="1">
      <c r="A541" s="8"/>
      <c r="B541" s="7"/>
      <c r="C541" s="33"/>
      <c r="D541" s="7"/>
      <c r="E541" s="7"/>
      <c r="F541" s="7"/>
      <c r="G541" s="7"/>
      <c r="H541" s="7"/>
      <c r="I541" s="7"/>
      <c r="J541" s="7"/>
      <c r="K541" s="7"/>
      <c r="L541" s="7"/>
      <c r="M541" s="7"/>
      <c r="N541" s="7"/>
      <c r="O541" s="7"/>
      <c r="P541" s="7"/>
      <c r="Q541" s="7"/>
      <c r="R541" s="7"/>
      <c r="S541" s="7"/>
      <c r="T541" s="7"/>
      <c r="U541" s="7"/>
      <c r="W541" s="7"/>
    </row>
    <row r="542" spans="1:23" ht="15.75" customHeight="1">
      <c r="A542" s="8"/>
      <c r="B542" s="7"/>
      <c r="C542" s="33"/>
      <c r="D542" s="7"/>
      <c r="E542" s="7"/>
      <c r="F542" s="7"/>
      <c r="G542" s="7"/>
      <c r="H542" s="7"/>
      <c r="I542" s="7"/>
      <c r="J542" s="7"/>
      <c r="K542" s="7"/>
      <c r="L542" s="7"/>
      <c r="M542" s="7"/>
      <c r="N542" s="7"/>
      <c r="O542" s="7"/>
      <c r="P542" s="7"/>
      <c r="Q542" s="7"/>
      <c r="R542" s="7"/>
      <c r="S542" s="7"/>
      <c r="T542" s="7"/>
      <c r="U542" s="7"/>
      <c r="W542" s="7"/>
    </row>
    <row r="543" spans="1:23" ht="15.75" customHeight="1">
      <c r="A543" s="8"/>
      <c r="B543" s="7"/>
      <c r="C543" s="33"/>
      <c r="D543" s="7"/>
      <c r="E543" s="7"/>
      <c r="F543" s="7"/>
      <c r="G543" s="7"/>
      <c r="H543" s="7"/>
      <c r="I543" s="7"/>
      <c r="J543" s="7"/>
      <c r="K543" s="7"/>
      <c r="L543" s="7"/>
      <c r="M543" s="7"/>
      <c r="N543" s="7"/>
      <c r="O543" s="7"/>
      <c r="P543" s="7"/>
      <c r="Q543" s="7"/>
      <c r="R543" s="7"/>
      <c r="S543" s="7"/>
      <c r="T543" s="7"/>
      <c r="U543" s="7"/>
      <c r="W543" s="7"/>
    </row>
    <row r="544" spans="1:23" ht="15.75" customHeight="1">
      <c r="A544" s="8"/>
      <c r="B544" s="7"/>
      <c r="C544" s="33"/>
      <c r="D544" s="7"/>
      <c r="E544" s="7"/>
      <c r="F544" s="7"/>
      <c r="G544" s="7"/>
      <c r="H544" s="7"/>
      <c r="I544" s="7"/>
      <c r="J544" s="7"/>
      <c r="K544" s="7"/>
      <c r="L544" s="7"/>
      <c r="M544" s="7"/>
      <c r="N544" s="7"/>
      <c r="O544" s="7"/>
      <c r="P544" s="7"/>
      <c r="Q544" s="7"/>
      <c r="R544" s="7"/>
      <c r="S544" s="7"/>
      <c r="T544" s="7"/>
      <c r="U544" s="7"/>
      <c r="W544" s="7"/>
    </row>
    <row r="545" spans="1:23" ht="15.75" customHeight="1">
      <c r="A545" s="8"/>
      <c r="B545" s="7"/>
      <c r="C545" s="33"/>
      <c r="D545" s="7"/>
      <c r="E545" s="7"/>
      <c r="F545" s="7"/>
      <c r="G545" s="7"/>
      <c r="H545" s="7"/>
      <c r="I545" s="7"/>
      <c r="J545" s="7"/>
      <c r="K545" s="7"/>
      <c r="L545" s="7"/>
      <c r="M545" s="7"/>
      <c r="N545" s="7"/>
      <c r="O545" s="7"/>
      <c r="P545" s="7"/>
      <c r="Q545" s="7"/>
      <c r="R545" s="7"/>
      <c r="S545" s="7"/>
      <c r="T545" s="7"/>
      <c r="U545" s="7"/>
      <c r="W545" s="7"/>
    </row>
    <row r="546" spans="1:23" ht="15.75" customHeight="1">
      <c r="A546" s="8"/>
      <c r="B546" s="7"/>
      <c r="C546" s="33"/>
      <c r="D546" s="7"/>
      <c r="E546" s="7"/>
      <c r="F546" s="7"/>
      <c r="G546" s="7"/>
      <c r="H546" s="7"/>
      <c r="I546" s="7"/>
      <c r="J546" s="7"/>
      <c r="K546" s="7"/>
      <c r="L546" s="7"/>
      <c r="M546" s="7"/>
      <c r="N546" s="7"/>
      <c r="O546" s="7"/>
      <c r="P546" s="7"/>
      <c r="Q546" s="7"/>
      <c r="R546" s="7"/>
      <c r="S546" s="7"/>
      <c r="T546" s="7"/>
      <c r="U546" s="7"/>
      <c r="W546" s="7"/>
    </row>
    <row r="547" spans="1:23" ht="15.75" customHeight="1">
      <c r="A547" s="8"/>
      <c r="B547" s="7"/>
      <c r="C547" s="33"/>
      <c r="D547" s="7"/>
      <c r="E547" s="7"/>
      <c r="F547" s="7"/>
      <c r="G547" s="7"/>
      <c r="H547" s="7"/>
      <c r="I547" s="7"/>
      <c r="J547" s="7"/>
      <c r="K547" s="7"/>
      <c r="L547" s="7"/>
      <c r="M547" s="7"/>
      <c r="N547" s="7"/>
      <c r="O547" s="7"/>
      <c r="P547" s="7"/>
      <c r="Q547" s="7"/>
      <c r="R547" s="7"/>
      <c r="S547" s="7"/>
      <c r="T547" s="7"/>
      <c r="U547" s="7"/>
      <c r="W547" s="7"/>
    </row>
    <row r="548" spans="1:23" ht="15.75" customHeight="1">
      <c r="A548" s="8"/>
      <c r="B548" s="7"/>
      <c r="C548" s="33"/>
      <c r="D548" s="7"/>
      <c r="E548" s="7"/>
      <c r="F548" s="7"/>
      <c r="G548" s="7"/>
      <c r="H548" s="7"/>
      <c r="I548" s="7"/>
      <c r="J548" s="7"/>
      <c r="K548" s="7"/>
      <c r="L548" s="7"/>
      <c r="M548" s="7"/>
      <c r="N548" s="7"/>
      <c r="O548" s="7"/>
      <c r="P548" s="7"/>
      <c r="Q548" s="7"/>
      <c r="R548" s="7"/>
      <c r="S548" s="7"/>
      <c r="T548" s="7"/>
      <c r="U548" s="7"/>
      <c r="W548" s="7"/>
    </row>
    <row r="549" spans="1:23" ht="15.75" customHeight="1">
      <c r="A549" s="8"/>
      <c r="B549" s="7"/>
      <c r="C549" s="33"/>
      <c r="D549" s="7"/>
      <c r="E549" s="7"/>
      <c r="F549" s="7"/>
      <c r="G549" s="7"/>
      <c r="H549" s="7"/>
      <c r="I549" s="7"/>
      <c r="J549" s="7"/>
      <c r="K549" s="7"/>
      <c r="L549" s="7"/>
      <c r="M549" s="7"/>
      <c r="N549" s="7"/>
      <c r="O549" s="7"/>
      <c r="P549" s="7"/>
      <c r="Q549" s="7"/>
      <c r="R549" s="7"/>
      <c r="S549" s="7"/>
      <c r="T549" s="7"/>
      <c r="U549" s="7"/>
      <c r="W549" s="7"/>
    </row>
    <row r="550" spans="1:23" ht="15.75" customHeight="1">
      <c r="A550" s="8"/>
      <c r="B550" s="7"/>
      <c r="C550" s="33"/>
      <c r="D550" s="7"/>
      <c r="E550" s="7"/>
      <c r="F550" s="7"/>
      <c r="G550" s="7"/>
      <c r="H550" s="7"/>
      <c r="I550" s="7"/>
      <c r="J550" s="7"/>
      <c r="K550" s="7"/>
      <c r="L550" s="7"/>
      <c r="M550" s="7"/>
      <c r="N550" s="7"/>
      <c r="O550" s="7"/>
      <c r="P550" s="7"/>
      <c r="Q550" s="7"/>
      <c r="R550" s="7"/>
      <c r="S550" s="7"/>
      <c r="T550" s="7"/>
      <c r="U550" s="7"/>
      <c r="W550" s="7"/>
    </row>
    <row r="551" spans="1:23" ht="15.75" customHeight="1">
      <c r="A551" s="8"/>
      <c r="B551" s="7"/>
      <c r="C551" s="33"/>
      <c r="D551" s="7"/>
      <c r="E551" s="7"/>
      <c r="F551" s="7"/>
      <c r="G551" s="7"/>
      <c r="H551" s="7"/>
      <c r="I551" s="7"/>
      <c r="J551" s="7"/>
      <c r="K551" s="7"/>
      <c r="L551" s="7"/>
      <c r="M551" s="7"/>
      <c r="N551" s="7"/>
      <c r="O551" s="7"/>
      <c r="P551" s="7"/>
      <c r="Q551" s="7"/>
      <c r="R551" s="7"/>
      <c r="S551" s="7"/>
      <c r="T551" s="7"/>
      <c r="U551" s="7"/>
      <c r="W551" s="7"/>
    </row>
    <row r="552" spans="1:23" ht="15.75" customHeight="1">
      <c r="A552" s="8"/>
      <c r="B552" s="7"/>
      <c r="C552" s="33"/>
      <c r="D552" s="7"/>
      <c r="E552" s="7"/>
      <c r="F552" s="7"/>
      <c r="G552" s="7"/>
      <c r="H552" s="7"/>
      <c r="I552" s="7"/>
      <c r="J552" s="7"/>
      <c r="K552" s="7"/>
      <c r="L552" s="7"/>
      <c r="M552" s="7"/>
      <c r="N552" s="7"/>
      <c r="O552" s="7"/>
      <c r="P552" s="7"/>
      <c r="Q552" s="7"/>
      <c r="R552" s="7"/>
      <c r="S552" s="7"/>
      <c r="T552" s="7"/>
      <c r="U552" s="7"/>
      <c r="W552" s="7"/>
    </row>
    <row r="553" spans="1:23" ht="15.75" customHeight="1">
      <c r="A553" s="8"/>
      <c r="B553" s="7"/>
      <c r="C553" s="33"/>
      <c r="D553" s="7"/>
      <c r="E553" s="7"/>
      <c r="F553" s="7"/>
      <c r="G553" s="7"/>
      <c r="H553" s="7"/>
      <c r="I553" s="7"/>
      <c r="J553" s="7"/>
      <c r="K553" s="7"/>
      <c r="L553" s="7"/>
      <c r="M553" s="7"/>
      <c r="N553" s="7"/>
      <c r="O553" s="7"/>
      <c r="P553" s="7"/>
      <c r="Q553" s="7"/>
      <c r="R553" s="7"/>
      <c r="S553" s="7"/>
      <c r="T553" s="7"/>
      <c r="U553" s="7"/>
      <c r="W553" s="7"/>
    </row>
    <row r="554" spans="1:23" ht="15.75" customHeight="1">
      <c r="A554" s="8"/>
      <c r="B554" s="7"/>
      <c r="C554" s="33"/>
      <c r="D554" s="7"/>
      <c r="E554" s="7"/>
      <c r="F554" s="7"/>
      <c r="G554" s="7"/>
      <c r="H554" s="7"/>
      <c r="I554" s="7"/>
      <c r="J554" s="7"/>
      <c r="K554" s="7"/>
      <c r="L554" s="7"/>
      <c r="M554" s="7"/>
      <c r="N554" s="7"/>
      <c r="O554" s="7"/>
      <c r="P554" s="7"/>
      <c r="Q554" s="7"/>
      <c r="R554" s="7"/>
      <c r="S554" s="7"/>
      <c r="T554" s="7"/>
      <c r="U554" s="7"/>
      <c r="W554" s="7"/>
    </row>
    <row r="555" spans="1:23" ht="15.75" customHeight="1">
      <c r="A555" s="8"/>
      <c r="B555" s="7"/>
      <c r="C555" s="33"/>
      <c r="D555" s="7"/>
      <c r="E555" s="7"/>
      <c r="F555" s="7"/>
      <c r="G555" s="7"/>
      <c r="H555" s="7"/>
      <c r="I555" s="7"/>
      <c r="J555" s="7"/>
      <c r="K555" s="7"/>
      <c r="L555" s="7"/>
      <c r="M555" s="7"/>
      <c r="N555" s="7"/>
      <c r="O555" s="7"/>
      <c r="P555" s="7"/>
      <c r="Q555" s="7"/>
      <c r="R555" s="7"/>
      <c r="S555" s="7"/>
      <c r="T555" s="7"/>
      <c r="U555" s="7"/>
      <c r="W555" s="7"/>
    </row>
    <row r="556" spans="1:23" ht="15.75" customHeight="1">
      <c r="A556" s="8"/>
      <c r="B556" s="7"/>
      <c r="C556" s="33"/>
      <c r="D556" s="7"/>
      <c r="E556" s="7"/>
      <c r="F556" s="7"/>
      <c r="G556" s="7"/>
      <c r="H556" s="7"/>
      <c r="I556" s="7"/>
      <c r="J556" s="7"/>
      <c r="K556" s="7"/>
      <c r="L556" s="7"/>
      <c r="M556" s="7"/>
      <c r="N556" s="7"/>
      <c r="O556" s="7"/>
      <c r="P556" s="7"/>
      <c r="Q556" s="7"/>
      <c r="R556" s="7"/>
      <c r="S556" s="7"/>
      <c r="T556" s="7"/>
      <c r="U556" s="7"/>
      <c r="W556" s="7"/>
    </row>
    <row r="557" spans="1:23" ht="15.75" customHeight="1">
      <c r="A557" s="8"/>
      <c r="B557" s="7"/>
      <c r="C557" s="33"/>
      <c r="D557" s="7"/>
      <c r="E557" s="7"/>
      <c r="F557" s="7"/>
      <c r="G557" s="7"/>
      <c r="H557" s="7"/>
      <c r="I557" s="7"/>
      <c r="J557" s="7"/>
      <c r="K557" s="7"/>
      <c r="L557" s="7"/>
      <c r="M557" s="7"/>
      <c r="N557" s="7"/>
      <c r="O557" s="7"/>
      <c r="P557" s="7"/>
      <c r="Q557" s="7"/>
      <c r="R557" s="7"/>
      <c r="S557" s="7"/>
      <c r="T557" s="7"/>
      <c r="U557" s="7"/>
      <c r="W557" s="7"/>
    </row>
    <row r="558" spans="1:23" ht="15.75" customHeight="1">
      <c r="A558" s="8"/>
      <c r="B558" s="7"/>
      <c r="C558" s="33"/>
      <c r="D558" s="7"/>
      <c r="E558" s="7"/>
      <c r="F558" s="7"/>
      <c r="G558" s="7"/>
      <c r="H558" s="7"/>
      <c r="I558" s="7"/>
      <c r="J558" s="7"/>
      <c r="K558" s="7"/>
      <c r="L558" s="7"/>
      <c r="M558" s="7"/>
      <c r="N558" s="7"/>
      <c r="O558" s="7"/>
      <c r="P558" s="7"/>
      <c r="Q558" s="7"/>
      <c r="R558" s="7"/>
      <c r="S558" s="7"/>
      <c r="T558" s="7"/>
      <c r="U558" s="7"/>
      <c r="W558" s="7"/>
    </row>
    <row r="559" spans="1:23" ht="15.75" customHeight="1">
      <c r="A559" s="8"/>
      <c r="B559" s="7"/>
      <c r="C559" s="33"/>
      <c r="D559" s="7"/>
      <c r="E559" s="7"/>
      <c r="F559" s="7"/>
      <c r="G559" s="7"/>
      <c r="H559" s="7"/>
      <c r="I559" s="7"/>
      <c r="J559" s="7"/>
      <c r="K559" s="7"/>
      <c r="L559" s="7"/>
      <c r="M559" s="7"/>
      <c r="N559" s="7"/>
      <c r="O559" s="7"/>
      <c r="P559" s="7"/>
      <c r="Q559" s="7"/>
      <c r="R559" s="7"/>
      <c r="S559" s="7"/>
      <c r="T559" s="7"/>
      <c r="U559" s="7"/>
      <c r="W559" s="7"/>
    </row>
    <row r="560" spans="1:23" ht="15.75" customHeight="1">
      <c r="A560" s="8"/>
      <c r="B560" s="7"/>
      <c r="C560" s="33"/>
      <c r="D560" s="7"/>
      <c r="E560" s="7"/>
      <c r="F560" s="7"/>
      <c r="G560" s="7"/>
      <c r="H560" s="7"/>
      <c r="I560" s="7"/>
      <c r="J560" s="7"/>
      <c r="K560" s="7"/>
      <c r="L560" s="7"/>
      <c r="M560" s="7"/>
      <c r="N560" s="7"/>
      <c r="O560" s="7"/>
      <c r="P560" s="7"/>
      <c r="Q560" s="7"/>
      <c r="R560" s="7"/>
      <c r="S560" s="7"/>
      <c r="T560" s="7"/>
      <c r="U560" s="7"/>
      <c r="W560" s="7"/>
    </row>
    <row r="561" spans="1:23" ht="15.75" customHeight="1">
      <c r="A561" s="8"/>
      <c r="B561" s="7"/>
      <c r="C561" s="33"/>
      <c r="D561" s="7"/>
      <c r="E561" s="7"/>
      <c r="F561" s="7"/>
      <c r="G561" s="7"/>
      <c r="H561" s="7"/>
      <c r="I561" s="7"/>
      <c r="J561" s="7"/>
      <c r="K561" s="7"/>
      <c r="L561" s="7"/>
      <c r="M561" s="7"/>
      <c r="N561" s="7"/>
      <c r="O561" s="7"/>
      <c r="P561" s="7"/>
      <c r="Q561" s="7"/>
      <c r="R561" s="7"/>
      <c r="S561" s="7"/>
      <c r="T561" s="7"/>
      <c r="U561" s="7"/>
      <c r="W561" s="7"/>
    </row>
    <row r="562" spans="1:23" ht="15.75" customHeight="1">
      <c r="A562" s="8"/>
      <c r="B562" s="7"/>
      <c r="C562" s="33"/>
      <c r="D562" s="7"/>
      <c r="E562" s="7"/>
      <c r="F562" s="7"/>
      <c r="G562" s="7"/>
      <c r="H562" s="7"/>
      <c r="I562" s="7"/>
      <c r="J562" s="7"/>
      <c r="K562" s="7"/>
      <c r="L562" s="7"/>
      <c r="M562" s="7"/>
      <c r="N562" s="7"/>
      <c r="O562" s="7"/>
      <c r="P562" s="7"/>
      <c r="Q562" s="7"/>
      <c r="R562" s="7"/>
      <c r="S562" s="7"/>
      <c r="T562" s="7"/>
      <c r="U562" s="7"/>
      <c r="W562" s="7"/>
    </row>
    <row r="563" spans="1:23" ht="15.75" customHeight="1">
      <c r="A563" s="8"/>
      <c r="B563" s="7"/>
      <c r="C563" s="33"/>
      <c r="D563" s="7"/>
      <c r="E563" s="7"/>
      <c r="F563" s="7"/>
      <c r="G563" s="7"/>
      <c r="H563" s="7"/>
      <c r="I563" s="7"/>
      <c r="J563" s="7"/>
      <c r="K563" s="7"/>
      <c r="L563" s="7"/>
      <c r="M563" s="7"/>
      <c r="N563" s="7"/>
      <c r="O563" s="7"/>
      <c r="P563" s="7"/>
      <c r="Q563" s="7"/>
      <c r="R563" s="7"/>
      <c r="S563" s="7"/>
      <c r="T563" s="7"/>
      <c r="U563" s="7"/>
      <c r="W563" s="7"/>
    </row>
    <row r="564" spans="1:23" ht="15.75" customHeight="1">
      <c r="A564" s="8"/>
      <c r="B564" s="7"/>
      <c r="C564" s="33"/>
      <c r="D564" s="7"/>
      <c r="E564" s="7"/>
      <c r="F564" s="7"/>
      <c r="G564" s="7"/>
      <c r="H564" s="7"/>
      <c r="I564" s="7"/>
      <c r="J564" s="7"/>
      <c r="K564" s="7"/>
      <c r="L564" s="7"/>
      <c r="M564" s="7"/>
      <c r="N564" s="7"/>
      <c r="O564" s="7"/>
      <c r="P564" s="7"/>
      <c r="Q564" s="7"/>
      <c r="R564" s="7"/>
      <c r="S564" s="7"/>
      <c r="T564" s="7"/>
      <c r="U564" s="7"/>
      <c r="W564" s="7"/>
    </row>
    <row r="565" spans="1:23" ht="15.75" customHeight="1">
      <c r="A565" s="8"/>
      <c r="B565" s="7"/>
      <c r="C565" s="33"/>
      <c r="D565" s="7"/>
      <c r="E565" s="7"/>
      <c r="F565" s="7"/>
      <c r="G565" s="7"/>
      <c r="H565" s="7"/>
      <c r="I565" s="7"/>
      <c r="J565" s="7"/>
      <c r="K565" s="7"/>
      <c r="L565" s="7"/>
      <c r="M565" s="7"/>
      <c r="N565" s="7"/>
      <c r="O565" s="7"/>
      <c r="P565" s="7"/>
      <c r="Q565" s="7"/>
      <c r="R565" s="7"/>
      <c r="S565" s="7"/>
      <c r="T565" s="7"/>
      <c r="U565" s="7"/>
      <c r="W565" s="7"/>
    </row>
    <row r="566" spans="1:23" ht="15.75" customHeight="1">
      <c r="A566" s="8"/>
      <c r="B566" s="7"/>
      <c r="C566" s="33"/>
      <c r="D566" s="7"/>
      <c r="E566" s="7"/>
      <c r="F566" s="7"/>
      <c r="G566" s="7"/>
      <c r="H566" s="7"/>
      <c r="I566" s="7"/>
      <c r="J566" s="7"/>
      <c r="K566" s="7"/>
      <c r="L566" s="7"/>
      <c r="M566" s="7"/>
      <c r="N566" s="7"/>
      <c r="O566" s="7"/>
      <c r="P566" s="7"/>
      <c r="Q566" s="7"/>
      <c r="R566" s="7"/>
      <c r="S566" s="7"/>
      <c r="T566" s="7"/>
      <c r="U566" s="7"/>
      <c r="W566" s="7"/>
    </row>
    <row r="567" spans="1:23" ht="15.75" customHeight="1">
      <c r="A567" s="8"/>
      <c r="B567" s="7"/>
      <c r="C567" s="33"/>
      <c r="D567" s="7"/>
      <c r="E567" s="7"/>
      <c r="F567" s="7"/>
      <c r="G567" s="7"/>
      <c r="H567" s="7"/>
      <c r="I567" s="7"/>
      <c r="J567" s="7"/>
      <c r="K567" s="7"/>
      <c r="L567" s="7"/>
      <c r="M567" s="7"/>
      <c r="N567" s="7"/>
      <c r="O567" s="7"/>
      <c r="P567" s="7"/>
      <c r="Q567" s="7"/>
      <c r="R567" s="7"/>
      <c r="S567" s="7"/>
      <c r="T567" s="7"/>
      <c r="U567" s="7"/>
      <c r="W567" s="7"/>
    </row>
    <row r="568" spans="1:23" ht="15.75" customHeight="1">
      <c r="A568" s="8"/>
      <c r="B568" s="7"/>
      <c r="C568" s="33"/>
      <c r="D568" s="7"/>
      <c r="E568" s="7"/>
      <c r="F568" s="7"/>
      <c r="G568" s="7"/>
      <c r="H568" s="7"/>
      <c r="I568" s="7"/>
      <c r="J568" s="7"/>
      <c r="K568" s="7"/>
      <c r="L568" s="7"/>
      <c r="M568" s="7"/>
      <c r="N568" s="7"/>
      <c r="O568" s="7"/>
      <c r="P568" s="7"/>
      <c r="Q568" s="7"/>
      <c r="R568" s="7"/>
      <c r="S568" s="7"/>
      <c r="T568" s="7"/>
      <c r="U568" s="7"/>
      <c r="W568" s="7"/>
    </row>
    <row r="569" spans="1:23" ht="15.75" customHeight="1">
      <c r="A569" s="8"/>
      <c r="B569" s="7"/>
      <c r="C569" s="33"/>
      <c r="D569" s="7"/>
      <c r="E569" s="7"/>
      <c r="F569" s="7"/>
      <c r="G569" s="7"/>
      <c r="H569" s="7"/>
      <c r="I569" s="7"/>
      <c r="J569" s="7"/>
      <c r="K569" s="7"/>
      <c r="L569" s="7"/>
      <c r="M569" s="7"/>
      <c r="N569" s="7"/>
      <c r="O569" s="7"/>
      <c r="P569" s="7"/>
      <c r="Q569" s="7"/>
      <c r="R569" s="7"/>
      <c r="S569" s="7"/>
      <c r="T569" s="7"/>
      <c r="U569" s="7"/>
      <c r="W569" s="7"/>
    </row>
    <row r="570" spans="1:23" ht="15.75" customHeight="1">
      <c r="A570" s="8"/>
      <c r="B570" s="7"/>
      <c r="C570" s="33"/>
      <c r="D570" s="7"/>
      <c r="E570" s="7"/>
      <c r="F570" s="7"/>
      <c r="G570" s="7"/>
      <c r="H570" s="7"/>
      <c r="I570" s="7"/>
      <c r="J570" s="7"/>
      <c r="K570" s="7"/>
      <c r="L570" s="7"/>
      <c r="M570" s="7"/>
      <c r="N570" s="7"/>
      <c r="O570" s="7"/>
      <c r="P570" s="7"/>
      <c r="Q570" s="7"/>
      <c r="R570" s="7"/>
      <c r="S570" s="7"/>
      <c r="T570" s="7"/>
      <c r="U570" s="7"/>
      <c r="W570" s="7"/>
    </row>
    <row r="571" spans="1:23" ht="15.75" customHeight="1">
      <c r="A571" s="8"/>
      <c r="B571" s="7"/>
      <c r="C571" s="33"/>
      <c r="D571" s="7"/>
      <c r="E571" s="7"/>
      <c r="F571" s="7"/>
      <c r="G571" s="7"/>
      <c r="H571" s="7"/>
      <c r="I571" s="7"/>
      <c r="J571" s="7"/>
      <c r="K571" s="7"/>
      <c r="L571" s="7"/>
      <c r="M571" s="7"/>
      <c r="N571" s="7"/>
      <c r="O571" s="7"/>
      <c r="P571" s="7"/>
      <c r="Q571" s="7"/>
      <c r="R571" s="7"/>
      <c r="S571" s="7"/>
      <c r="T571" s="7"/>
      <c r="U571" s="7"/>
      <c r="W571" s="7"/>
    </row>
    <row r="572" spans="1:23" ht="15.75" customHeight="1">
      <c r="A572" s="8"/>
      <c r="B572" s="7"/>
      <c r="C572" s="33"/>
      <c r="D572" s="7"/>
      <c r="E572" s="7"/>
      <c r="F572" s="7"/>
      <c r="G572" s="7"/>
      <c r="H572" s="7"/>
      <c r="I572" s="7"/>
      <c r="J572" s="7"/>
      <c r="K572" s="7"/>
      <c r="L572" s="7"/>
      <c r="M572" s="7"/>
      <c r="N572" s="7"/>
      <c r="O572" s="7"/>
      <c r="P572" s="7"/>
      <c r="Q572" s="7"/>
      <c r="R572" s="7"/>
      <c r="S572" s="7"/>
      <c r="T572" s="7"/>
      <c r="U572" s="7"/>
      <c r="W572" s="7"/>
    </row>
    <row r="573" spans="1:23" ht="15.75" customHeight="1">
      <c r="A573" s="8"/>
      <c r="B573" s="7"/>
      <c r="C573" s="33"/>
      <c r="D573" s="7"/>
      <c r="E573" s="7"/>
      <c r="F573" s="7"/>
      <c r="G573" s="7"/>
      <c r="H573" s="7"/>
      <c r="I573" s="7"/>
      <c r="J573" s="7"/>
      <c r="K573" s="7"/>
      <c r="L573" s="7"/>
      <c r="M573" s="7"/>
      <c r="N573" s="7"/>
      <c r="O573" s="7"/>
      <c r="P573" s="7"/>
      <c r="Q573" s="7"/>
      <c r="R573" s="7"/>
      <c r="S573" s="7"/>
      <c r="T573" s="7"/>
      <c r="U573" s="7"/>
      <c r="W573" s="7"/>
    </row>
    <row r="574" spans="1:23" ht="15.75" customHeight="1">
      <c r="A574" s="8"/>
      <c r="B574" s="7"/>
      <c r="C574" s="33"/>
      <c r="D574" s="7"/>
      <c r="E574" s="7"/>
      <c r="F574" s="7"/>
      <c r="G574" s="7"/>
      <c r="H574" s="7"/>
      <c r="I574" s="7"/>
      <c r="J574" s="7"/>
      <c r="K574" s="7"/>
      <c r="L574" s="7"/>
      <c r="M574" s="7"/>
      <c r="N574" s="7"/>
      <c r="O574" s="7"/>
      <c r="P574" s="7"/>
      <c r="Q574" s="7"/>
      <c r="R574" s="7"/>
      <c r="S574" s="7"/>
      <c r="T574" s="7"/>
      <c r="U574" s="7"/>
      <c r="W574" s="7"/>
    </row>
    <row r="575" spans="1:23" ht="15.75" customHeight="1">
      <c r="A575" s="8"/>
      <c r="B575" s="7"/>
      <c r="C575" s="33"/>
      <c r="D575" s="7"/>
      <c r="E575" s="7"/>
      <c r="F575" s="7"/>
      <c r="G575" s="7"/>
      <c r="H575" s="7"/>
      <c r="I575" s="7"/>
      <c r="J575" s="7"/>
      <c r="K575" s="7"/>
      <c r="L575" s="7"/>
      <c r="M575" s="7"/>
      <c r="N575" s="7"/>
      <c r="O575" s="7"/>
      <c r="P575" s="7"/>
      <c r="Q575" s="7"/>
      <c r="R575" s="7"/>
      <c r="S575" s="7"/>
      <c r="T575" s="7"/>
      <c r="U575" s="7"/>
      <c r="W575" s="7"/>
    </row>
    <row r="576" spans="1:23" ht="15.75" customHeight="1">
      <c r="A576" s="8"/>
      <c r="B576" s="7"/>
      <c r="C576" s="33"/>
      <c r="D576" s="7"/>
      <c r="E576" s="7"/>
      <c r="F576" s="7"/>
      <c r="G576" s="7"/>
      <c r="H576" s="7"/>
      <c r="I576" s="7"/>
      <c r="J576" s="7"/>
      <c r="K576" s="7"/>
      <c r="L576" s="7"/>
      <c r="M576" s="7"/>
      <c r="N576" s="7"/>
      <c r="O576" s="7"/>
      <c r="P576" s="7"/>
      <c r="Q576" s="7"/>
      <c r="R576" s="7"/>
      <c r="S576" s="7"/>
      <c r="T576" s="7"/>
      <c r="U576" s="7"/>
      <c r="W576" s="7"/>
    </row>
    <row r="577" spans="1:23" ht="15.75" customHeight="1">
      <c r="A577" s="8"/>
      <c r="B577" s="7"/>
      <c r="C577" s="33"/>
      <c r="D577" s="7"/>
      <c r="E577" s="7"/>
      <c r="F577" s="7"/>
      <c r="G577" s="7"/>
      <c r="H577" s="7"/>
      <c r="I577" s="7"/>
      <c r="J577" s="7"/>
      <c r="K577" s="7"/>
      <c r="L577" s="7"/>
      <c r="M577" s="7"/>
      <c r="N577" s="7"/>
      <c r="O577" s="7"/>
      <c r="P577" s="7"/>
      <c r="Q577" s="7"/>
      <c r="R577" s="7"/>
      <c r="S577" s="7"/>
      <c r="T577" s="7"/>
      <c r="U577" s="7"/>
      <c r="W577" s="7"/>
    </row>
    <row r="578" spans="1:23" ht="15.75" customHeight="1">
      <c r="A578" s="8"/>
      <c r="B578" s="7"/>
      <c r="C578" s="33"/>
      <c r="D578" s="7"/>
      <c r="E578" s="7"/>
      <c r="F578" s="7"/>
      <c r="G578" s="7"/>
      <c r="H578" s="7"/>
      <c r="I578" s="7"/>
      <c r="J578" s="7"/>
      <c r="K578" s="7"/>
      <c r="L578" s="7"/>
      <c r="M578" s="7"/>
      <c r="N578" s="7"/>
      <c r="O578" s="7"/>
      <c r="P578" s="7"/>
      <c r="Q578" s="7"/>
      <c r="R578" s="7"/>
      <c r="S578" s="7"/>
      <c r="T578" s="7"/>
      <c r="U578" s="7"/>
      <c r="W578" s="7"/>
    </row>
    <row r="579" spans="1:23" ht="15.75" customHeight="1">
      <c r="A579" s="8"/>
      <c r="B579" s="7"/>
      <c r="C579" s="33"/>
      <c r="D579" s="7"/>
      <c r="E579" s="7"/>
      <c r="F579" s="7"/>
      <c r="G579" s="7"/>
      <c r="H579" s="7"/>
      <c r="I579" s="7"/>
      <c r="J579" s="7"/>
      <c r="K579" s="7"/>
      <c r="L579" s="7"/>
      <c r="M579" s="7"/>
      <c r="N579" s="7"/>
      <c r="O579" s="7"/>
      <c r="P579" s="7"/>
      <c r="Q579" s="7"/>
      <c r="R579" s="7"/>
      <c r="S579" s="7"/>
      <c r="T579" s="7"/>
      <c r="U579" s="7"/>
      <c r="W579" s="7"/>
    </row>
    <row r="580" spans="1:23" ht="15.75" customHeight="1">
      <c r="A580" s="8"/>
      <c r="B580" s="7"/>
      <c r="C580" s="33"/>
      <c r="D580" s="7"/>
      <c r="E580" s="7"/>
      <c r="F580" s="7"/>
      <c r="G580" s="7"/>
      <c r="H580" s="7"/>
      <c r="I580" s="7"/>
      <c r="J580" s="7"/>
      <c r="K580" s="7"/>
      <c r="L580" s="7"/>
      <c r="M580" s="7"/>
      <c r="N580" s="7"/>
      <c r="O580" s="7"/>
      <c r="P580" s="7"/>
      <c r="Q580" s="7"/>
      <c r="R580" s="7"/>
      <c r="S580" s="7"/>
      <c r="T580" s="7"/>
      <c r="U580" s="7"/>
      <c r="W580" s="7"/>
    </row>
    <row r="581" spans="1:23" ht="15.75" customHeight="1">
      <c r="A581" s="8"/>
      <c r="B581" s="7"/>
      <c r="C581" s="33"/>
      <c r="D581" s="7"/>
      <c r="E581" s="7"/>
      <c r="F581" s="7"/>
      <c r="G581" s="7"/>
      <c r="H581" s="7"/>
      <c r="I581" s="7"/>
      <c r="J581" s="7"/>
      <c r="K581" s="7"/>
      <c r="L581" s="7"/>
      <c r="M581" s="7"/>
      <c r="N581" s="7"/>
      <c r="O581" s="7"/>
      <c r="P581" s="7"/>
      <c r="Q581" s="7"/>
      <c r="R581" s="7"/>
      <c r="S581" s="7"/>
      <c r="T581" s="7"/>
      <c r="U581" s="7"/>
      <c r="W581" s="7"/>
    </row>
    <row r="582" spans="1:23" ht="15.75" customHeight="1">
      <c r="A582" s="8"/>
      <c r="B582" s="7"/>
      <c r="C582" s="33"/>
      <c r="D582" s="7"/>
      <c r="E582" s="7"/>
      <c r="F582" s="7"/>
      <c r="G582" s="7"/>
      <c r="H582" s="7"/>
      <c r="I582" s="7"/>
      <c r="J582" s="7"/>
      <c r="K582" s="7"/>
      <c r="L582" s="7"/>
      <c r="M582" s="7"/>
      <c r="N582" s="7"/>
      <c r="O582" s="7"/>
      <c r="P582" s="7"/>
      <c r="Q582" s="7"/>
      <c r="R582" s="7"/>
      <c r="S582" s="7"/>
      <c r="T582" s="7"/>
      <c r="U582" s="7"/>
      <c r="W582" s="7"/>
    </row>
    <row r="583" spans="1:23" ht="15.75" customHeight="1">
      <c r="A583" s="8"/>
      <c r="B583" s="7"/>
      <c r="C583" s="33"/>
      <c r="D583" s="7"/>
      <c r="E583" s="7"/>
      <c r="F583" s="7"/>
      <c r="G583" s="7"/>
      <c r="H583" s="7"/>
      <c r="I583" s="7"/>
      <c r="J583" s="7"/>
      <c r="K583" s="7"/>
      <c r="L583" s="7"/>
      <c r="M583" s="7"/>
      <c r="N583" s="7"/>
      <c r="O583" s="7"/>
      <c r="P583" s="7"/>
      <c r="Q583" s="7"/>
      <c r="R583" s="7"/>
      <c r="S583" s="7"/>
      <c r="T583" s="7"/>
      <c r="U583" s="7"/>
      <c r="W583" s="7"/>
    </row>
    <row r="584" spans="1:23" ht="15.75" customHeight="1">
      <c r="A584" s="8"/>
      <c r="B584" s="7"/>
      <c r="C584" s="33"/>
      <c r="D584" s="7"/>
      <c r="E584" s="7"/>
      <c r="F584" s="7"/>
      <c r="G584" s="7"/>
      <c r="H584" s="7"/>
      <c r="I584" s="7"/>
      <c r="J584" s="7"/>
      <c r="K584" s="7"/>
      <c r="L584" s="7"/>
      <c r="M584" s="7"/>
      <c r="N584" s="7"/>
      <c r="O584" s="7"/>
      <c r="P584" s="7"/>
      <c r="Q584" s="7"/>
      <c r="R584" s="7"/>
      <c r="S584" s="7"/>
      <c r="T584" s="7"/>
      <c r="U584" s="7"/>
      <c r="W584" s="7"/>
    </row>
    <row r="585" spans="1:23" ht="15.75" customHeight="1">
      <c r="A585" s="8"/>
      <c r="B585" s="7"/>
      <c r="C585" s="33"/>
      <c r="D585" s="7"/>
      <c r="E585" s="7"/>
      <c r="F585" s="7"/>
      <c r="G585" s="7"/>
      <c r="H585" s="7"/>
      <c r="I585" s="7"/>
      <c r="J585" s="7"/>
      <c r="K585" s="7"/>
      <c r="L585" s="7"/>
      <c r="M585" s="7"/>
      <c r="N585" s="7"/>
      <c r="O585" s="7"/>
      <c r="P585" s="7"/>
      <c r="Q585" s="7"/>
      <c r="R585" s="7"/>
      <c r="S585" s="7"/>
      <c r="T585" s="7"/>
      <c r="U585" s="7"/>
      <c r="W585" s="7"/>
    </row>
    <row r="586" spans="1:23" ht="15.75" customHeight="1">
      <c r="A586" s="8"/>
      <c r="B586" s="7"/>
      <c r="C586" s="33"/>
      <c r="D586" s="7"/>
      <c r="E586" s="7"/>
      <c r="F586" s="7"/>
      <c r="G586" s="7"/>
      <c r="H586" s="7"/>
      <c r="I586" s="7"/>
      <c r="J586" s="7"/>
      <c r="K586" s="7"/>
      <c r="L586" s="7"/>
      <c r="M586" s="7"/>
      <c r="N586" s="7"/>
      <c r="O586" s="7"/>
      <c r="P586" s="7"/>
      <c r="Q586" s="7"/>
      <c r="R586" s="7"/>
      <c r="S586" s="7"/>
      <c r="T586" s="7"/>
      <c r="U586" s="7"/>
      <c r="W586" s="7"/>
    </row>
    <row r="587" spans="1:23" ht="15.75" customHeight="1">
      <c r="A587" s="8"/>
      <c r="B587" s="7"/>
      <c r="C587" s="33"/>
      <c r="D587" s="7"/>
      <c r="E587" s="7"/>
      <c r="F587" s="7"/>
      <c r="G587" s="7"/>
      <c r="H587" s="7"/>
      <c r="I587" s="7"/>
      <c r="J587" s="7"/>
      <c r="K587" s="7"/>
      <c r="L587" s="7"/>
      <c r="M587" s="7"/>
      <c r="N587" s="7"/>
      <c r="O587" s="7"/>
      <c r="P587" s="7"/>
      <c r="Q587" s="7"/>
      <c r="R587" s="7"/>
      <c r="S587" s="7"/>
      <c r="T587" s="7"/>
      <c r="U587" s="7"/>
      <c r="W587" s="7"/>
    </row>
    <row r="588" spans="1:23" ht="15.75" customHeight="1">
      <c r="A588" s="8"/>
      <c r="B588" s="7"/>
      <c r="C588" s="33"/>
      <c r="D588" s="7"/>
      <c r="E588" s="7"/>
      <c r="F588" s="7"/>
      <c r="G588" s="7"/>
      <c r="H588" s="7"/>
      <c r="I588" s="7"/>
      <c r="J588" s="7"/>
      <c r="K588" s="7"/>
      <c r="L588" s="7"/>
      <c r="M588" s="7"/>
      <c r="N588" s="7"/>
      <c r="O588" s="7"/>
      <c r="P588" s="7"/>
      <c r="Q588" s="7"/>
      <c r="R588" s="7"/>
      <c r="S588" s="7"/>
      <c r="T588" s="7"/>
      <c r="U588" s="7"/>
      <c r="W588" s="7"/>
    </row>
    <row r="589" spans="1:23" ht="15.75" customHeight="1">
      <c r="A589" s="8"/>
      <c r="B589" s="7"/>
      <c r="C589" s="33"/>
      <c r="D589" s="7"/>
      <c r="E589" s="7"/>
      <c r="F589" s="7"/>
      <c r="G589" s="7"/>
      <c r="H589" s="7"/>
      <c r="I589" s="7"/>
      <c r="J589" s="7"/>
      <c r="K589" s="7"/>
      <c r="L589" s="7"/>
      <c r="M589" s="7"/>
      <c r="N589" s="7"/>
      <c r="O589" s="7"/>
      <c r="P589" s="7"/>
      <c r="Q589" s="7"/>
      <c r="R589" s="7"/>
      <c r="S589" s="7"/>
      <c r="T589" s="7"/>
      <c r="U589" s="7"/>
      <c r="W589" s="7"/>
    </row>
    <row r="590" spans="1:23" ht="15.75" customHeight="1">
      <c r="A590" s="8"/>
      <c r="B590" s="7"/>
      <c r="C590" s="33"/>
      <c r="D590" s="7"/>
      <c r="E590" s="7"/>
      <c r="F590" s="7"/>
      <c r="G590" s="7"/>
      <c r="H590" s="7"/>
      <c r="I590" s="7"/>
      <c r="J590" s="7"/>
      <c r="K590" s="7"/>
      <c r="L590" s="7"/>
      <c r="M590" s="7"/>
      <c r="N590" s="7"/>
      <c r="O590" s="7"/>
      <c r="P590" s="7"/>
      <c r="Q590" s="7"/>
      <c r="R590" s="7"/>
      <c r="S590" s="7"/>
      <c r="T590" s="7"/>
      <c r="U590" s="7"/>
      <c r="W590" s="7"/>
    </row>
    <row r="591" spans="1:23" ht="15.75" customHeight="1">
      <c r="A591" s="8"/>
      <c r="B591" s="7"/>
      <c r="C591" s="33"/>
      <c r="D591" s="7"/>
      <c r="E591" s="7"/>
      <c r="F591" s="7"/>
      <c r="G591" s="7"/>
      <c r="H591" s="7"/>
      <c r="I591" s="7"/>
      <c r="J591" s="7"/>
      <c r="K591" s="7"/>
      <c r="L591" s="7"/>
      <c r="M591" s="7"/>
      <c r="N591" s="7"/>
      <c r="O591" s="7"/>
      <c r="P591" s="7"/>
      <c r="Q591" s="7"/>
      <c r="R591" s="7"/>
      <c r="S591" s="7"/>
      <c r="T591" s="7"/>
      <c r="U591" s="7"/>
      <c r="W591" s="7"/>
    </row>
    <row r="592" spans="1:23" ht="15.75" customHeight="1">
      <c r="A592" s="8"/>
      <c r="B592" s="7"/>
      <c r="C592" s="33"/>
      <c r="D592" s="7"/>
      <c r="E592" s="7"/>
      <c r="F592" s="7"/>
      <c r="G592" s="7"/>
      <c r="H592" s="7"/>
      <c r="I592" s="7"/>
      <c r="J592" s="7"/>
      <c r="K592" s="7"/>
      <c r="L592" s="7"/>
      <c r="M592" s="7"/>
      <c r="N592" s="7"/>
      <c r="O592" s="7"/>
      <c r="P592" s="7"/>
      <c r="Q592" s="7"/>
      <c r="R592" s="7"/>
      <c r="S592" s="7"/>
      <c r="T592" s="7"/>
      <c r="U592" s="7"/>
      <c r="W592" s="7"/>
    </row>
    <row r="593" spans="1:23" ht="15.75" customHeight="1">
      <c r="A593" s="8"/>
      <c r="B593" s="7"/>
      <c r="C593" s="33"/>
      <c r="D593" s="7"/>
      <c r="E593" s="7"/>
      <c r="F593" s="7"/>
      <c r="G593" s="7"/>
      <c r="H593" s="7"/>
      <c r="I593" s="7"/>
      <c r="J593" s="7"/>
      <c r="K593" s="7"/>
      <c r="L593" s="7"/>
      <c r="M593" s="7"/>
      <c r="N593" s="7"/>
      <c r="O593" s="7"/>
      <c r="P593" s="7"/>
      <c r="Q593" s="7"/>
      <c r="R593" s="7"/>
      <c r="S593" s="7"/>
      <c r="T593" s="7"/>
      <c r="U593" s="7"/>
      <c r="W593" s="7"/>
    </row>
    <row r="594" spans="1:23" ht="15.75" customHeight="1">
      <c r="A594" s="8"/>
      <c r="B594" s="7"/>
      <c r="C594" s="33"/>
      <c r="D594" s="7"/>
      <c r="E594" s="7"/>
      <c r="F594" s="7"/>
      <c r="G594" s="7"/>
      <c r="H594" s="7"/>
      <c r="I594" s="7"/>
      <c r="J594" s="7"/>
      <c r="K594" s="7"/>
      <c r="L594" s="7"/>
      <c r="M594" s="7"/>
      <c r="N594" s="7"/>
      <c r="O594" s="7"/>
      <c r="P594" s="7"/>
      <c r="Q594" s="7"/>
      <c r="R594" s="7"/>
      <c r="S594" s="7"/>
      <c r="T594" s="7"/>
      <c r="U594" s="7"/>
      <c r="W594" s="7"/>
    </row>
    <row r="595" spans="1:23" ht="15.75" customHeight="1">
      <c r="A595" s="8"/>
      <c r="B595" s="7"/>
      <c r="C595" s="33"/>
      <c r="D595" s="7"/>
      <c r="E595" s="7"/>
      <c r="F595" s="7"/>
      <c r="G595" s="7"/>
      <c r="H595" s="7"/>
      <c r="I595" s="7"/>
      <c r="J595" s="7"/>
      <c r="K595" s="7"/>
      <c r="L595" s="7"/>
      <c r="M595" s="7"/>
      <c r="N595" s="7"/>
      <c r="O595" s="7"/>
      <c r="P595" s="7"/>
      <c r="Q595" s="7"/>
      <c r="R595" s="7"/>
      <c r="S595" s="7"/>
      <c r="T595" s="7"/>
      <c r="U595" s="7"/>
      <c r="W595" s="7"/>
    </row>
    <row r="596" spans="1:23" ht="15.75" customHeight="1">
      <c r="A596" s="8"/>
      <c r="B596" s="7"/>
      <c r="C596" s="33"/>
      <c r="D596" s="7"/>
      <c r="E596" s="7"/>
      <c r="F596" s="7"/>
      <c r="G596" s="7"/>
      <c r="H596" s="7"/>
      <c r="I596" s="7"/>
      <c r="J596" s="7"/>
      <c r="K596" s="7"/>
      <c r="L596" s="7"/>
      <c r="M596" s="7"/>
      <c r="N596" s="7"/>
      <c r="O596" s="7"/>
      <c r="P596" s="7"/>
      <c r="Q596" s="7"/>
      <c r="R596" s="7"/>
      <c r="S596" s="7"/>
      <c r="T596" s="7"/>
      <c r="U596" s="7"/>
      <c r="W596" s="7"/>
    </row>
    <row r="597" spans="1:23" ht="15.75" customHeight="1">
      <c r="A597" s="8"/>
      <c r="B597" s="7"/>
      <c r="C597" s="33"/>
      <c r="D597" s="7"/>
      <c r="E597" s="7"/>
      <c r="F597" s="7"/>
      <c r="G597" s="7"/>
      <c r="H597" s="7"/>
      <c r="I597" s="7"/>
      <c r="J597" s="7"/>
      <c r="K597" s="7"/>
      <c r="L597" s="7"/>
      <c r="M597" s="7"/>
      <c r="N597" s="7"/>
      <c r="O597" s="7"/>
      <c r="P597" s="7"/>
      <c r="Q597" s="7"/>
      <c r="R597" s="7"/>
      <c r="S597" s="7"/>
      <c r="T597" s="7"/>
      <c r="U597" s="7"/>
      <c r="W597" s="7"/>
    </row>
    <row r="598" spans="1:23" ht="15.75" customHeight="1">
      <c r="A598" s="8"/>
      <c r="B598" s="7"/>
      <c r="C598" s="33"/>
      <c r="D598" s="7"/>
      <c r="E598" s="7"/>
      <c r="F598" s="7"/>
      <c r="G598" s="7"/>
      <c r="H598" s="7"/>
      <c r="I598" s="7"/>
      <c r="J598" s="7"/>
      <c r="K598" s="7"/>
      <c r="L598" s="7"/>
      <c r="M598" s="7"/>
      <c r="N598" s="7"/>
      <c r="O598" s="7"/>
      <c r="P598" s="7"/>
      <c r="Q598" s="7"/>
      <c r="R598" s="7"/>
      <c r="S598" s="7"/>
      <c r="T598" s="7"/>
      <c r="U598" s="7"/>
      <c r="W598" s="7"/>
    </row>
    <row r="599" spans="1:23" ht="15.75" customHeight="1">
      <c r="A599" s="8"/>
      <c r="B599" s="7"/>
      <c r="C599" s="33"/>
      <c r="D599" s="7"/>
      <c r="E599" s="7"/>
      <c r="F599" s="7"/>
      <c r="G599" s="7"/>
      <c r="H599" s="7"/>
      <c r="I599" s="7"/>
      <c r="J599" s="7"/>
      <c r="K599" s="7"/>
      <c r="L599" s="7"/>
      <c r="M599" s="7"/>
      <c r="N599" s="7"/>
      <c r="O599" s="7"/>
      <c r="P599" s="7"/>
      <c r="Q599" s="7"/>
      <c r="R599" s="7"/>
      <c r="S599" s="7"/>
      <c r="T599" s="7"/>
      <c r="U599" s="7"/>
      <c r="W599" s="7"/>
    </row>
    <row r="600" spans="1:23" ht="15.75" customHeight="1">
      <c r="A600" s="8"/>
      <c r="B600" s="7"/>
      <c r="C600" s="33"/>
      <c r="D600" s="7"/>
      <c r="E600" s="7"/>
      <c r="F600" s="7"/>
      <c r="G600" s="7"/>
      <c r="H600" s="7"/>
      <c r="I600" s="7"/>
      <c r="J600" s="7"/>
      <c r="K600" s="7"/>
      <c r="L600" s="7"/>
      <c r="M600" s="7"/>
      <c r="N600" s="7"/>
      <c r="O600" s="7"/>
      <c r="P600" s="7"/>
      <c r="Q600" s="7"/>
      <c r="R600" s="7"/>
      <c r="S600" s="7"/>
      <c r="T600" s="7"/>
      <c r="U600" s="7"/>
      <c r="W600" s="7"/>
    </row>
    <row r="601" spans="1:23" ht="15.75" customHeight="1">
      <c r="A601" s="8"/>
      <c r="B601" s="7"/>
      <c r="C601" s="33"/>
      <c r="D601" s="7"/>
      <c r="E601" s="7"/>
      <c r="F601" s="7"/>
      <c r="G601" s="7"/>
      <c r="H601" s="7"/>
      <c r="I601" s="7"/>
      <c r="J601" s="7"/>
      <c r="K601" s="7"/>
      <c r="L601" s="7"/>
      <c r="M601" s="7"/>
      <c r="N601" s="7"/>
      <c r="O601" s="7"/>
      <c r="P601" s="7"/>
      <c r="Q601" s="7"/>
      <c r="R601" s="7"/>
      <c r="S601" s="7"/>
      <c r="T601" s="7"/>
      <c r="U601" s="7"/>
      <c r="W601" s="7"/>
    </row>
    <row r="602" spans="1:23" ht="15.75" customHeight="1">
      <c r="A602" s="8"/>
      <c r="B602" s="7"/>
      <c r="C602" s="33"/>
      <c r="D602" s="7"/>
      <c r="E602" s="7"/>
      <c r="F602" s="7"/>
      <c r="G602" s="7"/>
      <c r="H602" s="7"/>
      <c r="I602" s="7"/>
      <c r="J602" s="7"/>
      <c r="K602" s="7"/>
      <c r="L602" s="7"/>
      <c r="M602" s="7"/>
      <c r="N602" s="7"/>
      <c r="O602" s="7"/>
      <c r="P602" s="7"/>
      <c r="Q602" s="7"/>
      <c r="R602" s="7"/>
      <c r="S602" s="7"/>
      <c r="T602" s="7"/>
      <c r="U602" s="7"/>
      <c r="W602" s="7"/>
    </row>
    <row r="603" spans="1:23" ht="15.75" customHeight="1">
      <c r="A603" s="8"/>
      <c r="B603" s="7"/>
      <c r="C603" s="33"/>
      <c r="D603" s="7"/>
      <c r="E603" s="7"/>
      <c r="F603" s="7"/>
      <c r="G603" s="7"/>
      <c r="H603" s="7"/>
      <c r="I603" s="7"/>
      <c r="J603" s="7"/>
      <c r="K603" s="7"/>
      <c r="L603" s="7"/>
      <c r="M603" s="7"/>
      <c r="N603" s="7"/>
      <c r="O603" s="7"/>
      <c r="P603" s="7"/>
      <c r="Q603" s="7"/>
      <c r="R603" s="7"/>
      <c r="S603" s="7"/>
      <c r="T603" s="7"/>
      <c r="U603" s="7"/>
      <c r="W603" s="7"/>
    </row>
    <row r="604" spans="1:23" ht="15.75" customHeight="1">
      <c r="A604" s="8"/>
      <c r="B604" s="7"/>
      <c r="C604" s="33"/>
      <c r="D604" s="7"/>
      <c r="E604" s="7"/>
      <c r="F604" s="7"/>
      <c r="G604" s="7"/>
      <c r="H604" s="7"/>
      <c r="I604" s="7"/>
      <c r="J604" s="7"/>
      <c r="K604" s="7"/>
      <c r="L604" s="7"/>
      <c r="M604" s="7"/>
      <c r="N604" s="7"/>
      <c r="O604" s="7"/>
      <c r="P604" s="7"/>
      <c r="Q604" s="7"/>
      <c r="R604" s="7"/>
      <c r="S604" s="7"/>
      <c r="T604" s="7"/>
      <c r="U604" s="7"/>
      <c r="W604" s="7"/>
    </row>
    <row r="605" spans="1:23" ht="15.75" customHeight="1">
      <c r="A605" s="8"/>
      <c r="B605" s="7"/>
      <c r="C605" s="33"/>
      <c r="D605" s="7"/>
      <c r="E605" s="7"/>
      <c r="F605" s="7"/>
      <c r="G605" s="7"/>
      <c r="H605" s="7"/>
      <c r="I605" s="7"/>
      <c r="J605" s="7"/>
      <c r="K605" s="7"/>
      <c r="L605" s="7"/>
      <c r="M605" s="7"/>
      <c r="N605" s="7"/>
      <c r="O605" s="7"/>
      <c r="P605" s="7"/>
      <c r="Q605" s="7"/>
      <c r="R605" s="7"/>
      <c r="S605" s="7"/>
      <c r="T605" s="7"/>
      <c r="U605" s="7"/>
      <c r="W605" s="7"/>
    </row>
    <row r="606" spans="1:23" ht="15.75" customHeight="1">
      <c r="A606" s="8"/>
      <c r="B606" s="7"/>
      <c r="C606" s="33"/>
      <c r="D606" s="7"/>
      <c r="E606" s="7"/>
      <c r="F606" s="7"/>
      <c r="G606" s="7"/>
      <c r="H606" s="7"/>
      <c r="I606" s="7"/>
      <c r="J606" s="7"/>
      <c r="K606" s="7"/>
      <c r="L606" s="7"/>
      <c r="M606" s="7"/>
      <c r="N606" s="7"/>
      <c r="O606" s="7"/>
      <c r="P606" s="7"/>
      <c r="Q606" s="7"/>
      <c r="R606" s="7"/>
      <c r="S606" s="7"/>
      <c r="T606" s="7"/>
      <c r="U606" s="7"/>
      <c r="W606" s="7"/>
    </row>
    <row r="607" spans="1:23" ht="15.75" customHeight="1">
      <c r="A607" s="8"/>
      <c r="B607" s="7"/>
      <c r="C607" s="33"/>
      <c r="D607" s="7"/>
      <c r="E607" s="7"/>
      <c r="F607" s="7"/>
      <c r="G607" s="7"/>
      <c r="H607" s="7"/>
      <c r="I607" s="7"/>
      <c r="J607" s="7"/>
      <c r="K607" s="7"/>
      <c r="L607" s="7"/>
      <c r="M607" s="7"/>
      <c r="N607" s="7"/>
      <c r="O607" s="7"/>
      <c r="P607" s="7"/>
      <c r="Q607" s="7"/>
      <c r="R607" s="7"/>
      <c r="S607" s="7"/>
      <c r="T607" s="7"/>
      <c r="U607" s="7"/>
      <c r="W607" s="7"/>
    </row>
    <row r="608" spans="1:23" ht="15.75" customHeight="1">
      <c r="A608" s="8"/>
      <c r="B608" s="7"/>
      <c r="C608" s="33"/>
      <c r="D608" s="7"/>
      <c r="E608" s="7"/>
      <c r="F608" s="7"/>
      <c r="G608" s="7"/>
      <c r="H608" s="7"/>
      <c r="I608" s="7"/>
      <c r="J608" s="7"/>
      <c r="K608" s="7"/>
      <c r="L608" s="7"/>
      <c r="M608" s="7"/>
      <c r="N608" s="7"/>
      <c r="O608" s="7"/>
      <c r="P608" s="7"/>
      <c r="Q608" s="7"/>
      <c r="R608" s="7"/>
      <c r="S608" s="7"/>
      <c r="T608" s="7"/>
      <c r="U608" s="7"/>
      <c r="W608" s="7"/>
    </row>
    <row r="609" spans="1:23" ht="15.75" customHeight="1">
      <c r="A609" s="8"/>
      <c r="B609" s="7"/>
      <c r="C609" s="33"/>
      <c r="D609" s="7"/>
      <c r="E609" s="7"/>
      <c r="F609" s="7"/>
      <c r="G609" s="7"/>
      <c r="H609" s="7"/>
      <c r="I609" s="7"/>
      <c r="J609" s="7"/>
      <c r="K609" s="7"/>
      <c r="L609" s="7"/>
      <c r="M609" s="7"/>
      <c r="N609" s="7"/>
      <c r="O609" s="7"/>
      <c r="P609" s="7"/>
      <c r="Q609" s="7"/>
      <c r="R609" s="7"/>
      <c r="S609" s="7"/>
      <c r="T609" s="7"/>
      <c r="U609" s="7"/>
      <c r="W609" s="7"/>
    </row>
    <row r="610" spans="1:23" ht="15.75" customHeight="1">
      <c r="A610" s="8"/>
      <c r="B610" s="7"/>
      <c r="C610" s="33"/>
      <c r="D610" s="7"/>
      <c r="E610" s="7"/>
      <c r="F610" s="7"/>
      <c r="G610" s="7"/>
      <c r="H610" s="7"/>
      <c r="I610" s="7"/>
      <c r="J610" s="7"/>
      <c r="K610" s="7"/>
      <c r="L610" s="7"/>
      <c r="M610" s="7"/>
      <c r="N610" s="7"/>
      <c r="O610" s="7"/>
      <c r="P610" s="7"/>
      <c r="Q610" s="7"/>
      <c r="R610" s="7"/>
      <c r="S610" s="7"/>
      <c r="T610" s="7"/>
      <c r="U610" s="7"/>
      <c r="W610" s="7"/>
    </row>
    <row r="611" spans="1:23" ht="15.75" customHeight="1">
      <c r="A611" s="8"/>
      <c r="B611" s="7"/>
      <c r="C611" s="33"/>
      <c r="D611" s="7"/>
      <c r="E611" s="7"/>
      <c r="F611" s="7"/>
      <c r="G611" s="7"/>
      <c r="H611" s="7"/>
      <c r="I611" s="7"/>
      <c r="J611" s="7"/>
      <c r="K611" s="7"/>
      <c r="L611" s="7"/>
      <c r="M611" s="7"/>
      <c r="N611" s="7"/>
      <c r="O611" s="7"/>
      <c r="P611" s="7"/>
      <c r="Q611" s="7"/>
      <c r="R611" s="7"/>
      <c r="S611" s="7"/>
      <c r="T611" s="7"/>
      <c r="U611" s="7"/>
      <c r="W611" s="7"/>
    </row>
    <row r="612" spans="1:23" ht="15.75" customHeight="1">
      <c r="A612" s="8"/>
      <c r="B612" s="7"/>
      <c r="C612" s="33"/>
      <c r="D612" s="7"/>
      <c r="E612" s="7"/>
      <c r="F612" s="7"/>
      <c r="G612" s="7"/>
      <c r="H612" s="7"/>
      <c r="I612" s="7"/>
      <c r="J612" s="7"/>
      <c r="K612" s="7"/>
      <c r="L612" s="7"/>
      <c r="M612" s="7"/>
      <c r="N612" s="7"/>
      <c r="O612" s="7"/>
      <c r="P612" s="7"/>
      <c r="Q612" s="7"/>
      <c r="R612" s="7"/>
      <c r="S612" s="7"/>
      <c r="T612" s="7"/>
      <c r="U612" s="7"/>
      <c r="W612" s="7"/>
    </row>
    <row r="613" spans="1:23" ht="15.75" customHeight="1">
      <c r="A613" s="8"/>
      <c r="B613" s="7"/>
      <c r="C613" s="33"/>
      <c r="D613" s="7"/>
      <c r="E613" s="7"/>
      <c r="F613" s="7"/>
      <c r="G613" s="7"/>
      <c r="H613" s="7"/>
      <c r="I613" s="7"/>
      <c r="J613" s="7"/>
      <c r="K613" s="7"/>
      <c r="L613" s="7"/>
      <c r="M613" s="7"/>
      <c r="N613" s="7"/>
      <c r="O613" s="7"/>
      <c r="P613" s="7"/>
      <c r="Q613" s="7"/>
      <c r="R613" s="7"/>
      <c r="S613" s="7"/>
      <c r="T613" s="7"/>
      <c r="U613" s="7"/>
      <c r="W613" s="7"/>
    </row>
    <row r="614" spans="1:23" ht="15.75" customHeight="1">
      <c r="A614" s="8"/>
      <c r="B614" s="7"/>
      <c r="C614" s="33"/>
      <c r="D614" s="7"/>
      <c r="E614" s="7"/>
      <c r="F614" s="7"/>
      <c r="G614" s="7"/>
      <c r="H614" s="7"/>
      <c r="I614" s="7"/>
      <c r="J614" s="7"/>
      <c r="K614" s="7"/>
      <c r="L614" s="7"/>
      <c r="M614" s="7"/>
      <c r="N614" s="7"/>
      <c r="O614" s="7"/>
      <c r="P614" s="7"/>
      <c r="Q614" s="7"/>
      <c r="R614" s="7"/>
      <c r="S614" s="7"/>
      <c r="T614" s="7"/>
      <c r="U614" s="7"/>
      <c r="W614" s="7"/>
    </row>
    <row r="615" spans="1:23" ht="15.75" customHeight="1">
      <c r="A615" s="8"/>
      <c r="B615" s="7"/>
      <c r="C615" s="33"/>
      <c r="D615" s="7"/>
      <c r="E615" s="7"/>
      <c r="F615" s="7"/>
      <c r="G615" s="7"/>
      <c r="H615" s="7"/>
      <c r="I615" s="7"/>
      <c r="J615" s="7"/>
      <c r="K615" s="7"/>
      <c r="L615" s="7"/>
      <c r="M615" s="7"/>
      <c r="N615" s="7"/>
      <c r="O615" s="7"/>
      <c r="P615" s="7"/>
      <c r="Q615" s="7"/>
      <c r="R615" s="7"/>
      <c r="S615" s="7"/>
      <c r="T615" s="7"/>
      <c r="U615" s="7"/>
      <c r="W615" s="7"/>
    </row>
    <row r="616" spans="1:23" ht="15.75" customHeight="1">
      <c r="A616" s="8"/>
      <c r="B616" s="7"/>
      <c r="C616" s="33"/>
      <c r="D616" s="7"/>
      <c r="E616" s="7"/>
      <c r="F616" s="7"/>
      <c r="G616" s="7"/>
      <c r="H616" s="7"/>
      <c r="I616" s="7"/>
      <c r="J616" s="7"/>
      <c r="K616" s="7"/>
      <c r="L616" s="7"/>
      <c r="M616" s="7"/>
      <c r="N616" s="7"/>
      <c r="O616" s="7"/>
      <c r="P616" s="7"/>
      <c r="Q616" s="7"/>
      <c r="R616" s="7"/>
      <c r="S616" s="7"/>
      <c r="T616" s="7"/>
      <c r="U616" s="7"/>
      <c r="W616" s="7"/>
    </row>
    <row r="617" spans="1:23" ht="15.75" customHeight="1">
      <c r="A617" s="8"/>
      <c r="B617" s="7"/>
      <c r="C617" s="33"/>
      <c r="D617" s="7"/>
      <c r="E617" s="7"/>
      <c r="F617" s="7"/>
      <c r="G617" s="7"/>
      <c r="H617" s="7"/>
      <c r="I617" s="7"/>
      <c r="J617" s="7"/>
      <c r="K617" s="7"/>
      <c r="L617" s="7"/>
      <c r="M617" s="7"/>
      <c r="N617" s="7"/>
      <c r="O617" s="7"/>
      <c r="P617" s="7"/>
      <c r="Q617" s="7"/>
      <c r="R617" s="7"/>
      <c r="S617" s="7"/>
      <c r="T617" s="7"/>
      <c r="U617" s="7"/>
      <c r="W617" s="7"/>
    </row>
    <row r="618" spans="1:23" ht="15.75" customHeight="1">
      <c r="A618" s="8"/>
      <c r="B618" s="7"/>
      <c r="C618" s="33"/>
      <c r="D618" s="7"/>
      <c r="E618" s="7"/>
      <c r="F618" s="7"/>
      <c r="G618" s="7"/>
      <c r="H618" s="7"/>
      <c r="I618" s="7"/>
      <c r="J618" s="7"/>
      <c r="K618" s="7"/>
      <c r="L618" s="7"/>
      <c r="M618" s="7"/>
      <c r="N618" s="7"/>
      <c r="O618" s="7"/>
      <c r="P618" s="7"/>
      <c r="Q618" s="7"/>
      <c r="R618" s="7"/>
      <c r="S618" s="7"/>
      <c r="T618" s="7"/>
      <c r="U618" s="7"/>
      <c r="W618" s="7"/>
    </row>
    <row r="619" spans="1:23" ht="15.75" customHeight="1">
      <c r="A619" s="8"/>
      <c r="B619" s="7"/>
      <c r="C619" s="33"/>
      <c r="D619" s="7"/>
      <c r="E619" s="7"/>
      <c r="F619" s="7"/>
      <c r="G619" s="7"/>
      <c r="H619" s="7"/>
      <c r="I619" s="7"/>
      <c r="J619" s="7"/>
      <c r="K619" s="7"/>
      <c r="L619" s="7"/>
      <c r="M619" s="7"/>
      <c r="N619" s="7"/>
      <c r="O619" s="7"/>
      <c r="P619" s="7"/>
      <c r="Q619" s="7"/>
      <c r="R619" s="7"/>
      <c r="S619" s="7"/>
      <c r="T619" s="7"/>
      <c r="U619" s="7"/>
      <c r="W619" s="7"/>
    </row>
    <row r="620" spans="1:23" ht="15.75" customHeight="1">
      <c r="A620" s="8"/>
      <c r="B620" s="7"/>
      <c r="C620" s="33"/>
      <c r="D620" s="7"/>
      <c r="E620" s="7"/>
      <c r="F620" s="7"/>
      <c r="G620" s="7"/>
      <c r="H620" s="7"/>
      <c r="I620" s="7"/>
      <c r="J620" s="7"/>
      <c r="K620" s="7"/>
      <c r="L620" s="7"/>
      <c r="M620" s="7"/>
      <c r="N620" s="7"/>
      <c r="O620" s="7"/>
      <c r="P620" s="7"/>
      <c r="Q620" s="7"/>
      <c r="R620" s="7"/>
      <c r="S620" s="7"/>
      <c r="T620" s="7"/>
      <c r="U620" s="7"/>
      <c r="W620" s="7"/>
    </row>
    <row r="621" spans="1:23" ht="15.75" customHeight="1">
      <c r="A621" s="8"/>
      <c r="B621" s="7"/>
      <c r="C621" s="33"/>
      <c r="D621" s="7"/>
      <c r="E621" s="7"/>
      <c r="F621" s="7"/>
      <c r="G621" s="7"/>
      <c r="H621" s="7"/>
      <c r="I621" s="7"/>
      <c r="J621" s="7"/>
      <c r="K621" s="7"/>
      <c r="L621" s="7"/>
      <c r="M621" s="7"/>
      <c r="N621" s="7"/>
      <c r="O621" s="7"/>
      <c r="P621" s="7"/>
      <c r="Q621" s="7"/>
      <c r="R621" s="7"/>
      <c r="S621" s="7"/>
      <c r="T621" s="7"/>
      <c r="U621" s="7"/>
      <c r="W621" s="7"/>
    </row>
    <row r="622" spans="1:23" ht="15.75" customHeight="1">
      <c r="A622" s="8"/>
      <c r="B622" s="7"/>
      <c r="C622" s="33"/>
      <c r="D622" s="7"/>
      <c r="E622" s="7"/>
      <c r="F622" s="7"/>
      <c r="G622" s="7"/>
      <c r="H622" s="7"/>
      <c r="I622" s="7"/>
      <c r="J622" s="7"/>
      <c r="K622" s="7"/>
      <c r="L622" s="7"/>
      <c r="M622" s="7"/>
      <c r="N622" s="7"/>
      <c r="O622" s="7"/>
      <c r="P622" s="7"/>
      <c r="Q622" s="7"/>
      <c r="R622" s="7"/>
      <c r="S622" s="7"/>
      <c r="T622" s="7"/>
      <c r="U622" s="7"/>
      <c r="W622" s="7"/>
    </row>
    <row r="623" spans="1:23" ht="15.75" customHeight="1">
      <c r="A623" s="8"/>
      <c r="B623" s="7"/>
      <c r="C623" s="33"/>
      <c r="D623" s="7"/>
      <c r="E623" s="7"/>
      <c r="F623" s="7"/>
      <c r="G623" s="7"/>
      <c r="H623" s="7"/>
      <c r="I623" s="7"/>
      <c r="J623" s="7"/>
      <c r="K623" s="7"/>
      <c r="L623" s="7"/>
      <c r="M623" s="7"/>
      <c r="N623" s="7"/>
      <c r="O623" s="7"/>
      <c r="P623" s="7"/>
      <c r="Q623" s="7"/>
      <c r="R623" s="7"/>
      <c r="S623" s="7"/>
      <c r="T623" s="7"/>
      <c r="U623" s="7"/>
      <c r="W623" s="7"/>
    </row>
    <row r="624" spans="1:23" ht="15.75" customHeight="1">
      <c r="A624" s="8"/>
      <c r="B624" s="7"/>
      <c r="C624" s="33"/>
      <c r="D624" s="7"/>
      <c r="E624" s="7"/>
      <c r="F624" s="7"/>
      <c r="G624" s="7"/>
      <c r="H624" s="7"/>
      <c r="I624" s="7"/>
      <c r="J624" s="7"/>
      <c r="K624" s="7"/>
      <c r="L624" s="7"/>
      <c r="M624" s="7"/>
      <c r="N624" s="7"/>
      <c r="O624" s="7"/>
      <c r="P624" s="7"/>
      <c r="Q624" s="7"/>
      <c r="R624" s="7"/>
      <c r="S624" s="7"/>
      <c r="T624" s="7"/>
      <c r="U624" s="7"/>
      <c r="W624" s="7"/>
    </row>
    <row r="625" spans="1:23" ht="15.75" customHeight="1">
      <c r="A625" s="8"/>
      <c r="B625" s="7"/>
      <c r="C625" s="33"/>
      <c r="D625" s="7"/>
      <c r="E625" s="7"/>
      <c r="F625" s="7"/>
      <c r="G625" s="7"/>
      <c r="H625" s="7"/>
      <c r="I625" s="7"/>
      <c r="J625" s="7"/>
      <c r="K625" s="7"/>
      <c r="L625" s="7"/>
      <c r="M625" s="7"/>
      <c r="N625" s="7"/>
      <c r="O625" s="7"/>
      <c r="P625" s="7"/>
      <c r="Q625" s="7"/>
      <c r="R625" s="7"/>
      <c r="S625" s="7"/>
      <c r="T625" s="7"/>
      <c r="U625" s="7"/>
      <c r="W625" s="7"/>
    </row>
    <row r="626" spans="1:23" ht="15.75" customHeight="1">
      <c r="A626" s="8"/>
      <c r="B626" s="7"/>
      <c r="C626" s="33"/>
      <c r="D626" s="7"/>
      <c r="E626" s="7"/>
      <c r="F626" s="7"/>
      <c r="G626" s="7"/>
      <c r="H626" s="7"/>
      <c r="I626" s="7"/>
      <c r="J626" s="7"/>
      <c r="K626" s="7"/>
      <c r="L626" s="7"/>
      <c r="M626" s="7"/>
      <c r="N626" s="7"/>
      <c r="O626" s="7"/>
      <c r="P626" s="7"/>
      <c r="Q626" s="7"/>
      <c r="R626" s="7"/>
      <c r="S626" s="7"/>
      <c r="T626" s="7"/>
      <c r="U626" s="7"/>
      <c r="W626" s="7"/>
    </row>
    <row r="627" spans="1:23" ht="15.75" customHeight="1">
      <c r="A627" s="8"/>
      <c r="B627" s="7"/>
      <c r="C627" s="33"/>
      <c r="D627" s="7"/>
      <c r="E627" s="7"/>
      <c r="F627" s="7"/>
      <c r="G627" s="7"/>
      <c r="H627" s="7"/>
      <c r="I627" s="7"/>
      <c r="J627" s="7"/>
      <c r="K627" s="7"/>
      <c r="L627" s="7"/>
      <c r="M627" s="7"/>
      <c r="N627" s="7"/>
      <c r="O627" s="7"/>
      <c r="P627" s="7"/>
      <c r="Q627" s="7"/>
      <c r="R627" s="7"/>
      <c r="S627" s="7"/>
      <c r="T627" s="7"/>
      <c r="U627" s="7"/>
      <c r="W627" s="7"/>
    </row>
    <row r="628" spans="1:23" ht="15.75" customHeight="1">
      <c r="A628" s="8"/>
      <c r="B628" s="7"/>
      <c r="C628" s="33"/>
      <c r="D628" s="7"/>
      <c r="E628" s="7"/>
      <c r="F628" s="7"/>
      <c r="G628" s="7"/>
      <c r="H628" s="7"/>
      <c r="I628" s="7"/>
      <c r="J628" s="7"/>
      <c r="K628" s="7"/>
      <c r="L628" s="7"/>
      <c r="M628" s="7"/>
      <c r="N628" s="7"/>
      <c r="O628" s="7"/>
      <c r="P628" s="7"/>
      <c r="Q628" s="7"/>
      <c r="R628" s="7"/>
      <c r="S628" s="7"/>
      <c r="T628" s="7"/>
      <c r="U628" s="7"/>
      <c r="W628" s="7"/>
    </row>
    <row r="629" spans="1:23" ht="15.75" customHeight="1">
      <c r="A629" s="8"/>
      <c r="B629" s="7"/>
      <c r="C629" s="33"/>
      <c r="D629" s="7"/>
      <c r="E629" s="7"/>
      <c r="F629" s="7"/>
      <c r="G629" s="7"/>
      <c r="H629" s="7"/>
      <c r="I629" s="7"/>
      <c r="J629" s="7"/>
      <c r="K629" s="7"/>
      <c r="L629" s="7"/>
      <c r="M629" s="7"/>
      <c r="N629" s="7"/>
      <c r="O629" s="7"/>
      <c r="P629" s="7"/>
      <c r="Q629" s="7"/>
      <c r="R629" s="7"/>
      <c r="S629" s="7"/>
      <c r="T629" s="7"/>
      <c r="U629" s="7"/>
      <c r="W629" s="7"/>
    </row>
    <row r="630" spans="1:23" ht="15.75" customHeight="1">
      <c r="A630" s="8"/>
      <c r="B630" s="7"/>
      <c r="C630" s="33"/>
      <c r="D630" s="7"/>
      <c r="E630" s="7"/>
      <c r="F630" s="7"/>
      <c r="G630" s="7"/>
      <c r="H630" s="7"/>
      <c r="I630" s="7"/>
      <c r="J630" s="7"/>
      <c r="K630" s="7"/>
      <c r="L630" s="7"/>
      <c r="M630" s="7"/>
      <c r="N630" s="7"/>
      <c r="O630" s="7"/>
      <c r="P630" s="7"/>
      <c r="Q630" s="7"/>
      <c r="R630" s="7"/>
      <c r="S630" s="7"/>
      <c r="T630" s="7"/>
      <c r="U630" s="7"/>
      <c r="W630" s="7"/>
    </row>
    <row r="631" spans="1:23" ht="15.75" customHeight="1">
      <c r="A631" s="8"/>
      <c r="B631" s="7"/>
      <c r="C631" s="33"/>
      <c r="D631" s="7"/>
      <c r="E631" s="7"/>
      <c r="F631" s="7"/>
      <c r="G631" s="7"/>
      <c r="H631" s="7"/>
      <c r="I631" s="7"/>
      <c r="J631" s="7"/>
      <c r="K631" s="7"/>
      <c r="L631" s="7"/>
      <c r="M631" s="7"/>
      <c r="N631" s="7"/>
      <c r="O631" s="7"/>
      <c r="P631" s="7"/>
      <c r="Q631" s="7"/>
      <c r="R631" s="7"/>
      <c r="S631" s="7"/>
      <c r="T631" s="7"/>
      <c r="U631" s="7"/>
      <c r="W631" s="7"/>
    </row>
    <row r="632" spans="1:23" ht="15.75" customHeight="1">
      <c r="A632" s="8"/>
      <c r="B632" s="7"/>
      <c r="C632" s="33"/>
      <c r="D632" s="7"/>
      <c r="E632" s="7"/>
      <c r="F632" s="7"/>
      <c r="G632" s="7"/>
      <c r="H632" s="7"/>
      <c r="I632" s="7"/>
      <c r="J632" s="7"/>
      <c r="K632" s="7"/>
      <c r="L632" s="7"/>
      <c r="M632" s="7"/>
      <c r="N632" s="7"/>
      <c r="O632" s="7"/>
      <c r="P632" s="7"/>
      <c r="Q632" s="7"/>
      <c r="R632" s="7"/>
      <c r="S632" s="7"/>
      <c r="T632" s="7"/>
      <c r="U632" s="7"/>
      <c r="W632" s="7"/>
    </row>
    <row r="633" spans="1:23" ht="15.75" customHeight="1">
      <c r="A633" s="8"/>
      <c r="B633" s="7"/>
      <c r="C633" s="33"/>
      <c r="D633" s="7"/>
      <c r="E633" s="7"/>
      <c r="F633" s="7"/>
      <c r="G633" s="7"/>
      <c r="H633" s="7"/>
      <c r="I633" s="7"/>
      <c r="J633" s="7"/>
      <c r="K633" s="7"/>
      <c r="L633" s="7"/>
      <c r="M633" s="7"/>
      <c r="N633" s="7"/>
      <c r="O633" s="7"/>
      <c r="P633" s="7"/>
      <c r="Q633" s="7"/>
      <c r="R633" s="7"/>
      <c r="S633" s="7"/>
      <c r="T633" s="7"/>
      <c r="U633" s="7"/>
      <c r="W633" s="7"/>
    </row>
    <row r="634" spans="1:23" ht="15.75" customHeight="1">
      <c r="A634" s="8"/>
      <c r="B634" s="7"/>
      <c r="C634" s="33"/>
      <c r="D634" s="7"/>
      <c r="E634" s="7"/>
      <c r="F634" s="7"/>
      <c r="G634" s="7"/>
      <c r="H634" s="7"/>
      <c r="I634" s="7"/>
      <c r="J634" s="7"/>
      <c r="K634" s="7"/>
      <c r="L634" s="7"/>
      <c r="M634" s="7"/>
      <c r="N634" s="7"/>
      <c r="O634" s="7"/>
      <c r="P634" s="7"/>
      <c r="Q634" s="7"/>
      <c r="R634" s="7"/>
      <c r="S634" s="7"/>
      <c r="T634" s="7"/>
      <c r="U634" s="7"/>
      <c r="W634" s="7"/>
    </row>
    <row r="635" spans="1:23" ht="15.75" customHeight="1">
      <c r="A635" s="8"/>
      <c r="B635" s="7"/>
      <c r="C635" s="33"/>
      <c r="D635" s="7"/>
      <c r="E635" s="7"/>
      <c r="F635" s="7"/>
      <c r="G635" s="7"/>
      <c r="H635" s="7"/>
      <c r="I635" s="7"/>
      <c r="J635" s="7"/>
      <c r="K635" s="7"/>
      <c r="L635" s="7"/>
      <c r="M635" s="7"/>
      <c r="N635" s="7"/>
      <c r="O635" s="7"/>
      <c r="P635" s="7"/>
      <c r="Q635" s="7"/>
      <c r="R635" s="7"/>
      <c r="S635" s="7"/>
      <c r="T635" s="7"/>
      <c r="U635" s="7"/>
      <c r="W635" s="7"/>
    </row>
    <row r="636" spans="1:23" ht="15.75" customHeight="1">
      <c r="A636" s="8"/>
      <c r="B636" s="7"/>
      <c r="C636" s="33"/>
      <c r="D636" s="7"/>
      <c r="E636" s="7"/>
      <c r="F636" s="7"/>
      <c r="G636" s="7"/>
      <c r="H636" s="7"/>
      <c r="I636" s="7"/>
      <c r="J636" s="7"/>
      <c r="K636" s="7"/>
      <c r="L636" s="7"/>
      <c r="M636" s="7"/>
      <c r="N636" s="7"/>
      <c r="O636" s="7"/>
      <c r="P636" s="7"/>
      <c r="Q636" s="7"/>
      <c r="R636" s="7"/>
      <c r="S636" s="7"/>
      <c r="T636" s="7"/>
      <c r="U636" s="7"/>
      <c r="W636" s="7"/>
    </row>
    <row r="637" spans="1:23" ht="15.75" customHeight="1">
      <c r="A637" s="8"/>
      <c r="B637" s="7"/>
      <c r="C637" s="33"/>
      <c r="D637" s="7"/>
      <c r="E637" s="7"/>
      <c r="F637" s="7"/>
      <c r="G637" s="7"/>
      <c r="H637" s="7"/>
      <c r="I637" s="7"/>
      <c r="J637" s="7"/>
      <c r="K637" s="7"/>
      <c r="L637" s="7"/>
      <c r="M637" s="7"/>
      <c r="N637" s="7"/>
      <c r="O637" s="7"/>
      <c r="P637" s="7"/>
      <c r="Q637" s="7"/>
      <c r="R637" s="7"/>
      <c r="S637" s="7"/>
      <c r="T637" s="7"/>
      <c r="U637" s="7"/>
      <c r="W637" s="7"/>
    </row>
    <row r="638" spans="1:23" ht="15.75" customHeight="1">
      <c r="A638" s="8"/>
      <c r="B638" s="7"/>
      <c r="C638" s="33"/>
      <c r="D638" s="7"/>
      <c r="E638" s="7"/>
      <c r="F638" s="7"/>
      <c r="G638" s="7"/>
      <c r="H638" s="7"/>
      <c r="I638" s="7"/>
      <c r="J638" s="7"/>
      <c r="K638" s="7"/>
      <c r="L638" s="7"/>
      <c r="M638" s="7"/>
      <c r="N638" s="7"/>
      <c r="O638" s="7"/>
      <c r="P638" s="7"/>
      <c r="Q638" s="7"/>
      <c r="R638" s="7"/>
      <c r="S638" s="7"/>
      <c r="T638" s="7"/>
      <c r="U638" s="7"/>
      <c r="W638" s="7"/>
    </row>
    <row r="639" spans="1:23" ht="15.75" customHeight="1">
      <c r="A639" s="8"/>
      <c r="B639" s="7"/>
      <c r="C639" s="33"/>
      <c r="D639" s="7"/>
      <c r="E639" s="7"/>
      <c r="F639" s="7"/>
      <c r="G639" s="7"/>
      <c r="H639" s="7"/>
      <c r="I639" s="7"/>
      <c r="J639" s="7"/>
      <c r="K639" s="7"/>
      <c r="L639" s="7"/>
      <c r="M639" s="7"/>
      <c r="N639" s="7"/>
      <c r="O639" s="7"/>
      <c r="P639" s="7"/>
      <c r="Q639" s="7"/>
      <c r="R639" s="7"/>
      <c r="S639" s="7"/>
      <c r="T639" s="7"/>
      <c r="U639" s="7"/>
      <c r="W639" s="7"/>
    </row>
    <row r="640" spans="1:23" ht="15.75" customHeight="1">
      <c r="A640" s="8"/>
      <c r="B640" s="7"/>
      <c r="C640" s="33"/>
      <c r="D640" s="7"/>
      <c r="E640" s="7"/>
      <c r="F640" s="7"/>
      <c r="G640" s="7"/>
      <c r="H640" s="7"/>
      <c r="I640" s="7"/>
      <c r="J640" s="7"/>
      <c r="K640" s="7"/>
      <c r="L640" s="7"/>
      <c r="M640" s="7"/>
      <c r="N640" s="7"/>
      <c r="O640" s="7"/>
      <c r="P640" s="7"/>
      <c r="Q640" s="7"/>
      <c r="R640" s="7"/>
      <c r="S640" s="7"/>
      <c r="T640" s="7"/>
      <c r="U640" s="7"/>
      <c r="W640" s="7"/>
    </row>
    <row r="641" spans="1:23" ht="15.75" customHeight="1">
      <c r="A641" s="8"/>
      <c r="B641" s="7"/>
      <c r="C641" s="33"/>
      <c r="D641" s="7"/>
      <c r="E641" s="7"/>
      <c r="F641" s="7"/>
      <c r="G641" s="7"/>
      <c r="H641" s="7"/>
      <c r="I641" s="7"/>
      <c r="J641" s="7"/>
      <c r="K641" s="7"/>
      <c r="L641" s="7"/>
      <c r="M641" s="7"/>
      <c r="N641" s="7"/>
      <c r="O641" s="7"/>
      <c r="P641" s="7"/>
      <c r="Q641" s="7"/>
      <c r="R641" s="7"/>
      <c r="S641" s="7"/>
      <c r="T641" s="7"/>
      <c r="U641" s="7"/>
      <c r="W641" s="7"/>
    </row>
    <row r="642" spans="1:23" ht="15.75" customHeight="1">
      <c r="A642" s="8"/>
      <c r="B642" s="7"/>
      <c r="C642" s="33"/>
      <c r="D642" s="7"/>
      <c r="E642" s="7"/>
      <c r="F642" s="7"/>
      <c r="G642" s="7"/>
      <c r="H642" s="7"/>
      <c r="I642" s="7"/>
      <c r="J642" s="7"/>
      <c r="K642" s="7"/>
      <c r="L642" s="7"/>
      <c r="M642" s="7"/>
      <c r="N642" s="7"/>
      <c r="O642" s="7"/>
      <c r="P642" s="7"/>
      <c r="Q642" s="7"/>
      <c r="R642" s="7"/>
      <c r="S642" s="7"/>
      <c r="T642" s="7"/>
      <c r="U642" s="7"/>
      <c r="W642" s="7"/>
    </row>
    <row r="643" spans="1:23" ht="15.75" customHeight="1">
      <c r="A643" s="8"/>
      <c r="B643" s="7"/>
      <c r="C643" s="33"/>
      <c r="D643" s="7"/>
      <c r="E643" s="7"/>
      <c r="F643" s="7"/>
      <c r="G643" s="7"/>
      <c r="H643" s="7"/>
      <c r="I643" s="7"/>
      <c r="J643" s="7"/>
      <c r="K643" s="7"/>
      <c r="L643" s="7"/>
      <c r="M643" s="7"/>
      <c r="N643" s="7"/>
      <c r="O643" s="7"/>
      <c r="P643" s="7"/>
      <c r="Q643" s="7"/>
      <c r="R643" s="7"/>
      <c r="S643" s="7"/>
      <c r="T643" s="7"/>
      <c r="U643" s="7"/>
      <c r="W643" s="7"/>
    </row>
    <row r="644" spans="1:23" ht="15.75" customHeight="1">
      <c r="A644" s="8"/>
      <c r="B644" s="7"/>
      <c r="C644" s="33"/>
      <c r="D644" s="7"/>
      <c r="E644" s="7"/>
      <c r="F644" s="7"/>
      <c r="G644" s="7"/>
      <c r="H644" s="7"/>
      <c r="I644" s="7"/>
      <c r="J644" s="7"/>
      <c r="K644" s="7"/>
      <c r="L644" s="7"/>
      <c r="M644" s="7"/>
      <c r="N644" s="7"/>
      <c r="O644" s="7"/>
      <c r="P644" s="7"/>
      <c r="Q644" s="7"/>
      <c r="R644" s="7"/>
      <c r="S644" s="7"/>
      <c r="T644" s="7"/>
      <c r="U644" s="7"/>
      <c r="W644" s="7"/>
    </row>
    <row r="645" spans="1:23" ht="15.75" customHeight="1">
      <c r="A645" s="8"/>
      <c r="B645" s="7"/>
      <c r="C645" s="33"/>
      <c r="D645" s="7"/>
      <c r="E645" s="7"/>
      <c r="F645" s="7"/>
      <c r="G645" s="7"/>
      <c r="H645" s="7"/>
      <c r="I645" s="7"/>
      <c r="J645" s="7"/>
      <c r="K645" s="7"/>
      <c r="L645" s="7"/>
      <c r="M645" s="7"/>
      <c r="N645" s="7"/>
      <c r="O645" s="7"/>
      <c r="P645" s="7"/>
      <c r="Q645" s="7"/>
      <c r="R645" s="7"/>
      <c r="S645" s="7"/>
      <c r="T645" s="7"/>
      <c r="U645" s="7"/>
      <c r="W645" s="7"/>
    </row>
    <row r="646" spans="1:23" ht="15.75" customHeight="1">
      <c r="A646" s="8"/>
      <c r="B646" s="7"/>
      <c r="C646" s="33"/>
      <c r="D646" s="7"/>
      <c r="E646" s="7"/>
      <c r="F646" s="7"/>
      <c r="G646" s="7"/>
      <c r="H646" s="7"/>
      <c r="I646" s="7"/>
      <c r="J646" s="7"/>
      <c r="K646" s="7"/>
      <c r="L646" s="7"/>
      <c r="M646" s="7"/>
      <c r="N646" s="7"/>
      <c r="O646" s="7"/>
      <c r="P646" s="7"/>
      <c r="Q646" s="7"/>
      <c r="R646" s="7"/>
      <c r="S646" s="7"/>
      <c r="T646" s="7"/>
      <c r="U646" s="7"/>
      <c r="W646" s="7"/>
    </row>
    <row r="647" spans="1:23" ht="15.75" customHeight="1">
      <c r="A647" s="8"/>
      <c r="B647" s="7"/>
      <c r="C647" s="33"/>
      <c r="D647" s="7"/>
      <c r="E647" s="7"/>
      <c r="F647" s="7"/>
      <c r="G647" s="7"/>
      <c r="H647" s="7"/>
      <c r="I647" s="7"/>
      <c r="J647" s="7"/>
      <c r="K647" s="7"/>
      <c r="L647" s="7"/>
      <c r="M647" s="7"/>
      <c r="N647" s="7"/>
      <c r="O647" s="7"/>
      <c r="P647" s="7"/>
      <c r="Q647" s="7"/>
      <c r="R647" s="7"/>
      <c r="S647" s="7"/>
      <c r="T647" s="7"/>
      <c r="U647" s="7"/>
      <c r="W647" s="7"/>
    </row>
    <row r="648" spans="1:23" ht="15.75" customHeight="1">
      <c r="A648" s="8"/>
      <c r="B648" s="7"/>
      <c r="C648" s="33"/>
      <c r="D648" s="7"/>
      <c r="E648" s="7"/>
      <c r="F648" s="7"/>
      <c r="G648" s="7"/>
      <c r="H648" s="7"/>
      <c r="I648" s="7"/>
      <c r="J648" s="7"/>
      <c r="K648" s="7"/>
      <c r="L648" s="7"/>
      <c r="M648" s="7"/>
      <c r="N648" s="7"/>
      <c r="O648" s="7"/>
      <c r="P648" s="7"/>
      <c r="Q648" s="7"/>
      <c r="R648" s="7"/>
      <c r="S648" s="7"/>
      <c r="T648" s="7"/>
      <c r="U648" s="7"/>
      <c r="W648" s="7"/>
    </row>
    <row r="649" spans="1:23" ht="15.75" customHeight="1">
      <c r="A649" s="8"/>
      <c r="B649" s="7"/>
      <c r="C649" s="33"/>
      <c r="D649" s="7"/>
      <c r="E649" s="7"/>
      <c r="F649" s="7"/>
      <c r="G649" s="7"/>
      <c r="H649" s="7"/>
      <c r="I649" s="7"/>
      <c r="J649" s="7"/>
      <c r="K649" s="7"/>
      <c r="L649" s="7"/>
      <c r="M649" s="7"/>
      <c r="N649" s="7"/>
      <c r="O649" s="7"/>
      <c r="P649" s="7"/>
      <c r="Q649" s="7"/>
      <c r="R649" s="7"/>
      <c r="S649" s="7"/>
      <c r="T649" s="7"/>
      <c r="U649" s="7"/>
      <c r="W649" s="7"/>
    </row>
    <row r="650" spans="1:23" ht="15.75" customHeight="1">
      <c r="A650" s="8"/>
      <c r="B650" s="7"/>
      <c r="C650" s="33"/>
      <c r="D650" s="7"/>
      <c r="E650" s="7"/>
      <c r="F650" s="7"/>
      <c r="G650" s="7"/>
      <c r="H650" s="7"/>
      <c r="I650" s="7"/>
      <c r="J650" s="7"/>
      <c r="K650" s="7"/>
      <c r="L650" s="7"/>
      <c r="M650" s="7"/>
      <c r="N650" s="7"/>
      <c r="O650" s="7"/>
      <c r="P650" s="7"/>
      <c r="Q650" s="7"/>
      <c r="R650" s="7"/>
      <c r="S650" s="7"/>
      <c r="T650" s="7"/>
      <c r="U650" s="7"/>
      <c r="W650" s="7"/>
    </row>
    <row r="651" spans="1:23" ht="15.75" customHeight="1">
      <c r="A651" s="8"/>
      <c r="B651" s="7"/>
      <c r="C651" s="33"/>
      <c r="D651" s="7"/>
      <c r="E651" s="7"/>
      <c r="F651" s="7"/>
      <c r="G651" s="7"/>
      <c r="H651" s="7"/>
      <c r="I651" s="7"/>
      <c r="J651" s="7"/>
      <c r="K651" s="7"/>
      <c r="L651" s="7"/>
      <c r="M651" s="7"/>
      <c r="N651" s="7"/>
      <c r="O651" s="7"/>
      <c r="P651" s="7"/>
      <c r="Q651" s="7"/>
      <c r="R651" s="7"/>
      <c r="S651" s="7"/>
      <c r="T651" s="7"/>
      <c r="U651" s="7"/>
      <c r="W651" s="7"/>
    </row>
    <row r="652" spans="1:23" ht="15.75" customHeight="1">
      <c r="A652" s="8"/>
      <c r="B652" s="7"/>
      <c r="C652" s="33"/>
      <c r="D652" s="7"/>
      <c r="E652" s="7"/>
      <c r="F652" s="7"/>
      <c r="G652" s="7"/>
      <c r="H652" s="7"/>
      <c r="I652" s="7"/>
      <c r="J652" s="7"/>
      <c r="K652" s="7"/>
      <c r="L652" s="7"/>
      <c r="M652" s="7"/>
      <c r="N652" s="7"/>
      <c r="O652" s="7"/>
      <c r="P652" s="7"/>
      <c r="Q652" s="7"/>
      <c r="R652" s="7"/>
      <c r="S652" s="7"/>
      <c r="T652" s="7"/>
      <c r="U652" s="7"/>
      <c r="W652" s="7"/>
    </row>
    <row r="653" spans="1:23" ht="15.75" customHeight="1">
      <c r="A653" s="8"/>
      <c r="B653" s="7"/>
      <c r="C653" s="33"/>
      <c r="D653" s="7"/>
      <c r="E653" s="7"/>
      <c r="F653" s="7"/>
      <c r="G653" s="7"/>
      <c r="H653" s="7"/>
      <c r="I653" s="7"/>
      <c r="J653" s="7"/>
      <c r="K653" s="7"/>
      <c r="L653" s="7"/>
      <c r="M653" s="7"/>
      <c r="N653" s="7"/>
      <c r="O653" s="7"/>
      <c r="P653" s="7"/>
      <c r="Q653" s="7"/>
      <c r="R653" s="7"/>
      <c r="S653" s="7"/>
      <c r="T653" s="7"/>
      <c r="U653" s="7"/>
      <c r="W653" s="7"/>
    </row>
    <row r="654" spans="1:23" ht="15.75" customHeight="1">
      <c r="A654" s="8"/>
      <c r="B654" s="7"/>
      <c r="C654" s="33"/>
      <c r="D654" s="7"/>
      <c r="E654" s="7"/>
      <c r="F654" s="7"/>
      <c r="G654" s="7"/>
      <c r="H654" s="7"/>
      <c r="I654" s="7"/>
      <c r="J654" s="7"/>
      <c r="K654" s="7"/>
      <c r="L654" s="7"/>
      <c r="M654" s="7"/>
      <c r="N654" s="7"/>
      <c r="O654" s="7"/>
      <c r="P654" s="7"/>
      <c r="Q654" s="7"/>
      <c r="R654" s="7"/>
      <c r="S654" s="7"/>
      <c r="T654" s="7"/>
      <c r="U654" s="7"/>
      <c r="W654" s="7"/>
    </row>
    <row r="655" spans="1:23" ht="15.75" customHeight="1">
      <c r="A655" s="8"/>
      <c r="B655" s="7"/>
      <c r="C655" s="33"/>
      <c r="D655" s="7"/>
      <c r="E655" s="7"/>
      <c r="F655" s="7"/>
      <c r="G655" s="7"/>
      <c r="H655" s="7"/>
      <c r="I655" s="7"/>
      <c r="J655" s="7"/>
      <c r="K655" s="7"/>
      <c r="L655" s="7"/>
      <c r="M655" s="7"/>
      <c r="N655" s="7"/>
      <c r="O655" s="7"/>
      <c r="P655" s="7"/>
      <c r="Q655" s="7"/>
      <c r="R655" s="7"/>
      <c r="S655" s="7"/>
      <c r="T655" s="7"/>
      <c r="U655" s="7"/>
      <c r="W655" s="7"/>
    </row>
    <row r="656" spans="1:23" ht="15.75" customHeight="1">
      <c r="A656" s="8"/>
      <c r="B656" s="7"/>
      <c r="C656" s="33"/>
      <c r="D656" s="7"/>
      <c r="E656" s="7"/>
      <c r="F656" s="7"/>
      <c r="G656" s="7"/>
      <c r="H656" s="7"/>
      <c r="I656" s="7"/>
      <c r="J656" s="7"/>
      <c r="K656" s="7"/>
      <c r="L656" s="7"/>
      <c r="M656" s="7"/>
      <c r="N656" s="7"/>
      <c r="O656" s="7"/>
      <c r="P656" s="7"/>
      <c r="Q656" s="7"/>
      <c r="R656" s="7"/>
      <c r="S656" s="7"/>
      <c r="T656" s="7"/>
      <c r="U656" s="7"/>
      <c r="W656" s="7"/>
    </row>
    <row r="657" spans="1:23" ht="15.75" customHeight="1">
      <c r="A657" s="8"/>
      <c r="B657" s="7"/>
      <c r="C657" s="33"/>
      <c r="D657" s="7"/>
      <c r="E657" s="7"/>
      <c r="F657" s="7"/>
      <c r="G657" s="7"/>
      <c r="H657" s="7"/>
      <c r="I657" s="7"/>
      <c r="J657" s="7"/>
      <c r="K657" s="7"/>
      <c r="L657" s="7"/>
      <c r="M657" s="7"/>
      <c r="N657" s="7"/>
      <c r="O657" s="7"/>
      <c r="P657" s="7"/>
      <c r="Q657" s="7"/>
      <c r="R657" s="7"/>
      <c r="S657" s="7"/>
      <c r="T657" s="7"/>
      <c r="U657" s="7"/>
      <c r="W657" s="7"/>
    </row>
    <row r="658" spans="1:23" ht="15.75" customHeight="1">
      <c r="A658" s="8"/>
      <c r="B658" s="7"/>
      <c r="C658" s="33"/>
      <c r="D658" s="7"/>
      <c r="E658" s="7"/>
      <c r="F658" s="7"/>
      <c r="G658" s="7"/>
      <c r="H658" s="7"/>
      <c r="I658" s="7"/>
      <c r="J658" s="7"/>
      <c r="K658" s="7"/>
      <c r="L658" s="7"/>
      <c r="M658" s="7"/>
      <c r="N658" s="7"/>
      <c r="O658" s="7"/>
      <c r="P658" s="7"/>
      <c r="Q658" s="7"/>
      <c r="R658" s="7"/>
      <c r="S658" s="7"/>
      <c r="T658" s="7"/>
      <c r="U658" s="7"/>
      <c r="W658" s="7"/>
    </row>
    <row r="659" spans="1:23" ht="15.75" customHeight="1">
      <c r="A659" s="8"/>
      <c r="B659" s="7"/>
      <c r="C659" s="33"/>
      <c r="D659" s="7"/>
      <c r="E659" s="7"/>
      <c r="F659" s="7"/>
      <c r="G659" s="7"/>
      <c r="H659" s="7"/>
      <c r="I659" s="7"/>
      <c r="J659" s="7"/>
      <c r="K659" s="7"/>
      <c r="L659" s="7"/>
      <c r="M659" s="7"/>
      <c r="N659" s="7"/>
      <c r="O659" s="7"/>
      <c r="P659" s="7"/>
      <c r="Q659" s="7"/>
      <c r="R659" s="7"/>
      <c r="S659" s="7"/>
      <c r="T659" s="7"/>
      <c r="U659" s="7"/>
      <c r="W659" s="7"/>
    </row>
    <row r="660" spans="1:23" ht="15.75" customHeight="1">
      <c r="A660" s="8"/>
      <c r="B660" s="7"/>
      <c r="C660" s="33"/>
      <c r="D660" s="7"/>
      <c r="E660" s="7"/>
      <c r="F660" s="7"/>
      <c r="G660" s="7"/>
      <c r="H660" s="7"/>
      <c r="I660" s="7"/>
      <c r="J660" s="7"/>
      <c r="K660" s="7"/>
      <c r="L660" s="7"/>
      <c r="M660" s="7"/>
      <c r="N660" s="7"/>
      <c r="O660" s="7"/>
      <c r="P660" s="7"/>
      <c r="Q660" s="7"/>
      <c r="R660" s="7"/>
      <c r="S660" s="7"/>
      <c r="T660" s="7"/>
      <c r="U660" s="7"/>
      <c r="W660" s="7"/>
    </row>
    <row r="661" spans="1:23" ht="15.75" customHeight="1">
      <c r="A661" s="8"/>
      <c r="B661" s="7"/>
      <c r="C661" s="33"/>
      <c r="D661" s="7"/>
      <c r="E661" s="7"/>
      <c r="F661" s="7"/>
      <c r="G661" s="7"/>
      <c r="H661" s="7"/>
      <c r="I661" s="7"/>
      <c r="J661" s="7"/>
      <c r="K661" s="7"/>
      <c r="L661" s="7"/>
      <c r="M661" s="7"/>
      <c r="N661" s="7"/>
      <c r="O661" s="7"/>
      <c r="P661" s="7"/>
      <c r="Q661" s="7"/>
      <c r="R661" s="7"/>
      <c r="S661" s="7"/>
      <c r="T661" s="7"/>
      <c r="U661" s="7"/>
      <c r="W661" s="7"/>
    </row>
    <row r="662" spans="1:23" ht="15.75" customHeight="1">
      <c r="A662" s="8"/>
      <c r="B662" s="7"/>
      <c r="C662" s="33"/>
      <c r="D662" s="7"/>
      <c r="E662" s="7"/>
      <c r="F662" s="7"/>
      <c r="G662" s="7"/>
      <c r="H662" s="7"/>
      <c r="I662" s="7"/>
      <c r="J662" s="7"/>
      <c r="K662" s="7"/>
      <c r="L662" s="7"/>
      <c r="M662" s="7"/>
      <c r="N662" s="7"/>
      <c r="O662" s="7"/>
      <c r="P662" s="7"/>
      <c r="Q662" s="7"/>
      <c r="R662" s="7"/>
      <c r="S662" s="7"/>
      <c r="T662" s="7"/>
      <c r="U662" s="7"/>
      <c r="W662" s="7"/>
    </row>
    <row r="663" spans="1:23" ht="15.75" customHeight="1">
      <c r="A663" s="8"/>
      <c r="B663" s="7"/>
      <c r="C663" s="33"/>
      <c r="D663" s="7"/>
      <c r="E663" s="7"/>
      <c r="F663" s="7"/>
      <c r="G663" s="7"/>
      <c r="H663" s="7"/>
      <c r="I663" s="7"/>
      <c r="J663" s="7"/>
      <c r="K663" s="7"/>
      <c r="L663" s="7"/>
      <c r="M663" s="7"/>
      <c r="N663" s="7"/>
      <c r="O663" s="7"/>
      <c r="P663" s="7"/>
      <c r="Q663" s="7"/>
      <c r="R663" s="7"/>
      <c r="S663" s="7"/>
      <c r="T663" s="7"/>
      <c r="U663" s="7"/>
      <c r="W663" s="7"/>
    </row>
    <row r="664" spans="1:23" ht="15.75" customHeight="1">
      <c r="A664" s="8"/>
      <c r="B664" s="7"/>
      <c r="C664" s="33"/>
      <c r="D664" s="7"/>
      <c r="E664" s="7"/>
      <c r="F664" s="7"/>
      <c r="G664" s="7"/>
      <c r="H664" s="7"/>
      <c r="I664" s="7"/>
      <c r="J664" s="7"/>
      <c r="K664" s="7"/>
      <c r="L664" s="7"/>
      <c r="M664" s="7"/>
      <c r="N664" s="7"/>
      <c r="O664" s="7"/>
      <c r="P664" s="7"/>
      <c r="Q664" s="7"/>
      <c r="R664" s="7"/>
      <c r="S664" s="7"/>
      <c r="T664" s="7"/>
      <c r="U664" s="7"/>
      <c r="W664" s="7"/>
    </row>
    <row r="665" spans="1:23" ht="15.75" customHeight="1">
      <c r="A665" s="8"/>
      <c r="B665" s="7"/>
      <c r="C665" s="33"/>
      <c r="D665" s="7"/>
      <c r="E665" s="7"/>
      <c r="F665" s="7"/>
      <c r="G665" s="7"/>
      <c r="H665" s="7"/>
      <c r="I665" s="7"/>
      <c r="J665" s="7"/>
      <c r="K665" s="7"/>
      <c r="L665" s="7"/>
      <c r="M665" s="7"/>
      <c r="N665" s="7"/>
      <c r="O665" s="7"/>
      <c r="P665" s="7"/>
      <c r="Q665" s="7"/>
      <c r="R665" s="7"/>
      <c r="S665" s="7"/>
      <c r="T665" s="7"/>
      <c r="U665" s="7"/>
      <c r="W665" s="7"/>
    </row>
    <row r="666" spans="1:23" ht="15.75" customHeight="1">
      <c r="A666" s="8"/>
      <c r="B666" s="7"/>
      <c r="C666" s="33"/>
      <c r="D666" s="7"/>
      <c r="E666" s="7"/>
      <c r="F666" s="7"/>
      <c r="G666" s="7"/>
      <c r="H666" s="7"/>
      <c r="I666" s="7"/>
      <c r="J666" s="7"/>
      <c r="K666" s="7"/>
      <c r="L666" s="7"/>
      <c r="M666" s="7"/>
      <c r="N666" s="7"/>
      <c r="O666" s="7"/>
      <c r="P666" s="7"/>
      <c r="Q666" s="7"/>
      <c r="R666" s="7"/>
      <c r="S666" s="7"/>
      <c r="T666" s="7"/>
      <c r="U666" s="7"/>
      <c r="W666" s="7"/>
    </row>
    <row r="667" spans="1:23" ht="15.75" customHeight="1">
      <c r="A667" s="8"/>
      <c r="B667" s="7"/>
      <c r="C667" s="33"/>
      <c r="D667" s="7"/>
      <c r="E667" s="7"/>
      <c r="F667" s="7"/>
      <c r="G667" s="7"/>
      <c r="H667" s="7"/>
      <c r="I667" s="7"/>
      <c r="J667" s="7"/>
      <c r="K667" s="7"/>
      <c r="L667" s="7"/>
      <c r="M667" s="7"/>
      <c r="N667" s="7"/>
      <c r="O667" s="7"/>
      <c r="P667" s="7"/>
      <c r="Q667" s="7"/>
      <c r="R667" s="7"/>
      <c r="S667" s="7"/>
      <c r="T667" s="7"/>
      <c r="U667" s="7"/>
      <c r="W667" s="7"/>
    </row>
    <row r="668" spans="1:23" ht="15.75" customHeight="1">
      <c r="A668" s="8"/>
      <c r="B668" s="7"/>
      <c r="C668" s="33"/>
      <c r="D668" s="7"/>
      <c r="E668" s="7"/>
      <c r="F668" s="7"/>
      <c r="G668" s="7"/>
      <c r="H668" s="7"/>
      <c r="I668" s="7"/>
      <c r="J668" s="7"/>
      <c r="K668" s="7"/>
      <c r="L668" s="7"/>
      <c r="M668" s="7"/>
      <c r="N668" s="7"/>
      <c r="O668" s="7"/>
      <c r="P668" s="7"/>
      <c r="Q668" s="7"/>
      <c r="R668" s="7"/>
      <c r="S668" s="7"/>
      <c r="T668" s="7"/>
      <c r="U668" s="7"/>
      <c r="W668" s="7"/>
    </row>
    <row r="669" spans="1:23" ht="15.75" customHeight="1">
      <c r="A669" s="8"/>
      <c r="B669" s="7"/>
      <c r="C669" s="33"/>
      <c r="D669" s="7"/>
      <c r="E669" s="7"/>
      <c r="F669" s="7"/>
      <c r="G669" s="7"/>
      <c r="H669" s="7"/>
      <c r="I669" s="7"/>
      <c r="J669" s="7"/>
      <c r="K669" s="7"/>
      <c r="L669" s="7"/>
      <c r="M669" s="7"/>
      <c r="N669" s="7"/>
      <c r="O669" s="7"/>
      <c r="P669" s="7"/>
      <c r="Q669" s="7"/>
      <c r="R669" s="7"/>
      <c r="S669" s="7"/>
      <c r="T669" s="7"/>
      <c r="U669" s="7"/>
      <c r="W669" s="7"/>
    </row>
    <row r="670" spans="1:23" ht="15.75" customHeight="1">
      <c r="A670" s="8"/>
      <c r="B670" s="7"/>
      <c r="C670" s="33"/>
      <c r="D670" s="7"/>
      <c r="E670" s="7"/>
      <c r="F670" s="7"/>
      <c r="G670" s="7"/>
      <c r="H670" s="7"/>
      <c r="I670" s="7"/>
      <c r="J670" s="7"/>
      <c r="K670" s="7"/>
      <c r="L670" s="7"/>
      <c r="M670" s="7"/>
      <c r="N670" s="7"/>
      <c r="O670" s="7"/>
      <c r="P670" s="7"/>
      <c r="Q670" s="7"/>
      <c r="R670" s="7"/>
      <c r="S670" s="7"/>
      <c r="T670" s="7"/>
      <c r="U670" s="7"/>
      <c r="W670" s="7"/>
    </row>
    <row r="671" spans="1:23" ht="15.75" customHeight="1">
      <c r="A671" s="8"/>
      <c r="B671" s="7"/>
      <c r="C671" s="33"/>
      <c r="D671" s="7"/>
      <c r="E671" s="7"/>
      <c r="F671" s="7"/>
      <c r="G671" s="7"/>
      <c r="H671" s="7"/>
      <c r="I671" s="7"/>
      <c r="J671" s="7"/>
      <c r="K671" s="7"/>
      <c r="L671" s="7"/>
      <c r="M671" s="7"/>
      <c r="N671" s="7"/>
      <c r="O671" s="7"/>
      <c r="P671" s="7"/>
      <c r="Q671" s="7"/>
      <c r="R671" s="7"/>
      <c r="S671" s="7"/>
      <c r="T671" s="7"/>
      <c r="U671" s="7"/>
      <c r="W671" s="7"/>
    </row>
    <row r="672" spans="1:23" ht="15.75" customHeight="1">
      <c r="A672" s="8"/>
      <c r="B672" s="7"/>
      <c r="C672" s="33"/>
      <c r="D672" s="7"/>
      <c r="E672" s="7"/>
      <c r="F672" s="7"/>
      <c r="G672" s="7"/>
      <c r="H672" s="7"/>
      <c r="I672" s="7"/>
      <c r="J672" s="7"/>
      <c r="K672" s="7"/>
      <c r="L672" s="7"/>
      <c r="M672" s="7"/>
      <c r="N672" s="7"/>
      <c r="O672" s="7"/>
      <c r="P672" s="7"/>
      <c r="Q672" s="7"/>
      <c r="R672" s="7"/>
      <c r="S672" s="7"/>
      <c r="T672" s="7"/>
      <c r="U672" s="7"/>
      <c r="W672" s="7"/>
    </row>
    <row r="673" spans="1:23" ht="15.75" customHeight="1">
      <c r="A673" s="8"/>
      <c r="B673" s="7"/>
      <c r="C673" s="33"/>
      <c r="D673" s="7"/>
      <c r="E673" s="7"/>
      <c r="F673" s="7"/>
      <c r="G673" s="7"/>
      <c r="H673" s="7"/>
      <c r="I673" s="7"/>
      <c r="J673" s="7"/>
      <c r="K673" s="7"/>
      <c r="L673" s="7"/>
      <c r="M673" s="7"/>
      <c r="N673" s="7"/>
      <c r="O673" s="7"/>
      <c r="P673" s="7"/>
      <c r="Q673" s="7"/>
      <c r="R673" s="7"/>
      <c r="S673" s="7"/>
      <c r="T673" s="7"/>
      <c r="U673" s="7"/>
      <c r="W673" s="7"/>
    </row>
    <row r="674" spans="1:23" ht="15.75" customHeight="1">
      <c r="A674" s="8"/>
      <c r="B674" s="7"/>
      <c r="C674" s="33"/>
      <c r="D674" s="7"/>
      <c r="E674" s="7"/>
      <c r="F674" s="7"/>
      <c r="G674" s="7"/>
      <c r="H674" s="7"/>
      <c r="I674" s="7"/>
      <c r="J674" s="7"/>
      <c r="K674" s="7"/>
      <c r="L674" s="7"/>
      <c r="M674" s="7"/>
      <c r="N674" s="7"/>
      <c r="O674" s="7"/>
      <c r="P674" s="7"/>
      <c r="Q674" s="7"/>
      <c r="R674" s="7"/>
      <c r="S674" s="7"/>
      <c r="T674" s="7"/>
      <c r="U674" s="7"/>
      <c r="W674" s="7"/>
    </row>
    <row r="675" spans="1:23" ht="15.75" customHeight="1">
      <c r="A675" s="8"/>
      <c r="B675" s="7"/>
      <c r="C675" s="33"/>
      <c r="D675" s="7"/>
      <c r="E675" s="7"/>
      <c r="F675" s="7"/>
      <c r="G675" s="7"/>
      <c r="H675" s="7"/>
      <c r="I675" s="7"/>
      <c r="J675" s="7"/>
      <c r="K675" s="7"/>
      <c r="L675" s="7"/>
      <c r="M675" s="7"/>
      <c r="N675" s="7"/>
      <c r="O675" s="7"/>
      <c r="P675" s="7"/>
      <c r="Q675" s="7"/>
      <c r="R675" s="7"/>
      <c r="S675" s="7"/>
      <c r="T675" s="7"/>
      <c r="U675" s="7"/>
      <c r="W675" s="7"/>
    </row>
    <row r="676" spans="1:23" ht="15.75" customHeight="1">
      <c r="A676" s="8"/>
      <c r="B676" s="7"/>
      <c r="C676" s="33"/>
      <c r="D676" s="7"/>
      <c r="E676" s="7"/>
      <c r="F676" s="7"/>
      <c r="G676" s="7"/>
      <c r="H676" s="7"/>
      <c r="I676" s="7"/>
      <c r="J676" s="7"/>
      <c r="K676" s="7"/>
      <c r="L676" s="7"/>
      <c r="M676" s="7"/>
      <c r="N676" s="7"/>
      <c r="O676" s="7"/>
      <c r="P676" s="7"/>
      <c r="Q676" s="7"/>
      <c r="R676" s="7"/>
      <c r="S676" s="7"/>
      <c r="T676" s="7"/>
      <c r="U676" s="7"/>
      <c r="W676" s="7"/>
    </row>
    <row r="677" spans="1:23" ht="15.75" customHeight="1">
      <c r="A677" s="8"/>
      <c r="B677" s="7"/>
      <c r="C677" s="33"/>
      <c r="D677" s="7"/>
      <c r="E677" s="7"/>
      <c r="F677" s="7"/>
      <c r="G677" s="7"/>
      <c r="H677" s="7"/>
      <c r="I677" s="7"/>
      <c r="J677" s="7"/>
      <c r="K677" s="7"/>
      <c r="L677" s="7"/>
      <c r="M677" s="7"/>
      <c r="N677" s="7"/>
      <c r="O677" s="7"/>
      <c r="P677" s="7"/>
      <c r="Q677" s="7"/>
      <c r="R677" s="7"/>
      <c r="S677" s="7"/>
      <c r="T677" s="7"/>
      <c r="U677" s="7"/>
      <c r="W677" s="7"/>
    </row>
    <row r="678" spans="1:23" ht="15.75" customHeight="1">
      <c r="A678" s="8"/>
      <c r="B678" s="7"/>
      <c r="C678" s="33"/>
      <c r="D678" s="7"/>
      <c r="E678" s="7"/>
      <c r="F678" s="7"/>
      <c r="G678" s="7"/>
      <c r="H678" s="7"/>
      <c r="I678" s="7"/>
      <c r="J678" s="7"/>
      <c r="K678" s="7"/>
      <c r="L678" s="7"/>
      <c r="M678" s="7"/>
      <c r="N678" s="7"/>
      <c r="O678" s="7"/>
      <c r="P678" s="7"/>
      <c r="Q678" s="7"/>
      <c r="R678" s="7"/>
      <c r="S678" s="7"/>
      <c r="T678" s="7"/>
      <c r="U678" s="7"/>
      <c r="W678" s="7"/>
    </row>
    <row r="679" spans="1:23" ht="15.75" customHeight="1">
      <c r="A679" s="8"/>
      <c r="B679" s="7"/>
      <c r="C679" s="33"/>
      <c r="D679" s="7"/>
      <c r="E679" s="7"/>
      <c r="F679" s="7"/>
      <c r="G679" s="7"/>
      <c r="H679" s="7"/>
      <c r="I679" s="7"/>
      <c r="J679" s="7"/>
      <c r="K679" s="7"/>
      <c r="L679" s="7"/>
      <c r="M679" s="7"/>
      <c r="N679" s="7"/>
      <c r="O679" s="7"/>
      <c r="P679" s="7"/>
      <c r="Q679" s="7"/>
      <c r="R679" s="7"/>
      <c r="S679" s="7"/>
      <c r="T679" s="7"/>
      <c r="U679" s="7"/>
      <c r="W679" s="7"/>
    </row>
    <row r="680" spans="1:23" ht="15.75" customHeight="1">
      <c r="A680" s="8"/>
      <c r="B680" s="7"/>
      <c r="C680" s="33"/>
      <c r="D680" s="7"/>
      <c r="E680" s="7"/>
      <c r="F680" s="7"/>
      <c r="G680" s="7"/>
      <c r="H680" s="7"/>
      <c r="I680" s="7"/>
      <c r="J680" s="7"/>
      <c r="K680" s="7"/>
      <c r="L680" s="7"/>
      <c r="M680" s="7"/>
      <c r="N680" s="7"/>
      <c r="O680" s="7"/>
      <c r="P680" s="7"/>
      <c r="Q680" s="7"/>
      <c r="R680" s="7"/>
      <c r="S680" s="7"/>
      <c r="T680" s="7"/>
      <c r="U680" s="7"/>
      <c r="W680" s="7"/>
    </row>
    <row r="681" spans="1:23" ht="15.75" customHeight="1">
      <c r="A681" s="8"/>
      <c r="B681" s="7"/>
      <c r="C681" s="33"/>
      <c r="D681" s="7"/>
      <c r="E681" s="7"/>
      <c r="F681" s="7"/>
      <c r="G681" s="7"/>
      <c r="H681" s="7"/>
      <c r="I681" s="7"/>
      <c r="J681" s="7"/>
      <c r="K681" s="7"/>
      <c r="L681" s="7"/>
      <c r="M681" s="7"/>
      <c r="N681" s="7"/>
      <c r="O681" s="7"/>
      <c r="P681" s="7"/>
      <c r="Q681" s="7"/>
      <c r="R681" s="7"/>
      <c r="S681" s="7"/>
      <c r="T681" s="7"/>
      <c r="U681" s="7"/>
      <c r="W681" s="7"/>
    </row>
    <row r="682" spans="1:23" ht="15.75" customHeight="1">
      <c r="A682" s="8"/>
      <c r="B682" s="7"/>
      <c r="C682" s="33"/>
      <c r="D682" s="7"/>
      <c r="E682" s="7"/>
      <c r="F682" s="7"/>
      <c r="G682" s="7"/>
      <c r="H682" s="7"/>
      <c r="I682" s="7"/>
      <c r="J682" s="7"/>
      <c r="K682" s="7"/>
      <c r="L682" s="7"/>
      <c r="M682" s="7"/>
      <c r="N682" s="7"/>
      <c r="O682" s="7"/>
      <c r="P682" s="7"/>
      <c r="Q682" s="7"/>
      <c r="R682" s="7"/>
      <c r="S682" s="7"/>
      <c r="T682" s="7"/>
      <c r="U682" s="7"/>
      <c r="W682" s="7"/>
    </row>
    <row r="683" spans="1:23" ht="15.75" customHeight="1">
      <c r="A683" s="8"/>
      <c r="B683" s="7"/>
      <c r="C683" s="33"/>
      <c r="D683" s="7"/>
      <c r="E683" s="7"/>
      <c r="F683" s="7"/>
      <c r="G683" s="7"/>
      <c r="H683" s="7"/>
      <c r="I683" s="7"/>
      <c r="J683" s="7"/>
      <c r="K683" s="7"/>
      <c r="L683" s="7"/>
      <c r="M683" s="7"/>
      <c r="N683" s="7"/>
      <c r="O683" s="7"/>
      <c r="P683" s="7"/>
      <c r="Q683" s="7"/>
      <c r="R683" s="7"/>
      <c r="S683" s="7"/>
      <c r="T683" s="7"/>
      <c r="U683" s="7"/>
      <c r="W683" s="7"/>
    </row>
    <row r="684" spans="1:23" ht="15.75" customHeight="1">
      <c r="A684" s="8"/>
      <c r="B684" s="7"/>
      <c r="C684" s="33"/>
      <c r="D684" s="7"/>
      <c r="E684" s="7"/>
      <c r="F684" s="7"/>
      <c r="G684" s="7"/>
      <c r="H684" s="7"/>
      <c r="I684" s="7"/>
      <c r="J684" s="7"/>
      <c r="K684" s="7"/>
      <c r="L684" s="7"/>
      <c r="M684" s="7"/>
      <c r="N684" s="7"/>
      <c r="O684" s="7"/>
      <c r="P684" s="7"/>
      <c r="Q684" s="7"/>
      <c r="R684" s="7"/>
      <c r="S684" s="7"/>
      <c r="T684" s="7"/>
      <c r="U684" s="7"/>
      <c r="W684" s="7"/>
    </row>
    <row r="685" spans="1:23" ht="15.75" customHeight="1">
      <c r="A685" s="8"/>
      <c r="B685" s="7"/>
      <c r="C685" s="33"/>
      <c r="D685" s="7"/>
      <c r="E685" s="7"/>
      <c r="F685" s="7"/>
      <c r="G685" s="7"/>
      <c r="H685" s="7"/>
      <c r="I685" s="7"/>
      <c r="J685" s="7"/>
      <c r="K685" s="7"/>
      <c r="L685" s="7"/>
      <c r="M685" s="7"/>
      <c r="N685" s="7"/>
      <c r="O685" s="7"/>
      <c r="P685" s="7"/>
      <c r="Q685" s="7"/>
      <c r="R685" s="7"/>
      <c r="S685" s="7"/>
      <c r="T685" s="7"/>
      <c r="U685" s="7"/>
      <c r="W685" s="7"/>
    </row>
    <row r="686" spans="1:23" ht="15.75" customHeight="1">
      <c r="A686" s="8"/>
      <c r="B686" s="7"/>
      <c r="C686" s="33"/>
      <c r="D686" s="7"/>
      <c r="E686" s="7"/>
      <c r="F686" s="7"/>
      <c r="G686" s="7"/>
      <c r="H686" s="7"/>
      <c r="I686" s="7"/>
      <c r="J686" s="7"/>
      <c r="K686" s="7"/>
      <c r="L686" s="7"/>
      <c r="M686" s="7"/>
      <c r="N686" s="7"/>
      <c r="O686" s="7"/>
      <c r="P686" s="7"/>
      <c r="Q686" s="7"/>
      <c r="R686" s="7"/>
      <c r="S686" s="7"/>
      <c r="T686" s="7"/>
      <c r="U686" s="7"/>
      <c r="W686" s="7"/>
    </row>
    <row r="687" spans="1:23" ht="15.75" customHeight="1">
      <c r="A687" s="8"/>
      <c r="B687" s="7"/>
      <c r="C687" s="33"/>
      <c r="D687" s="7"/>
      <c r="E687" s="7"/>
      <c r="F687" s="7"/>
      <c r="G687" s="7"/>
      <c r="H687" s="7"/>
      <c r="I687" s="7"/>
      <c r="J687" s="7"/>
      <c r="K687" s="7"/>
      <c r="L687" s="7"/>
      <c r="M687" s="7"/>
      <c r="N687" s="7"/>
      <c r="O687" s="7"/>
      <c r="P687" s="7"/>
      <c r="Q687" s="7"/>
      <c r="R687" s="7"/>
      <c r="S687" s="7"/>
      <c r="T687" s="7"/>
      <c r="U687" s="7"/>
      <c r="W687" s="7"/>
    </row>
    <row r="688" spans="1:23" ht="15.75" customHeight="1">
      <c r="A688" s="8"/>
      <c r="B688" s="7"/>
      <c r="C688" s="33"/>
      <c r="D688" s="7"/>
      <c r="E688" s="7"/>
      <c r="F688" s="7"/>
      <c r="G688" s="7"/>
      <c r="H688" s="7"/>
      <c r="I688" s="7"/>
      <c r="J688" s="7"/>
      <c r="K688" s="7"/>
      <c r="L688" s="7"/>
      <c r="M688" s="7"/>
      <c r="N688" s="7"/>
      <c r="O688" s="7"/>
      <c r="P688" s="7"/>
      <c r="Q688" s="7"/>
      <c r="R688" s="7"/>
      <c r="S688" s="7"/>
      <c r="T688" s="7"/>
      <c r="U688" s="7"/>
      <c r="W688" s="7"/>
    </row>
    <row r="689" spans="1:23" ht="15.75" customHeight="1">
      <c r="A689" s="8"/>
      <c r="B689" s="7"/>
      <c r="C689" s="33"/>
      <c r="D689" s="7"/>
      <c r="E689" s="7"/>
      <c r="F689" s="7"/>
      <c r="G689" s="7"/>
      <c r="H689" s="7"/>
      <c r="I689" s="7"/>
      <c r="J689" s="7"/>
      <c r="K689" s="7"/>
      <c r="L689" s="7"/>
      <c r="M689" s="7"/>
      <c r="N689" s="7"/>
      <c r="O689" s="7"/>
      <c r="P689" s="7"/>
      <c r="Q689" s="7"/>
      <c r="R689" s="7"/>
      <c r="S689" s="7"/>
      <c r="T689" s="7"/>
      <c r="U689" s="7"/>
      <c r="W689" s="7"/>
    </row>
    <row r="690" spans="1:23" ht="15.75" customHeight="1">
      <c r="A690" s="8"/>
      <c r="B690" s="7"/>
      <c r="C690" s="33"/>
      <c r="D690" s="7"/>
      <c r="E690" s="7"/>
      <c r="F690" s="7"/>
      <c r="G690" s="7"/>
      <c r="H690" s="7"/>
      <c r="I690" s="7"/>
      <c r="J690" s="7"/>
      <c r="K690" s="7"/>
      <c r="L690" s="7"/>
      <c r="M690" s="7"/>
      <c r="N690" s="7"/>
      <c r="O690" s="7"/>
      <c r="P690" s="7"/>
      <c r="Q690" s="7"/>
      <c r="R690" s="7"/>
      <c r="S690" s="7"/>
      <c r="T690" s="7"/>
      <c r="U690" s="7"/>
      <c r="W690" s="7"/>
    </row>
    <row r="691" spans="1:23" ht="15.75" customHeight="1">
      <c r="A691" s="8"/>
      <c r="B691" s="7"/>
      <c r="C691" s="33"/>
      <c r="D691" s="7"/>
      <c r="E691" s="7"/>
      <c r="F691" s="7"/>
      <c r="G691" s="7"/>
      <c r="H691" s="7"/>
      <c r="I691" s="7"/>
      <c r="J691" s="7"/>
      <c r="K691" s="7"/>
      <c r="L691" s="7"/>
      <c r="M691" s="7"/>
      <c r="N691" s="7"/>
      <c r="O691" s="7"/>
      <c r="P691" s="7"/>
      <c r="Q691" s="7"/>
      <c r="R691" s="7"/>
      <c r="S691" s="7"/>
      <c r="T691" s="7"/>
      <c r="U691" s="7"/>
      <c r="W691" s="7"/>
    </row>
    <row r="692" spans="1:23" ht="15.75" customHeight="1">
      <c r="A692" s="8"/>
      <c r="B692" s="7"/>
      <c r="C692" s="33"/>
      <c r="D692" s="7"/>
      <c r="E692" s="7"/>
      <c r="F692" s="7"/>
      <c r="G692" s="7"/>
      <c r="H692" s="7"/>
      <c r="I692" s="7"/>
      <c r="J692" s="7"/>
      <c r="K692" s="7"/>
      <c r="L692" s="7"/>
      <c r="M692" s="7"/>
      <c r="N692" s="7"/>
      <c r="O692" s="7"/>
      <c r="P692" s="7"/>
      <c r="Q692" s="7"/>
      <c r="R692" s="7"/>
      <c r="S692" s="7"/>
      <c r="T692" s="7"/>
      <c r="U692" s="7"/>
      <c r="W692" s="7"/>
    </row>
    <row r="693" spans="1:23" ht="15.75" customHeight="1">
      <c r="A693" s="8"/>
      <c r="B693" s="7"/>
      <c r="C693" s="33"/>
      <c r="D693" s="7"/>
      <c r="E693" s="7"/>
      <c r="F693" s="7"/>
      <c r="G693" s="7"/>
      <c r="H693" s="7"/>
      <c r="I693" s="7"/>
      <c r="J693" s="7"/>
      <c r="K693" s="7"/>
      <c r="L693" s="7"/>
      <c r="M693" s="7"/>
      <c r="N693" s="7"/>
      <c r="O693" s="7"/>
      <c r="P693" s="7"/>
      <c r="Q693" s="7"/>
      <c r="R693" s="7"/>
      <c r="S693" s="7"/>
      <c r="T693" s="7"/>
      <c r="U693" s="7"/>
      <c r="W693" s="7"/>
    </row>
    <row r="694" spans="1:23" ht="15.75" customHeight="1">
      <c r="A694" s="8"/>
      <c r="B694" s="7"/>
      <c r="C694" s="33"/>
      <c r="D694" s="7"/>
      <c r="E694" s="7"/>
      <c r="F694" s="7"/>
      <c r="G694" s="7"/>
      <c r="H694" s="7"/>
      <c r="I694" s="7"/>
      <c r="J694" s="7"/>
      <c r="K694" s="7"/>
      <c r="L694" s="7"/>
      <c r="M694" s="7"/>
      <c r="N694" s="7"/>
      <c r="O694" s="7"/>
      <c r="P694" s="7"/>
      <c r="Q694" s="7"/>
      <c r="R694" s="7"/>
      <c r="S694" s="7"/>
      <c r="T694" s="7"/>
      <c r="U694" s="7"/>
      <c r="W694" s="7"/>
    </row>
    <row r="695" spans="1:23" ht="15.75" customHeight="1">
      <c r="A695" s="8"/>
      <c r="B695" s="7"/>
      <c r="C695" s="33"/>
      <c r="D695" s="7"/>
      <c r="E695" s="7"/>
      <c r="F695" s="7"/>
      <c r="G695" s="7"/>
      <c r="H695" s="7"/>
      <c r="I695" s="7"/>
      <c r="J695" s="7"/>
      <c r="K695" s="7"/>
      <c r="L695" s="7"/>
      <c r="M695" s="7"/>
      <c r="N695" s="7"/>
      <c r="O695" s="7"/>
      <c r="P695" s="7"/>
      <c r="Q695" s="7"/>
      <c r="R695" s="7"/>
      <c r="S695" s="7"/>
      <c r="T695" s="7"/>
      <c r="U695" s="7"/>
      <c r="W695" s="7"/>
    </row>
    <row r="696" spans="1:23" ht="15.75" customHeight="1">
      <c r="A696" s="8"/>
      <c r="B696" s="7"/>
      <c r="C696" s="33"/>
      <c r="D696" s="7"/>
      <c r="E696" s="7"/>
      <c r="F696" s="7"/>
      <c r="G696" s="7"/>
      <c r="H696" s="7"/>
      <c r="I696" s="7"/>
      <c r="J696" s="7"/>
      <c r="K696" s="7"/>
      <c r="L696" s="7"/>
      <c r="M696" s="7"/>
      <c r="N696" s="7"/>
      <c r="O696" s="7"/>
      <c r="P696" s="7"/>
      <c r="Q696" s="7"/>
      <c r="R696" s="7"/>
      <c r="S696" s="7"/>
      <c r="T696" s="7"/>
      <c r="U696" s="7"/>
      <c r="W696" s="7"/>
    </row>
    <row r="697" spans="1:23" ht="15.75" customHeight="1">
      <c r="A697" s="8"/>
      <c r="B697" s="7"/>
      <c r="C697" s="33"/>
      <c r="D697" s="7"/>
      <c r="E697" s="7"/>
      <c r="F697" s="7"/>
      <c r="G697" s="7"/>
      <c r="H697" s="7"/>
      <c r="I697" s="7"/>
      <c r="J697" s="7"/>
      <c r="K697" s="7"/>
      <c r="L697" s="7"/>
      <c r="M697" s="7"/>
      <c r="N697" s="7"/>
      <c r="O697" s="7"/>
      <c r="P697" s="7"/>
      <c r="Q697" s="7"/>
      <c r="R697" s="7"/>
      <c r="S697" s="7"/>
      <c r="T697" s="7"/>
      <c r="U697" s="7"/>
      <c r="W697" s="7"/>
    </row>
    <row r="698" spans="1:23" ht="15.75" customHeight="1">
      <c r="A698" s="8"/>
      <c r="B698" s="7"/>
      <c r="C698" s="33"/>
      <c r="D698" s="7"/>
      <c r="E698" s="7"/>
      <c r="F698" s="7"/>
      <c r="G698" s="7"/>
      <c r="H698" s="7"/>
      <c r="I698" s="7"/>
      <c r="J698" s="7"/>
      <c r="K698" s="7"/>
      <c r="L698" s="7"/>
      <c r="M698" s="7"/>
      <c r="N698" s="7"/>
      <c r="O698" s="7"/>
      <c r="P698" s="7"/>
      <c r="Q698" s="7"/>
      <c r="R698" s="7"/>
      <c r="S698" s="7"/>
      <c r="T698" s="7"/>
      <c r="U698" s="7"/>
      <c r="W698" s="7"/>
    </row>
    <row r="699" spans="1:23" ht="15.75" customHeight="1">
      <c r="A699" s="8"/>
      <c r="B699" s="7"/>
      <c r="C699" s="33"/>
      <c r="D699" s="7"/>
      <c r="E699" s="7"/>
      <c r="F699" s="7"/>
      <c r="G699" s="7"/>
      <c r="H699" s="7"/>
      <c r="I699" s="7"/>
      <c r="J699" s="7"/>
      <c r="K699" s="7"/>
      <c r="L699" s="7"/>
      <c r="M699" s="7"/>
      <c r="N699" s="7"/>
      <c r="O699" s="7"/>
      <c r="P699" s="7"/>
      <c r="Q699" s="7"/>
      <c r="R699" s="7"/>
      <c r="S699" s="7"/>
      <c r="T699" s="7"/>
      <c r="U699" s="7"/>
      <c r="W699" s="7"/>
    </row>
    <row r="700" spans="1:23" ht="15.75" customHeight="1">
      <c r="A700" s="8"/>
      <c r="B700" s="7"/>
      <c r="C700" s="33"/>
      <c r="D700" s="7"/>
      <c r="E700" s="7"/>
      <c r="F700" s="7"/>
      <c r="G700" s="7"/>
      <c r="H700" s="7"/>
      <c r="I700" s="7"/>
      <c r="J700" s="7"/>
      <c r="K700" s="7"/>
      <c r="L700" s="7"/>
      <c r="M700" s="7"/>
      <c r="N700" s="7"/>
      <c r="O700" s="7"/>
      <c r="P700" s="7"/>
      <c r="Q700" s="7"/>
      <c r="R700" s="7"/>
      <c r="S700" s="7"/>
      <c r="T700" s="7"/>
      <c r="U700" s="7"/>
      <c r="W700" s="7"/>
    </row>
    <row r="701" spans="1:23" ht="15.75" customHeight="1">
      <c r="A701" s="8"/>
      <c r="B701" s="7"/>
      <c r="C701" s="33"/>
      <c r="D701" s="7"/>
      <c r="E701" s="7"/>
      <c r="F701" s="7"/>
      <c r="G701" s="7"/>
      <c r="H701" s="7"/>
      <c r="I701" s="7"/>
      <c r="J701" s="7"/>
      <c r="K701" s="7"/>
      <c r="L701" s="7"/>
      <c r="M701" s="7"/>
      <c r="N701" s="7"/>
      <c r="O701" s="7"/>
      <c r="P701" s="7"/>
      <c r="Q701" s="7"/>
      <c r="R701" s="7"/>
      <c r="S701" s="7"/>
      <c r="T701" s="7"/>
      <c r="U701" s="7"/>
      <c r="W701" s="7"/>
    </row>
    <row r="702" spans="1:23" ht="15.75" customHeight="1">
      <c r="A702" s="8"/>
      <c r="B702" s="7"/>
      <c r="C702" s="33"/>
      <c r="D702" s="7"/>
      <c r="E702" s="7"/>
      <c r="F702" s="7"/>
      <c r="G702" s="7"/>
      <c r="H702" s="7"/>
      <c r="I702" s="7"/>
      <c r="J702" s="7"/>
      <c r="K702" s="7"/>
      <c r="L702" s="7"/>
      <c r="M702" s="7"/>
      <c r="N702" s="7"/>
      <c r="O702" s="7"/>
      <c r="P702" s="7"/>
      <c r="Q702" s="7"/>
      <c r="R702" s="7"/>
      <c r="S702" s="7"/>
      <c r="T702" s="7"/>
      <c r="U702" s="7"/>
      <c r="W702" s="7"/>
    </row>
    <row r="703" spans="1:23" ht="15.75" customHeight="1">
      <c r="A703" s="8"/>
      <c r="B703" s="7"/>
      <c r="C703" s="33"/>
      <c r="D703" s="7"/>
      <c r="E703" s="7"/>
      <c r="F703" s="7"/>
      <c r="G703" s="7"/>
      <c r="H703" s="7"/>
      <c r="I703" s="7"/>
      <c r="J703" s="7"/>
      <c r="K703" s="7"/>
      <c r="L703" s="7"/>
      <c r="M703" s="7"/>
      <c r="N703" s="7"/>
      <c r="O703" s="7"/>
      <c r="P703" s="7"/>
      <c r="Q703" s="7"/>
      <c r="R703" s="7"/>
      <c r="S703" s="7"/>
      <c r="T703" s="7"/>
      <c r="U703" s="7"/>
      <c r="W703" s="7"/>
    </row>
    <row r="704" spans="1:23" ht="15.75" customHeight="1">
      <c r="A704" s="8"/>
      <c r="B704" s="7"/>
      <c r="C704" s="33"/>
      <c r="D704" s="7"/>
      <c r="E704" s="7"/>
      <c r="F704" s="7"/>
      <c r="G704" s="7"/>
      <c r="H704" s="7"/>
      <c r="I704" s="7"/>
      <c r="J704" s="7"/>
      <c r="K704" s="7"/>
      <c r="L704" s="7"/>
      <c r="M704" s="7"/>
      <c r="N704" s="7"/>
      <c r="O704" s="7"/>
      <c r="P704" s="7"/>
      <c r="Q704" s="7"/>
      <c r="R704" s="7"/>
      <c r="S704" s="7"/>
      <c r="T704" s="7"/>
      <c r="U704" s="7"/>
      <c r="W704" s="7"/>
    </row>
    <row r="705" spans="1:23" ht="15.75" customHeight="1">
      <c r="A705" s="8"/>
      <c r="B705" s="7"/>
      <c r="C705" s="33"/>
      <c r="D705" s="7"/>
      <c r="E705" s="7"/>
      <c r="F705" s="7"/>
      <c r="G705" s="7"/>
      <c r="H705" s="7"/>
      <c r="I705" s="7"/>
      <c r="J705" s="7"/>
      <c r="K705" s="7"/>
      <c r="L705" s="7"/>
      <c r="M705" s="7"/>
      <c r="N705" s="7"/>
      <c r="O705" s="7"/>
      <c r="P705" s="7"/>
      <c r="Q705" s="7"/>
      <c r="R705" s="7"/>
      <c r="S705" s="7"/>
      <c r="T705" s="7"/>
      <c r="U705" s="7"/>
      <c r="W705" s="7"/>
    </row>
    <row r="706" spans="1:23" ht="15.75" customHeight="1">
      <c r="A706" s="8"/>
      <c r="B706" s="7"/>
      <c r="C706" s="33"/>
      <c r="D706" s="7"/>
      <c r="E706" s="7"/>
      <c r="F706" s="7"/>
      <c r="G706" s="7"/>
      <c r="H706" s="7"/>
      <c r="I706" s="7"/>
      <c r="J706" s="7"/>
      <c r="K706" s="7"/>
      <c r="L706" s="7"/>
      <c r="M706" s="7"/>
      <c r="N706" s="7"/>
      <c r="O706" s="7"/>
      <c r="P706" s="7"/>
      <c r="Q706" s="7"/>
      <c r="R706" s="7"/>
      <c r="S706" s="7"/>
      <c r="T706" s="7"/>
      <c r="U706" s="7"/>
      <c r="W706" s="7"/>
    </row>
    <row r="707" spans="1:23" ht="15.75" customHeight="1">
      <c r="A707" s="8"/>
      <c r="B707" s="7"/>
      <c r="C707" s="33"/>
      <c r="D707" s="7"/>
      <c r="E707" s="7"/>
      <c r="F707" s="7"/>
      <c r="G707" s="7"/>
      <c r="H707" s="7"/>
      <c r="I707" s="7"/>
      <c r="J707" s="7"/>
      <c r="K707" s="7"/>
      <c r="L707" s="7"/>
      <c r="M707" s="7"/>
      <c r="N707" s="7"/>
      <c r="O707" s="7"/>
      <c r="P707" s="7"/>
      <c r="Q707" s="7"/>
      <c r="R707" s="7"/>
      <c r="S707" s="7"/>
      <c r="T707" s="7"/>
      <c r="U707" s="7"/>
      <c r="W707" s="7"/>
    </row>
    <row r="708" spans="1:23" ht="15.75" customHeight="1">
      <c r="A708" s="8"/>
      <c r="B708" s="7"/>
      <c r="C708" s="33"/>
      <c r="D708" s="7"/>
      <c r="E708" s="7"/>
      <c r="F708" s="7"/>
      <c r="G708" s="7"/>
      <c r="H708" s="7"/>
      <c r="I708" s="7"/>
      <c r="J708" s="7"/>
      <c r="K708" s="7"/>
      <c r="L708" s="7"/>
      <c r="M708" s="7"/>
      <c r="N708" s="7"/>
      <c r="O708" s="7"/>
      <c r="P708" s="7"/>
      <c r="Q708" s="7"/>
      <c r="R708" s="7"/>
      <c r="S708" s="7"/>
      <c r="T708" s="7"/>
      <c r="U708" s="7"/>
      <c r="W708" s="7"/>
    </row>
    <row r="709" spans="1:23" ht="15.75" customHeight="1">
      <c r="A709" s="8"/>
      <c r="B709" s="7"/>
      <c r="C709" s="33"/>
      <c r="D709" s="7"/>
      <c r="E709" s="7"/>
      <c r="F709" s="7"/>
      <c r="G709" s="7"/>
      <c r="H709" s="7"/>
      <c r="I709" s="7"/>
      <c r="J709" s="7"/>
      <c r="K709" s="7"/>
      <c r="L709" s="7"/>
      <c r="M709" s="7"/>
      <c r="N709" s="7"/>
      <c r="O709" s="7"/>
      <c r="P709" s="7"/>
      <c r="Q709" s="7"/>
      <c r="R709" s="7"/>
      <c r="S709" s="7"/>
      <c r="T709" s="7"/>
      <c r="U709" s="7"/>
      <c r="W709" s="7"/>
    </row>
    <row r="710" spans="1:23" ht="15.75" customHeight="1">
      <c r="A710" s="8"/>
      <c r="B710" s="7"/>
      <c r="C710" s="33"/>
      <c r="D710" s="7"/>
      <c r="E710" s="7"/>
      <c r="F710" s="7"/>
      <c r="G710" s="7"/>
      <c r="H710" s="7"/>
      <c r="I710" s="7"/>
      <c r="J710" s="7"/>
      <c r="K710" s="7"/>
      <c r="L710" s="7"/>
      <c r="M710" s="7"/>
      <c r="N710" s="7"/>
      <c r="O710" s="7"/>
      <c r="P710" s="7"/>
      <c r="Q710" s="7"/>
      <c r="R710" s="7"/>
      <c r="S710" s="7"/>
      <c r="T710" s="7"/>
      <c r="U710" s="7"/>
      <c r="W710" s="7"/>
    </row>
    <row r="711" spans="1:23" ht="15.75" customHeight="1">
      <c r="A711" s="8"/>
      <c r="B711" s="7"/>
      <c r="C711" s="33"/>
      <c r="D711" s="7"/>
      <c r="E711" s="7"/>
      <c r="F711" s="7"/>
      <c r="G711" s="7"/>
      <c r="H711" s="7"/>
      <c r="I711" s="7"/>
      <c r="J711" s="7"/>
      <c r="K711" s="7"/>
      <c r="L711" s="7"/>
      <c r="M711" s="7"/>
      <c r="N711" s="7"/>
      <c r="O711" s="7"/>
      <c r="P711" s="7"/>
      <c r="Q711" s="7"/>
      <c r="R711" s="7"/>
      <c r="S711" s="7"/>
      <c r="T711" s="7"/>
      <c r="U711" s="7"/>
      <c r="W711" s="7"/>
    </row>
    <row r="712" spans="1:23" ht="15.75" customHeight="1">
      <c r="A712" s="8"/>
      <c r="B712" s="7"/>
      <c r="C712" s="33"/>
      <c r="D712" s="7"/>
      <c r="E712" s="7"/>
      <c r="F712" s="7"/>
      <c r="G712" s="7"/>
      <c r="H712" s="7"/>
      <c r="I712" s="7"/>
      <c r="J712" s="7"/>
      <c r="K712" s="7"/>
      <c r="L712" s="7"/>
      <c r="M712" s="7"/>
      <c r="N712" s="7"/>
      <c r="O712" s="7"/>
      <c r="P712" s="7"/>
      <c r="Q712" s="7"/>
      <c r="R712" s="7"/>
      <c r="S712" s="7"/>
      <c r="T712" s="7"/>
      <c r="U712" s="7"/>
      <c r="W712" s="7"/>
    </row>
    <row r="713" spans="1:23" ht="15.75" customHeight="1">
      <c r="A713" s="8"/>
      <c r="B713" s="7"/>
      <c r="C713" s="33"/>
      <c r="D713" s="7"/>
      <c r="E713" s="7"/>
      <c r="F713" s="7"/>
      <c r="G713" s="7"/>
      <c r="H713" s="7"/>
      <c r="I713" s="7"/>
      <c r="J713" s="7"/>
      <c r="K713" s="7"/>
      <c r="L713" s="7"/>
      <c r="M713" s="7"/>
      <c r="N713" s="7"/>
      <c r="O713" s="7"/>
      <c r="P713" s="7"/>
      <c r="Q713" s="7"/>
      <c r="R713" s="7"/>
      <c r="S713" s="7"/>
      <c r="T713" s="7"/>
      <c r="U713" s="7"/>
      <c r="W713" s="7"/>
    </row>
    <row r="714" spans="1:23" ht="15.75" customHeight="1">
      <c r="A714" s="8"/>
      <c r="B714" s="7"/>
      <c r="C714" s="33"/>
      <c r="D714" s="7"/>
      <c r="E714" s="7"/>
      <c r="F714" s="7"/>
      <c r="G714" s="7"/>
      <c r="H714" s="7"/>
      <c r="I714" s="7"/>
      <c r="J714" s="7"/>
      <c r="K714" s="7"/>
      <c r="L714" s="7"/>
      <c r="M714" s="7"/>
      <c r="N714" s="7"/>
      <c r="O714" s="7"/>
      <c r="P714" s="7"/>
      <c r="Q714" s="7"/>
      <c r="R714" s="7"/>
      <c r="S714" s="7"/>
      <c r="T714" s="7"/>
      <c r="U714" s="7"/>
      <c r="W714" s="7"/>
    </row>
    <row r="715" spans="1:23" ht="15.75" customHeight="1">
      <c r="A715" s="8"/>
      <c r="B715" s="7"/>
      <c r="C715" s="33"/>
      <c r="D715" s="7"/>
      <c r="E715" s="7"/>
      <c r="F715" s="7"/>
      <c r="G715" s="7"/>
      <c r="H715" s="7"/>
      <c r="I715" s="7"/>
      <c r="J715" s="7"/>
      <c r="K715" s="7"/>
      <c r="L715" s="7"/>
      <c r="M715" s="7"/>
      <c r="N715" s="7"/>
      <c r="O715" s="7"/>
      <c r="P715" s="7"/>
      <c r="Q715" s="7"/>
      <c r="R715" s="7"/>
      <c r="S715" s="7"/>
      <c r="T715" s="7"/>
      <c r="U715" s="7"/>
      <c r="W715" s="7"/>
    </row>
    <row r="716" spans="1:23" ht="15.75" customHeight="1">
      <c r="A716" s="8"/>
      <c r="B716" s="7"/>
      <c r="C716" s="33"/>
      <c r="D716" s="7"/>
      <c r="E716" s="7"/>
      <c r="F716" s="7"/>
      <c r="G716" s="7"/>
      <c r="H716" s="7"/>
      <c r="I716" s="7"/>
      <c r="J716" s="7"/>
      <c r="K716" s="7"/>
      <c r="L716" s="7"/>
      <c r="M716" s="7"/>
      <c r="N716" s="7"/>
      <c r="O716" s="7"/>
      <c r="P716" s="7"/>
      <c r="Q716" s="7"/>
      <c r="R716" s="7"/>
      <c r="S716" s="7"/>
      <c r="T716" s="7"/>
      <c r="U716" s="7"/>
      <c r="W716" s="7"/>
    </row>
    <row r="717" spans="1:23" ht="15.75" customHeight="1">
      <c r="A717" s="8"/>
      <c r="B717" s="7"/>
      <c r="C717" s="33"/>
      <c r="D717" s="7"/>
      <c r="E717" s="7"/>
      <c r="F717" s="7"/>
      <c r="G717" s="7"/>
      <c r="H717" s="7"/>
      <c r="I717" s="7"/>
      <c r="J717" s="7"/>
      <c r="K717" s="7"/>
      <c r="L717" s="7"/>
      <c r="M717" s="7"/>
      <c r="N717" s="7"/>
      <c r="O717" s="7"/>
      <c r="P717" s="7"/>
      <c r="Q717" s="7"/>
      <c r="R717" s="7"/>
      <c r="S717" s="7"/>
      <c r="T717" s="7"/>
      <c r="U717" s="7"/>
      <c r="W717" s="7"/>
    </row>
    <row r="718" spans="1:23" ht="15.75" customHeight="1">
      <c r="A718" s="8"/>
      <c r="B718" s="7"/>
      <c r="C718" s="33"/>
      <c r="D718" s="7"/>
      <c r="E718" s="7"/>
      <c r="F718" s="7"/>
      <c r="G718" s="7"/>
      <c r="H718" s="7"/>
      <c r="I718" s="7"/>
      <c r="J718" s="7"/>
      <c r="K718" s="7"/>
      <c r="L718" s="7"/>
      <c r="M718" s="7"/>
      <c r="N718" s="7"/>
      <c r="O718" s="7"/>
      <c r="P718" s="7"/>
      <c r="Q718" s="7"/>
      <c r="R718" s="7"/>
      <c r="S718" s="7"/>
      <c r="T718" s="7"/>
      <c r="U718" s="7"/>
      <c r="W718" s="7"/>
    </row>
    <row r="719" spans="1:23" ht="15.75" customHeight="1">
      <c r="A719" s="8"/>
      <c r="B719" s="7"/>
      <c r="C719" s="33"/>
      <c r="D719" s="7"/>
      <c r="E719" s="7"/>
      <c r="F719" s="7"/>
      <c r="G719" s="7"/>
      <c r="H719" s="7"/>
      <c r="I719" s="7"/>
      <c r="J719" s="7"/>
      <c r="K719" s="7"/>
      <c r="L719" s="7"/>
      <c r="M719" s="7"/>
      <c r="N719" s="7"/>
      <c r="O719" s="7"/>
      <c r="P719" s="7"/>
      <c r="Q719" s="7"/>
      <c r="R719" s="7"/>
      <c r="S719" s="7"/>
      <c r="T719" s="7"/>
      <c r="U719" s="7"/>
      <c r="W719" s="7"/>
    </row>
    <row r="720" spans="1:23" ht="15.75" customHeight="1">
      <c r="A720" s="8"/>
      <c r="B720" s="7"/>
      <c r="C720" s="33"/>
      <c r="D720" s="7"/>
      <c r="E720" s="7"/>
      <c r="F720" s="7"/>
      <c r="G720" s="7"/>
      <c r="H720" s="7"/>
      <c r="I720" s="7"/>
      <c r="J720" s="7"/>
      <c r="K720" s="7"/>
      <c r="L720" s="7"/>
      <c r="M720" s="7"/>
      <c r="N720" s="7"/>
      <c r="O720" s="7"/>
      <c r="P720" s="7"/>
      <c r="Q720" s="7"/>
      <c r="R720" s="7"/>
      <c r="S720" s="7"/>
      <c r="T720" s="7"/>
      <c r="U720" s="7"/>
      <c r="W720" s="7"/>
    </row>
    <row r="721" spans="1:23" ht="15.75" customHeight="1">
      <c r="A721" s="8"/>
      <c r="B721" s="7"/>
      <c r="C721" s="33"/>
      <c r="D721" s="7"/>
      <c r="E721" s="7"/>
      <c r="F721" s="7"/>
      <c r="G721" s="7"/>
      <c r="H721" s="7"/>
      <c r="I721" s="7"/>
      <c r="J721" s="7"/>
      <c r="K721" s="7"/>
      <c r="L721" s="7"/>
      <c r="M721" s="7"/>
      <c r="N721" s="7"/>
      <c r="O721" s="7"/>
      <c r="P721" s="7"/>
      <c r="Q721" s="7"/>
      <c r="R721" s="7"/>
      <c r="S721" s="7"/>
      <c r="T721" s="7"/>
      <c r="U721" s="7"/>
      <c r="W721" s="7"/>
    </row>
    <row r="722" spans="1:23" ht="15.75" customHeight="1">
      <c r="A722" s="8"/>
      <c r="B722" s="7"/>
      <c r="C722" s="33"/>
      <c r="D722" s="7"/>
      <c r="E722" s="7"/>
      <c r="F722" s="7"/>
      <c r="G722" s="7"/>
      <c r="H722" s="7"/>
      <c r="I722" s="7"/>
      <c r="J722" s="7"/>
      <c r="K722" s="7"/>
      <c r="L722" s="7"/>
      <c r="M722" s="7"/>
      <c r="N722" s="7"/>
      <c r="O722" s="7"/>
      <c r="P722" s="7"/>
      <c r="Q722" s="7"/>
      <c r="R722" s="7"/>
      <c r="S722" s="7"/>
      <c r="T722" s="7"/>
      <c r="U722" s="7"/>
      <c r="W722" s="7"/>
    </row>
    <row r="723" spans="1:23" ht="15.75" customHeight="1">
      <c r="A723" s="8"/>
      <c r="B723" s="7"/>
      <c r="C723" s="33"/>
      <c r="D723" s="7"/>
      <c r="E723" s="7"/>
      <c r="F723" s="7"/>
      <c r="G723" s="7"/>
      <c r="H723" s="7"/>
      <c r="I723" s="7"/>
      <c r="J723" s="7"/>
      <c r="K723" s="7"/>
      <c r="L723" s="7"/>
      <c r="M723" s="7"/>
      <c r="N723" s="7"/>
      <c r="O723" s="7"/>
      <c r="P723" s="7"/>
      <c r="Q723" s="7"/>
      <c r="R723" s="7"/>
      <c r="S723" s="7"/>
      <c r="T723" s="7"/>
      <c r="U723" s="7"/>
      <c r="W723" s="7"/>
    </row>
    <row r="724" spans="1:23" ht="15.75" customHeight="1">
      <c r="A724" s="8"/>
      <c r="B724" s="7"/>
      <c r="C724" s="33"/>
      <c r="D724" s="7"/>
      <c r="E724" s="7"/>
      <c r="F724" s="7"/>
      <c r="G724" s="7"/>
      <c r="H724" s="7"/>
      <c r="I724" s="7"/>
      <c r="J724" s="7"/>
      <c r="K724" s="7"/>
      <c r="L724" s="7"/>
      <c r="M724" s="7"/>
      <c r="N724" s="7"/>
      <c r="O724" s="7"/>
      <c r="P724" s="7"/>
      <c r="Q724" s="7"/>
      <c r="R724" s="7"/>
      <c r="S724" s="7"/>
      <c r="T724" s="7"/>
      <c r="U724" s="7"/>
      <c r="W724" s="7"/>
    </row>
    <row r="725" spans="1:23" ht="15.75" customHeight="1">
      <c r="A725" s="8"/>
      <c r="B725" s="7"/>
      <c r="C725" s="33"/>
      <c r="D725" s="7"/>
      <c r="E725" s="7"/>
      <c r="F725" s="7"/>
      <c r="G725" s="7"/>
      <c r="H725" s="7"/>
      <c r="I725" s="7"/>
      <c r="J725" s="7"/>
      <c r="K725" s="7"/>
      <c r="L725" s="7"/>
      <c r="M725" s="7"/>
      <c r="N725" s="7"/>
      <c r="O725" s="7"/>
      <c r="P725" s="7"/>
      <c r="Q725" s="7"/>
      <c r="R725" s="7"/>
      <c r="S725" s="7"/>
      <c r="T725" s="7"/>
      <c r="U725" s="7"/>
      <c r="W725" s="7"/>
    </row>
    <row r="726" spans="1:23" ht="15.75" customHeight="1">
      <c r="A726" s="8"/>
      <c r="B726" s="7"/>
      <c r="C726" s="33"/>
      <c r="D726" s="7"/>
      <c r="E726" s="7"/>
      <c r="F726" s="7"/>
      <c r="G726" s="7"/>
      <c r="H726" s="7"/>
      <c r="I726" s="7"/>
      <c r="J726" s="7"/>
      <c r="K726" s="7"/>
      <c r="L726" s="7"/>
      <c r="M726" s="7"/>
      <c r="N726" s="7"/>
      <c r="O726" s="7"/>
      <c r="P726" s="7"/>
      <c r="Q726" s="7"/>
      <c r="R726" s="7"/>
      <c r="S726" s="7"/>
      <c r="T726" s="7"/>
      <c r="U726" s="7"/>
      <c r="W726" s="7"/>
    </row>
    <row r="727" spans="1:23" ht="15.75" customHeight="1">
      <c r="A727" s="8"/>
      <c r="B727" s="7"/>
      <c r="C727" s="33"/>
      <c r="D727" s="7"/>
      <c r="E727" s="7"/>
      <c r="F727" s="7"/>
      <c r="G727" s="7"/>
      <c r="H727" s="7"/>
      <c r="I727" s="7"/>
      <c r="J727" s="7"/>
      <c r="K727" s="7"/>
      <c r="L727" s="7"/>
      <c r="M727" s="7"/>
      <c r="N727" s="7"/>
      <c r="O727" s="7"/>
      <c r="P727" s="7"/>
      <c r="Q727" s="7"/>
      <c r="R727" s="7"/>
      <c r="S727" s="7"/>
      <c r="T727" s="7"/>
      <c r="U727" s="7"/>
      <c r="W727" s="7"/>
    </row>
    <row r="728" spans="1:23" ht="15.75" customHeight="1">
      <c r="A728" s="8"/>
      <c r="B728" s="7"/>
      <c r="C728" s="33"/>
      <c r="D728" s="7"/>
      <c r="E728" s="7"/>
      <c r="F728" s="7"/>
      <c r="G728" s="7"/>
      <c r="H728" s="7"/>
      <c r="I728" s="7"/>
      <c r="J728" s="7"/>
      <c r="K728" s="7"/>
      <c r="L728" s="7"/>
      <c r="M728" s="7"/>
      <c r="N728" s="7"/>
      <c r="O728" s="7"/>
      <c r="P728" s="7"/>
      <c r="Q728" s="7"/>
      <c r="R728" s="7"/>
      <c r="S728" s="7"/>
      <c r="T728" s="7"/>
      <c r="U728" s="7"/>
      <c r="W728" s="7"/>
    </row>
    <row r="729" spans="1:23" ht="15.75" customHeight="1">
      <c r="A729" s="8"/>
      <c r="B729" s="7"/>
      <c r="C729" s="33"/>
      <c r="D729" s="7"/>
      <c r="E729" s="7"/>
      <c r="F729" s="7"/>
      <c r="G729" s="7"/>
      <c r="H729" s="7"/>
      <c r="I729" s="7"/>
      <c r="J729" s="7"/>
      <c r="K729" s="7"/>
      <c r="L729" s="7"/>
      <c r="M729" s="7"/>
      <c r="N729" s="7"/>
      <c r="O729" s="7"/>
      <c r="P729" s="7"/>
      <c r="Q729" s="7"/>
      <c r="R729" s="7"/>
      <c r="S729" s="7"/>
      <c r="T729" s="7"/>
      <c r="U729" s="7"/>
      <c r="W729" s="7"/>
    </row>
    <row r="730" spans="1:23" ht="15.75" customHeight="1">
      <c r="A730" s="8"/>
      <c r="B730" s="7"/>
      <c r="C730" s="33"/>
      <c r="D730" s="7"/>
      <c r="E730" s="7"/>
      <c r="F730" s="7"/>
      <c r="G730" s="7"/>
      <c r="H730" s="7"/>
      <c r="I730" s="7"/>
      <c r="J730" s="7"/>
      <c r="K730" s="7"/>
      <c r="L730" s="7"/>
      <c r="M730" s="7"/>
      <c r="N730" s="7"/>
      <c r="O730" s="7"/>
      <c r="P730" s="7"/>
      <c r="Q730" s="7"/>
      <c r="R730" s="7"/>
      <c r="S730" s="7"/>
      <c r="T730" s="7"/>
      <c r="U730" s="7"/>
      <c r="W730" s="7"/>
    </row>
    <row r="731" spans="1:23" ht="15.75" customHeight="1">
      <c r="A731" s="8"/>
      <c r="B731" s="7"/>
      <c r="C731" s="33"/>
      <c r="D731" s="7"/>
      <c r="E731" s="7"/>
      <c r="F731" s="7"/>
      <c r="G731" s="7"/>
      <c r="H731" s="7"/>
      <c r="I731" s="7"/>
      <c r="J731" s="7"/>
      <c r="K731" s="7"/>
      <c r="L731" s="7"/>
      <c r="M731" s="7"/>
      <c r="N731" s="7"/>
      <c r="O731" s="7"/>
      <c r="P731" s="7"/>
      <c r="Q731" s="7"/>
      <c r="R731" s="7"/>
      <c r="S731" s="7"/>
      <c r="T731" s="7"/>
      <c r="U731" s="7"/>
      <c r="W731" s="7"/>
    </row>
    <row r="732" spans="1:23" ht="15.75" customHeight="1">
      <c r="A732" s="8"/>
      <c r="B732" s="7"/>
      <c r="C732" s="33"/>
      <c r="D732" s="7"/>
      <c r="E732" s="7"/>
      <c r="F732" s="7"/>
      <c r="G732" s="7"/>
      <c r="H732" s="7"/>
      <c r="I732" s="7"/>
      <c r="J732" s="7"/>
      <c r="K732" s="7"/>
      <c r="L732" s="7"/>
      <c r="M732" s="7"/>
      <c r="N732" s="7"/>
      <c r="O732" s="7"/>
      <c r="P732" s="7"/>
      <c r="Q732" s="7"/>
      <c r="R732" s="7"/>
      <c r="S732" s="7"/>
      <c r="T732" s="7"/>
      <c r="U732" s="7"/>
      <c r="W732" s="7"/>
    </row>
    <row r="733" spans="1:23" ht="15.75" customHeight="1">
      <c r="A733" s="8"/>
      <c r="B733" s="7"/>
      <c r="C733" s="33"/>
      <c r="D733" s="7"/>
      <c r="E733" s="7"/>
      <c r="F733" s="7"/>
      <c r="G733" s="7"/>
      <c r="H733" s="7"/>
      <c r="I733" s="7"/>
      <c r="J733" s="7"/>
      <c r="K733" s="7"/>
      <c r="L733" s="7"/>
      <c r="M733" s="7"/>
      <c r="N733" s="7"/>
      <c r="O733" s="7"/>
      <c r="P733" s="7"/>
      <c r="Q733" s="7"/>
      <c r="R733" s="7"/>
      <c r="S733" s="7"/>
      <c r="T733" s="7"/>
      <c r="U733" s="7"/>
      <c r="W733" s="7"/>
    </row>
    <row r="734" spans="1:23" ht="15.75" customHeight="1">
      <c r="A734" s="8"/>
      <c r="B734" s="7"/>
      <c r="C734" s="33"/>
      <c r="D734" s="7"/>
      <c r="E734" s="7"/>
      <c r="F734" s="7"/>
      <c r="G734" s="7"/>
      <c r="H734" s="7"/>
      <c r="I734" s="7"/>
      <c r="J734" s="7"/>
      <c r="K734" s="7"/>
      <c r="L734" s="7"/>
      <c r="M734" s="7"/>
      <c r="N734" s="7"/>
      <c r="O734" s="7"/>
      <c r="P734" s="7"/>
      <c r="Q734" s="7"/>
      <c r="R734" s="7"/>
      <c r="S734" s="7"/>
      <c r="T734" s="7"/>
      <c r="U734" s="7"/>
      <c r="W734" s="7"/>
    </row>
    <row r="735" spans="1:23" ht="15.75" customHeight="1">
      <c r="A735" s="8"/>
      <c r="B735" s="7"/>
      <c r="C735" s="33"/>
      <c r="D735" s="7"/>
      <c r="E735" s="7"/>
      <c r="F735" s="7"/>
      <c r="G735" s="7"/>
      <c r="H735" s="7"/>
      <c r="I735" s="7"/>
      <c r="J735" s="7"/>
      <c r="K735" s="7"/>
      <c r="L735" s="7"/>
      <c r="M735" s="7"/>
      <c r="N735" s="7"/>
      <c r="O735" s="7"/>
      <c r="P735" s="7"/>
      <c r="Q735" s="7"/>
      <c r="R735" s="7"/>
      <c r="S735" s="7"/>
      <c r="T735" s="7"/>
      <c r="U735" s="7"/>
      <c r="W735" s="7"/>
    </row>
    <row r="736" spans="1:23" ht="15.75" customHeight="1">
      <c r="A736" s="8"/>
      <c r="B736" s="7"/>
      <c r="C736" s="33"/>
      <c r="D736" s="7"/>
      <c r="E736" s="7"/>
      <c r="F736" s="7"/>
      <c r="G736" s="7"/>
      <c r="H736" s="7"/>
      <c r="I736" s="7"/>
      <c r="J736" s="7"/>
      <c r="K736" s="7"/>
      <c r="L736" s="7"/>
      <c r="M736" s="7"/>
      <c r="N736" s="7"/>
      <c r="O736" s="7"/>
      <c r="P736" s="7"/>
      <c r="Q736" s="7"/>
      <c r="R736" s="7"/>
      <c r="S736" s="7"/>
      <c r="T736" s="7"/>
      <c r="U736" s="7"/>
      <c r="W736" s="7"/>
    </row>
    <row r="737" spans="1:23" ht="15.75" customHeight="1">
      <c r="A737" s="8"/>
      <c r="B737" s="7"/>
      <c r="C737" s="33"/>
      <c r="D737" s="7"/>
      <c r="E737" s="7"/>
      <c r="F737" s="7"/>
      <c r="G737" s="7"/>
      <c r="H737" s="7"/>
      <c r="I737" s="7"/>
      <c r="J737" s="7"/>
      <c r="K737" s="7"/>
      <c r="L737" s="7"/>
      <c r="M737" s="7"/>
      <c r="N737" s="7"/>
      <c r="O737" s="7"/>
      <c r="P737" s="7"/>
      <c r="Q737" s="7"/>
      <c r="R737" s="7"/>
      <c r="S737" s="7"/>
      <c r="T737" s="7"/>
      <c r="U737" s="7"/>
      <c r="W737" s="7"/>
    </row>
    <row r="738" spans="1:23" ht="15.75" customHeight="1">
      <c r="A738" s="8"/>
      <c r="B738" s="7"/>
      <c r="C738" s="33"/>
      <c r="D738" s="7"/>
      <c r="E738" s="7"/>
      <c r="F738" s="7"/>
      <c r="G738" s="7"/>
      <c r="H738" s="7"/>
      <c r="I738" s="7"/>
      <c r="J738" s="7"/>
      <c r="K738" s="7"/>
      <c r="L738" s="7"/>
      <c r="M738" s="7"/>
      <c r="N738" s="7"/>
      <c r="O738" s="7"/>
      <c r="P738" s="7"/>
      <c r="Q738" s="7"/>
      <c r="R738" s="7"/>
      <c r="S738" s="7"/>
      <c r="T738" s="7"/>
      <c r="U738" s="7"/>
      <c r="W738" s="7"/>
    </row>
    <row r="739" spans="1:23" ht="15.75" customHeight="1">
      <c r="A739" s="8"/>
      <c r="B739" s="7"/>
      <c r="C739" s="33"/>
      <c r="D739" s="7"/>
      <c r="E739" s="7"/>
      <c r="F739" s="7"/>
      <c r="G739" s="7"/>
      <c r="H739" s="7"/>
      <c r="I739" s="7"/>
      <c r="J739" s="7"/>
      <c r="K739" s="7"/>
      <c r="L739" s="7"/>
      <c r="M739" s="7"/>
      <c r="N739" s="7"/>
      <c r="O739" s="7"/>
      <c r="P739" s="7"/>
      <c r="Q739" s="7"/>
      <c r="R739" s="7"/>
      <c r="S739" s="7"/>
      <c r="T739" s="7"/>
      <c r="U739" s="7"/>
      <c r="W739" s="7"/>
    </row>
    <row r="740" spans="1:23" ht="15.75" customHeight="1">
      <c r="A740" s="8"/>
      <c r="B740" s="7"/>
      <c r="C740" s="33"/>
      <c r="D740" s="7"/>
      <c r="E740" s="7"/>
      <c r="F740" s="7"/>
      <c r="G740" s="7"/>
      <c r="H740" s="7"/>
      <c r="I740" s="7"/>
      <c r="J740" s="7"/>
      <c r="K740" s="7"/>
      <c r="L740" s="7"/>
      <c r="M740" s="7"/>
      <c r="N740" s="7"/>
      <c r="O740" s="7"/>
      <c r="P740" s="7"/>
      <c r="Q740" s="7"/>
      <c r="R740" s="7"/>
      <c r="S740" s="7"/>
      <c r="T740" s="7"/>
      <c r="U740" s="7"/>
      <c r="W740" s="7"/>
    </row>
    <row r="741" spans="1:23" ht="15.75" customHeight="1">
      <c r="A741" s="8"/>
      <c r="B741" s="7"/>
      <c r="C741" s="33"/>
      <c r="D741" s="7"/>
      <c r="E741" s="7"/>
      <c r="F741" s="7"/>
      <c r="G741" s="7"/>
      <c r="H741" s="7"/>
      <c r="I741" s="7"/>
      <c r="J741" s="7"/>
      <c r="K741" s="7"/>
      <c r="L741" s="7"/>
      <c r="M741" s="7"/>
      <c r="N741" s="7"/>
      <c r="O741" s="7"/>
      <c r="P741" s="7"/>
      <c r="Q741" s="7"/>
      <c r="R741" s="7"/>
      <c r="S741" s="7"/>
      <c r="T741" s="7"/>
      <c r="U741" s="7"/>
      <c r="W741" s="7"/>
    </row>
    <row r="742" spans="1:23" ht="15.75" customHeight="1">
      <c r="A742" s="8"/>
      <c r="B742" s="7"/>
      <c r="C742" s="33"/>
      <c r="D742" s="7"/>
      <c r="E742" s="7"/>
      <c r="F742" s="7"/>
      <c r="G742" s="7"/>
      <c r="H742" s="7"/>
      <c r="I742" s="7"/>
      <c r="J742" s="7"/>
      <c r="K742" s="7"/>
      <c r="L742" s="7"/>
      <c r="M742" s="7"/>
      <c r="N742" s="7"/>
      <c r="O742" s="7"/>
      <c r="P742" s="7"/>
      <c r="Q742" s="7"/>
      <c r="R742" s="7"/>
      <c r="S742" s="7"/>
      <c r="T742" s="7"/>
      <c r="U742" s="7"/>
      <c r="W742" s="7"/>
    </row>
    <row r="743" spans="1:23" ht="15.75" customHeight="1">
      <c r="A743" s="8"/>
      <c r="B743" s="7"/>
      <c r="C743" s="33"/>
      <c r="D743" s="7"/>
      <c r="E743" s="7"/>
      <c r="F743" s="7"/>
      <c r="G743" s="7"/>
      <c r="H743" s="7"/>
      <c r="I743" s="7"/>
      <c r="J743" s="7"/>
      <c r="K743" s="7"/>
      <c r="L743" s="7"/>
      <c r="M743" s="7"/>
      <c r="N743" s="7"/>
      <c r="O743" s="7"/>
      <c r="P743" s="7"/>
      <c r="Q743" s="7"/>
      <c r="R743" s="7"/>
      <c r="S743" s="7"/>
      <c r="T743" s="7"/>
      <c r="U743" s="7"/>
      <c r="W743" s="7"/>
    </row>
    <row r="744" spans="1:23" ht="15.75" customHeight="1">
      <c r="A744" s="8"/>
      <c r="B744" s="7"/>
      <c r="C744" s="33"/>
      <c r="D744" s="7"/>
      <c r="E744" s="7"/>
      <c r="F744" s="7"/>
      <c r="G744" s="7"/>
      <c r="H744" s="7"/>
      <c r="I744" s="7"/>
      <c r="J744" s="7"/>
      <c r="K744" s="7"/>
      <c r="L744" s="7"/>
      <c r="M744" s="7"/>
      <c r="N744" s="7"/>
      <c r="O744" s="7"/>
      <c r="P744" s="7"/>
      <c r="Q744" s="7"/>
      <c r="R744" s="7"/>
      <c r="S744" s="7"/>
      <c r="T744" s="7"/>
      <c r="U744" s="7"/>
      <c r="W744" s="7"/>
    </row>
    <row r="745" spans="1:23" ht="15.75" customHeight="1">
      <c r="A745" s="8"/>
      <c r="B745" s="7"/>
      <c r="C745" s="33"/>
      <c r="D745" s="7"/>
      <c r="E745" s="7"/>
      <c r="F745" s="7"/>
      <c r="G745" s="7"/>
      <c r="H745" s="7"/>
      <c r="I745" s="7"/>
      <c r="J745" s="7"/>
      <c r="K745" s="7"/>
      <c r="L745" s="7"/>
      <c r="M745" s="7"/>
      <c r="N745" s="7"/>
      <c r="O745" s="7"/>
      <c r="P745" s="7"/>
      <c r="Q745" s="7"/>
      <c r="R745" s="7"/>
      <c r="S745" s="7"/>
      <c r="T745" s="7"/>
      <c r="U745" s="7"/>
      <c r="W745" s="7"/>
    </row>
    <row r="746" spans="1:23" ht="15.75" customHeight="1">
      <c r="A746" s="8"/>
      <c r="B746" s="7"/>
      <c r="C746" s="33"/>
      <c r="D746" s="7"/>
      <c r="E746" s="7"/>
      <c r="F746" s="7"/>
      <c r="G746" s="7"/>
      <c r="H746" s="7"/>
      <c r="I746" s="7"/>
      <c r="J746" s="7"/>
      <c r="K746" s="7"/>
      <c r="L746" s="7"/>
      <c r="M746" s="7"/>
      <c r="N746" s="7"/>
      <c r="O746" s="7"/>
      <c r="P746" s="7"/>
      <c r="Q746" s="7"/>
      <c r="R746" s="7"/>
      <c r="S746" s="7"/>
      <c r="T746" s="7"/>
      <c r="U746" s="7"/>
      <c r="W746" s="7"/>
    </row>
    <row r="747" spans="1:23" ht="15.75" customHeight="1">
      <c r="A747" s="8"/>
      <c r="B747" s="7"/>
      <c r="C747" s="33"/>
      <c r="D747" s="7"/>
      <c r="E747" s="7"/>
      <c r="F747" s="7"/>
      <c r="G747" s="7"/>
      <c r="H747" s="7"/>
      <c r="I747" s="7"/>
      <c r="J747" s="7"/>
      <c r="K747" s="7"/>
      <c r="L747" s="7"/>
      <c r="M747" s="7"/>
      <c r="N747" s="7"/>
      <c r="O747" s="7"/>
      <c r="P747" s="7"/>
      <c r="Q747" s="7"/>
      <c r="R747" s="7"/>
      <c r="S747" s="7"/>
      <c r="T747" s="7"/>
      <c r="U747" s="7"/>
      <c r="W747" s="7"/>
    </row>
    <row r="748" spans="1:23" ht="15.75" customHeight="1">
      <c r="A748" s="8"/>
      <c r="B748" s="7"/>
      <c r="C748" s="33"/>
      <c r="D748" s="7"/>
      <c r="E748" s="7"/>
      <c r="F748" s="7"/>
      <c r="G748" s="7"/>
      <c r="H748" s="7"/>
      <c r="I748" s="7"/>
      <c r="J748" s="7"/>
      <c r="K748" s="7"/>
      <c r="L748" s="7"/>
      <c r="M748" s="7"/>
      <c r="N748" s="7"/>
      <c r="O748" s="7"/>
      <c r="P748" s="7"/>
      <c r="Q748" s="7"/>
      <c r="R748" s="7"/>
      <c r="S748" s="7"/>
      <c r="T748" s="7"/>
      <c r="U748" s="7"/>
      <c r="W748" s="7"/>
    </row>
    <row r="749" spans="1:23" ht="15.75" customHeight="1">
      <c r="A749" s="8"/>
      <c r="B749" s="7"/>
      <c r="C749" s="33"/>
      <c r="D749" s="7"/>
      <c r="E749" s="7"/>
      <c r="F749" s="7"/>
      <c r="G749" s="7"/>
      <c r="H749" s="7"/>
      <c r="I749" s="7"/>
      <c r="J749" s="7"/>
      <c r="K749" s="7"/>
      <c r="L749" s="7"/>
      <c r="M749" s="7"/>
      <c r="N749" s="7"/>
      <c r="O749" s="7"/>
      <c r="P749" s="7"/>
      <c r="Q749" s="7"/>
      <c r="R749" s="7"/>
      <c r="S749" s="7"/>
      <c r="T749" s="7"/>
      <c r="U749" s="7"/>
      <c r="W749" s="7"/>
    </row>
    <row r="750" spans="1:23" ht="15.75" customHeight="1">
      <c r="A750" s="8"/>
      <c r="B750" s="7"/>
      <c r="C750" s="33"/>
      <c r="D750" s="7"/>
      <c r="E750" s="7"/>
      <c r="F750" s="7"/>
      <c r="G750" s="7"/>
      <c r="H750" s="7"/>
      <c r="I750" s="7"/>
      <c r="J750" s="7"/>
      <c r="K750" s="7"/>
      <c r="L750" s="7"/>
      <c r="M750" s="7"/>
      <c r="N750" s="7"/>
      <c r="O750" s="7"/>
      <c r="P750" s="7"/>
      <c r="Q750" s="7"/>
      <c r="R750" s="7"/>
      <c r="S750" s="7"/>
      <c r="T750" s="7"/>
      <c r="U750" s="7"/>
      <c r="W750" s="7"/>
    </row>
    <row r="751" spans="1:23" ht="15.75" customHeight="1">
      <c r="A751" s="8"/>
      <c r="B751" s="7"/>
      <c r="C751" s="33"/>
      <c r="D751" s="7"/>
      <c r="E751" s="7"/>
      <c r="F751" s="7"/>
      <c r="G751" s="7"/>
      <c r="H751" s="7"/>
      <c r="I751" s="7"/>
      <c r="J751" s="7"/>
      <c r="K751" s="7"/>
      <c r="L751" s="7"/>
      <c r="M751" s="7"/>
      <c r="N751" s="7"/>
      <c r="O751" s="7"/>
      <c r="P751" s="7"/>
      <c r="Q751" s="7"/>
      <c r="R751" s="7"/>
      <c r="S751" s="7"/>
      <c r="T751" s="7"/>
      <c r="U751" s="7"/>
      <c r="W751" s="7"/>
    </row>
    <row r="752" spans="1:23" ht="15.75" customHeight="1">
      <c r="A752" s="8"/>
      <c r="B752" s="7"/>
      <c r="C752" s="33"/>
      <c r="D752" s="7"/>
      <c r="E752" s="7"/>
      <c r="F752" s="7"/>
      <c r="G752" s="7"/>
      <c r="H752" s="7"/>
      <c r="I752" s="7"/>
      <c r="J752" s="7"/>
      <c r="K752" s="7"/>
      <c r="L752" s="7"/>
      <c r="M752" s="7"/>
      <c r="N752" s="7"/>
      <c r="O752" s="7"/>
      <c r="P752" s="7"/>
      <c r="Q752" s="7"/>
      <c r="R752" s="7"/>
      <c r="S752" s="7"/>
      <c r="T752" s="7"/>
      <c r="U752" s="7"/>
      <c r="W752" s="7"/>
    </row>
    <row r="753" spans="1:23" ht="15.75" customHeight="1">
      <c r="A753" s="8"/>
      <c r="B753" s="7"/>
      <c r="C753" s="33"/>
      <c r="D753" s="7"/>
      <c r="E753" s="7"/>
      <c r="F753" s="7"/>
      <c r="G753" s="7"/>
      <c r="H753" s="7"/>
      <c r="I753" s="7"/>
      <c r="J753" s="7"/>
      <c r="K753" s="7"/>
      <c r="L753" s="7"/>
      <c r="M753" s="7"/>
      <c r="N753" s="7"/>
      <c r="O753" s="7"/>
      <c r="P753" s="7"/>
      <c r="Q753" s="7"/>
      <c r="R753" s="7"/>
      <c r="S753" s="7"/>
      <c r="T753" s="7"/>
      <c r="U753" s="7"/>
      <c r="W753" s="7"/>
    </row>
    <row r="754" spans="1:23" ht="15.75" customHeight="1">
      <c r="A754" s="8"/>
      <c r="B754" s="7"/>
      <c r="C754" s="33"/>
      <c r="D754" s="7"/>
      <c r="E754" s="7"/>
      <c r="F754" s="7"/>
      <c r="G754" s="7"/>
      <c r="H754" s="7"/>
      <c r="I754" s="7"/>
      <c r="J754" s="7"/>
      <c r="K754" s="7"/>
      <c r="L754" s="7"/>
      <c r="M754" s="7"/>
      <c r="N754" s="7"/>
      <c r="O754" s="7"/>
      <c r="P754" s="7"/>
      <c r="Q754" s="7"/>
      <c r="R754" s="7"/>
      <c r="S754" s="7"/>
      <c r="T754" s="7"/>
      <c r="U754" s="7"/>
      <c r="W754" s="7"/>
    </row>
    <row r="755" spans="1:23" ht="15.75" customHeight="1">
      <c r="A755" s="8"/>
      <c r="B755" s="7"/>
      <c r="C755" s="33"/>
      <c r="D755" s="7"/>
      <c r="E755" s="7"/>
      <c r="F755" s="7"/>
      <c r="G755" s="7"/>
      <c r="H755" s="7"/>
      <c r="I755" s="7"/>
      <c r="J755" s="7"/>
      <c r="K755" s="7"/>
      <c r="L755" s="7"/>
      <c r="M755" s="7"/>
      <c r="N755" s="7"/>
      <c r="O755" s="7"/>
      <c r="P755" s="7"/>
      <c r="Q755" s="7"/>
      <c r="R755" s="7"/>
      <c r="S755" s="7"/>
      <c r="T755" s="7"/>
      <c r="U755" s="7"/>
      <c r="W755" s="7"/>
    </row>
    <row r="756" spans="1:23" ht="15.75" customHeight="1">
      <c r="A756" s="8"/>
      <c r="B756" s="7"/>
      <c r="C756" s="33"/>
      <c r="D756" s="7"/>
      <c r="E756" s="7"/>
      <c r="F756" s="7"/>
      <c r="G756" s="7"/>
      <c r="H756" s="7"/>
      <c r="I756" s="7"/>
      <c r="J756" s="7"/>
      <c r="K756" s="7"/>
      <c r="L756" s="7"/>
      <c r="M756" s="7"/>
      <c r="N756" s="7"/>
      <c r="O756" s="7"/>
      <c r="P756" s="7"/>
      <c r="Q756" s="7"/>
      <c r="R756" s="7"/>
      <c r="S756" s="7"/>
      <c r="T756" s="7"/>
      <c r="U756" s="7"/>
      <c r="W756" s="7"/>
    </row>
    <row r="757" spans="1:23" ht="15.75" customHeight="1">
      <c r="A757" s="8"/>
      <c r="B757" s="7"/>
      <c r="C757" s="33"/>
      <c r="D757" s="7"/>
      <c r="E757" s="7"/>
      <c r="F757" s="7"/>
      <c r="G757" s="7"/>
      <c r="H757" s="7"/>
      <c r="I757" s="7"/>
      <c r="J757" s="7"/>
      <c r="K757" s="7"/>
      <c r="L757" s="7"/>
      <c r="M757" s="7"/>
      <c r="N757" s="7"/>
      <c r="O757" s="7"/>
      <c r="P757" s="7"/>
      <c r="Q757" s="7"/>
      <c r="R757" s="7"/>
      <c r="S757" s="7"/>
      <c r="T757" s="7"/>
      <c r="U757" s="7"/>
      <c r="W757" s="7"/>
    </row>
    <row r="758" spans="1:23" ht="15.75" customHeight="1">
      <c r="A758" s="8"/>
      <c r="B758" s="7"/>
      <c r="C758" s="33"/>
      <c r="D758" s="7"/>
      <c r="E758" s="7"/>
      <c r="F758" s="7"/>
      <c r="G758" s="7"/>
      <c r="H758" s="7"/>
      <c r="I758" s="7"/>
      <c r="J758" s="7"/>
      <c r="K758" s="7"/>
      <c r="L758" s="7"/>
      <c r="M758" s="7"/>
      <c r="N758" s="7"/>
      <c r="O758" s="7"/>
      <c r="P758" s="7"/>
      <c r="Q758" s="7"/>
      <c r="R758" s="7"/>
      <c r="S758" s="7"/>
      <c r="T758" s="7"/>
      <c r="U758" s="7"/>
      <c r="W758" s="7"/>
    </row>
    <row r="759" spans="1:23" ht="15.75" customHeight="1">
      <c r="A759" s="8"/>
      <c r="B759" s="7"/>
      <c r="C759" s="33"/>
      <c r="D759" s="7"/>
      <c r="E759" s="7"/>
      <c r="F759" s="7"/>
      <c r="G759" s="7"/>
      <c r="H759" s="7"/>
      <c r="I759" s="7"/>
      <c r="J759" s="7"/>
      <c r="K759" s="7"/>
      <c r="L759" s="7"/>
      <c r="M759" s="7"/>
      <c r="N759" s="7"/>
      <c r="O759" s="7"/>
      <c r="P759" s="7"/>
      <c r="Q759" s="7"/>
      <c r="R759" s="7"/>
      <c r="S759" s="7"/>
      <c r="T759" s="7"/>
      <c r="U759" s="7"/>
      <c r="W759" s="7"/>
    </row>
    <row r="760" spans="1:23" ht="15.75" customHeight="1">
      <c r="A760" s="8"/>
      <c r="B760" s="7"/>
      <c r="C760" s="33"/>
      <c r="D760" s="7"/>
      <c r="E760" s="7"/>
      <c r="F760" s="7"/>
      <c r="G760" s="7"/>
      <c r="H760" s="7"/>
      <c r="I760" s="7"/>
      <c r="J760" s="7"/>
      <c r="K760" s="7"/>
      <c r="L760" s="7"/>
      <c r="M760" s="7"/>
      <c r="N760" s="7"/>
      <c r="O760" s="7"/>
      <c r="P760" s="7"/>
      <c r="Q760" s="7"/>
      <c r="R760" s="7"/>
      <c r="S760" s="7"/>
      <c r="T760" s="7"/>
      <c r="U760" s="7"/>
      <c r="W760" s="7"/>
    </row>
    <row r="761" spans="1:23" ht="15.75" customHeight="1">
      <c r="A761" s="8"/>
      <c r="B761" s="7"/>
      <c r="C761" s="33"/>
      <c r="D761" s="7"/>
      <c r="E761" s="7"/>
      <c r="F761" s="7"/>
      <c r="G761" s="7"/>
      <c r="H761" s="7"/>
      <c r="I761" s="7"/>
      <c r="J761" s="7"/>
      <c r="K761" s="7"/>
      <c r="L761" s="7"/>
      <c r="M761" s="7"/>
      <c r="N761" s="7"/>
      <c r="O761" s="7"/>
      <c r="P761" s="7"/>
      <c r="Q761" s="7"/>
      <c r="R761" s="7"/>
      <c r="S761" s="7"/>
      <c r="T761" s="7"/>
      <c r="U761" s="7"/>
      <c r="W761" s="7"/>
    </row>
    <row r="762" spans="1:23" ht="15.75" customHeight="1">
      <c r="A762" s="8"/>
      <c r="B762" s="7"/>
      <c r="C762" s="33"/>
      <c r="D762" s="7"/>
      <c r="E762" s="7"/>
      <c r="F762" s="7"/>
      <c r="G762" s="7"/>
      <c r="H762" s="7"/>
      <c r="I762" s="7"/>
      <c r="J762" s="7"/>
      <c r="K762" s="7"/>
      <c r="L762" s="7"/>
      <c r="M762" s="7"/>
      <c r="N762" s="7"/>
      <c r="O762" s="7"/>
      <c r="P762" s="7"/>
      <c r="Q762" s="7"/>
      <c r="R762" s="7"/>
      <c r="S762" s="7"/>
      <c r="T762" s="7"/>
      <c r="U762" s="7"/>
      <c r="W762" s="7"/>
    </row>
    <row r="763" spans="1:23" ht="15.75" customHeight="1">
      <c r="A763" s="8"/>
      <c r="B763" s="7"/>
      <c r="C763" s="33"/>
      <c r="D763" s="7"/>
      <c r="E763" s="7"/>
      <c r="F763" s="7"/>
      <c r="G763" s="7"/>
      <c r="H763" s="7"/>
      <c r="I763" s="7"/>
      <c r="J763" s="7"/>
      <c r="K763" s="7"/>
      <c r="L763" s="7"/>
      <c r="M763" s="7"/>
      <c r="N763" s="7"/>
      <c r="O763" s="7"/>
      <c r="P763" s="7"/>
      <c r="Q763" s="7"/>
      <c r="R763" s="7"/>
      <c r="S763" s="7"/>
      <c r="T763" s="7"/>
      <c r="U763" s="7"/>
      <c r="W763" s="7"/>
    </row>
    <row r="764" spans="1:23" ht="15.75" customHeight="1">
      <c r="A764" s="8"/>
      <c r="B764" s="7"/>
      <c r="C764" s="33"/>
      <c r="D764" s="7"/>
      <c r="E764" s="7"/>
      <c r="F764" s="7"/>
      <c r="G764" s="7"/>
      <c r="H764" s="7"/>
      <c r="I764" s="7"/>
      <c r="J764" s="7"/>
      <c r="K764" s="7"/>
      <c r="L764" s="7"/>
      <c r="M764" s="7"/>
      <c r="N764" s="7"/>
      <c r="O764" s="7"/>
      <c r="P764" s="7"/>
      <c r="Q764" s="7"/>
      <c r="R764" s="7"/>
      <c r="S764" s="7"/>
      <c r="T764" s="7"/>
      <c r="U764" s="7"/>
      <c r="W764" s="7"/>
    </row>
    <row r="765" spans="1:23" ht="15.75" customHeight="1">
      <c r="A765" s="8"/>
      <c r="B765" s="7"/>
      <c r="C765" s="33"/>
      <c r="D765" s="7"/>
      <c r="E765" s="7"/>
      <c r="F765" s="7"/>
      <c r="G765" s="7"/>
      <c r="H765" s="7"/>
      <c r="I765" s="7"/>
      <c r="J765" s="7"/>
      <c r="K765" s="7"/>
      <c r="L765" s="7"/>
      <c r="M765" s="7"/>
      <c r="N765" s="7"/>
      <c r="O765" s="7"/>
      <c r="P765" s="7"/>
      <c r="Q765" s="7"/>
      <c r="R765" s="7"/>
      <c r="S765" s="7"/>
      <c r="T765" s="7"/>
      <c r="U765" s="7"/>
      <c r="W765" s="7"/>
    </row>
    <row r="766" spans="1:23" ht="15.75" customHeight="1">
      <c r="A766" s="8"/>
      <c r="B766" s="7"/>
      <c r="C766" s="33"/>
      <c r="D766" s="7"/>
      <c r="E766" s="7"/>
      <c r="F766" s="7"/>
      <c r="G766" s="7"/>
      <c r="H766" s="7"/>
      <c r="I766" s="7"/>
      <c r="J766" s="7"/>
      <c r="K766" s="7"/>
      <c r="L766" s="7"/>
      <c r="M766" s="7"/>
      <c r="N766" s="7"/>
      <c r="O766" s="7"/>
      <c r="P766" s="7"/>
      <c r="Q766" s="7"/>
      <c r="R766" s="7"/>
      <c r="S766" s="7"/>
      <c r="T766" s="7"/>
      <c r="U766" s="7"/>
      <c r="W766" s="7"/>
    </row>
    <row r="767" spans="1:23" ht="15.75" customHeight="1">
      <c r="A767" s="8"/>
      <c r="B767" s="7"/>
      <c r="C767" s="33"/>
      <c r="D767" s="7"/>
      <c r="E767" s="7"/>
      <c r="F767" s="7"/>
      <c r="G767" s="7"/>
      <c r="H767" s="7"/>
      <c r="I767" s="7"/>
      <c r="J767" s="7"/>
      <c r="K767" s="7"/>
      <c r="L767" s="7"/>
      <c r="M767" s="7"/>
      <c r="N767" s="7"/>
      <c r="O767" s="7"/>
      <c r="P767" s="7"/>
      <c r="Q767" s="7"/>
      <c r="R767" s="7"/>
      <c r="S767" s="7"/>
      <c r="T767" s="7"/>
      <c r="U767" s="7"/>
      <c r="W767" s="7"/>
    </row>
    <row r="768" spans="1:23" ht="15.75" customHeight="1">
      <c r="A768" s="8"/>
      <c r="B768" s="7"/>
      <c r="C768" s="33"/>
      <c r="D768" s="7"/>
      <c r="E768" s="7"/>
      <c r="F768" s="7"/>
      <c r="G768" s="7"/>
      <c r="H768" s="7"/>
      <c r="I768" s="7"/>
      <c r="J768" s="7"/>
      <c r="K768" s="7"/>
      <c r="L768" s="7"/>
      <c r="M768" s="7"/>
      <c r="N768" s="7"/>
      <c r="O768" s="7"/>
      <c r="P768" s="7"/>
      <c r="Q768" s="7"/>
      <c r="R768" s="7"/>
      <c r="S768" s="7"/>
      <c r="T768" s="7"/>
      <c r="U768" s="7"/>
      <c r="W768" s="7"/>
    </row>
    <row r="769" spans="1:23" ht="15.75" customHeight="1">
      <c r="A769" s="8"/>
      <c r="B769" s="7"/>
      <c r="C769" s="33"/>
      <c r="D769" s="7"/>
      <c r="E769" s="7"/>
      <c r="F769" s="7"/>
      <c r="G769" s="7"/>
      <c r="H769" s="7"/>
      <c r="I769" s="7"/>
      <c r="J769" s="7"/>
      <c r="K769" s="7"/>
      <c r="L769" s="7"/>
      <c r="M769" s="7"/>
      <c r="N769" s="7"/>
      <c r="O769" s="7"/>
      <c r="P769" s="7"/>
      <c r="Q769" s="7"/>
      <c r="R769" s="7"/>
      <c r="S769" s="7"/>
      <c r="T769" s="7"/>
      <c r="U769" s="7"/>
      <c r="W769" s="7"/>
    </row>
    <row r="770" spans="1:23" ht="15.75" customHeight="1">
      <c r="A770" s="8"/>
      <c r="B770" s="7"/>
      <c r="C770" s="33"/>
      <c r="D770" s="7"/>
      <c r="E770" s="7"/>
      <c r="F770" s="7"/>
      <c r="G770" s="7"/>
      <c r="H770" s="7"/>
      <c r="I770" s="7"/>
      <c r="J770" s="7"/>
      <c r="K770" s="7"/>
      <c r="L770" s="7"/>
      <c r="M770" s="7"/>
      <c r="N770" s="7"/>
      <c r="O770" s="7"/>
      <c r="P770" s="7"/>
      <c r="Q770" s="7"/>
      <c r="R770" s="7"/>
      <c r="S770" s="7"/>
      <c r="T770" s="7"/>
      <c r="U770" s="7"/>
      <c r="W770" s="7"/>
    </row>
    <row r="771" spans="1:23" ht="15.75" customHeight="1">
      <c r="A771" s="8"/>
      <c r="B771" s="7"/>
      <c r="C771" s="33"/>
      <c r="D771" s="7"/>
      <c r="E771" s="7"/>
      <c r="F771" s="7"/>
      <c r="G771" s="7"/>
      <c r="H771" s="7"/>
      <c r="I771" s="7"/>
      <c r="J771" s="7"/>
      <c r="K771" s="7"/>
      <c r="L771" s="7"/>
      <c r="M771" s="7"/>
      <c r="N771" s="7"/>
      <c r="O771" s="7"/>
      <c r="P771" s="7"/>
      <c r="Q771" s="7"/>
      <c r="R771" s="7"/>
      <c r="S771" s="7"/>
      <c r="T771" s="7"/>
      <c r="U771" s="7"/>
      <c r="W771" s="7"/>
    </row>
    <row r="772" spans="1:23" ht="15.75" customHeight="1">
      <c r="A772" s="8"/>
      <c r="B772" s="7"/>
      <c r="C772" s="33"/>
      <c r="D772" s="7"/>
      <c r="E772" s="7"/>
      <c r="F772" s="7"/>
      <c r="G772" s="7"/>
      <c r="H772" s="7"/>
      <c r="I772" s="7"/>
      <c r="J772" s="7"/>
      <c r="K772" s="7"/>
      <c r="L772" s="7"/>
      <c r="M772" s="7"/>
      <c r="N772" s="7"/>
      <c r="O772" s="7"/>
      <c r="P772" s="7"/>
      <c r="Q772" s="7"/>
      <c r="R772" s="7"/>
      <c r="S772" s="7"/>
      <c r="T772" s="7"/>
      <c r="U772" s="7"/>
      <c r="W772" s="7"/>
    </row>
    <row r="773" spans="1:23" ht="15.75" customHeight="1">
      <c r="A773" s="8"/>
      <c r="B773" s="7"/>
      <c r="C773" s="33"/>
      <c r="D773" s="7"/>
      <c r="E773" s="7"/>
      <c r="F773" s="7"/>
      <c r="G773" s="7"/>
      <c r="H773" s="7"/>
      <c r="I773" s="7"/>
      <c r="J773" s="7"/>
      <c r="K773" s="7"/>
      <c r="L773" s="7"/>
      <c r="M773" s="7"/>
      <c r="N773" s="7"/>
      <c r="O773" s="7"/>
      <c r="P773" s="7"/>
      <c r="Q773" s="7"/>
      <c r="R773" s="7"/>
      <c r="S773" s="7"/>
      <c r="T773" s="7"/>
      <c r="U773" s="7"/>
      <c r="W773" s="7"/>
    </row>
    <row r="774" spans="1:23" ht="15.75" customHeight="1">
      <c r="A774" s="8"/>
      <c r="B774" s="7"/>
      <c r="C774" s="33"/>
      <c r="D774" s="7"/>
      <c r="E774" s="7"/>
      <c r="F774" s="7"/>
      <c r="G774" s="7"/>
      <c r="H774" s="7"/>
      <c r="I774" s="7"/>
      <c r="J774" s="7"/>
      <c r="K774" s="7"/>
      <c r="L774" s="7"/>
      <c r="M774" s="7"/>
      <c r="N774" s="7"/>
      <c r="O774" s="7"/>
      <c r="P774" s="7"/>
      <c r="Q774" s="7"/>
      <c r="R774" s="7"/>
      <c r="S774" s="7"/>
      <c r="T774" s="7"/>
      <c r="U774" s="7"/>
      <c r="W774" s="7"/>
    </row>
    <row r="775" spans="1:23" ht="15.75" customHeight="1">
      <c r="A775" s="8"/>
      <c r="B775" s="7"/>
      <c r="C775" s="33"/>
      <c r="D775" s="7"/>
      <c r="E775" s="7"/>
      <c r="F775" s="7"/>
      <c r="G775" s="7"/>
      <c r="H775" s="7"/>
      <c r="I775" s="7"/>
      <c r="J775" s="7"/>
      <c r="K775" s="7"/>
      <c r="L775" s="7"/>
      <c r="M775" s="7"/>
      <c r="N775" s="7"/>
      <c r="O775" s="7"/>
      <c r="P775" s="7"/>
      <c r="Q775" s="7"/>
      <c r="R775" s="7"/>
      <c r="S775" s="7"/>
      <c r="T775" s="7"/>
      <c r="U775" s="7"/>
      <c r="W775" s="7"/>
    </row>
    <row r="776" spans="1:23" ht="15.75" customHeight="1">
      <c r="A776" s="8"/>
      <c r="B776" s="7"/>
      <c r="C776" s="33"/>
      <c r="D776" s="7"/>
      <c r="E776" s="7"/>
      <c r="F776" s="7"/>
      <c r="G776" s="7"/>
      <c r="H776" s="7"/>
      <c r="I776" s="7"/>
      <c r="J776" s="7"/>
      <c r="K776" s="7"/>
      <c r="L776" s="7"/>
      <c r="M776" s="7"/>
      <c r="N776" s="7"/>
      <c r="O776" s="7"/>
      <c r="P776" s="7"/>
      <c r="Q776" s="7"/>
      <c r="R776" s="7"/>
      <c r="S776" s="7"/>
      <c r="T776" s="7"/>
      <c r="U776" s="7"/>
      <c r="W776" s="7"/>
    </row>
    <row r="777" spans="1:23" ht="15.75" customHeight="1">
      <c r="A777" s="8"/>
      <c r="B777" s="7"/>
      <c r="C777" s="33"/>
      <c r="D777" s="7"/>
      <c r="E777" s="7"/>
      <c r="F777" s="7"/>
      <c r="G777" s="7"/>
      <c r="H777" s="7"/>
      <c r="I777" s="7"/>
      <c r="J777" s="7"/>
      <c r="K777" s="7"/>
      <c r="L777" s="7"/>
      <c r="M777" s="7"/>
      <c r="N777" s="7"/>
      <c r="O777" s="7"/>
      <c r="P777" s="7"/>
      <c r="Q777" s="7"/>
      <c r="R777" s="7"/>
      <c r="S777" s="7"/>
      <c r="T777" s="7"/>
      <c r="U777" s="7"/>
      <c r="W777" s="7"/>
    </row>
    <row r="778" spans="1:23" ht="15.75" customHeight="1">
      <c r="A778" s="8"/>
      <c r="B778" s="7"/>
      <c r="C778" s="33"/>
      <c r="D778" s="7"/>
      <c r="E778" s="7"/>
      <c r="F778" s="7"/>
      <c r="G778" s="7"/>
      <c r="H778" s="7"/>
      <c r="I778" s="7"/>
      <c r="J778" s="7"/>
      <c r="K778" s="7"/>
      <c r="L778" s="7"/>
      <c r="M778" s="7"/>
      <c r="N778" s="7"/>
      <c r="O778" s="7"/>
      <c r="P778" s="7"/>
      <c r="Q778" s="7"/>
      <c r="R778" s="7"/>
      <c r="S778" s="7"/>
      <c r="T778" s="7"/>
      <c r="U778" s="7"/>
      <c r="W778" s="7"/>
    </row>
    <row r="779" spans="1:23" ht="15.75" customHeight="1">
      <c r="A779" s="8"/>
      <c r="B779" s="7"/>
      <c r="C779" s="33"/>
      <c r="D779" s="7"/>
      <c r="E779" s="7"/>
      <c r="F779" s="7"/>
      <c r="G779" s="7"/>
      <c r="H779" s="7"/>
      <c r="I779" s="7"/>
      <c r="J779" s="7"/>
      <c r="K779" s="7"/>
      <c r="L779" s="7"/>
      <c r="M779" s="7"/>
      <c r="N779" s="7"/>
      <c r="O779" s="7"/>
      <c r="P779" s="7"/>
      <c r="Q779" s="7"/>
      <c r="R779" s="7"/>
      <c r="S779" s="7"/>
      <c r="T779" s="7"/>
      <c r="U779" s="7"/>
      <c r="W779" s="7"/>
    </row>
    <row r="780" spans="1:23" ht="15.75" customHeight="1">
      <c r="A780" s="8"/>
      <c r="B780" s="7"/>
      <c r="C780" s="33"/>
      <c r="D780" s="7"/>
      <c r="E780" s="7"/>
      <c r="F780" s="7"/>
      <c r="G780" s="7"/>
      <c r="H780" s="7"/>
      <c r="I780" s="7"/>
      <c r="J780" s="7"/>
      <c r="K780" s="7"/>
      <c r="L780" s="7"/>
      <c r="M780" s="7"/>
      <c r="N780" s="7"/>
      <c r="O780" s="7"/>
      <c r="P780" s="7"/>
      <c r="Q780" s="7"/>
      <c r="R780" s="7"/>
      <c r="S780" s="7"/>
      <c r="T780" s="7"/>
      <c r="U780" s="7"/>
      <c r="W780" s="7"/>
    </row>
    <row r="781" spans="1:23" ht="15.75" customHeight="1">
      <c r="A781" s="8"/>
      <c r="B781" s="7"/>
      <c r="C781" s="33"/>
      <c r="D781" s="7"/>
      <c r="E781" s="7"/>
      <c r="F781" s="7"/>
      <c r="G781" s="7"/>
      <c r="H781" s="7"/>
      <c r="I781" s="7"/>
      <c r="J781" s="7"/>
      <c r="K781" s="7"/>
      <c r="L781" s="7"/>
      <c r="M781" s="7"/>
      <c r="N781" s="7"/>
      <c r="O781" s="7"/>
      <c r="P781" s="7"/>
      <c r="Q781" s="7"/>
      <c r="R781" s="7"/>
      <c r="S781" s="7"/>
      <c r="T781" s="7"/>
      <c r="U781" s="7"/>
      <c r="W781" s="7"/>
    </row>
    <row r="782" spans="1:23" ht="15.75" customHeight="1">
      <c r="A782" s="8"/>
      <c r="B782" s="7"/>
      <c r="C782" s="33"/>
      <c r="D782" s="7"/>
      <c r="E782" s="7"/>
      <c r="F782" s="7"/>
      <c r="G782" s="7"/>
      <c r="H782" s="7"/>
      <c r="I782" s="7"/>
      <c r="J782" s="7"/>
      <c r="K782" s="7"/>
      <c r="L782" s="7"/>
      <c r="M782" s="7"/>
      <c r="N782" s="7"/>
      <c r="O782" s="7"/>
      <c r="P782" s="7"/>
      <c r="Q782" s="7"/>
      <c r="R782" s="7"/>
      <c r="S782" s="7"/>
      <c r="T782" s="7"/>
      <c r="U782" s="7"/>
      <c r="W782" s="7"/>
    </row>
    <row r="783" spans="1:23" ht="15.75" customHeight="1">
      <c r="A783" s="8"/>
      <c r="B783" s="7"/>
      <c r="C783" s="33"/>
      <c r="D783" s="7"/>
      <c r="E783" s="7"/>
      <c r="F783" s="7"/>
      <c r="G783" s="7"/>
      <c r="H783" s="7"/>
      <c r="I783" s="7"/>
      <c r="J783" s="7"/>
      <c r="K783" s="7"/>
      <c r="L783" s="7"/>
      <c r="M783" s="7"/>
      <c r="N783" s="7"/>
      <c r="O783" s="7"/>
      <c r="P783" s="7"/>
      <c r="Q783" s="7"/>
      <c r="R783" s="7"/>
      <c r="S783" s="7"/>
      <c r="T783" s="7"/>
      <c r="U783" s="7"/>
      <c r="W783" s="7"/>
    </row>
    <row r="784" spans="1:23" ht="15.75" customHeight="1">
      <c r="A784" s="8"/>
      <c r="B784" s="7"/>
      <c r="C784" s="33"/>
      <c r="D784" s="7"/>
      <c r="E784" s="7"/>
      <c r="F784" s="7"/>
      <c r="G784" s="7"/>
      <c r="H784" s="7"/>
      <c r="I784" s="7"/>
      <c r="J784" s="7"/>
      <c r="K784" s="7"/>
      <c r="L784" s="7"/>
      <c r="M784" s="7"/>
      <c r="N784" s="7"/>
      <c r="O784" s="7"/>
      <c r="P784" s="7"/>
      <c r="Q784" s="7"/>
      <c r="R784" s="7"/>
      <c r="S784" s="7"/>
      <c r="T784" s="7"/>
      <c r="U784" s="7"/>
      <c r="W784" s="7"/>
    </row>
    <row r="785" spans="1:23" ht="15.75" customHeight="1">
      <c r="A785" s="8"/>
      <c r="B785" s="7"/>
      <c r="C785" s="33"/>
      <c r="D785" s="7"/>
      <c r="E785" s="7"/>
      <c r="F785" s="7"/>
      <c r="G785" s="7"/>
      <c r="H785" s="7"/>
      <c r="I785" s="7"/>
      <c r="J785" s="7"/>
      <c r="K785" s="7"/>
      <c r="L785" s="7"/>
      <c r="M785" s="7"/>
      <c r="N785" s="7"/>
      <c r="O785" s="7"/>
      <c r="P785" s="7"/>
      <c r="Q785" s="7"/>
      <c r="R785" s="7"/>
      <c r="S785" s="7"/>
      <c r="T785" s="7"/>
      <c r="U785" s="7"/>
      <c r="W785" s="7"/>
    </row>
    <row r="786" spans="1:23" ht="15.75" customHeight="1">
      <c r="A786" s="8"/>
      <c r="B786" s="7"/>
      <c r="C786" s="33"/>
      <c r="D786" s="7"/>
      <c r="E786" s="7"/>
      <c r="F786" s="7"/>
      <c r="G786" s="7"/>
      <c r="H786" s="7"/>
      <c r="I786" s="7"/>
      <c r="J786" s="7"/>
      <c r="K786" s="7"/>
      <c r="L786" s="7"/>
      <c r="M786" s="7"/>
      <c r="N786" s="7"/>
      <c r="O786" s="7"/>
      <c r="P786" s="7"/>
      <c r="Q786" s="7"/>
      <c r="R786" s="7"/>
      <c r="S786" s="7"/>
      <c r="T786" s="7"/>
      <c r="U786" s="7"/>
      <c r="W786" s="7"/>
    </row>
    <row r="787" spans="1:23" ht="15.75" customHeight="1">
      <c r="A787" s="8"/>
      <c r="B787" s="7"/>
      <c r="C787" s="33"/>
      <c r="D787" s="7"/>
      <c r="E787" s="7"/>
      <c r="F787" s="7"/>
      <c r="G787" s="7"/>
      <c r="H787" s="7"/>
      <c r="I787" s="7"/>
      <c r="J787" s="7"/>
      <c r="K787" s="7"/>
      <c r="L787" s="7"/>
      <c r="M787" s="7"/>
      <c r="N787" s="7"/>
      <c r="O787" s="7"/>
      <c r="P787" s="7"/>
      <c r="Q787" s="7"/>
      <c r="R787" s="7"/>
      <c r="S787" s="7"/>
      <c r="T787" s="7"/>
      <c r="U787" s="7"/>
      <c r="W787" s="7"/>
    </row>
    <row r="788" spans="1:23" ht="15.75" customHeight="1">
      <c r="A788" s="8"/>
      <c r="B788" s="7"/>
      <c r="C788" s="33"/>
      <c r="D788" s="7"/>
      <c r="E788" s="7"/>
      <c r="F788" s="7"/>
      <c r="G788" s="7"/>
      <c r="H788" s="7"/>
      <c r="I788" s="7"/>
      <c r="J788" s="7"/>
      <c r="K788" s="7"/>
      <c r="L788" s="7"/>
      <c r="M788" s="7"/>
      <c r="N788" s="7"/>
      <c r="O788" s="7"/>
      <c r="P788" s="7"/>
      <c r="Q788" s="7"/>
      <c r="R788" s="7"/>
      <c r="S788" s="7"/>
      <c r="T788" s="7"/>
      <c r="U788" s="7"/>
      <c r="W788" s="7"/>
    </row>
    <row r="789" spans="1:23" ht="15.75" customHeight="1">
      <c r="A789" s="8"/>
      <c r="B789" s="7"/>
      <c r="C789" s="33"/>
      <c r="D789" s="7"/>
      <c r="E789" s="7"/>
      <c r="F789" s="7"/>
      <c r="G789" s="7"/>
      <c r="H789" s="7"/>
      <c r="I789" s="7"/>
      <c r="J789" s="7"/>
      <c r="K789" s="7"/>
      <c r="L789" s="7"/>
      <c r="M789" s="7"/>
      <c r="N789" s="7"/>
      <c r="O789" s="7"/>
      <c r="P789" s="7"/>
      <c r="Q789" s="7"/>
      <c r="R789" s="7"/>
      <c r="S789" s="7"/>
      <c r="T789" s="7"/>
      <c r="U789" s="7"/>
      <c r="W789" s="7"/>
    </row>
    <row r="790" spans="1:23" ht="15.75" customHeight="1">
      <c r="A790" s="8"/>
      <c r="B790" s="7"/>
      <c r="C790" s="33"/>
      <c r="D790" s="7"/>
      <c r="E790" s="7"/>
      <c r="F790" s="7"/>
      <c r="G790" s="7"/>
      <c r="H790" s="7"/>
      <c r="I790" s="7"/>
      <c r="J790" s="7"/>
      <c r="K790" s="7"/>
      <c r="L790" s="7"/>
      <c r="M790" s="7"/>
      <c r="N790" s="7"/>
      <c r="O790" s="7"/>
      <c r="P790" s="7"/>
      <c r="Q790" s="7"/>
      <c r="R790" s="7"/>
      <c r="S790" s="7"/>
      <c r="T790" s="7"/>
      <c r="U790" s="7"/>
      <c r="W790" s="7"/>
    </row>
    <row r="791" spans="1:23" ht="15.75" customHeight="1">
      <c r="A791" s="8"/>
      <c r="B791" s="7"/>
      <c r="C791" s="33"/>
      <c r="D791" s="7"/>
      <c r="E791" s="7"/>
      <c r="F791" s="7"/>
      <c r="G791" s="7"/>
      <c r="H791" s="7"/>
      <c r="I791" s="7"/>
      <c r="J791" s="7"/>
      <c r="K791" s="7"/>
      <c r="L791" s="7"/>
      <c r="M791" s="7"/>
      <c r="N791" s="7"/>
      <c r="O791" s="7"/>
      <c r="P791" s="7"/>
      <c r="Q791" s="7"/>
      <c r="R791" s="7"/>
      <c r="S791" s="7"/>
      <c r="T791" s="7"/>
      <c r="U791" s="7"/>
      <c r="W791" s="7"/>
    </row>
    <row r="792" spans="1:23" ht="15.75" customHeight="1">
      <c r="A792" s="8"/>
      <c r="B792" s="7"/>
      <c r="C792" s="33"/>
      <c r="D792" s="7"/>
      <c r="E792" s="7"/>
      <c r="F792" s="7"/>
      <c r="G792" s="7"/>
      <c r="H792" s="7"/>
      <c r="I792" s="7"/>
      <c r="J792" s="7"/>
      <c r="K792" s="7"/>
      <c r="L792" s="7"/>
      <c r="M792" s="7"/>
      <c r="N792" s="7"/>
      <c r="O792" s="7"/>
      <c r="P792" s="7"/>
      <c r="Q792" s="7"/>
      <c r="R792" s="7"/>
      <c r="S792" s="7"/>
      <c r="T792" s="7"/>
      <c r="U792" s="7"/>
      <c r="W792" s="7"/>
    </row>
    <row r="793" spans="1:23" ht="15.75" customHeight="1">
      <c r="A793" s="8"/>
      <c r="B793" s="7"/>
      <c r="C793" s="33"/>
      <c r="D793" s="7"/>
      <c r="E793" s="7"/>
      <c r="F793" s="7"/>
      <c r="G793" s="7"/>
      <c r="H793" s="7"/>
      <c r="I793" s="7"/>
      <c r="J793" s="7"/>
      <c r="K793" s="7"/>
      <c r="L793" s="7"/>
      <c r="M793" s="7"/>
      <c r="N793" s="7"/>
      <c r="O793" s="7"/>
      <c r="P793" s="7"/>
      <c r="Q793" s="7"/>
      <c r="R793" s="7"/>
      <c r="S793" s="7"/>
      <c r="T793" s="7"/>
      <c r="U793" s="7"/>
      <c r="W793" s="7"/>
    </row>
    <row r="794" spans="1:23" ht="15.75" customHeight="1">
      <c r="A794" s="8"/>
      <c r="B794" s="7"/>
      <c r="C794" s="33"/>
      <c r="D794" s="7"/>
      <c r="E794" s="7"/>
      <c r="F794" s="7"/>
      <c r="G794" s="7"/>
      <c r="H794" s="7"/>
      <c r="I794" s="7"/>
      <c r="J794" s="7"/>
      <c r="K794" s="7"/>
      <c r="L794" s="7"/>
      <c r="M794" s="7"/>
      <c r="N794" s="7"/>
      <c r="O794" s="7"/>
      <c r="P794" s="7"/>
      <c r="Q794" s="7"/>
      <c r="R794" s="7"/>
      <c r="S794" s="7"/>
      <c r="T794" s="7"/>
      <c r="U794" s="7"/>
      <c r="W794" s="7"/>
    </row>
    <row r="795" spans="1:23" ht="15.75" customHeight="1">
      <c r="A795" s="8"/>
      <c r="B795" s="7"/>
      <c r="C795" s="33"/>
      <c r="D795" s="7"/>
      <c r="E795" s="7"/>
      <c r="F795" s="7"/>
      <c r="G795" s="7"/>
      <c r="H795" s="7"/>
      <c r="I795" s="7"/>
      <c r="J795" s="7"/>
      <c r="K795" s="7"/>
      <c r="L795" s="7"/>
      <c r="M795" s="7"/>
      <c r="N795" s="7"/>
      <c r="O795" s="7"/>
      <c r="P795" s="7"/>
      <c r="Q795" s="7"/>
      <c r="R795" s="7"/>
      <c r="S795" s="7"/>
      <c r="T795" s="7"/>
      <c r="U795" s="7"/>
      <c r="W795" s="7"/>
    </row>
    <row r="796" spans="1:23" ht="15.75" customHeight="1">
      <c r="A796" s="8"/>
      <c r="B796" s="7"/>
      <c r="C796" s="33"/>
      <c r="D796" s="7"/>
      <c r="E796" s="7"/>
      <c r="F796" s="7"/>
      <c r="G796" s="7"/>
      <c r="H796" s="7"/>
      <c r="I796" s="7"/>
      <c r="J796" s="7"/>
      <c r="K796" s="7"/>
      <c r="L796" s="7"/>
      <c r="M796" s="7"/>
      <c r="N796" s="7"/>
      <c r="O796" s="7"/>
      <c r="P796" s="7"/>
      <c r="Q796" s="7"/>
      <c r="R796" s="7"/>
      <c r="S796" s="7"/>
      <c r="T796" s="7"/>
      <c r="U796" s="7"/>
      <c r="W796" s="7"/>
    </row>
    <row r="797" spans="1:23" ht="15.75" customHeight="1">
      <c r="A797" s="8"/>
      <c r="B797" s="7"/>
      <c r="C797" s="33"/>
      <c r="D797" s="7"/>
      <c r="E797" s="7"/>
      <c r="F797" s="7"/>
      <c r="G797" s="7"/>
      <c r="H797" s="7"/>
      <c r="I797" s="7"/>
      <c r="J797" s="7"/>
      <c r="K797" s="7"/>
      <c r="L797" s="7"/>
      <c r="M797" s="7"/>
      <c r="N797" s="7"/>
      <c r="O797" s="7"/>
      <c r="P797" s="7"/>
      <c r="Q797" s="7"/>
      <c r="R797" s="7"/>
      <c r="S797" s="7"/>
      <c r="T797" s="7"/>
      <c r="U797" s="7"/>
      <c r="W797" s="7"/>
    </row>
    <row r="798" spans="1:23" ht="15.75" customHeight="1">
      <c r="A798" s="8"/>
      <c r="B798" s="7"/>
      <c r="C798" s="33"/>
      <c r="D798" s="7"/>
      <c r="E798" s="7"/>
      <c r="F798" s="7"/>
      <c r="G798" s="7"/>
      <c r="H798" s="7"/>
      <c r="I798" s="7"/>
      <c r="J798" s="7"/>
      <c r="K798" s="7"/>
      <c r="L798" s="7"/>
      <c r="M798" s="7"/>
      <c r="N798" s="7"/>
      <c r="O798" s="7"/>
      <c r="P798" s="7"/>
      <c r="Q798" s="7"/>
      <c r="R798" s="7"/>
      <c r="S798" s="7"/>
      <c r="T798" s="7"/>
      <c r="U798" s="7"/>
      <c r="W798" s="7"/>
    </row>
    <row r="799" spans="1:23" ht="15.75" customHeight="1">
      <c r="A799" s="8"/>
      <c r="B799" s="7"/>
      <c r="C799" s="33"/>
      <c r="D799" s="7"/>
      <c r="E799" s="7"/>
      <c r="F799" s="7"/>
      <c r="G799" s="7"/>
      <c r="H799" s="7"/>
      <c r="I799" s="7"/>
      <c r="J799" s="7"/>
      <c r="K799" s="7"/>
      <c r="L799" s="7"/>
      <c r="M799" s="7"/>
      <c r="N799" s="7"/>
      <c r="O799" s="7"/>
      <c r="P799" s="7"/>
      <c r="Q799" s="7"/>
      <c r="R799" s="7"/>
      <c r="S799" s="7"/>
      <c r="T799" s="7"/>
      <c r="U799" s="7"/>
      <c r="W799" s="7"/>
    </row>
    <row r="800" spans="1:23" ht="15.75" customHeight="1">
      <c r="A800" s="8"/>
      <c r="B800" s="7"/>
      <c r="C800" s="33"/>
      <c r="D800" s="7"/>
      <c r="E800" s="7"/>
      <c r="F800" s="7"/>
      <c r="G800" s="7"/>
      <c r="H800" s="7"/>
      <c r="I800" s="7"/>
      <c r="J800" s="7"/>
      <c r="K800" s="7"/>
      <c r="L800" s="7"/>
      <c r="M800" s="7"/>
      <c r="N800" s="7"/>
      <c r="O800" s="7"/>
      <c r="P800" s="7"/>
      <c r="Q800" s="7"/>
      <c r="R800" s="7"/>
      <c r="S800" s="7"/>
      <c r="T800" s="7"/>
      <c r="U800" s="7"/>
      <c r="W800" s="7"/>
    </row>
    <row r="801" spans="1:23" ht="15.75" customHeight="1">
      <c r="A801" s="8"/>
      <c r="B801" s="7"/>
      <c r="C801" s="33"/>
      <c r="D801" s="7"/>
      <c r="E801" s="7"/>
      <c r="F801" s="7"/>
      <c r="G801" s="7"/>
      <c r="H801" s="7"/>
      <c r="I801" s="7"/>
      <c r="J801" s="7"/>
      <c r="K801" s="7"/>
      <c r="L801" s="7"/>
      <c r="M801" s="7"/>
      <c r="N801" s="7"/>
      <c r="O801" s="7"/>
      <c r="P801" s="7"/>
      <c r="Q801" s="7"/>
      <c r="R801" s="7"/>
      <c r="S801" s="7"/>
      <c r="T801" s="7"/>
      <c r="U801" s="7"/>
      <c r="W801" s="7"/>
    </row>
    <row r="802" spans="1:23" ht="15.75" customHeight="1">
      <c r="A802" s="8"/>
      <c r="B802" s="7"/>
      <c r="C802" s="33"/>
      <c r="D802" s="7"/>
      <c r="E802" s="7"/>
      <c r="F802" s="7"/>
      <c r="G802" s="7"/>
      <c r="H802" s="7"/>
      <c r="I802" s="7"/>
      <c r="J802" s="7"/>
      <c r="K802" s="7"/>
      <c r="L802" s="7"/>
      <c r="M802" s="7"/>
      <c r="N802" s="7"/>
      <c r="O802" s="7"/>
      <c r="P802" s="7"/>
      <c r="Q802" s="7"/>
      <c r="R802" s="7"/>
      <c r="S802" s="7"/>
      <c r="T802" s="7"/>
      <c r="U802" s="7"/>
      <c r="W802" s="7"/>
    </row>
    <row r="803" spans="1:23" ht="15.75" customHeight="1">
      <c r="A803" s="8"/>
      <c r="B803" s="7"/>
      <c r="C803" s="33"/>
      <c r="D803" s="7"/>
      <c r="E803" s="7"/>
      <c r="F803" s="7"/>
      <c r="G803" s="7"/>
      <c r="H803" s="7"/>
      <c r="I803" s="7"/>
      <c r="J803" s="7"/>
      <c r="K803" s="7"/>
      <c r="L803" s="7"/>
      <c r="M803" s="7"/>
      <c r="N803" s="7"/>
      <c r="O803" s="7"/>
      <c r="P803" s="7"/>
      <c r="Q803" s="7"/>
      <c r="R803" s="7"/>
      <c r="S803" s="7"/>
      <c r="T803" s="7"/>
      <c r="U803" s="7"/>
      <c r="W803" s="7"/>
    </row>
    <row r="804" spans="1:23" ht="15.75" customHeight="1">
      <c r="A804" s="8"/>
      <c r="B804" s="7"/>
      <c r="C804" s="33"/>
      <c r="D804" s="7"/>
      <c r="E804" s="7"/>
      <c r="F804" s="7"/>
      <c r="G804" s="7"/>
      <c r="H804" s="7"/>
      <c r="I804" s="7"/>
      <c r="J804" s="7"/>
      <c r="K804" s="7"/>
      <c r="L804" s="7"/>
      <c r="M804" s="7"/>
      <c r="N804" s="7"/>
      <c r="O804" s="7"/>
      <c r="P804" s="7"/>
      <c r="Q804" s="7"/>
      <c r="R804" s="7"/>
      <c r="S804" s="7"/>
      <c r="T804" s="7"/>
      <c r="U804" s="7"/>
      <c r="W804" s="7"/>
    </row>
    <row r="805" spans="1:23" ht="15.75" customHeight="1">
      <c r="A805" s="8"/>
      <c r="B805" s="7"/>
      <c r="C805" s="33"/>
      <c r="D805" s="7"/>
      <c r="E805" s="7"/>
      <c r="F805" s="7"/>
      <c r="G805" s="7"/>
      <c r="H805" s="7"/>
      <c r="I805" s="7"/>
      <c r="J805" s="7"/>
      <c r="K805" s="7"/>
      <c r="L805" s="7"/>
      <c r="M805" s="7"/>
      <c r="N805" s="7"/>
      <c r="O805" s="7"/>
      <c r="P805" s="7"/>
      <c r="Q805" s="7"/>
      <c r="R805" s="7"/>
      <c r="S805" s="7"/>
      <c r="T805" s="7"/>
      <c r="U805" s="7"/>
      <c r="W805" s="7"/>
    </row>
    <row r="806" spans="1:23" ht="15.75" customHeight="1">
      <c r="A806" s="8"/>
      <c r="B806" s="7"/>
      <c r="C806" s="33"/>
      <c r="D806" s="7"/>
      <c r="E806" s="7"/>
      <c r="F806" s="7"/>
      <c r="G806" s="7"/>
      <c r="H806" s="7"/>
      <c r="I806" s="7"/>
      <c r="J806" s="7"/>
      <c r="K806" s="7"/>
      <c r="L806" s="7"/>
      <c r="M806" s="7"/>
      <c r="N806" s="7"/>
      <c r="O806" s="7"/>
      <c r="P806" s="7"/>
      <c r="Q806" s="7"/>
      <c r="R806" s="7"/>
      <c r="S806" s="7"/>
      <c r="T806" s="7"/>
      <c r="U806" s="7"/>
      <c r="W806" s="7"/>
    </row>
    <row r="807" spans="1:23" ht="15.75" customHeight="1">
      <c r="A807" s="8"/>
      <c r="B807" s="7"/>
      <c r="C807" s="33"/>
      <c r="D807" s="7"/>
      <c r="E807" s="7"/>
      <c r="F807" s="7"/>
      <c r="G807" s="7"/>
      <c r="H807" s="7"/>
      <c r="I807" s="7"/>
      <c r="J807" s="7"/>
      <c r="K807" s="7"/>
      <c r="L807" s="7"/>
      <c r="M807" s="7"/>
      <c r="N807" s="7"/>
      <c r="O807" s="7"/>
      <c r="P807" s="7"/>
      <c r="Q807" s="7"/>
      <c r="R807" s="7"/>
      <c r="S807" s="7"/>
      <c r="T807" s="7"/>
      <c r="U807" s="7"/>
      <c r="W807" s="7"/>
    </row>
    <row r="808" spans="1:23" ht="15.75" customHeight="1">
      <c r="A808" s="8"/>
      <c r="B808" s="7"/>
      <c r="C808" s="33"/>
      <c r="D808" s="7"/>
      <c r="E808" s="7"/>
      <c r="F808" s="7"/>
      <c r="G808" s="7"/>
      <c r="H808" s="7"/>
      <c r="I808" s="7"/>
      <c r="J808" s="7"/>
      <c r="K808" s="7"/>
      <c r="L808" s="7"/>
      <c r="M808" s="7"/>
      <c r="N808" s="7"/>
      <c r="O808" s="7"/>
      <c r="P808" s="7"/>
      <c r="Q808" s="7"/>
      <c r="R808" s="7"/>
      <c r="S808" s="7"/>
      <c r="T808" s="7"/>
      <c r="U808" s="7"/>
      <c r="W808" s="7"/>
    </row>
    <row r="809" spans="1:23" ht="15.75" customHeight="1">
      <c r="A809" s="8"/>
      <c r="B809" s="7"/>
      <c r="C809" s="33"/>
      <c r="D809" s="7"/>
      <c r="E809" s="7"/>
      <c r="F809" s="7"/>
      <c r="G809" s="7"/>
      <c r="H809" s="7"/>
      <c r="I809" s="7"/>
      <c r="J809" s="7"/>
      <c r="K809" s="7"/>
      <c r="L809" s="7"/>
      <c r="M809" s="7"/>
      <c r="N809" s="7"/>
      <c r="O809" s="7"/>
      <c r="P809" s="7"/>
      <c r="Q809" s="7"/>
      <c r="R809" s="7"/>
      <c r="S809" s="7"/>
      <c r="T809" s="7"/>
      <c r="U809" s="7"/>
      <c r="W809" s="7"/>
    </row>
    <row r="810" spans="1:23" ht="15.75" customHeight="1">
      <c r="A810" s="8"/>
      <c r="B810" s="7"/>
      <c r="C810" s="33"/>
      <c r="D810" s="7"/>
      <c r="E810" s="7"/>
      <c r="F810" s="7"/>
      <c r="G810" s="7"/>
      <c r="H810" s="7"/>
      <c r="I810" s="7"/>
      <c r="J810" s="7"/>
      <c r="K810" s="7"/>
      <c r="L810" s="7"/>
      <c r="M810" s="7"/>
      <c r="N810" s="7"/>
      <c r="O810" s="7"/>
      <c r="P810" s="7"/>
      <c r="Q810" s="7"/>
      <c r="R810" s="7"/>
      <c r="S810" s="7"/>
      <c r="T810" s="7"/>
      <c r="U810" s="7"/>
      <c r="W810" s="7"/>
    </row>
    <row r="811" spans="1:23" ht="15.75" customHeight="1">
      <c r="A811" s="8"/>
      <c r="B811" s="7"/>
      <c r="C811" s="33"/>
      <c r="D811" s="7"/>
      <c r="E811" s="7"/>
      <c r="F811" s="7"/>
      <c r="G811" s="7"/>
      <c r="H811" s="7"/>
      <c r="I811" s="7"/>
      <c r="J811" s="7"/>
      <c r="K811" s="7"/>
      <c r="L811" s="7"/>
      <c r="M811" s="7"/>
      <c r="N811" s="7"/>
      <c r="O811" s="7"/>
      <c r="P811" s="7"/>
      <c r="Q811" s="7"/>
      <c r="R811" s="7"/>
      <c r="S811" s="7"/>
      <c r="T811" s="7"/>
      <c r="U811" s="7"/>
      <c r="W811" s="7"/>
    </row>
    <row r="812" spans="1:23" ht="15.75" customHeight="1">
      <c r="A812" s="8"/>
      <c r="B812" s="7"/>
      <c r="C812" s="33"/>
      <c r="D812" s="7"/>
      <c r="E812" s="7"/>
      <c r="F812" s="7"/>
      <c r="G812" s="7"/>
      <c r="H812" s="7"/>
      <c r="I812" s="7"/>
      <c r="J812" s="7"/>
      <c r="K812" s="7"/>
      <c r="L812" s="7"/>
      <c r="M812" s="7"/>
      <c r="N812" s="7"/>
      <c r="O812" s="7"/>
      <c r="P812" s="7"/>
      <c r="Q812" s="7"/>
      <c r="R812" s="7"/>
      <c r="S812" s="7"/>
      <c r="T812" s="7"/>
      <c r="U812" s="7"/>
      <c r="W812" s="7"/>
    </row>
    <row r="813" spans="1:23" ht="15.75" customHeight="1">
      <c r="A813" s="8"/>
      <c r="B813" s="7"/>
      <c r="C813" s="33"/>
      <c r="D813" s="7"/>
      <c r="E813" s="7"/>
      <c r="F813" s="7"/>
      <c r="G813" s="7"/>
      <c r="H813" s="7"/>
      <c r="I813" s="7"/>
      <c r="J813" s="7"/>
      <c r="K813" s="7"/>
      <c r="L813" s="7"/>
      <c r="M813" s="7"/>
      <c r="N813" s="7"/>
      <c r="O813" s="7"/>
      <c r="P813" s="7"/>
      <c r="Q813" s="7"/>
      <c r="R813" s="7"/>
      <c r="S813" s="7"/>
      <c r="T813" s="7"/>
      <c r="U813" s="7"/>
      <c r="W813" s="7"/>
    </row>
    <row r="814" spans="1:23" ht="15.75" customHeight="1">
      <c r="A814" s="8"/>
      <c r="B814" s="7"/>
      <c r="C814" s="33"/>
      <c r="D814" s="7"/>
      <c r="E814" s="7"/>
      <c r="F814" s="7"/>
      <c r="G814" s="7"/>
      <c r="H814" s="7"/>
      <c r="I814" s="7"/>
      <c r="J814" s="7"/>
      <c r="K814" s="7"/>
      <c r="L814" s="7"/>
      <c r="M814" s="7"/>
      <c r="N814" s="7"/>
      <c r="O814" s="7"/>
      <c r="P814" s="7"/>
      <c r="Q814" s="7"/>
      <c r="R814" s="7"/>
      <c r="S814" s="7"/>
      <c r="T814" s="7"/>
      <c r="U814" s="7"/>
      <c r="W814" s="7"/>
    </row>
    <row r="815" spans="1:23" ht="15.75" customHeight="1">
      <c r="A815" s="8"/>
      <c r="B815" s="7"/>
      <c r="C815" s="33"/>
      <c r="D815" s="7"/>
      <c r="E815" s="7"/>
      <c r="F815" s="7"/>
      <c r="G815" s="7"/>
      <c r="H815" s="7"/>
      <c r="I815" s="7"/>
      <c r="J815" s="7"/>
      <c r="K815" s="7"/>
      <c r="L815" s="7"/>
      <c r="M815" s="7"/>
      <c r="N815" s="7"/>
      <c r="O815" s="7"/>
      <c r="P815" s="7"/>
      <c r="Q815" s="7"/>
      <c r="R815" s="7"/>
      <c r="S815" s="7"/>
      <c r="T815" s="7"/>
      <c r="U815" s="7"/>
      <c r="W815" s="7"/>
    </row>
    <row r="816" spans="1:23" ht="15.75" customHeight="1">
      <c r="A816" s="8"/>
      <c r="B816" s="7"/>
      <c r="C816" s="33"/>
      <c r="D816" s="7"/>
      <c r="E816" s="7"/>
      <c r="F816" s="7"/>
      <c r="G816" s="7"/>
      <c r="H816" s="7"/>
      <c r="I816" s="7"/>
      <c r="J816" s="7"/>
      <c r="K816" s="7"/>
      <c r="L816" s="7"/>
      <c r="M816" s="7"/>
      <c r="N816" s="7"/>
      <c r="O816" s="7"/>
      <c r="P816" s="7"/>
      <c r="Q816" s="7"/>
      <c r="R816" s="7"/>
      <c r="S816" s="7"/>
      <c r="T816" s="7"/>
      <c r="U816" s="7"/>
      <c r="W816" s="7"/>
    </row>
    <row r="817" spans="1:23" ht="15.75" customHeight="1">
      <c r="A817" s="8"/>
      <c r="B817" s="7"/>
      <c r="C817" s="33"/>
      <c r="D817" s="7"/>
      <c r="E817" s="7"/>
      <c r="F817" s="7"/>
      <c r="G817" s="7"/>
      <c r="H817" s="7"/>
      <c r="I817" s="7"/>
      <c r="J817" s="7"/>
      <c r="K817" s="7"/>
      <c r="L817" s="7"/>
      <c r="M817" s="7"/>
      <c r="N817" s="7"/>
      <c r="O817" s="7"/>
      <c r="P817" s="7"/>
      <c r="Q817" s="7"/>
      <c r="R817" s="7"/>
      <c r="S817" s="7"/>
      <c r="T817" s="7"/>
      <c r="U817" s="7"/>
      <c r="W817" s="7"/>
    </row>
    <row r="818" spans="1:23" ht="15.75" customHeight="1">
      <c r="A818" s="8"/>
      <c r="B818" s="7"/>
      <c r="C818" s="33"/>
      <c r="D818" s="7"/>
      <c r="E818" s="7"/>
      <c r="F818" s="7"/>
      <c r="G818" s="7"/>
      <c r="H818" s="7"/>
      <c r="I818" s="7"/>
      <c r="J818" s="7"/>
      <c r="K818" s="7"/>
      <c r="L818" s="7"/>
      <c r="M818" s="7"/>
      <c r="N818" s="7"/>
      <c r="O818" s="7"/>
      <c r="P818" s="7"/>
      <c r="Q818" s="7"/>
      <c r="R818" s="7"/>
      <c r="S818" s="7"/>
      <c r="T818" s="7"/>
      <c r="U818" s="7"/>
      <c r="W818" s="7"/>
    </row>
    <row r="819" spans="1:23" ht="15.75" customHeight="1">
      <c r="A819" s="8"/>
      <c r="B819" s="7"/>
      <c r="C819" s="33"/>
      <c r="D819" s="7"/>
      <c r="E819" s="7"/>
      <c r="F819" s="7"/>
      <c r="G819" s="7"/>
      <c r="H819" s="7"/>
      <c r="I819" s="7"/>
      <c r="J819" s="7"/>
      <c r="K819" s="7"/>
      <c r="L819" s="7"/>
      <c r="M819" s="7"/>
      <c r="N819" s="7"/>
      <c r="O819" s="7"/>
      <c r="P819" s="7"/>
      <c r="Q819" s="7"/>
      <c r="R819" s="7"/>
      <c r="S819" s="7"/>
      <c r="T819" s="7"/>
      <c r="U819" s="7"/>
      <c r="W819" s="7"/>
    </row>
    <row r="820" spans="1:23" ht="15.75" customHeight="1">
      <c r="A820" s="8"/>
      <c r="B820" s="7"/>
      <c r="C820" s="33"/>
      <c r="D820" s="7"/>
      <c r="E820" s="7"/>
      <c r="F820" s="7"/>
      <c r="G820" s="7"/>
      <c r="H820" s="7"/>
      <c r="I820" s="7"/>
      <c r="J820" s="7"/>
      <c r="K820" s="7"/>
      <c r="L820" s="7"/>
      <c r="M820" s="7"/>
      <c r="N820" s="7"/>
      <c r="O820" s="7"/>
      <c r="P820" s="7"/>
      <c r="Q820" s="7"/>
      <c r="R820" s="7"/>
      <c r="S820" s="7"/>
      <c r="T820" s="7"/>
      <c r="U820" s="7"/>
      <c r="W820" s="7"/>
    </row>
    <row r="821" spans="1:23" ht="15.75" customHeight="1">
      <c r="A821" s="8"/>
      <c r="B821" s="7"/>
      <c r="C821" s="33"/>
      <c r="D821" s="7"/>
      <c r="E821" s="7"/>
      <c r="F821" s="7"/>
      <c r="G821" s="7"/>
      <c r="H821" s="7"/>
      <c r="I821" s="7"/>
      <c r="J821" s="7"/>
      <c r="K821" s="7"/>
      <c r="L821" s="7"/>
      <c r="M821" s="7"/>
      <c r="N821" s="7"/>
      <c r="O821" s="7"/>
      <c r="P821" s="7"/>
      <c r="Q821" s="7"/>
      <c r="R821" s="7"/>
      <c r="S821" s="7"/>
      <c r="T821" s="7"/>
      <c r="U821" s="7"/>
      <c r="W821" s="7"/>
    </row>
    <row r="822" spans="1:23" ht="15.75" customHeight="1">
      <c r="A822" s="8"/>
      <c r="B822" s="7"/>
      <c r="C822" s="33"/>
      <c r="D822" s="7"/>
      <c r="E822" s="7"/>
      <c r="F822" s="7"/>
      <c r="G822" s="7"/>
      <c r="H822" s="7"/>
      <c r="I822" s="7"/>
      <c r="J822" s="7"/>
      <c r="K822" s="7"/>
      <c r="L822" s="7"/>
      <c r="M822" s="7"/>
      <c r="N822" s="7"/>
      <c r="O822" s="7"/>
      <c r="P822" s="7"/>
      <c r="Q822" s="7"/>
      <c r="R822" s="7"/>
      <c r="S822" s="7"/>
      <c r="T822" s="7"/>
      <c r="U822" s="7"/>
      <c r="W822" s="7"/>
    </row>
    <row r="823" spans="1:23" ht="15.75" customHeight="1">
      <c r="A823" s="8"/>
      <c r="B823" s="7"/>
      <c r="C823" s="33"/>
      <c r="D823" s="7"/>
      <c r="E823" s="7"/>
      <c r="F823" s="7"/>
      <c r="G823" s="7"/>
      <c r="H823" s="7"/>
      <c r="I823" s="7"/>
      <c r="J823" s="7"/>
      <c r="K823" s="7"/>
      <c r="L823" s="7"/>
      <c r="M823" s="7"/>
      <c r="N823" s="7"/>
      <c r="O823" s="7"/>
      <c r="P823" s="7"/>
      <c r="Q823" s="7"/>
      <c r="R823" s="7"/>
      <c r="S823" s="7"/>
      <c r="T823" s="7"/>
      <c r="U823" s="7"/>
      <c r="W823" s="7"/>
    </row>
    <row r="824" spans="1:23" ht="15.75" customHeight="1">
      <c r="A824" s="8"/>
      <c r="B824" s="7"/>
      <c r="C824" s="33"/>
      <c r="D824" s="7"/>
      <c r="E824" s="7"/>
      <c r="F824" s="7"/>
      <c r="G824" s="7"/>
      <c r="H824" s="7"/>
      <c r="I824" s="7"/>
      <c r="J824" s="7"/>
      <c r="K824" s="7"/>
      <c r="L824" s="7"/>
      <c r="M824" s="7"/>
      <c r="N824" s="7"/>
      <c r="O824" s="7"/>
      <c r="P824" s="7"/>
      <c r="Q824" s="7"/>
      <c r="R824" s="7"/>
      <c r="S824" s="7"/>
      <c r="T824" s="7"/>
      <c r="U824" s="7"/>
      <c r="W824" s="7"/>
    </row>
    <row r="825" spans="1:23" ht="15.75" customHeight="1">
      <c r="A825" s="8"/>
      <c r="B825" s="7"/>
      <c r="C825" s="33"/>
      <c r="D825" s="7"/>
      <c r="E825" s="7"/>
      <c r="F825" s="7"/>
      <c r="G825" s="7"/>
      <c r="H825" s="7"/>
      <c r="I825" s="7"/>
      <c r="J825" s="7"/>
      <c r="K825" s="7"/>
      <c r="L825" s="7"/>
      <c r="M825" s="7"/>
      <c r="N825" s="7"/>
      <c r="O825" s="7"/>
      <c r="P825" s="7"/>
      <c r="Q825" s="7"/>
      <c r="R825" s="7"/>
      <c r="S825" s="7"/>
      <c r="T825" s="7"/>
      <c r="U825" s="7"/>
      <c r="W825" s="7"/>
    </row>
    <row r="826" spans="1:23" ht="15.75" customHeight="1">
      <c r="A826" s="8"/>
      <c r="B826" s="7"/>
      <c r="C826" s="33"/>
      <c r="D826" s="7"/>
      <c r="E826" s="7"/>
      <c r="F826" s="7"/>
      <c r="G826" s="7"/>
      <c r="H826" s="7"/>
      <c r="I826" s="7"/>
      <c r="J826" s="7"/>
      <c r="K826" s="7"/>
      <c r="L826" s="7"/>
      <c r="M826" s="7"/>
      <c r="N826" s="7"/>
      <c r="O826" s="7"/>
      <c r="P826" s="7"/>
      <c r="Q826" s="7"/>
      <c r="R826" s="7"/>
      <c r="S826" s="7"/>
      <c r="T826" s="7"/>
      <c r="U826" s="7"/>
      <c r="W826" s="7"/>
    </row>
    <row r="827" spans="1:23" ht="15.75" customHeight="1">
      <c r="A827" s="8"/>
      <c r="B827" s="7"/>
      <c r="C827" s="33"/>
      <c r="D827" s="7"/>
      <c r="E827" s="7"/>
      <c r="F827" s="7"/>
      <c r="G827" s="7"/>
      <c r="H827" s="7"/>
      <c r="I827" s="7"/>
      <c r="J827" s="7"/>
      <c r="K827" s="7"/>
      <c r="L827" s="7"/>
      <c r="M827" s="7"/>
      <c r="N827" s="7"/>
      <c r="O827" s="7"/>
      <c r="P827" s="7"/>
      <c r="Q827" s="7"/>
      <c r="R827" s="7"/>
      <c r="S827" s="7"/>
      <c r="T827" s="7"/>
      <c r="U827" s="7"/>
      <c r="W827" s="7"/>
    </row>
    <row r="828" spans="1:23" ht="15.75" customHeight="1">
      <c r="A828" s="8"/>
      <c r="B828" s="7"/>
      <c r="C828" s="33"/>
      <c r="D828" s="7"/>
      <c r="E828" s="7"/>
      <c r="F828" s="7"/>
      <c r="G828" s="7"/>
      <c r="H828" s="7"/>
      <c r="I828" s="7"/>
      <c r="J828" s="7"/>
      <c r="K828" s="7"/>
      <c r="L828" s="7"/>
      <c r="M828" s="7"/>
      <c r="N828" s="7"/>
      <c r="O828" s="7"/>
      <c r="P828" s="7"/>
      <c r="Q828" s="7"/>
      <c r="R828" s="7"/>
      <c r="S828" s="7"/>
      <c r="T828" s="7"/>
      <c r="U828" s="7"/>
      <c r="W828" s="7"/>
    </row>
    <row r="829" spans="1:23" ht="15.75" customHeight="1">
      <c r="A829" s="8"/>
      <c r="B829" s="7"/>
      <c r="C829" s="33"/>
      <c r="D829" s="7"/>
      <c r="E829" s="7"/>
      <c r="F829" s="7"/>
      <c r="G829" s="7"/>
      <c r="H829" s="7"/>
      <c r="I829" s="7"/>
      <c r="J829" s="7"/>
      <c r="K829" s="7"/>
      <c r="L829" s="7"/>
      <c r="M829" s="7"/>
      <c r="N829" s="7"/>
      <c r="O829" s="7"/>
      <c r="P829" s="7"/>
      <c r="Q829" s="7"/>
      <c r="R829" s="7"/>
      <c r="S829" s="7"/>
      <c r="T829" s="7"/>
      <c r="U829" s="7"/>
      <c r="W829" s="7"/>
    </row>
    <row r="830" spans="1:23" ht="15.75" customHeight="1">
      <c r="A830" s="8"/>
      <c r="B830" s="7"/>
      <c r="C830" s="33"/>
      <c r="D830" s="7"/>
      <c r="E830" s="7"/>
      <c r="F830" s="7"/>
      <c r="G830" s="7"/>
      <c r="H830" s="7"/>
      <c r="I830" s="7"/>
      <c r="J830" s="7"/>
      <c r="K830" s="7"/>
      <c r="L830" s="7"/>
      <c r="M830" s="7"/>
      <c r="N830" s="7"/>
      <c r="O830" s="7"/>
      <c r="P830" s="7"/>
      <c r="Q830" s="7"/>
      <c r="R830" s="7"/>
      <c r="S830" s="7"/>
      <c r="T830" s="7"/>
      <c r="U830" s="7"/>
      <c r="W830" s="7"/>
    </row>
    <row r="831" spans="1:23" ht="15.75" customHeight="1">
      <c r="A831" s="8"/>
      <c r="B831" s="7"/>
      <c r="C831" s="33"/>
      <c r="D831" s="7"/>
      <c r="E831" s="7"/>
      <c r="F831" s="7"/>
      <c r="G831" s="7"/>
      <c r="H831" s="7"/>
      <c r="I831" s="7"/>
      <c r="J831" s="7"/>
      <c r="K831" s="7"/>
      <c r="L831" s="7"/>
      <c r="M831" s="7"/>
      <c r="N831" s="7"/>
      <c r="O831" s="7"/>
      <c r="P831" s="7"/>
      <c r="Q831" s="7"/>
      <c r="R831" s="7"/>
      <c r="S831" s="7"/>
      <c r="T831" s="7"/>
      <c r="U831" s="7"/>
      <c r="W831" s="7"/>
    </row>
    <row r="832" spans="1:23" ht="15.75" customHeight="1">
      <c r="A832" s="8"/>
      <c r="B832" s="7"/>
      <c r="C832" s="33"/>
      <c r="D832" s="7"/>
      <c r="E832" s="7"/>
      <c r="F832" s="7"/>
      <c r="G832" s="7"/>
      <c r="H832" s="7"/>
      <c r="I832" s="7"/>
      <c r="J832" s="7"/>
      <c r="K832" s="7"/>
      <c r="L832" s="7"/>
      <c r="M832" s="7"/>
      <c r="N832" s="7"/>
      <c r="O832" s="7"/>
      <c r="P832" s="7"/>
      <c r="Q832" s="7"/>
      <c r="R832" s="7"/>
      <c r="S832" s="7"/>
      <c r="T832" s="7"/>
      <c r="U832" s="7"/>
      <c r="W832" s="7"/>
    </row>
    <row r="833" spans="1:23" ht="15.75" customHeight="1">
      <c r="A833" s="8"/>
      <c r="B833" s="7"/>
      <c r="C833" s="33"/>
      <c r="D833" s="7"/>
      <c r="E833" s="7"/>
      <c r="F833" s="7"/>
      <c r="G833" s="7"/>
      <c r="H833" s="7"/>
      <c r="I833" s="7"/>
      <c r="J833" s="7"/>
      <c r="K833" s="7"/>
      <c r="L833" s="7"/>
      <c r="M833" s="7"/>
      <c r="N833" s="7"/>
      <c r="O833" s="7"/>
      <c r="P833" s="7"/>
      <c r="Q833" s="7"/>
      <c r="R833" s="7"/>
      <c r="S833" s="7"/>
      <c r="T833" s="7"/>
      <c r="U833" s="7"/>
      <c r="W833" s="7"/>
    </row>
    <row r="834" spans="1:23" ht="15.75" customHeight="1">
      <c r="A834" s="8"/>
      <c r="B834" s="7"/>
      <c r="C834" s="33"/>
      <c r="D834" s="7"/>
      <c r="E834" s="7"/>
      <c r="F834" s="7"/>
      <c r="G834" s="7"/>
      <c r="H834" s="7"/>
      <c r="I834" s="7"/>
      <c r="J834" s="7"/>
      <c r="K834" s="7"/>
      <c r="L834" s="7"/>
      <c r="M834" s="7"/>
      <c r="N834" s="7"/>
      <c r="O834" s="7"/>
      <c r="P834" s="7"/>
      <c r="Q834" s="7"/>
      <c r="R834" s="7"/>
      <c r="S834" s="7"/>
      <c r="T834" s="7"/>
      <c r="U834" s="7"/>
      <c r="W834" s="7"/>
    </row>
    <row r="835" spans="1:23" ht="15.75" customHeight="1">
      <c r="A835" s="8"/>
      <c r="B835" s="7"/>
      <c r="C835" s="33"/>
      <c r="D835" s="7"/>
      <c r="E835" s="7"/>
      <c r="F835" s="7"/>
      <c r="G835" s="7"/>
      <c r="H835" s="7"/>
      <c r="I835" s="7"/>
      <c r="J835" s="7"/>
      <c r="K835" s="7"/>
      <c r="L835" s="7"/>
      <c r="M835" s="7"/>
      <c r="N835" s="7"/>
      <c r="O835" s="7"/>
      <c r="P835" s="7"/>
      <c r="Q835" s="7"/>
      <c r="R835" s="7"/>
      <c r="S835" s="7"/>
      <c r="T835" s="7"/>
      <c r="U835" s="7"/>
      <c r="W835" s="7"/>
    </row>
    <row r="836" spans="1:23" ht="15.75" customHeight="1">
      <c r="A836" s="8"/>
      <c r="B836" s="7"/>
      <c r="C836" s="33"/>
      <c r="D836" s="7"/>
      <c r="E836" s="7"/>
      <c r="F836" s="7"/>
      <c r="G836" s="7"/>
      <c r="H836" s="7"/>
      <c r="I836" s="7"/>
      <c r="J836" s="7"/>
      <c r="K836" s="7"/>
      <c r="L836" s="7"/>
      <c r="M836" s="7"/>
      <c r="N836" s="7"/>
      <c r="O836" s="7"/>
      <c r="P836" s="7"/>
      <c r="Q836" s="7"/>
      <c r="R836" s="7"/>
      <c r="S836" s="7"/>
      <c r="T836" s="7"/>
      <c r="U836" s="7"/>
      <c r="W836" s="7"/>
    </row>
    <row r="837" spans="1:23" ht="15.75" customHeight="1">
      <c r="A837" s="8"/>
      <c r="B837" s="7"/>
      <c r="C837" s="33"/>
      <c r="D837" s="7"/>
      <c r="E837" s="7"/>
      <c r="F837" s="7"/>
      <c r="G837" s="7"/>
      <c r="H837" s="7"/>
      <c r="I837" s="7"/>
      <c r="J837" s="7"/>
      <c r="K837" s="7"/>
      <c r="L837" s="7"/>
      <c r="M837" s="7"/>
      <c r="N837" s="7"/>
      <c r="O837" s="7"/>
      <c r="P837" s="7"/>
      <c r="Q837" s="7"/>
      <c r="R837" s="7"/>
      <c r="S837" s="7"/>
      <c r="T837" s="7"/>
      <c r="U837" s="7"/>
      <c r="W837" s="7"/>
    </row>
    <row r="838" spans="1:23" ht="15.75" customHeight="1">
      <c r="A838" s="8"/>
      <c r="B838" s="7"/>
      <c r="C838" s="33"/>
      <c r="D838" s="7"/>
      <c r="E838" s="7"/>
      <c r="F838" s="7"/>
      <c r="G838" s="7"/>
      <c r="H838" s="7"/>
      <c r="I838" s="7"/>
      <c r="J838" s="7"/>
      <c r="K838" s="7"/>
      <c r="L838" s="7"/>
      <c r="M838" s="7"/>
      <c r="N838" s="7"/>
      <c r="O838" s="7"/>
      <c r="P838" s="7"/>
      <c r="Q838" s="7"/>
      <c r="R838" s="7"/>
      <c r="S838" s="7"/>
      <c r="T838" s="7"/>
      <c r="U838" s="7"/>
      <c r="W838" s="7"/>
    </row>
    <row r="839" spans="1:23" ht="15.75" customHeight="1">
      <c r="A839" s="8"/>
      <c r="B839" s="7"/>
      <c r="C839" s="33"/>
      <c r="D839" s="7"/>
      <c r="E839" s="7"/>
      <c r="F839" s="7"/>
      <c r="G839" s="7"/>
      <c r="H839" s="7"/>
      <c r="I839" s="7"/>
      <c r="J839" s="7"/>
      <c r="K839" s="7"/>
      <c r="L839" s="7"/>
      <c r="M839" s="7"/>
      <c r="N839" s="7"/>
      <c r="O839" s="7"/>
      <c r="P839" s="7"/>
      <c r="Q839" s="7"/>
      <c r="R839" s="7"/>
      <c r="S839" s="7"/>
      <c r="T839" s="7"/>
      <c r="U839" s="7"/>
      <c r="W839" s="7"/>
    </row>
    <row r="840" spans="1:23" ht="15.75" customHeight="1">
      <c r="A840" s="8"/>
      <c r="B840" s="7"/>
      <c r="C840" s="33"/>
      <c r="D840" s="7"/>
      <c r="E840" s="7"/>
      <c r="F840" s="7"/>
      <c r="G840" s="7"/>
      <c r="H840" s="7"/>
      <c r="I840" s="7"/>
      <c r="J840" s="7"/>
      <c r="K840" s="7"/>
      <c r="L840" s="7"/>
      <c r="M840" s="7"/>
      <c r="N840" s="7"/>
      <c r="O840" s="7"/>
      <c r="P840" s="7"/>
      <c r="Q840" s="7"/>
      <c r="R840" s="7"/>
      <c r="S840" s="7"/>
      <c r="T840" s="7"/>
      <c r="U840" s="7"/>
      <c r="W840" s="7"/>
    </row>
    <row r="841" spans="1:23" ht="15.75" customHeight="1">
      <c r="A841" s="8"/>
      <c r="B841" s="7"/>
      <c r="C841" s="33"/>
      <c r="D841" s="7"/>
      <c r="E841" s="7"/>
      <c r="F841" s="7"/>
      <c r="G841" s="7"/>
      <c r="H841" s="7"/>
      <c r="I841" s="7"/>
      <c r="J841" s="7"/>
      <c r="K841" s="7"/>
      <c r="L841" s="7"/>
      <c r="M841" s="7"/>
      <c r="N841" s="7"/>
      <c r="O841" s="7"/>
      <c r="P841" s="7"/>
      <c r="Q841" s="7"/>
      <c r="R841" s="7"/>
      <c r="S841" s="7"/>
      <c r="T841" s="7"/>
      <c r="U841" s="7"/>
      <c r="W841" s="7"/>
    </row>
    <row r="842" spans="1:23" ht="15.75" customHeight="1">
      <c r="A842" s="8"/>
      <c r="B842" s="7"/>
      <c r="C842" s="33"/>
      <c r="D842" s="7"/>
      <c r="E842" s="7"/>
      <c r="F842" s="7"/>
      <c r="G842" s="7"/>
      <c r="H842" s="7"/>
      <c r="I842" s="7"/>
      <c r="J842" s="7"/>
      <c r="K842" s="7"/>
      <c r="L842" s="7"/>
      <c r="M842" s="7"/>
      <c r="N842" s="7"/>
      <c r="O842" s="7"/>
      <c r="P842" s="7"/>
      <c r="Q842" s="7"/>
      <c r="R842" s="7"/>
      <c r="S842" s="7"/>
      <c r="T842" s="7"/>
      <c r="U842" s="7"/>
      <c r="W842" s="7"/>
    </row>
    <row r="843" spans="1:23" ht="15.75" customHeight="1">
      <c r="A843" s="8"/>
      <c r="B843" s="7"/>
      <c r="C843" s="33"/>
      <c r="D843" s="7"/>
      <c r="E843" s="7"/>
      <c r="F843" s="7"/>
      <c r="G843" s="7"/>
      <c r="H843" s="7"/>
      <c r="I843" s="7"/>
      <c r="J843" s="7"/>
      <c r="K843" s="7"/>
      <c r="L843" s="7"/>
      <c r="M843" s="7"/>
      <c r="N843" s="7"/>
      <c r="O843" s="7"/>
      <c r="P843" s="7"/>
      <c r="Q843" s="7"/>
      <c r="R843" s="7"/>
      <c r="S843" s="7"/>
      <c r="T843" s="7"/>
      <c r="U843" s="7"/>
      <c r="W843" s="7"/>
    </row>
    <row r="844" spans="1:23" ht="15.75" customHeight="1">
      <c r="A844" s="8"/>
      <c r="B844" s="7"/>
      <c r="C844" s="33"/>
      <c r="D844" s="7"/>
      <c r="E844" s="7"/>
      <c r="F844" s="7"/>
      <c r="G844" s="7"/>
      <c r="H844" s="7"/>
      <c r="I844" s="7"/>
      <c r="J844" s="7"/>
      <c r="K844" s="7"/>
      <c r="L844" s="7"/>
      <c r="M844" s="7"/>
      <c r="N844" s="7"/>
      <c r="O844" s="7"/>
      <c r="P844" s="7"/>
      <c r="Q844" s="7"/>
      <c r="R844" s="7"/>
      <c r="S844" s="7"/>
      <c r="T844" s="7"/>
      <c r="U844" s="7"/>
      <c r="W844" s="7"/>
    </row>
    <row r="845" spans="1:23" ht="15.75" customHeight="1">
      <c r="A845" s="8"/>
      <c r="B845" s="7"/>
      <c r="C845" s="33"/>
      <c r="D845" s="7"/>
      <c r="E845" s="7"/>
      <c r="F845" s="7"/>
      <c r="G845" s="7"/>
      <c r="H845" s="7"/>
      <c r="I845" s="7"/>
      <c r="J845" s="7"/>
      <c r="K845" s="7"/>
      <c r="L845" s="7"/>
      <c r="M845" s="7"/>
      <c r="N845" s="7"/>
      <c r="O845" s="7"/>
      <c r="P845" s="7"/>
      <c r="Q845" s="7"/>
      <c r="R845" s="7"/>
      <c r="S845" s="7"/>
      <c r="T845" s="7"/>
      <c r="U845" s="7"/>
      <c r="W845" s="7"/>
    </row>
    <row r="846" spans="1:23" ht="15.75" customHeight="1">
      <c r="A846" s="8"/>
      <c r="B846" s="7"/>
      <c r="C846" s="33"/>
      <c r="D846" s="7"/>
      <c r="E846" s="7"/>
      <c r="F846" s="7"/>
      <c r="G846" s="7"/>
      <c r="H846" s="7"/>
      <c r="I846" s="7"/>
      <c r="J846" s="7"/>
      <c r="K846" s="7"/>
      <c r="L846" s="7"/>
      <c r="M846" s="7"/>
      <c r="N846" s="7"/>
      <c r="O846" s="7"/>
      <c r="P846" s="7"/>
      <c r="Q846" s="7"/>
      <c r="R846" s="7"/>
      <c r="S846" s="7"/>
      <c r="T846" s="7"/>
      <c r="U846" s="7"/>
      <c r="W846" s="7"/>
    </row>
    <row r="847" spans="1:23" ht="15.75" customHeight="1">
      <c r="A847" s="8"/>
      <c r="B847" s="7"/>
      <c r="C847" s="33"/>
      <c r="D847" s="7"/>
      <c r="E847" s="7"/>
      <c r="F847" s="7"/>
      <c r="G847" s="7"/>
      <c r="H847" s="7"/>
      <c r="I847" s="7"/>
      <c r="J847" s="7"/>
      <c r="K847" s="7"/>
      <c r="L847" s="7"/>
      <c r="M847" s="7"/>
      <c r="N847" s="7"/>
      <c r="O847" s="7"/>
      <c r="P847" s="7"/>
      <c r="Q847" s="7"/>
      <c r="R847" s="7"/>
      <c r="S847" s="7"/>
      <c r="T847" s="7"/>
      <c r="U847" s="7"/>
      <c r="W847" s="7"/>
    </row>
    <row r="848" spans="1:23" ht="15.75" customHeight="1">
      <c r="A848" s="8"/>
      <c r="B848" s="7"/>
      <c r="C848" s="33"/>
      <c r="D848" s="7"/>
      <c r="E848" s="7"/>
      <c r="F848" s="7"/>
      <c r="G848" s="7"/>
      <c r="H848" s="7"/>
      <c r="I848" s="7"/>
      <c r="J848" s="7"/>
      <c r="K848" s="7"/>
      <c r="L848" s="7"/>
      <c r="M848" s="7"/>
      <c r="N848" s="7"/>
      <c r="O848" s="7"/>
      <c r="P848" s="7"/>
      <c r="Q848" s="7"/>
      <c r="R848" s="7"/>
      <c r="S848" s="7"/>
      <c r="T848" s="7"/>
      <c r="U848" s="7"/>
      <c r="W848" s="7"/>
    </row>
    <row r="849" spans="1:23" ht="15.75" customHeight="1">
      <c r="A849" s="8"/>
      <c r="B849" s="7"/>
      <c r="C849" s="33"/>
      <c r="D849" s="7"/>
      <c r="E849" s="7"/>
      <c r="F849" s="7"/>
      <c r="G849" s="7"/>
      <c r="H849" s="7"/>
      <c r="I849" s="7"/>
      <c r="J849" s="7"/>
      <c r="K849" s="7"/>
      <c r="L849" s="7"/>
      <c r="M849" s="7"/>
      <c r="N849" s="7"/>
      <c r="O849" s="7"/>
      <c r="P849" s="7"/>
      <c r="Q849" s="7"/>
      <c r="R849" s="7"/>
      <c r="S849" s="7"/>
      <c r="T849" s="7"/>
      <c r="U849" s="7"/>
      <c r="W849" s="7"/>
    </row>
    <row r="850" spans="1:23" ht="15.75" customHeight="1">
      <c r="A850" s="8"/>
      <c r="B850" s="7"/>
      <c r="C850" s="33"/>
      <c r="D850" s="7"/>
      <c r="E850" s="7"/>
      <c r="F850" s="7"/>
      <c r="G850" s="7"/>
      <c r="H850" s="7"/>
      <c r="I850" s="7"/>
      <c r="J850" s="7"/>
      <c r="K850" s="7"/>
      <c r="L850" s="7"/>
      <c r="M850" s="7"/>
      <c r="N850" s="7"/>
      <c r="O850" s="7"/>
      <c r="P850" s="7"/>
      <c r="Q850" s="7"/>
      <c r="R850" s="7"/>
      <c r="S850" s="7"/>
      <c r="T850" s="7"/>
      <c r="U850" s="7"/>
      <c r="W850" s="7"/>
    </row>
    <row r="851" spans="1:23" ht="15.75" customHeight="1">
      <c r="A851" s="8"/>
      <c r="B851" s="7"/>
      <c r="C851" s="33"/>
      <c r="D851" s="7"/>
      <c r="E851" s="7"/>
      <c r="F851" s="7"/>
      <c r="G851" s="7"/>
      <c r="H851" s="7"/>
      <c r="I851" s="7"/>
      <c r="J851" s="7"/>
      <c r="K851" s="7"/>
      <c r="L851" s="7"/>
      <c r="M851" s="7"/>
      <c r="N851" s="7"/>
      <c r="O851" s="7"/>
      <c r="P851" s="7"/>
      <c r="Q851" s="7"/>
      <c r="R851" s="7"/>
      <c r="S851" s="7"/>
      <c r="T851" s="7"/>
      <c r="U851" s="7"/>
      <c r="W851" s="7"/>
    </row>
    <row r="852" spans="1:23" ht="15.75" customHeight="1">
      <c r="A852" s="8"/>
      <c r="B852" s="7"/>
      <c r="C852" s="33"/>
      <c r="D852" s="7"/>
      <c r="E852" s="7"/>
      <c r="F852" s="7"/>
      <c r="G852" s="7"/>
      <c r="H852" s="7"/>
      <c r="I852" s="7"/>
      <c r="J852" s="7"/>
      <c r="K852" s="7"/>
      <c r="L852" s="7"/>
      <c r="M852" s="7"/>
      <c r="N852" s="7"/>
      <c r="O852" s="7"/>
      <c r="P852" s="7"/>
      <c r="Q852" s="7"/>
      <c r="R852" s="7"/>
      <c r="S852" s="7"/>
      <c r="T852" s="7"/>
      <c r="U852" s="7"/>
      <c r="W852" s="7"/>
    </row>
    <row r="853" spans="1:23" ht="15.75" customHeight="1">
      <c r="A853" s="8"/>
      <c r="B853" s="7"/>
      <c r="C853" s="33"/>
      <c r="D853" s="7"/>
      <c r="E853" s="7"/>
      <c r="F853" s="7"/>
      <c r="G853" s="7"/>
      <c r="H853" s="7"/>
      <c r="I853" s="7"/>
      <c r="J853" s="7"/>
      <c r="K853" s="7"/>
      <c r="L853" s="7"/>
      <c r="M853" s="7"/>
      <c r="N853" s="7"/>
      <c r="O853" s="7"/>
      <c r="P853" s="7"/>
      <c r="Q853" s="7"/>
      <c r="R853" s="7"/>
      <c r="S853" s="7"/>
      <c r="T853" s="7"/>
      <c r="U853" s="7"/>
      <c r="W853" s="7"/>
    </row>
    <row r="854" spans="1:23" ht="15.75" customHeight="1">
      <c r="A854" s="8"/>
      <c r="B854" s="7"/>
      <c r="C854" s="33"/>
      <c r="D854" s="7"/>
      <c r="E854" s="7"/>
      <c r="F854" s="7"/>
      <c r="G854" s="7"/>
      <c r="H854" s="7"/>
      <c r="I854" s="7"/>
      <c r="J854" s="7"/>
      <c r="K854" s="7"/>
      <c r="L854" s="7"/>
      <c r="M854" s="7"/>
      <c r="N854" s="7"/>
      <c r="O854" s="7"/>
      <c r="P854" s="7"/>
      <c r="Q854" s="7"/>
      <c r="R854" s="7"/>
      <c r="S854" s="7"/>
      <c r="T854" s="7"/>
      <c r="U854" s="7"/>
      <c r="W854" s="7"/>
    </row>
    <row r="855" spans="1:23" ht="15.75" customHeight="1">
      <c r="A855" s="8"/>
      <c r="B855" s="7"/>
      <c r="C855" s="33"/>
      <c r="D855" s="7"/>
      <c r="E855" s="7"/>
      <c r="F855" s="7"/>
      <c r="G855" s="7"/>
      <c r="H855" s="7"/>
      <c r="I855" s="7"/>
      <c r="J855" s="7"/>
      <c r="K855" s="7"/>
      <c r="L855" s="7"/>
      <c r="M855" s="7"/>
      <c r="N855" s="7"/>
      <c r="O855" s="7"/>
      <c r="P855" s="7"/>
      <c r="Q855" s="7"/>
      <c r="R855" s="7"/>
      <c r="S855" s="7"/>
      <c r="T855" s="7"/>
      <c r="U855" s="7"/>
      <c r="W855" s="7"/>
    </row>
    <row r="856" spans="1:23" ht="15.75" customHeight="1">
      <c r="A856" s="8"/>
      <c r="B856" s="7"/>
      <c r="C856" s="33"/>
      <c r="D856" s="7"/>
      <c r="E856" s="7"/>
      <c r="F856" s="7"/>
      <c r="G856" s="7"/>
      <c r="H856" s="7"/>
      <c r="I856" s="7"/>
      <c r="J856" s="7"/>
      <c r="K856" s="7"/>
      <c r="L856" s="7"/>
      <c r="M856" s="7"/>
      <c r="N856" s="7"/>
      <c r="O856" s="7"/>
      <c r="P856" s="7"/>
      <c r="Q856" s="7"/>
      <c r="R856" s="7"/>
      <c r="S856" s="7"/>
      <c r="T856" s="7"/>
      <c r="U856" s="7"/>
      <c r="W856" s="7"/>
    </row>
    <row r="857" spans="1:23" ht="15.75" customHeight="1">
      <c r="A857" s="8"/>
      <c r="B857" s="7"/>
      <c r="C857" s="33"/>
      <c r="D857" s="7"/>
      <c r="E857" s="7"/>
      <c r="F857" s="7"/>
      <c r="G857" s="7"/>
      <c r="H857" s="7"/>
      <c r="I857" s="7"/>
      <c r="J857" s="7"/>
      <c r="K857" s="7"/>
      <c r="L857" s="7"/>
      <c r="M857" s="7"/>
      <c r="N857" s="7"/>
      <c r="O857" s="7"/>
      <c r="P857" s="7"/>
      <c r="Q857" s="7"/>
      <c r="R857" s="7"/>
      <c r="S857" s="7"/>
      <c r="T857" s="7"/>
      <c r="U857" s="7"/>
      <c r="W857" s="7"/>
    </row>
    <row r="858" spans="1:23" ht="15.75" customHeight="1">
      <c r="A858" s="8"/>
      <c r="B858" s="7"/>
      <c r="C858" s="33"/>
      <c r="D858" s="7"/>
      <c r="E858" s="7"/>
      <c r="F858" s="7"/>
      <c r="G858" s="7"/>
      <c r="H858" s="7"/>
      <c r="I858" s="7"/>
      <c r="J858" s="7"/>
      <c r="K858" s="7"/>
      <c r="L858" s="7"/>
      <c r="M858" s="7"/>
      <c r="N858" s="7"/>
      <c r="O858" s="7"/>
      <c r="P858" s="7"/>
      <c r="Q858" s="7"/>
      <c r="R858" s="7"/>
      <c r="S858" s="7"/>
      <c r="T858" s="7"/>
      <c r="U858" s="7"/>
      <c r="W858" s="7"/>
    </row>
    <row r="859" spans="1:23" ht="15.75" customHeight="1">
      <c r="A859" s="8"/>
      <c r="B859" s="7"/>
      <c r="C859" s="33"/>
      <c r="D859" s="7"/>
      <c r="E859" s="7"/>
      <c r="F859" s="7"/>
      <c r="G859" s="7"/>
      <c r="H859" s="7"/>
      <c r="I859" s="7"/>
      <c r="J859" s="7"/>
      <c r="K859" s="7"/>
      <c r="L859" s="7"/>
      <c r="M859" s="7"/>
      <c r="N859" s="7"/>
      <c r="O859" s="7"/>
      <c r="P859" s="7"/>
      <c r="Q859" s="7"/>
      <c r="R859" s="7"/>
      <c r="S859" s="7"/>
      <c r="T859" s="7"/>
      <c r="U859" s="7"/>
      <c r="W859" s="7"/>
    </row>
    <row r="860" spans="1:23" ht="15.75" customHeight="1">
      <c r="A860" s="8"/>
      <c r="B860" s="7"/>
      <c r="C860" s="33"/>
      <c r="D860" s="7"/>
      <c r="E860" s="7"/>
      <c r="F860" s="7"/>
      <c r="G860" s="7"/>
      <c r="H860" s="7"/>
      <c r="I860" s="7"/>
      <c r="J860" s="7"/>
      <c r="K860" s="7"/>
      <c r="L860" s="7"/>
      <c r="M860" s="7"/>
      <c r="N860" s="7"/>
      <c r="O860" s="7"/>
      <c r="P860" s="7"/>
      <c r="Q860" s="7"/>
      <c r="R860" s="7"/>
      <c r="S860" s="7"/>
      <c r="T860" s="7"/>
      <c r="U860" s="7"/>
      <c r="W860" s="7"/>
    </row>
    <row r="861" spans="1:23" ht="15.75" customHeight="1">
      <c r="A861" s="8"/>
      <c r="B861" s="7"/>
      <c r="C861" s="33"/>
      <c r="D861" s="7"/>
      <c r="E861" s="7"/>
      <c r="F861" s="7"/>
      <c r="G861" s="7"/>
      <c r="H861" s="7"/>
      <c r="I861" s="7"/>
      <c r="J861" s="7"/>
      <c r="K861" s="7"/>
      <c r="L861" s="7"/>
      <c r="M861" s="7"/>
      <c r="N861" s="7"/>
      <c r="O861" s="7"/>
      <c r="P861" s="7"/>
      <c r="Q861" s="7"/>
      <c r="R861" s="7"/>
      <c r="S861" s="7"/>
      <c r="T861" s="7"/>
      <c r="U861" s="7"/>
      <c r="W861" s="7"/>
    </row>
    <row r="862" spans="1:23" ht="15.75" customHeight="1">
      <c r="A862" s="8"/>
      <c r="B862" s="7"/>
      <c r="C862" s="33"/>
      <c r="D862" s="7"/>
      <c r="E862" s="7"/>
      <c r="F862" s="7"/>
      <c r="G862" s="7"/>
      <c r="H862" s="7"/>
      <c r="I862" s="7"/>
      <c r="J862" s="7"/>
      <c r="K862" s="7"/>
      <c r="L862" s="7"/>
      <c r="M862" s="7"/>
      <c r="N862" s="7"/>
      <c r="O862" s="7"/>
      <c r="P862" s="7"/>
      <c r="Q862" s="7"/>
      <c r="R862" s="7"/>
      <c r="S862" s="7"/>
      <c r="T862" s="7"/>
      <c r="U862" s="7"/>
      <c r="W862" s="7"/>
    </row>
    <row r="863" spans="1:23" ht="15.75" customHeight="1">
      <c r="A863" s="8"/>
      <c r="B863" s="7"/>
      <c r="C863" s="33"/>
      <c r="D863" s="7"/>
      <c r="E863" s="7"/>
      <c r="F863" s="7"/>
      <c r="G863" s="7"/>
      <c r="H863" s="7"/>
      <c r="I863" s="7"/>
      <c r="J863" s="7"/>
      <c r="K863" s="7"/>
      <c r="L863" s="7"/>
      <c r="M863" s="7"/>
      <c r="N863" s="7"/>
      <c r="O863" s="7"/>
      <c r="P863" s="7"/>
      <c r="Q863" s="7"/>
      <c r="R863" s="7"/>
      <c r="S863" s="7"/>
      <c r="T863" s="7"/>
      <c r="U863" s="7"/>
      <c r="W863" s="7"/>
    </row>
    <row r="864" spans="1:23" ht="15.75" customHeight="1">
      <c r="A864" s="8"/>
      <c r="B864" s="7"/>
      <c r="C864" s="33"/>
      <c r="D864" s="7"/>
      <c r="E864" s="7"/>
      <c r="F864" s="7"/>
      <c r="G864" s="7"/>
      <c r="H864" s="7"/>
      <c r="I864" s="7"/>
      <c r="J864" s="7"/>
      <c r="K864" s="7"/>
      <c r="L864" s="7"/>
      <c r="M864" s="7"/>
      <c r="N864" s="7"/>
      <c r="O864" s="7"/>
      <c r="P864" s="7"/>
      <c r="Q864" s="7"/>
      <c r="R864" s="7"/>
      <c r="S864" s="7"/>
      <c r="T864" s="7"/>
      <c r="U864" s="7"/>
      <c r="W864" s="7"/>
    </row>
    <row r="865" spans="1:23" ht="15.75" customHeight="1">
      <c r="A865" s="8"/>
      <c r="B865" s="7"/>
      <c r="C865" s="33"/>
      <c r="D865" s="7"/>
      <c r="E865" s="7"/>
      <c r="F865" s="7"/>
      <c r="G865" s="7"/>
      <c r="H865" s="7"/>
      <c r="I865" s="7"/>
      <c r="J865" s="7"/>
      <c r="K865" s="7"/>
      <c r="L865" s="7"/>
      <c r="M865" s="7"/>
      <c r="N865" s="7"/>
      <c r="O865" s="7"/>
      <c r="P865" s="7"/>
      <c r="Q865" s="7"/>
      <c r="R865" s="7"/>
      <c r="S865" s="7"/>
      <c r="T865" s="7"/>
      <c r="U865" s="7"/>
      <c r="W865" s="7"/>
    </row>
    <row r="866" spans="1:23" ht="15.75" customHeight="1">
      <c r="A866" s="8"/>
      <c r="B866" s="7"/>
      <c r="C866" s="33"/>
      <c r="D866" s="7"/>
      <c r="E866" s="7"/>
      <c r="F866" s="7"/>
      <c r="G866" s="7"/>
      <c r="H866" s="7"/>
      <c r="I866" s="7"/>
      <c r="J866" s="7"/>
      <c r="K866" s="7"/>
      <c r="L866" s="7"/>
      <c r="M866" s="7"/>
      <c r="N866" s="7"/>
      <c r="O866" s="7"/>
      <c r="P866" s="7"/>
      <c r="Q866" s="7"/>
      <c r="R866" s="7"/>
      <c r="S866" s="7"/>
      <c r="T866" s="7"/>
      <c r="U866" s="7"/>
      <c r="W866" s="7"/>
    </row>
    <row r="867" spans="1:23" ht="15.75" customHeight="1">
      <c r="A867" s="8"/>
      <c r="B867" s="7"/>
      <c r="C867" s="33"/>
      <c r="D867" s="7"/>
      <c r="E867" s="7"/>
      <c r="F867" s="7"/>
      <c r="G867" s="7"/>
      <c r="H867" s="7"/>
      <c r="I867" s="7"/>
      <c r="J867" s="7"/>
      <c r="K867" s="7"/>
      <c r="L867" s="7"/>
      <c r="M867" s="7"/>
      <c r="N867" s="7"/>
      <c r="O867" s="7"/>
      <c r="P867" s="7"/>
      <c r="Q867" s="7"/>
      <c r="R867" s="7"/>
      <c r="S867" s="7"/>
      <c r="T867" s="7"/>
      <c r="U867" s="7"/>
      <c r="W867" s="7"/>
    </row>
    <row r="868" spans="1:23" ht="15.75" customHeight="1">
      <c r="A868" s="8"/>
      <c r="B868" s="7"/>
      <c r="C868" s="33"/>
      <c r="D868" s="7"/>
      <c r="E868" s="7"/>
      <c r="F868" s="7"/>
      <c r="G868" s="7"/>
      <c r="H868" s="7"/>
      <c r="I868" s="7"/>
      <c r="J868" s="7"/>
      <c r="K868" s="7"/>
      <c r="L868" s="7"/>
      <c r="M868" s="7"/>
      <c r="N868" s="7"/>
      <c r="O868" s="7"/>
      <c r="P868" s="7"/>
      <c r="Q868" s="7"/>
      <c r="R868" s="7"/>
      <c r="S868" s="7"/>
      <c r="T868" s="7"/>
      <c r="U868" s="7"/>
      <c r="W868" s="7"/>
    </row>
    <row r="869" spans="1:23" ht="15.75" customHeight="1">
      <c r="A869" s="8"/>
      <c r="B869" s="7"/>
      <c r="C869" s="33"/>
      <c r="D869" s="7"/>
      <c r="E869" s="7"/>
      <c r="F869" s="7"/>
      <c r="G869" s="7"/>
      <c r="H869" s="7"/>
      <c r="I869" s="7"/>
      <c r="J869" s="7"/>
      <c r="K869" s="7"/>
      <c r="L869" s="7"/>
      <c r="M869" s="7"/>
      <c r="N869" s="7"/>
      <c r="O869" s="7"/>
      <c r="P869" s="7"/>
      <c r="Q869" s="7"/>
      <c r="R869" s="7"/>
      <c r="S869" s="7"/>
      <c r="T869" s="7"/>
      <c r="U869" s="7"/>
      <c r="W869" s="7"/>
    </row>
    <row r="870" spans="1:23" ht="15.75" customHeight="1">
      <c r="A870" s="8"/>
      <c r="B870" s="7"/>
      <c r="C870" s="33"/>
      <c r="D870" s="7"/>
      <c r="E870" s="7"/>
      <c r="F870" s="7"/>
      <c r="G870" s="7"/>
      <c r="H870" s="7"/>
      <c r="I870" s="7"/>
      <c r="J870" s="7"/>
      <c r="K870" s="7"/>
      <c r="L870" s="7"/>
      <c r="M870" s="7"/>
      <c r="N870" s="7"/>
      <c r="O870" s="7"/>
      <c r="P870" s="7"/>
      <c r="Q870" s="7"/>
      <c r="R870" s="7"/>
      <c r="S870" s="7"/>
      <c r="T870" s="7"/>
      <c r="U870" s="7"/>
      <c r="W870" s="7"/>
    </row>
    <row r="871" spans="1:23" ht="15.75" customHeight="1">
      <c r="A871" s="8"/>
      <c r="B871" s="7"/>
      <c r="C871" s="33"/>
      <c r="D871" s="7"/>
      <c r="E871" s="7"/>
      <c r="F871" s="7"/>
      <c r="G871" s="7"/>
      <c r="H871" s="7"/>
      <c r="I871" s="7"/>
      <c r="J871" s="7"/>
      <c r="K871" s="7"/>
      <c r="L871" s="7"/>
      <c r="M871" s="7"/>
      <c r="N871" s="7"/>
      <c r="O871" s="7"/>
      <c r="P871" s="7"/>
      <c r="Q871" s="7"/>
      <c r="R871" s="7"/>
      <c r="S871" s="7"/>
      <c r="T871" s="7"/>
      <c r="U871" s="7"/>
      <c r="W871" s="7"/>
    </row>
    <row r="872" spans="1:23" ht="15.75" customHeight="1">
      <c r="A872" s="8"/>
      <c r="B872" s="7"/>
      <c r="C872" s="33"/>
      <c r="D872" s="7"/>
      <c r="E872" s="7"/>
      <c r="F872" s="7"/>
      <c r="G872" s="7"/>
      <c r="H872" s="7"/>
      <c r="I872" s="7"/>
      <c r="J872" s="7"/>
      <c r="K872" s="7"/>
      <c r="L872" s="7"/>
      <c r="M872" s="7"/>
      <c r="N872" s="7"/>
      <c r="O872" s="7"/>
      <c r="P872" s="7"/>
      <c r="Q872" s="7"/>
      <c r="R872" s="7"/>
      <c r="S872" s="7"/>
      <c r="T872" s="7"/>
      <c r="U872" s="7"/>
      <c r="W872" s="7"/>
    </row>
    <row r="873" spans="1:23" ht="15.75" customHeight="1">
      <c r="A873" s="8"/>
      <c r="B873" s="7"/>
      <c r="C873" s="33"/>
      <c r="D873" s="7"/>
      <c r="E873" s="7"/>
      <c r="F873" s="7"/>
      <c r="G873" s="7"/>
      <c r="H873" s="7"/>
      <c r="I873" s="7"/>
      <c r="J873" s="7"/>
      <c r="K873" s="7"/>
      <c r="L873" s="7"/>
      <c r="M873" s="7"/>
      <c r="N873" s="7"/>
      <c r="O873" s="7"/>
      <c r="P873" s="7"/>
      <c r="Q873" s="7"/>
      <c r="R873" s="7"/>
      <c r="S873" s="7"/>
      <c r="T873" s="7"/>
      <c r="U873" s="7"/>
      <c r="W873" s="7"/>
    </row>
    <row r="874" spans="1:23" ht="15.75" customHeight="1">
      <c r="A874" s="8"/>
      <c r="B874" s="7"/>
      <c r="C874" s="33"/>
      <c r="D874" s="7"/>
      <c r="E874" s="7"/>
      <c r="F874" s="7"/>
      <c r="G874" s="7"/>
      <c r="H874" s="7"/>
      <c r="I874" s="7"/>
      <c r="J874" s="7"/>
      <c r="K874" s="7"/>
      <c r="L874" s="7"/>
      <c r="M874" s="7"/>
      <c r="N874" s="7"/>
      <c r="O874" s="7"/>
      <c r="P874" s="7"/>
      <c r="Q874" s="7"/>
      <c r="R874" s="7"/>
      <c r="S874" s="7"/>
      <c r="T874" s="7"/>
      <c r="U874" s="7"/>
      <c r="W874" s="7"/>
    </row>
    <row r="875" spans="1:23" ht="15.75" customHeight="1">
      <c r="A875" s="8"/>
      <c r="B875" s="7"/>
      <c r="C875" s="33"/>
      <c r="D875" s="7"/>
      <c r="E875" s="7"/>
      <c r="F875" s="7"/>
      <c r="G875" s="7"/>
      <c r="H875" s="7"/>
      <c r="I875" s="7"/>
      <c r="J875" s="7"/>
      <c r="K875" s="7"/>
      <c r="L875" s="7"/>
      <c r="M875" s="7"/>
      <c r="N875" s="7"/>
      <c r="O875" s="7"/>
      <c r="P875" s="7"/>
      <c r="Q875" s="7"/>
      <c r="R875" s="7"/>
      <c r="S875" s="7"/>
      <c r="T875" s="7"/>
      <c r="U875" s="7"/>
      <c r="W875" s="7"/>
    </row>
    <row r="876" spans="1:23" ht="15.75" customHeight="1">
      <c r="A876" s="8"/>
      <c r="B876" s="7"/>
      <c r="C876" s="33"/>
      <c r="D876" s="7"/>
      <c r="E876" s="7"/>
      <c r="F876" s="7"/>
      <c r="G876" s="7"/>
      <c r="H876" s="7"/>
      <c r="I876" s="7"/>
      <c r="J876" s="7"/>
      <c r="K876" s="7"/>
      <c r="L876" s="7"/>
      <c r="M876" s="7"/>
      <c r="N876" s="7"/>
      <c r="O876" s="7"/>
      <c r="P876" s="7"/>
      <c r="Q876" s="7"/>
      <c r="R876" s="7"/>
      <c r="S876" s="7"/>
      <c r="T876" s="7"/>
      <c r="U876" s="7"/>
      <c r="W876" s="7"/>
    </row>
    <row r="877" spans="1:23" ht="15.75" customHeight="1">
      <c r="A877" s="8"/>
      <c r="B877" s="7"/>
      <c r="C877" s="33"/>
      <c r="D877" s="7"/>
      <c r="E877" s="7"/>
      <c r="F877" s="7"/>
      <c r="G877" s="7"/>
      <c r="H877" s="7"/>
      <c r="I877" s="7"/>
      <c r="J877" s="7"/>
      <c r="K877" s="7"/>
      <c r="L877" s="7"/>
      <c r="M877" s="7"/>
      <c r="N877" s="7"/>
      <c r="O877" s="7"/>
      <c r="P877" s="7"/>
      <c r="Q877" s="7"/>
      <c r="R877" s="7"/>
      <c r="S877" s="7"/>
      <c r="T877" s="7"/>
      <c r="U877" s="7"/>
      <c r="W877" s="7"/>
    </row>
    <row r="878" spans="1:23" ht="15.75" customHeight="1">
      <c r="A878" s="8"/>
      <c r="B878" s="7"/>
      <c r="C878" s="33"/>
      <c r="D878" s="7"/>
      <c r="E878" s="7"/>
      <c r="F878" s="7"/>
      <c r="G878" s="7"/>
      <c r="H878" s="7"/>
      <c r="I878" s="7"/>
      <c r="J878" s="7"/>
      <c r="K878" s="7"/>
      <c r="L878" s="7"/>
      <c r="M878" s="7"/>
      <c r="N878" s="7"/>
      <c r="O878" s="7"/>
      <c r="P878" s="7"/>
      <c r="Q878" s="7"/>
      <c r="R878" s="7"/>
      <c r="S878" s="7"/>
      <c r="T878" s="7"/>
      <c r="U878" s="7"/>
      <c r="W878" s="7"/>
    </row>
    <row r="879" spans="1:23" ht="15.75" customHeight="1">
      <c r="A879" s="8"/>
      <c r="B879" s="7"/>
      <c r="C879" s="33"/>
      <c r="D879" s="7"/>
      <c r="E879" s="7"/>
      <c r="F879" s="7"/>
      <c r="G879" s="7"/>
      <c r="H879" s="7"/>
      <c r="I879" s="7"/>
      <c r="J879" s="7"/>
      <c r="K879" s="7"/>
      <c r="L879" s="7"/>
      <c r="M879" s="7"/>
      <c r="N879" s="7"/>
      <c r="O879" s="7"/>
      <c r="P879" s="7"/>
      <c r="Q879" s="7"/>
      <c r="R879" s="7"/>
      <c r="S879" s="7"/>
      <c r="T879" s="7"/>
      <c r="U879" s="7"/>
      <c r="W879" s="7"/>
    </row>
    <row r="880" spans="1:23" ht="15.75" customHeight="1">
      <c r="A880" s="8"/>
      <c r="B880" s="7"/>
      <c r="C880" s="33"/>
      <c r="D880" s="7"/>
      <c r="E880" s="7"/>
      <c r="F880" s="7"/>
      <c r="G880" s="7"/>
      <c r="H880" s="7"/>
      <c r="I880" s="7"/>
      <c r="J880" s="7"/>
      <c r="K880" s="7"/>
      <c r="L880" s="7"/>
      <c r="M880" s="7"/>
      <c r="N880" s="7"/>
      <c r="O880" s="7"/>
      <c r="P880" s="7"/>
      <c r="Q880" s="7"/>
      <c r="R880" s="7"/>
      <c r="S880" s="7"/>
      <c r="T880" s="7"/>
      <c r="U880" s="7"/>
      <c r="W880" s="7"/>
    </row>
    <row r="881" spans="1:23" ht="15.75" customHeight="1">
      <c r="A881" s="8"/>
      <c r="B881" s="7"/>
      <c r="C881" s="33"/>
      <c r="D881" s="7"/>
      <c r="E881" s="7"/>
      <c r="F881" s="7"/>
      <c r="G881" s="7"/>
      <c r="H881" s="7"/>
      <c r="I881" s="7"/>
      <c r="J881" s="7"/>
      <c r="K881" s="7"/>
      <c r="L881" s="7"/>
      <c r="M881" s="7"/>
      <c r="N881" s="7"/>
      <c r="O881" s="7"/>
      <c r="P881" s="7"/>
      <c r="Q881" s="7"/>
      <c r="R881" s="7"/>
      <c r="S881" s="7"/>
      <c r="T881" s="7"/>
      <c r="U881" s="7"/>
      <c r="W881" s="7"/>
    </row>
    <row r="882" spans="1:23" ht="15.75" customHeight="1">
      <c r="A882" s="8"/>
      <c r="B882" s="7"/>
      <c r="C882" s="33"/>
      <c r="D882" s="7"/>
      <c r="E882" s="7"/>
      <c r="F882" s="7"/>
      <c r="G882" s="7"/>
      <c r="H882" s="7"/>
      <c r="I882" s="7"/>
      <c r="J882" s="7"/>
      <c r="K882" s="7"/>
      <c r="L882" s="7"/>
      <c r="M882" s="7"/>
      <c r="N882" s="7"/>
      <c r="O882" s="7"/>
      <c r="P882" s="7"/>
      <c r="Q882" s="7"/>
      <c r="R882" s="7"/>
      <c r="S882" s="7"/>
      <c r="T882" s="7"/>
      <c r="U882" s="7"/>
      <c r="W882" s="7"/>
    </row>
    <row r="883" spans="1:23" ht="15.75" customHeight="1">
      <c r="A883" s="8"/>
      <c r="B883" s="7"/>
      <c r="C883" s="33"/>
      <c r="D883" s="7"/>
      <c r="E883" s="7"/>
      <c r="F883" s="7"/>
      <c r="G883" s="7"/>
      <c r="H883" s="7"/>
      <c r="I883" s="7"/>
      <c r="J883" s="7"/>
      <c r="K883" s="7"/>
      <c r="L883" s="7"/>
      <c r="M883" s="7"/>
      <c r="N883" s="7"/>
      <c r="O883" s="7"/>
      <c r="P883" s="7"/>
      <c r="Q883" s="7"/>
      <c r="R883" s="7"/>
      <c r="S883" s="7"/>
      <c r="T883" s="7"/>
      <c r="U883" s="7"/>
      <c r="W883" s="7"/>
    </row>
    <row r="884" spans="1:23" ht="15.75" customHeight="1">
      <c r="A884" s="8"/>
      <c r="B884" s="7"/>
      <c r="C884" s="33"/>
      <c r="D884" s="7"/>
      <c r="E884" s="7"/>
      <c r="F884" s="7"/>
      <c r="G884" s="7"/>
      <c r="H884" s="7"/>
      <c r="I884" s="7"/>
      <c r="J884" s="7"/>
      <c r="K884" s="7"/>
      <c r="L884" s="7"/>
      <c r="M884" s="7"/>
      <c r="N884" s="7"/>
      <c r="O884" s="7"/>
      <c r="P884" s="7"/>
      <c r="Q884" s="7"/>
      <c r="R884" s="7"/>
      <c r="S884" s="7"/>
      <c r="T884" s="7"/>
      <c r="U884" s="7"/>
      <c r="W884" s="7"/>
    </row>
    <row r="885" spans="1:23" ht="15.75" customHeight="1">
      <c r="A885" s="8"/>
      <c r="B885" s="7"/>
      <c r="C885" s="33"/>
      <c r="D885" s="7"/>
      <c r="E885" s="7"/>
      <c r="F885" s="7"/>
      <c r="G885" s="7"/>
      <c r="H885" s="7"/>
      <c r="I885" s="7"/>
      <c r="J885" s="7"/>
      <c r="K885" s="7"/>
      <c r="L885" s="7"/>
      <c r="M885" s="7"/>
      <c r="N885" s="7"/>
      <c r="O885" s="7"/>
      <c r="P885" s="7"/>
      <c r="Q885" s="7"/>
      <c r="R885" s="7"/>
      <c r="S885" s="7"/>
      <c r="T885" s="7"/>
      <c r="U885" s="7"/>
      <c r="W885" s="7"/>
    </row>
    <row r="886" spans="1:23" ht="15.75" customHeight="1">
      <c r="A886" s="8"/>
      <c r="B886" s="7"/>
      <c r="C886" s="33"/>
      <c r="D886" s="7"/>
      <c r="E886" s="7"/>
      <c r="F886" s="7"/>
      <c r="G886" s="7"/>
      <c r="H886" s="7"/>
      <c r="I886" s="7"/>
      <c r="J886" s="7"/>
      <c r="K886" s="7"/>
      <c r="L886" s="7"/>
      <c r="M886" s="7"/>
      <c r="N886" s="7"/>
      <c r="O886" s="7"/>
      <c r="P886" s="7"/>
      <c r="Q886" s="7"/>
      <c r="R886" s="7"/>
      <c r="S886" s="7"/>
      <c r="T886" s="7"/>
      <c r="U886" s="7"/>
      <c r="W886" s="7"/>
    </row>
    <row r="887" spans="1:23" ht="15.75" customHeight="1">
      <c r="A887" s="8"/>
      <c r="B887" s="7"/>
      <c r="C887" s="33"/>
      <c r="D887" s="7"/>
      <c r="E887" s="7"/>
      <c r="F887" s="7"/>
      <c r="G887" s="7"/>
      <c r="H887" s="7"/>
      <c r="I887" s="7"/>
      <c r="J887" s="7"/>
      <c r="K887" s="7"/>
      <c r="L887" s="7"/>
      <c r="M887" s="7"/>
      <c r="N887" s="7"/>
      <c r="O887" s="7"/>
      <c r="P887" s="7"/>
      <c r="Q887" s="7"/>
      <c r="R887" s="7"/>
      <c r="S887" s="7"/>
      <c r="T887" s="7"/>
      <c r="U887" s="7"/>
      <c r="W887" s="7"/>
    </row>
    <row r="888" spans="1:23" ht="15.75" customHeight="1">
      <c r="A888" s="8"/>
      <c r="B888" s="7"/>
      <c r="C888" s="33"/>
      <c r="D888" s="7"/>
      <c r="E888" s="7"/>
      <c r="F888" s="7"/>
      <c r="G888" s="7"/>
      <c r="H888" s="7"/>
      <c r="I888" s="7"/>
      <c r="J888" s="7"/>
      <c r="K888" s="7"/>
      <c r="L888" s="7"/>
      <c r="M888" s="7"/>
      <c r="N888" s="7"/>
      <c r="O888" s="7"/>
      <c r="P888" s="7"/>
      <c r="Q888" s="7"/>
      <c r="R888" s="7"/>
      <c r="S888" s="7"/>
      <c r="T888" s="7"/>
      <c r="U888" s="7"/>
      <c r="W888" s="7"/>
    </row>
    <row r="889" spans="1:23" ht="15.75" customHeight="1">
      <c r="A889" s="8"/>
      <c r="B889" s="7"/>
      <c r="C889" s="33"/>
      <c r="D889" s="7"/>
      <c r="E889" s="7"/>
      <c r="F889" s="7"/>
      <c r="G889" s="7"/>
      <c r="H889" s="7"/>
      <c r="I889" s="7"/>
      <c r="J889" s="7"/>
      <c r="K889" s="7"/>
      <c r="L889" s="7"/>
      <c r="M889" s="7"/>
      <c r="N889" s="7"/>
      <c r="O889" s="7"/>
      <c r="P889" s="7"/>
      <c r="Q889" s="7"/>
      <c r="R889" s="7"/>
      <c r="S889" s="7"/>
      <c r="T889" s="7"/>
      <c r="U889" s="7"/>
      <c r="W889" s="7"/>
    </row>
    <row r="890" spans="1:23" ht="15.75" customHeight="1">
      <c r="A890" s="8"/>
      <c r="B890" s="7"/>
      <c r="C890" s="33"/>
      <c r="D890" s="7"/>
      <c r="E890" s="7"/>
      <c r="F890" s="7"/>
      <c r="G890" s="7"/>
      <c r="H890" s="7"/>
      <c r="I890" s="7"/>
      <c r="J890" s="7"/>
      <c r="K890" s="7"/>
      <c r="L890" s="7"/>
      <c r="M890" s="7"/>
      <c r="N890" s="7"/>
      <c r="O890" s="7"/>
      <c r="P890" s="7"/>
      <c r="Q890" s="7"/>
      <c r="R890" s="7"/>
      <c r="S890" s="7"/>
      <c r="T890" s="7"/>
      <c r="U890" s="7"/>
      <c r="W890" s="7"/>
    </row>
    <row r="891" spans="1:23" ht="15.75" customHeight="1">
      <c r="A891" s="8"/>
      <c r="B891" s="7"/>
      <c r="C891" s="33"/>
      <c r="D891" s="7"/>
      <c r="E891" s="7"/>
      <c r="F891" s="7"/>
      <c r="G891" s="7"/>
      <c r="H891" s="7"/>
      <c r="I891" s="7"/>
      <c r="J891" s="7"/>
      <c r="K891" s="7"/>
      <c r="L891" s="7"/>
      <c r="M891" s="7"/>
      <c r="N891" s="7"/>
      <c r="O891" s="7"/>
      <c r="P891" s="7"/>
      <c r="Q891" s="7"/>
      <c r="R891" s="7"/>
      <c r="S891" s="7"/>
      <c r="T891" s="7"/>
      <c r="U891" s="7"/>
      <c r="W891" s="7"/>
    </row>
    <row r="892" spans="1:23" ht="15.75" customHeight="1">
      <c r="A892" s="8"/>
      <c r="B892" s="7"/>
      <c r="C892" s="33"/>
      <c r="D892" s="7"/>
      <c r="E892" s="7"/>
      <c r="F892" s="7"/>
      <c r="G892" s="7"/>
      <c r="H892" s="7"/>
      <c r="I892" s="7"/>
      <c r="J892" s="7"/>
      <c r="K892" s="7"/>
      <c r="L892" s="7"/>
      <c r="M892" s="7"/>
      <c r="N892" s="7"/>
      <c r="O892" s="7"/>
      <c r="P892" s="7"/>
      <c r="Q892" s="7"/>
      <c r="R892" s="7"/>
      <c r="S892" s="7"/>
      <c r="T892" s="7"/>
      <c r="U892" s="7"/>
      <c r="W892" s="7"/>
    </row>
    <row r="893" spans="1:23" ht="15.75" customHeight="1">
      <c r="A893" s="8"/>
      <c r="B893" s="7"/>
      <c r="C893" s="33"/>
      <c r="D893" s="7"/>
      <c r="E893" s="7"/>
      <c r="F893" s="7"/>
      <c r="G893" s="7"/>
      <c r="H893" s="7"/>
      <c r="I893" s="7"/>
      <c r="J893" s="7"/>
      <c r="K893" s="7"/>
      <c r="L893" s="7"/>
      <c r="M893" s="7"/>
      <c r="N893" s="7"/>
      <c r="O893" s="7"/>
      <c r="P893" s="7"/>
      <c r="Q893" s="7"/>
      <c r="R893" s="7"/>
      <c r="S893" s="7"/>
      <c r="T893" s="7"/>
      <c r="U893" s="7"/>
      <c r="W893" s="7"/>
    </row>
    <row r="894" spans="1:23" ht="15.75" customHeight="1">
      <c r="A894" s="8"/>
      <c r="B894" s="7"/>
      <c r="C894" s="33"/>
      <c r="D894" s="7"/>
      <c r="E894" s="7"/>
      <c r="F894" s="7"/>
      <c r="G894" s="7"/>
      <c r="H894" s="7"/>
      <c r="I894" s="7"/>
      <c r="J894" s="7"/>
      <c r="K894" s="7"/>
      <c r="L894" s="7"/>
      <c r="M894" s="7"/>
      <c r="N894" s="7"/>
      <c r="O894" s="7"/>
      <c r="P894" s="7"/>
      <c r="Q894" s="7"/>
      <c r="R894" s="7"/>
      <c r="S894" s="7"/>
      <c r="T894" s="7"/>
      <c r="U894" s="7"/>
      <c r="W894" s="7"/>
    </row>
    <row r="895" spans="1:23" ht="15.75" customHeight="1">
      <c r="A895" s="8"/>
      <c r="B895" s="7"/>
      <c r="C895" s="33"/>
      <c r="D895" s="7"/>
      <c r="E895" s="7"/>
      <c r="F895" s="7"/>
      <c r="G895" s="7"/>
      <c r="H895" s="7"/>
      <c r="I895" s="7"/>
      <c r="J895" s="7"/>
      <c r="K895" s="7"/>
      <c r="L895" s="7"/>
      <c r="M895" s="7"/>
      <c r="N895" s="7"/>
      <c r="O895" s="7"/>
      <c r="P895" s="7"/>
      <c r="Q895" s="7"/>
      <c r="R895" s="7"/>
      <c r="S895" s="7"/>
      <c r="T895" s="7"/>
      <c r="U895" s="7"/>
      <c r="W895" s="7"/>
    </row>
    <row r="896" spans="1:23" ht="15.75" customHeight="1">
      <c r="A896" s="8"/>
      <c r="B896" s="7"/>
      <c r="C896" s="33"/>
      <c r="D896" s="7"/>
      <c r="E896" s="7"/>
      <c r="F896" s="7"/>
      <c r="G896" s="7"/>
      <c r="H896" s="7"/>
      <c r="I896" s="7"/>
      <c r="J896" s="7"/>
      <c r="K896" s="7"/>
      <c r="L896" s="7"/>
      <c r="M896" s="7"/>
      <c r="N896" s="7"/>
      <c r="O896" s="7"/>
      <c r="P896" s="7"/>
      <c r="Q896" s="7"/>
      <c r="R896" s="7"/>
      <c r="S896" s="7"/>
      <c r="T896" s="7"/>
      <c r="U896" s="7"/>
      <c r="W896" s="7"/>
    </row>
    <row r="897" spans="1:23" ht="15.75" customHeight="1">
      <c r="A897" s="8"/>
      <c r="B897" s="7"/>
      <c r="C897" s="33"/>
      <c r="D897" s="7"/>
      <c r="E897" s="7"/>
      <c r="F897" s="7"/>
      <c r="G897" s="7"/>
      <c r="H897" s="7"/>
      <c r="I897" s="7"/>
      <c r="J897" s="7"/>
      <c r="K897" s="7"/>
      <c r="L897" s="7"/>
      <c r="M897" s="7"/>
      <c r="N897" s="7"/>
      <c r="O897" s="7"/>
      <c r="P897" s="7"/>
      <c r="Q897" s="7"/>
      <c r="R897" s="7"/>
      <c r="S897" s="7"/>
      <c r="T897" s="7"/>
      <c r="U897" s="7"/>
      <c r="W897" s="7"/>
    </row>
    <row r="898" spans="1:23" ht="15.75" customHeight="1">
      <c r="A898" s="8"/>
      <c r="B898" s="7"/>
      <c r="C898" s="33"/>
      <c r="D898" s="7"/>
      <c r="E898" s="7"/>
      <c r="F898" s="7"/>
      <c r="G898" s="7"/>
      <c r="H898" s="7"/>
      <c r="I898" s="7"/>
      <c r="J898" s="7"/>
      <c r="K898" s="7"/>
      <c r="L898" s="7"/>
      <c r="M898" s="7"/>
      <c r="N898" s="7"/>
      <c r="O898" s="7"/>
      <c r="P898" s="7"/>
      <c r="Q898" s="7"/>
      <c r="R898" s="7"/>
      <c r="S898" s="7"/>
      <c r="T898" s="7"/>
      <c r="U898" s="7"/>
      <c r="W898" s="7"/>
    </row>
    <row r="899" spans="1:23" ht="15.75" customHeight="1">
      <c r="A899" s="8"/>
      <c r="B899" s="7"/>
      <c r="C899" s="33"/>
      <c r="D899" s="7"/>
      <c r="E899" s="7"/>
      <c r="F899" s="7"/>
      <c r="G899" s="7"/>
      <c r="H899" s="7"/>
      <c r="I899" s="7"/>
      <c r="J899" s="7"/>
      <c r="K899" s="7"/>
      <c r="L899" s="7"/>
      <c r="M899" s="7"/>
      <c r="N899" s="7"/>
      <c r="O899" s="7"/>
      <c r="P899" s="7"/>
      <c r="Q899" s="7"/>
      <c r="R899" s="7"/>
      <c r="S899" s="7"/>
      <c r="T899" s="7"/>
      <c r="U899" s="7"/>
      <c r="W899" s="7"/>
    </row>
    <row r="900" spans="1:23" ht="15.75" customHeight="1">
      <c r="A900" s="8"/>
      <c r="B900" s="7"/>
      <c r="C900" s="33"/>
      <c r="D900" s="7"/>
      <c r="E900" s="7"/>
      <c r="F900" s="7"/>
      <c r="G900" s="7"/>
      <c r="H900" s="7"/>
      <c r="I900" s="7"/>
      <c r="J900" s="7"/>
      <c r="K900" s="7"/>
      <c r="L900" s="7"/>
      <c r="M900" s="7"/>
      <c r="N900" s="7"/>
      <c r="O900" s="7"/>
      <c r="P900" s="7"/>
      <c r="Q900" s="7"/>
      <c r="R900" s="7"/>
      <c r="S900" s="7"/>
      <c r="T900" s="7"/>
      <c r="U900" s="7"/>
      <c r="W900" s="7"/>
    </row>
    <row r="901" spans="1:23" ht="15.75" customHeight="1">
      <c r="A901" s="8"/>
      <c r="B901" s="7"/>
      <c r="C901" s="33"/>
      <c r="D901" s="7"/>
      <c r="E901" s="7"/>
      <c r="F901" s="7"/>
      <c r="G901" s="7"/>
      <c r="H901" s="7"/>
      <c r="I901" s="7"/>
      <c r="J901" s="7"/>
      <c r="K901" s="7"/>
      <c r="L901" s="7"/>
      <c r="M901" s="7"/>
      <c r="N901" s="7"/>
      <c r="O901" s="7"/>
      <c r="P901" s="7"/>
      <c r="Q901" s="7"/>
      <c r="R901" s="7"/>
      <c r="S901" s="7"/>
      <c r="T901" s="7"/>
      <c r="U901" s="7"/>
      <c r="W901" s="7"/>
    </row>
    <row r="902" spans="1:23" ht="15.75" customHeight="1">
      <c r="A902" s="8"/>
      <c r="B902" s="7"/>
      <c r="C902" s="33"/>
      <c r="D902" s="7"/>
      <c r="E902" s="7"/>
      <c r="F902" s="7"/>
      <c r="G902" s="7"/>
      <c r="H902" s="7"/>
      <c r="I902" s="7"/>
      <c r="J902" s="7"/>
      <c r="K902" s="7"/>
      <c r="L902" s="7"/>
      <c r="M902" s="7"/>
      <c r="N902" s="7"/>
      <c r="O902" s="7"/>
      <c r="P902" s="7"/>
      <c r="Q902" s="7"/>
      <c r="R902" s="7"/>
      <c r="S902" s="7"/>
      <c r="T902" s="7"/>
      <c r="U902" s="7"/>
      <c r="W902" s="7"/>
    </row>
    <row r="903" spans="1:23" ht="15.75" customHeight="1">
      <c r="A903" s="8"/>
      <c r="B903" s="7"/>
      <c r="C903" s="33"/>
      <c r="D903" s="7"/>
      <c r="E903" s="7"/>
      <c r="F903" s="7"/>
      <c r="G903" s="7"/>
      <c r="H903" s="7"/>
      <c r="I903" s="7"/>
      <c r="J903" s="7"/>
      <c r="K903" s="7"/>
      <c r="L903" s="7"/>
      <c r="M903" s="7"/>
      <c r="N903" s="7"/>
      <c r="O903" s="7"/>
      <c r="P903" s="7"/>
      <c r="Q903" s="7"/>
      <c r="R903" s="7"/>
      <c r="S903" s="7"/>
      <c r="T903" s="7"/>
      <c r="U903" s="7"/>
      <c r="W903" s="7"/>
    </row>
    <row r="904" spans="1:23" ht="15.75" customHeight="1">
      <c r="A904" s="8"/>
      <c r="B904" s="7"/>
      <c r="C904" s="33"/>
      <c r="D904" s="7"/>
      <c r="E904" s="7"/>
      <c r="F904" s="7"/>
      <c r="G904" s="7"/>
      <c r="H904" s="7"/>
      <c r="I904" s="7"/>
      <c r="J904" s="7"/>
      <c r="K904" s="7"/>
      <c r="L904" s="7"/>
      <c r="M904" s="7"/>
      <c r="N904" s="7"/>
      <c r="O904" s="7"/>
      <c r="P904" s="7"/>
      <c r="Q904" s="7"/>
      <c r="R904" s="7"/>
      <c r="S904" s="7"/>
      <c r="T904" s="7"/>
      <c r="U904" s="7"/>
      <c r="W904" s="7"/>
    </row>
    <row r="905" spans="1:23" ht="15.75" customHeight="1">
      <c r="A905" s="8"/>
      <c r="B905" s="7"/>
      <c r="C905" s="33"/>
      <c r="D905" s="7"/>
      <c r="E905" s="7"/>
      <c r="F905" s="7"/>
      <c r="G905" s="7"/>
      <c r="H905" s="7"/>
      <c r="I905" s="7"/>
      <c r="J905" s="7"/>
      <c r="K905" s="7"/>
      <c r="L905" s="7"/>
      <c r="M905" s="7"/>
      <c r="N905" s="7"/>
      <c r="O905" s="7"/>
      <c r="P905" s="7"/>
      <c r="Q905" s="7"/>
      <c r="R905" s="7"/>
      <c r="S905" s="7"/>
      <c r="T905" s="7"/>
      <c r="U905" s="7"/>
      <c r="W905" s="7"/>
    </row>
    <row r="906" spans="1:23" ht="15.75" customHeight="1">
      <c r="A906" s="8"/>
      <c r="B906" s="7"/>
      <c r="C906" s="33"/>
      <c r="D906" s="7"/>
      <c r="E906" s="7"/>
      <c r="F906" s="7"/>
      <c r="G906" s="7"/>
      <c r="H906" s="7"/>
      <c r="I906" s="7"/>
      <c r="J906" s="7"/>
      <c r="K906" s="7"/>
      <c r="L906" s="7"/>
      <c r="M906" s="7"/>
      <c r="N906" s="7"/>
      <c r="O906" s="7"/>
      <c r="P906" s="7"/>
      <c r="Q906" s="7"/>
      <c r="R906" s="7"/>
      <c r="S906" s="7"/>
      <c r="T906" s="7"/>
      <c r="U906" s="7"/>
      <c r="W906" s="7"/>
    </row>
    <row r="907" spans="1:23" ht="15.75" customHeight="1">
      <c r="A907" s="8"/>
      <c r="B907" s="7"/>
      <c r="C907" s="33"/>
      <c r="D907" s="7"/>
      <c r="E907" s="7"/>
      <c r="F907" s="7"/>
      <c r="G907" s="7"/>
      <c r="H907" s="7"/>
      <c r="I907" s="7"/>
      <c r="J907" s="7"/>
      <c r="K907" s="7"/>
      <c r="L907" s="7"/>
      <c r="M907" s="7"/>
      <c r="N907" s="7"/>
      <c r="O907" s="7"/>
      <c r="P907" s="7"/>
      <c r="Q907" s="7"/>
      <c r="R907" s="7"/>
      <c r="S907" s="7"/>
      <c r="T907" s="7"/>
      <c r="U907" s="7"/>
      <c r="W907" s="7"/>
    </row>
    <row r="908" spans="1:23" ht="15.75" customHeight="1">
      <c r="A908" s="8"/>
      <c r="B908" s="7"/>
      <c r="C908" s="33"/>
      <c r="D908" s="7"/>
      <c r="E908" s="7"/>
      <c r="F908" s="7"/>
      <c r="G908" s="7"/>
      <c r="H908" s="7"/>
      <c r="I908" s="7"/>
      <c r="J908" s="7"/>
      <c r="K908" s="7"/>
      <c r="L908" s="7"/>
      <c r="M908" s="7"/>
      <c r="N908" s="7"/>
      <c r="O908" s="7"/>
      <c r="P908" s="7"/>
      <c r="Q908" s="7"/>
      <c r="R908" s="7"/>
      <c r="S908" s="7"/>
      <c r="T908" s="7"/>
      <c r="U908" s="7"/>
      <c r="W908" s="7"/>
    </row>
    <row r="909" spans="1:23" ht="15.75" customHeight="1">
      <c r="A909" s="8"/>
      <c r="B909" s="7"/>
      <c r="C909" s="33"/>
      <c r="D909" s="7"/>
      <c r="E909" s="7"/>
      <c r="F909" s="7"/>
      <c r="G909" s="7"/>
      <c r="H909" s="7"/>
      <c r="I909" s="7"/>
      <c r="J909" s="7"/>
      <c r="K909" s="7"/>
      <c r="L909" s="7"/>
      <c r="M909" s="7"/>
      <c r="N909" s="7"/>
      <c r="O909" s="7"/>
      <c r="P909" s="7"/>
      <c r="Q909" s="7"/>
      <c r="R909" s="7"/>
      <c r="S909" s="7"/>
      <c r="T909" s="7"/>
      <c r="U909" s="7"/>
      <c r="W909" s="7"/>
    </row>
    <row r="910" spans="1:23" ht="15.75" customHeight="1">
      <c r="A910" s="8"/>
      <c r="B910" s="7"/>
      <c r="C910" s="33"/>
      <c r="D910" s="7"/>
      <c r="E910" s="7"/>
      <c r="F910" s="7"/>
      <c r="G910" s="7"/>
      <c r="H910" s="7"/>
      <c r="I910" s="7"/>
      <c r="J910" s="7"/>
      <c r="K910" s="7"/>
      <c r="L910" s="7"/>
      <c r="M910" s="7"/>
      <c r="N910" s="7"/>
      <c r="O910" s="7"/>
      <c r="P910" s="7"/>
      <c r="Q910" s="7"/>
      <c r="R910" s="7"/>
      <c r="S910" s="7"/>
      <c r="T910" s="7"/>
      <c r="U910" s="7"/>
      <c r="W910" s="7"/>
    </row>
    <row r="911" spans="1:23" ht="15.75" customHeight="1">
      <c r="A911" s="8"/>
      <c r="B911" s="7"/>
      <c r="C911" s="33"/>
      <c r="D911" s="7"/>
      <c r="E911" s="7"/>
      <c r="F911" s="7"/>
      <c r="G911" s="7"/>
      <c r="H911" s="7"/>
      <c r="I911" s="7"/>
      <c r="J911" s="7"/>
      <c r="K911" s="7"/>
      <c r="L911" s="7"/>
      <c r="M911" s="7"/>
      <c r="N911" s="7"/>
      <c r="O911" s="7"/>
      <c r="P911" s="7"/>
      <c r="Q911" s="7"/>
      <c r="R911" s="7"/>
      <c r="S911" s="7"/>
      <c r="T911" s="7"/>
      <c r="U911" s="7"/>
      <c r="W911" s="7"/>
    </row>
    <row r="912" spans="1:23" ht="15.75" customHeight="1">
      <c r="A912" s="8"/>
      <c r="B912" s="7"/>
      <c r="C912" s="33"/>
      <c r="D912" s="7"/>
      <c r="E912" s="7"/>
      <c r="F912" s="7"/>
      <c r="G912" s="7"/>
      <c r="H912" s="7"/>
      <c r="I912" s="7"/>
      <c r="J912" s="7"/>
      <c r="K912" s="7"/>
      <c r="L912" s="7"/>
      <c r="M912" s="7"/>
      <c r="N912" s="7"/>
      <c r="O912" s="7"/>
      <c r="P912" s="7"/>
      <c r="Q912" s="7"/>
      <c r="R912" s="7"/>
      <c r="S912" s="7"/>
      <c r="T912" s="7"/>
      <c r="U912" s="7"/>
      <c r="W912" s="7"/>
    </row>
    <row r="913" spans="1:23" ht="15.75" customHeight="1">
      <c r="A913" s="8"/>
      <c r="B913" s="7"/>
      <c r="C913" s="33"/>
      <c r="D913" s="7"/>
      <c r="E913" s="7"/>
      <c r="F913" s="7"/>
      <c r="G913" s="7"/>
      <c r="H913" s="7"/>
      <c r="I913" s="7"/>
      <c r="J913" s="7"/>
      <c r="K913" s="7"/>
      <c r="L913" s="7"/>
      <c r="M913" s="7"/>
      <c r="N913" s="7"/>
      <c r="O913" s="7"/>
      <c r="P913" s="7"/>
      <c r="Q913" s="7"/>
      <c r="R913" s="7"/>
      <c r="S913" s="7"/>
      <c r="T913" s="7"/>
      <c r="U913" s="7"/>
      <c r="W913" s="7"/>
    </row>
    <row r="914" spans="1:23" ht="15.75" customHeight="1">
      <c r="A914" s="8"/>
      <c r="B914" s="7"/>
      <c r="C914" s="33"/>
      <c r="D914" s="7"/>
      <c r="E914" s="7"/>
      <c r="F914" s="7"/>
      <c r="G914" s="7"/>
      <c r="H914" s="7"/>
      <c r="I914" s="7"/>
      <c r="J914" s="7"/>
      <c r="K914" s="7"/>
      <c r="L914" s="7"/>
      <c r="M914" s="7"/>
      <c r="N914" s="7"/>
      <c r="O914" s="7"/>
      <c r="P914" s="7"/>
      <c r="Q914" s="7"/>
      <c r="R914" s="7"/>
      <c r="S914" s="7"/>
      <c r="T914" s="7"/>
      <c r="U914" s="7"/>
      <c r="W914" s="7"/>
    </row>
    <row r="915" spans="1:23" ht="15.75" customHeight="1">
      <c r="A915" s="8"/>
      <c r="B915" s="7"/>
      <c r="C915" s="33"/>
      <c r="D915" s="7"/>
      <c r="E915" s="7"/>
      <c r="F915" s="7"/>
      <c r="G915" s="7"/>
      <c r="H915" s="7"/>
      <c r="I915" s="7"/>
      <c r="J915" s="7"/>
      <c r="K915" s="7"/>
      <c r="L915" s="7"/>
      <c r="M915" s="7"/>
      <c r="N915" s="7"/>
      <c r="O915" s="7"/>
      <c r="P915" s="7"/>
      <c r="Q915" s="7"/>
      <c r="R915" s="7"/>
      <c r="S915" s="7"/>
      <c r="T915" s="7"/>
      <c r="U915" s="7"/>
      <c r="W915" s="7"/>
    </row>
    <row r="916" spans="1:23" ht="15.75" customHeight="1">
      <c r="A916" s="8"/>
      <c r="B916" s="7"/>
      <c r="C916" s="33"/>
      <c r="D916" s="7"/>
      <c r="E916" s="7"/>
      <c r="F916" s="7"/>
      <c r="G916" s="7"/>
      <c r="H916" s="7"/>
      <c r="I916" s="7"/>
      <c r="J916" s="7"/>
      <c r="K916" s="7"/>
      <c r="L916" s="7"/>
      <c r="M916" s="7"/>
      <c r="N916" s="7"/>
      <c r="O916" s="7"/>
      <c r="P916" s="7"/>
      <c r="Q916" s="7"/>
      <c r="R916" s="7"/>
      <c r="S916" s="7"/>
      <c r="T916" s="7"/>
      <c r="U916" s="7"/>
      <c r="W916" s="7"/>
    </row>
    <row r="917" spans="1:23" ht="15.75" customHeight="1">
      <c r="A917" s="8"/>
      <c r="B917" s="7"/>
      <c r="C917" s="33"/>
      <c r="D917" s="7"/>
      <c r="E917" s="7"/>
      <c r="F917" s="7"/>
      <c r="G917" s="7"/>
      <c r="H917" s="7"/>
      <c r="I917" s="7"/>
      <c r="J917" s="7"/>
      <c r="K917" s="7"/>
      <c r="L917" s="7"/>
      <c r="M917" s="7"/>
      <c r="N917" s="7"/>
      <c r="O917" s="7"/>
      <c r="P917" s="7"/>
      <c r="Q917" s="7"/>
      <c r="R917" s="7"/>
      <c r="S917" s="7"/>
      <c r="T917" s="7"/>
      <c r="U917" s="7"/>
      <c r="W917" s="7"/>
    </row>
    <row r="918" spans="1:23" ht="15.75" customHeight="1">
      <c r="A918" s="8"/>
      <c r="B918" s="7"/>
      <c r="C918" s="33"/>
      <c r="D918" s="7"/>
      <c r="E918" s="7"/>
      <c r="F918" s="7"/>
      <c r="G918" s="7"/>
      <c r="H918" s="7"/>
      <c r="I918" s="7"/>
      <c r="J918" s="7"/>
      <c r="K918" s="7"/>
      <c r="L918" s="7"/>
      <c r="M918" s="7"/>
      <c r="N918" s="7"/>
      <c r="O918" s="7"/>
      <c r="P918" s="7"/>
      <c r="Q918" s="7"/>
      <c r="R918" s="7"/>
      <c r="S918" s="7"/>
      <c r="T918" s="7"/>
      <c r="U918" s="7"/>
      <c r="W918" s="7"/>
    </row>
    <row r="919" spans="1:23" ht="15.75" customHeight="1">
      <c r="A919" s="8"/>
      <c r="B919" s="7"/>
      <c r="C919" s="33"/>
      <c r="D919" s="7"/>
      <c r="E919" s="7"/>
      <c r="F919" s="7"/>
      <c r="G919" s="7"/>
      <c r="H919" s="7"/>
      <c r="I919" s="7"/>
      <c r="J919" s="7"/>
      <c r="K919" s="7"/>
      <c r="L919" s="7"/>
      <c r="M919" s="7"/>
      <c r="N919" s="7"/>
      <c r="O919" s="7"/>
      <c r="P919" s="7"/>
      <c r="Q919" s="7"/>
      <c r="R919" s="7"/>
      <c r="S919" s="7"/>
      <c r="T919" s="7"/>
      <c r="U919" s="7"/>
      <c r="W919" s="7"/>
    </row>
    <row r="920" spans="1:23" ht="15.75" customHeight="1">
      <c r="A920" s="8"/>
      <c r="B920" s="7"/>
      <c r="C920" s="33"/>
      <c r="D920" s="7"/>
      <c r="E920" s="7"/>
      <c r="F920" s="7"/>
      <c r="G920" s="7"/>
      <c r="H920" s="7"/>
      <c r="I920" s="7"/>
      <c r="J920" s="7"/>
      <c r="K920" s="7"/>
      <c r="L920" s="7"/>
      <c r="M920" s="7"/>
      <c r="N920" s="7"/>
      <c r="O920" s="7"/>
      <c r="P920" s="7"/>
      <c r="Q920" s="7"/>
      <c r="R920" s="7"/>
      <c r="S920" s="7"/>
      <c r="T920" s="7"/>
      <c r="U920" s="7"/>
      <c r="W920" s="7"/>
    </row>
    <row r="921" spans="1:23" ht="15.75" customHeight="1">
      <c r="A921" s="8"/>
      <c r="B921" s="7"/>
      <c r="C921" s="33"/>
      <c r="D921" s="7"/>
      <c r="E921" s="7"/>
      <c r="F921" s="7"/>
      <c r="G921" s="7"/>
      <c r="H921" s="7"/>
      <c r="I921" s="7"/>
      <c r="J921" s="7"/>
      <c r="K921" s="7"/>
      <c r="L921" s="7"/>
      <c r="M921" s="7"/>
      <c r="N921" s="7"/>
      <c r="O921" s="7"/>
      <c r="P921" s="7"/>
      <c r="Q921" s="7"/>
      <c r="R921" s="7"/>
      <c r="S921" s="7"/>
      <c r="T921" s="7"/>
      <c r="U921" s="7"/>
      <c r="W921" s="7"/>
    </row>
    <row r="922" spans="1:23" ht="15.75" customHeight="1">
      <c r="A922" s="8"/>
      <c r="B922" s="7"/>
      <c r="C922" s="33"/>
      <c r="D922" s="7"/>
      <c r="E922" s="7"/>
      <c r="F922" s="7"/>
      <c r="G922" s="7"/>
      <c r="H922" s="7"/>
      <c r="I922" s="7"/>
      <c r="J922" s="7"/>
      <c r="K922" s="7"/>
      <c r="L922" s="7"/>
      <c r="M922" s="7"/>
      <c r="N922" s="7"/>
      <c r="O922" s="7"/>
      <c r="P922" s="7"/>
      <c r="Q922" s="7"/>
      <c r="R922" s="7"/>
      <c r="S922" s="7"/>
      <c r="T922" s="7"/>
      <c r="U922" s="7"/>
      <c r="W922" s="7"/>
    </row>
    <row r="923" spans="1:23" ht="15.75" customHeight="1">
      <c r="A923" s="8"/>
      <c r="B923" s="7"/>
      <c r="C923" s="33"/>
      <c r="D923" s="7"/>
      <c r="E923" s="7"/>
      <c r="F923" s="7"/>
      <c r="G923" s="7"/>
      <c r="H923" s="7"/>
      <c r="I923" s="7"/>
      <c r="J923" s="7"/>
      <c r="K923" s="7"/>
      <c r="L923" s="7"/>
      <c r="M923" s="7"/>
      <c r="N923" s="7"/>
      <c r="O923" s="7"/>
      <c r="P923" s="7"/>
      <c r="Q923" s="7"/>
      <c r="R923" s="7"/>
      <c r="S923" s="7"/>
      <c r="T923" s="7"/>
      <c r="U923" s="7"/>
      <c r="W923" s="7"/>
    </row>
    <row r="924" spans="1:23" ht="15.75" customHeight="1">
      <c r="A924" s="8"/>
      <c r="B924" s="7"/>
      <c r="C924" s="33"/>
      <c r="D924" s="7"/>
      <c r="E924" s="7"/>
      <c r="F924" s="7"/>
      <c r="G924" s="7"/>
      <c r="H924" s="7"/>
      <c r="I924" s="7"/>
      <c r="J924" s="7"/>
      <c r="K924" s="7"/>
      <c r="L924" s="7"/>
      <c r="M924" s="7"/>
      <c r="N924" s="7"/>
      <c r="O924" s="7"/>
      <c r="P924" s="7"/>
      <c r="Q924" s="7"/>
      <c r="R924" s="7"/>
      <c r="S924" s="7"/>
      <c r="T924" s="7"/>
      <c r="U924" s="7"/>
      <c r="W924" s="7"/>
    </row>
    <row r="925" spans="1:23" ht="15.75" customHeight="1">
      <c r="A925" s="8"/>
      <c r="B925" s="7"/>
      <c r="C925" s="33"/>
      <c r="D925" s="7"/>
      <c r="E925" s="7"/>
      <c r="F925" s="7"/>
      <c r="G925" s="7"/>
      <c r="H925" s="7"/>
      <c r="I925" s="7"/>
      <c r="J925" s="7"/>
      <c r="K925" s="7"/>
      <c r="L925" s="7"/>
      <c r="M925" s="7"/>
      <c r="N925" s="7"/>
      <c r="O925" s="7"/>
      <c r="P925" s="7"/>
      <c r="Q925" s="7"/>
      <c r="R925" s="7"/>
      <c r="S925" s="7"/>
      <c r="T925" s="7"/>
      <c r="U925" s="7"/>
      <c r="W925" s="7"/>
    </row>
    <row r="926" spans="1:23" ht="15.75" customHeight="1">
      <c r="A926" s="8"/>
      <c r="B926" s="7"/>
      <c r="C926" s="33"/>
      <c r="D926" s="7"/>
      <c r="E926" s="7"/>
      <c r="F926" s="7"/>
      <c r="G926" s="7"/>
      <c r="H926" s="7"/>
      <c r="I926" s="7"/>
      <c r="J926" s="7"/>
      <c r="K926" s="7"/>
      <c r="L926" s="7"/>
      <c r="M926" s="7"/>
      <c r="N926" s="7"/>
      <c r="O926" s="7"/>
      <c r="P926" s="7"/>
      <c r="Q926" s="7"/>
      <c r="R926" s="7"/>
      <c r="S926" s="7"/>
      <c r="T926" s="7"/>
      <c r="U926" s="7"/>
      <c r="W926" s="7"/>
    </row>
    <row r="927" spans="1:23" ht="15.75" customHeight="1">
      <c r="A927" s="8"/>
      <c r="B927" s="7"/>
      <c r="C927" s="33"/>
      <c r="D927" s="7"/>
      <c r="E927" s="7"/>
      <c r="F927" s="7"/>
      <c r="G927" s="7"/>
      <c r="H927" s="7"/>
      <c r="I927" s="7"/>
      <c r="J927" s="7"/>
      <c r="K927" s="7"/>
      <c r="L927" s="7"/>
      <c r="M927" s="7"/>
      <c r="N927" s="7"/>
      <c r="O927" s="7"/>
      <c r="P927" s="7"/>
      <c r="Q927" s="7"/>
      <c r="R927" s="7"/>
      <c r="S927" s="7"/>
      <c r="T927" s="7"/>
      <c r="U927" s="7"/>
      <c r="W927" s="7"/>
    </row>
    <row r="928" spans="1:23" ht="15.75" customHeight="1">
      <c r="A928" s="8"/>
      <c r="B928" s="7"/>
      <c r="C928" s="33"/>
      <c r="D928" s="7"/>
      <c r="E928" s="7"/>
      <c r="F928" s="7"/>
      <c r="G928" s="7"/>
      <c r="H928" s="7"/>
      <c r="I928" s="7"/>
      <c r="J928" s="7"/>
      <c r="K928" s="7"/>
      <c r="L928" s="7"/>
      <c r="M928" s="7"/>
      <c r="N928" s="7"/>
      <c r="O928" s="7"/>
      <c r="P928" s="7"/>
      <c r="Q928" s="7"/>
      <c r="R928" s="7"/>
      <c r="S928" s="7"/>
      <c r="T928" s="7"/>
      <c r="U928" s="7"/>
      <c r="W928" s="7"/>
    </row>
    <row r="929" spans="1:23" ht="15.75" customHeight="1">
      <c r="A929" s="8"/>
      <c r="B929" s="7"/>
      <c r="C929" s="33"/>
      <c r="D929" s="7"/>
      <c r="E929" s="7"/>
      <c r="F929" s="7"/>
      <c r="G929" s="7"/>
      <c r="H929" s="7"/>
      <c r="I929" s="7"/>
      <c r="J929" s="7"/>
      <c r="K929" s="7"/>
      <c r="L929" s="7"/>
      <c r="M929" s="7"/>
      <c r="N929" s="7"/>
      <c r="O929" s="7"/>
      <c r="P929" s="7"/>
      <c r="Q929" s="7"/>
      <c r="R929" s="7"/>
      <c r="S929" s="7"/>
      <c r="T929" s="7"/>
      <c r="U929" s="7"/>
      <c r="W929" s="7"/>
    </row>
    <row r="930" spans="1:23" ht="15.75" customHeight="1">
      <c r="A930" s="8"/>
      <c r="B930" s="7"/>
      <c r="C930" s="33"/>
      <c r="D930" s="7"/>
      <c r="E930" s="7"/>
      <c r="F930" s="7"/>
      <c r="G930" s="7"/>
      <c r="H930" s="7"/>
      <c r="I930" s="7"/>
      <c r="J930" s="7"/>
      <c r="K930" s="7"/>
      <c r="L930" s="7"/>
      <c r="M930" s="7"/>
      <c r="N930" s="7"/>
      <c r="O930" s="7"/>
      <c r="P930" s="7"/>
      <c r="Q930" s="7"/>
      <c r="R930" s="7"/>
      <c r="S930" s="7"/>
      <c r="T930" s="7"/>
      <c r="U930" s="7"/>
      <c r="W930" s="7"/>
    </row>
    <row r="931" spans="1:23" ht="15.75" customHeight="1">
      <c r="A931" s="8"/>
      <c r="B931" s="7"/>
      <c r="C931" s="33"/>
      <c r="D931" s="7"/>
      <c r="E931" s="7"/>
      <c r="F931" s="7"/>
      <c r="G931" s="7"/>
      <c r="H931" s="7"/>
      <c r="I931" s="7"/>
      <c r="J931" s="7"/>
      <c r="K931" s="7"/>
      <c r="L931" s="7"/>
      <c r="M931" s="7"/>
      <c r="N931" s="7"/>
      <c r="O931" s="7"/>
      <c r="P931" s="7"/>
      <c r="Q931" s="7"/>
      <c r="R931" s="7"/>
      <c r="S931" s="7"/>
      <c r="T931" s="7"/>
      <c r="U931" s="7"/>
      <c r="W931" s="7"/>
    </row>
    <row r="932" spans="1:23" ht="15.75" customHeight="1">
      <c r="A932" s="8"/>
      <c r="B932" s="7"/>
      <c r="C932" s="33"/>
      <c r="D932" s="7"/>
      <c r="E932" s="7"/>
      <c r="F932" s="7"/>
      <c r="G932" s="7"/>
      <c r="H932" s="7"/>
      <c r="I932" s="7"/>
      <c r="J932" s="7"/>
      <c r="K932" s="7"/>
      <c r="L932" s="7"/>
      <c r="M932" s="7"/>
      <c r="N932" s="7"/>
      <c r="O932" s="7"/>
      <c r="P932" s="7"/>
      <c r="Q932" s="7"/>
      <c r="R932" s="7"/>
      <c r="S932" s="7"/>
      <c r="T932" s="7"/>
      <c r="U932" s="7"/>
      <c r="W932" s="7"/>
    </row>
    <row r="933" spans="1:23" ht="15.75" customHeight="1">
      <c r="A933" s="8"/>
      <c r="B933" s="7"/>
      <c r="C933" s="33"/>
      <c r="D933" s="7"/>
      <c r="E933" s="7"/>
      <c r="F933" s="7"/>
      <c r="G933" s="7"/>
      <c r="H933" s="7"/>
      <c r="I933" s="7"/>
      <c r="J933" s="7"/>
      <c r="K933" s="7"/>
      <c r="L933" s="7"/>
      <c r="M933" s="7"/>
      <c r="N933" s="7"/>
      <c r="O933" s="7"/>
      <c r="P933" s="7"/>
      <c r="Q933" s="7"/>
      <c r="R933" s="7"/>
      <c r="S933" s="7"/>
      <c r="T933" s="7"/>
      <c r="U933" s="7"/>
      <c r="W933" s="7"/>
    </row>
    <row r="934" spans="1:23" ht="15.75" customHeight="1">
      <c r="A934" s="8"/>
      <c r="B934" s="7"/>
      <c r="C934" s="33"/>
      <c r="D934" s="7"/>
      <c r="E934" s="7"/>
      <c r="F934" s="7"/>
      <c r="G934" s="7"/>
      <c r="H934" s="7"/>
      <c r="I934" s="7"/>
      <c r="J934" s="7"/>
      <c r="K934" s="7"/>
      <c r="L934" s="7"/>
      <c r="M934" s="7"/>
      <c r="N934" s="7"/>
      <c r="O934" s="7"/>
      <c r="P934" s="7"/>
      <c r="Q934" s="7"/>
      <c r="R934" s="7"/>
      <c r="S934" s="7"/>
      <c r="T934" s="7"/>
      <c r="U934" s="7"/>
      <c r="W934" s="7"/>
    </row>
    <row r="935" spans="1:23" ht="15.75" customHeight="1">
      <c r="A935" s="8"/>
      <c r="B935" s="7"/>
      <c r="C935" s="33"/>
      <c r="D935" s="7"/>
      <c r="E935" s="7"/>
      <c r="F935" s="7"/>
      <c r="G935" s="7"/>
      <c r="H935" s="7"/>
      <c r="I935" s="7"/>
      <c r="J935" s="7"/>
      <c r="K935" s="7"/>
      <c r="L935" s="7"/>
      <c r="M935" s="7"/>
      <c r="N935" s="7"/>
      <c r="O935" s="7"/>
      <c r="P935" s="7"/>
      <c r="Q935" s="7"/>
      <c r="R935" s="7"/>
      <c r="S935" s="7"/>
      <c r="T935" s="7"/>
      <c r="U935" s="7"/>
      <c r="W935" s="7"/>
    </row>
    <row r="936" spans="1:23" ht="15.75" customHeight="1">
      <c r="A936" s="8"/>
      <c r="B936" s="7"/>
      <c r="C936" s="33"/>
      <c r="D936" s="7"/>
      <c r="E936" s="7"/>
      <c r="F936" s="7"/>
      <c r="G936" s="7"/>
      <c r="H936" s="7"/>
      <c r="I936" s="7"/>
      <c r="J936" s="7"/>
      <c r="K936" s="7"/>
      <c r="L936" s="7"/>
      <c r="M936" s="7"/>
      <c r="N936" s="7"/>
      <c r="O936" s="7"/>
      <c r="P936" s="7"/>
      <c r="Q936" s="7"/>
      <c r="R936" s="7"/>
      <c r="S936" s="7"/>
      <c r="T936" s="7"/>
      <c r="U936" s="7"/>
      <c r="W936" s="7"/>
    </row>
    <row r="937" spans="1:23" ht="15.75" customHeight="1">
      <c r="A937" s="8"/>
      <c r="B937" s="7"/>
      <c r="C937" s="33"/>
      <c r="D937" s="7"/>
      <c r="E937" s="7"/>
      <c r="F937" s="7"/>
      <c r="G937" s="7"/>
      <c r="H937" s="7"/>
      <c r="I937" s="7"/>
      <c r="J937" s="7"/>
      <c r="K937" s="7"/>
      <c r="L937" s="7"/>
      <c r="M937" s="7"/>
      <c r="N937" s="7"/>
      <c r="O937" s="7"/>
      <c r="P937" s="7"/>
      <c r="Q937" s="7"/>
      <c r="R937" s="7"/>
      <c r="S937" s="7"/>
      <c r="T937" s="7"/>
      <c r="U937" s="7"/>
      <c r="W937" s="7"/>
    </row>
    <row r="938" spans="1:23" ht="15.75" customHeight="1">
      <c r="A938" s="8"/>
      <c r="B938" s="7"/>
      <c r="C938" s="33"/>
      <c r="D938" s="7"/>
      <c r="E938" s="7"/>
      <c r="F938" s="7"/>
      <c r="G938" s="7"/>
      <c r="H938" s="7"/>
      <c r="I938" s="7"/>
      <c r="J938" s="7"/>
      <c r="K938" s="7"/>
      <c r="L938" s="7"/>
      <c r="M938" s="7"/>
      <c r="N938" s="7"/>
      <c r="O938" s="7"/>
      <c r="P938" s="7"/>
      <c r="Q938" s="7"/>
      <c r="R938" s="7"/>
      <c r="S938" s="7"/>
      <c r="T938" s="7"/>
      <c r="U938" s="7"/>
      <c r="W938" s="7"/>
    </row>
    <row r="939" spans="1:23" ht="15.75" customHeight="1">
      <c r="A939" s="8"/>
      <c r="B939" s="7"/>
      <c r="C939" s="33"/>
      <c r="D939" s="7"/>
      <c r="E939" s="7"/>
      <c r="F939" s="7"/>
      <c r="G939" s="7"/>
      <c r="H939" s="7"/>
      <c r="I939" s="7"/>
      <c r="J939" s="7"/>
      <c r="K939" s="7"/>
      <c r="L939" s="7"/>
      <c r="M939" s="7"/>
      <c r="N939" s="7"/>
      <c r="O939" s="7"/>
      <c r="P939" s="7"/>
      <c r="Q939" s="7"/>
      <c r="R939" s="7"/>
      <c r="S939" s="7"/>
      <c r="T939" s="7"/>
      <c r="U939" s="7"/>
      <c r="W939" s="7"/>
    </row>
    <row r="940" spans="1:23" ht="15.75" customHeight="1">
      <c r="A940" s="8"/>
      <c r="B940" s="7"/>
      <c r="C940" s="33"/>
      <c r="D940" s="7"/>
      <c r="E940" s="7"/>
      <c r="F940" s="7"/>
      <c r="G940" s="7"/>
      <c r="H940" s="7"/>
      <c r="I940" s="7"/>
      <c r="J940" s="7"/>
      <c r="K940" s="7"/>
      <c r="L940" s="7"/>
      <c r="M940" s="7"/>
      <c r="N940" s="7"/>
      <c r="O940" s="7"/>
      <c r="P940" s="7"/>
      <c r="Q940" s="7"/>
      <c r="R940" s="7"/>
      <c r="S940" s="7"/>
      <c r="T940" s="7"/>
      <c r="U940" s="7"/>
      <c r="W940" s="7"/>
    </row>
    <row r="941" spans="1:23" ht="15.75" customHeight="1">
      <c r="A941" s="8"/>
      <c r="B941" s="7"/>
      <c r="C941" s="33"/>
      <c r="D941" s="7"/>
      <c r="E941" s="7"/>
      <c r="F941" s="7"/>
      <c r="G941" s="7"/>
      <c r="H941" s="7"/>
      <c r="I941" s="7"/>
      <c r="J941" s="7"/>
      <c r="K941" s="7"/>
      <c r="L941" s="7"/>
      <c r="M941" s="7"/>
      <c r="N941" s="7"/>
      <c r="O941" s="7"/>
      <c r="P941" s="7"/>
      <c r="Q941" s="7"/>
      <c r="R941" s="7"/>
      <c r="S941" s="7"/>
      <c r="T941" s="7"/>
      <c r="U941" s="7"/>
      <c r="W941" s="7"/>
    </row>
    <row r="942" spans="1:23" ht="15.75" customHeight="1">
      <c r="A942" s="8"/>
      <c r="B942" s="7"/>
      <c r="C942" s="33"/>
      <c r="D942" s="7"/>
      <c r="E942" s="7"/>
      <c r="F942" s="7"/>
      <c r="G942" s="7"/>
      <c r="H942" s="7"/>
      <c r="I942" s="7"/>
      <c r="J942" s="7"/>
      <c r="K942" s="7"/>
      <c r="L942" s="7"/>
      <c r="M942" s="7"/>
      <c r="N942" s="7"/>
      <c r="O942" s="7"/>
      <c r="P942" s="7"/>
      <c r="Q942" s="7"/>
      <c r="R942" s="7"/>
      <c r="S942" s="7"/>
      <c r="T942" s="7"/>
      <c r="U942" s="7"/>
      <c r="W942" s="7"/>
    </row>
    <row r="943" spans="1:23" ht="15.75" customHeight="1">
      <c r="A943" s="8"/>
      <c r="B943" s="7"/>
      <c r="C943" s="33"/>
      <c r="D943" s="7"/>
      <c r="E943" s="7"/>
      <c r="F943" s="7"/>
      <c r="G943" s="7"/>
      <c r="H943" s="7"/>
      <c r="I943" s="7"/>
      <c r="J943" s="7"/>
      <c r="K943" s="7"/>
      <c r="L943" s="7"/>
      <c r="M943" s="7"/>
      <c r="N943" s="7"/>
      <c r="O943" s="7"/>
      <c r="P943" s="7"/>
      <c r="Q943" s="7"/>
      <c r="R943" s="7"/>
      <c r="S943" s="7"/>
      <c r="T943" s="7"/>
      <c r="U943" s="7"/>
      <c r="W943" s="7"/>
    </row>
    <row r="944" spans="1:23" ht="15.75" customHeight="1">
      <c r="A944" s="8"/>
      <c r="B944" s="7"/>
      <c r="C944" s="33"/>
      <c r="D944" s="7"/>
      <c r="E944" s="7"/>
      <c r="F944" s="7"/>
      <c r="G944" s="7"/>
      <c r="H944" s="7"/>
      <c r="I944" s="7"/>
      <c r="J944" s="7"/>
      <c r="K944" s="7"/>
      <c r="L944" s="7"/>
      <c r="M944" s="7"/>
      <c r="N944" s="7"/>
      <c r="O944" s="7"/>
      <c r="P944" s="7"/>
      <c r="Q944" s="7"/>
      <c r="R944" s="7"/>
      <c r="S944" s="7"/>
      <c r="T944" s="7"/>
      <c r="U944" s="7"/>
      <c r="W944" s="7"/>
    </row>
    <row r="945" spans="1:23" ht="15.75" customHeight="1">
      <c r="A945" s="8"/>
      <c r="B945" s="7"/>
      <c r="C945" s="33"/>
      <c r="D945" s="7"/>
      <c r="E945" s="7"/>
      <c r="F945" s="7"/>
      <c r="G945" s="7"/>
      <c r="H945" s="7"/>
      <c r="I945" s="7"/>
      <c r="J945" s="7"/>
      <c r="K945" s="7"/>
      <c r="L945" s="7"/>
      <c r="M945" s="7"/>
      <c r="N945" s="7"/>
      <c r="O945" s="7"/>
      <c r="P945" s="7"/>
      <c r="Q945" s="7"/>
      <c r="R945" s="7"/>
      <c r="S945" s="7"/>
      <c r="T945" s="7"/>
      <c r="U945" s="7"/>
      <c r="W945" s="7"/>
    </row>
    <row r="946" spans="1:23" ht="15.75" customHeight="1">
      <c r="A946" s="8"/>
      <c r="B946" s="7"/>
      <c r="C946" s="33"/>
      <c r="D946" s="7"/>
      <c r="E946" s="7"/>
      <c r="F946" s="7"/>
      <c r="G946" s="7"/>
      <c r="H946" s="7"/>
      <c r="I946" s="7"/>
      <c r="J946" s="7"/>
      <c r="K946" s="7"/>
      <c r="L946" s="7"/>
      <c r="M946" s="7"/>
      <c r="N946" s="7"/>
      <c r="O946" s="7"/>
      <c r="P946" s="7"/>
      <c r="Q946" s="7"/>
      <c r="R946" s="7"/>
      <c r="S946" s="7"/>
      <c r="T946" s="7"/>
      <c r="U946" s="7"/>
      <c r="W946" s="7"/>
    </row>
    <row r="947" spans="1:23" ht="15.75" customHeight="1">
      <c r="A947" s="8"/>
      <c r="B947" s="7"/>
      <c r="C947" s="33"/>
      <c r="D947" s="7"/>
      <c r="E947" s="7"/>
      <c r="F947" s="7"/>
      <c r="G947" s="7"/>
      <c r="H947" s="7"/>
      <c r="I947" s="7"/>
      <c r="J947" s="7"/>
      <c r="K947" s="7"/>
      <c r="L947" s="7"/>
      <c r="M947" s="7"/>
      <c r="N947" s="7"/>
      <c r="O947" s="7"/>
      <c r="P947" s="7"/>
      <c r="Q947" s="7"/>
      <c r="R947" s="7"/>
      <c r="S947" s="7"/>
      <c r="T947" s="7"/>
      <c r="U947" s="7"/>
      <c r="W947" s="7"/>
    </row>
    <row r="948" spans="1:23" ht="15.75" customHeight="1">
      <c r="A948" s="8"/>
      <c r="B948" s="7"/>
      <c r="C948" s="33"/>
      <c r="D948" s="7"/>
      <c r="E948" s="7"/>
      <c r="F948" s="7"/>
      <c r="G948" s="7"/>
      <c r="H948" s="7"/>
      <c r="I948" s="7"/>
      <c r="J948" s="7"/>
      <c r="K948" s="7"/>
      <c r="L948" s="7"/>
      <c r="M948" s="7"/>
      <c r="N948" s="7"/>
      <c r="O948" s="7"/>
      <c r="P948" s="7"/>
      <c r="Q948" s="7"/>
      <c r="R948" s="7"/>
      <c r="S948" s="7"/>
      <c r="T948" s="7"/>
      <c r="U948" s="7"/>
      <c r="W948" s="7"/>
    </row>
    <row r="949" spans="1:23" ht="15.75" customHeight="1">
      <c r="A949" s="8"/>
      <c r="B949" s="7"/>
      <c r="C949" s="33"/>
      <c r="D949" s="7"/>
      <c r="E949" s="7"/>
      <c r="F949" s="7"/>
      <c r="G949" s="7"/>
      <c r="H949" s="7"/>
      <c r="I949" s="7"/>
      <c r="J949" s="7"/>
      <c r="K949" s="7"/>
      <c r="L949" s="7"/>
      <c r="M949" s="7"/>
      <c r="N949" s="7"/>
      <c r="O949" s="7"/>
      <c r="P949" s="7"/>
      <c r="Q949" s="7"/>
      <c r="R949" s="7"/>
      <c r="S949" s="7"/>
      <c r="T949" s="7"/>
      <c r="U949" s="7"/>
      <c r="W949" s="7"/>
    </row>
    <row r="950" spans="1:23" ht="15.75" customHeight="1">
      <c r="A950" s="8"/>
      <c r="B950" s="7"/>
      <c r="C950" s="33"/>
      <c r="D950" s="7"/>
      <c r="E950" s="7"/>
      <c r="F950" s="7"/>
      <c r="G950" s="7"/>
      <c r="H950" s="7"/>
      <c r="I950" s="7"/>
      <c r="J950" s="7"/>
      <c r="K950" s="7"/>
      <c r="L950" s="7"/>
      <c r="M950" s="7"/>
      <c r="N950" s="7"/>
      <c r="O950" s="7"/>
      <c r="P950" s="7"/>
      <c r="Q950" s="7"/>
      <c r="R950" s="7"/>
      <c r="S950" s="7"/>
      <c r="T950" s="7"/>
      <c r="U950" s="7"/>
      <c r="W950" s="7"/>
    </row>
    <row r="951" spans="1:23" ht="15.75" customHeight="1">
      <c r="A951" s="8"/>
      <c r="B951" s="7"/>
      <c r="C951" s="33"/>
      <c r="D951" s="7"/>
      <c r="E951" s="7"/>
      <c r="F951" s="7"/>
      <c r="G951" s="7"/>
      <c r="H951" s="7"/>
      <c r="I951" s="7"/>
      <c r="J951" s="7"/>
      <c r="K951" s="7"/>
      <c r="L951" s="7"/>
      <c r="M951" s="7"/>
      <c r="N951" s="7"/>
      <c r="O951" s="7"/>
      <c r="P951" s="7"/>
      <c r="Q951" s="7"/>
      <c r="R951" s="7"/>
      <c r="S951" s="7"/>
      <c r="T951" s="7"/>
      <c r="U951" s="7"/>
      <c r="W951" s="7"/>
    </row>
    <row r="952" spans="1:23" ht="15.75" customHeight="1">
      <c r="A952" s="8"/>
      <c r="B952" s="7"/>
      <c r="C952" s="33"/>
      <c r="D952" s="7"/>
      <c r="E952" s="7"/>
      <c r="F952" s="7"/>
      <c r="G952" s="7"/>
      <c r="H952" s="7"/>
      <c r="I952" s="7"/>
      <c r="J952" s="7"/>
      <c r="K952" s="7"/>
      <c r="L952" s="7"/>
      <c r="M952" s="7"/>
      <c r="N952" s="7"/>
      <c r="O952" s="7"/>
      <c r="P952" s="7"/>
      <c r="Q952" s="7"/>
      <c r="R952" s="7"/>
      <c r="S952" s="7"/>
      <c r="T952" s="7"/>
      <c r="U952" s="7"/>
      <c r="W952" s="7"/>
    </row>
    <row r="953" spans="1:23" ht="15.75" customHeight="1">
      <c r="A953" s="8"/>
      <c r="B953" s="7"/>
      <c r="C953" s="33"/>
      <c r="D953" s="7"/>
      <c r="E953" s="7"/>
      <c r="F953" s="7"/>
      <c r="G953" s="7"/>
      <c r="H953" s="7"/>
      <c r="I953" s="7"/>
      <c r="J953" s="7"/>
      <c r="K953" s="7"/>
      <c r="L953" s="7"/>
      <c r="M953" s="7"/>
      <c r="N953" s="7"/>
      <c r="O953" s="7"/>
      <c r="P953" s="7"/>
      <c r="Q953" s="7"/>
      <c r="R953" s="7"/>
      <c r="S953" s="7"/>
      <c r="T953" s="7"/>
      <c r="U953" s="7"/>
      <c r="W953" s="7"/>
    </row>
    <row r="954" spans="1:23" ht="15.75" customHeight="1">
      <c r="A954" s="8"/>
      <c r="B954" s="7"/>
      <c r="C954" s="33"/>
      <c r="D954" s="7"/>
      <c r="E954" s="7"/>
      <c r="F954" s="7"/>
      <c r="G954" s="7"/>
      <c r="H954" s="7"/>
      <c r="I954" s="7"/>
      <c r="J954" s="7"/>
      <c r="K954" s="7"/>
      <c r="L954" s="7"/>
      <c r="M954" s="7"/>
      <c r="N954" s="7"/>
      <c r="O954" s="7"/>
      <c r="P954" s="7"/>
      <c r="Q954" s="7"/>
      <c r="R954" s="7"/>
      <c r="S954" s="7"/>
      <c r="T954" s="7"/>
      <c r="U954" s="7"/>
      <c r="W954" s="7"/>
    </row>
    <row r="955" spans="1:23" ht="15.75" customHeight="1">
      <c r="A955" s="8"/>
      <c r="B955" s="7"/>
      <c r="C955" s="33"/>
      <c r="D955" s="7"/>
      <c r="E955" s="7"/>
      <c r="F955" s="7"/>
      <c r="G955" s="7"/>
      <c r="H955" s="7"/>
      <c r="I955" s="7"/>
      <c r="J955" s="7"/>
      <c r="K955" s="7"/>
      <c r="L955" s="7"/>
      <c r="M955" s="7"/>
      <c r="N955" s="7"/>
      <c r="O955" s="7"/>
      <c r="P955" s="7"/>
      <c r="Q955" s="7"/>
      <c r="R955" s="7"/>
      <c r="S955" s="7"/>
      <c r="T955" s="7"/>
      <c r="U955" s="7"/>
      <c r="W955" s="7"/>
    </row>
    <row r="956" spans="1:23" ht="15.75" customHeight="1">
      <c r="A956" s="8"/>
      <c r="B956" s="7"/>
      <c r="C956" s="33"/>
      <c r="D956" s="7"/>
      <c r="E956" s="7"/>
      <c r="F956" s="7"/>
      <c r="G956" s="7"/>
      <c r="H956" s="7"/>
      <c r="I956" s="7"/>
      <c r="J956" s="7"/>
      <c r="K956" s="7"/>
      <c r="L956" s="7"/>
      <c r="M956" s="7"/>
      <c r="N956" s="7"/>
      <c r="O956" s="7"/>
      <c r="P956" s="7"/>
      <c r="Q956" s="7"/>
      <c r="R956" s="7"/>
      <c r="S956" s="7"/>
      <c r="T956" s="7"/>
      <c r="U956" s="7"/>
      <c r="W956" s="7"/>
    </row>
    <row r="957" spans="1:23" ht="15.75" customHeight="1">
      <c r="A957" s="8"/>
      <c r="B957" s="7"/>
      <c r="C957" s="33"/>
      <c r="D957" s="7"/>
      <c r="E957" s="7"/>
      <c r="F957" s="7"/>
      <c r="G957" s="7"/>
      <c r="H957" s="7"/>
      <c r="I957" s="7"/>
      <c r="J957" s="7"/>
      <c r="K957" s="7"/>
      <c r="L957" s="7"/>
      <c r="M957" s="7"/>
      <c r="N957" s="7"/>
      <c r="O957" s="7"/>
      <c r="P957" s="7"/>
      <c r="Q957" s="7"/>
      <c r="R957" s="7"/>
      <c r="S957" s="7"/>
      <c r="T957" s="7"/>
      <c r="U957" s="7"/>
      <c r="W957" s="7"/>
    </row>
    <row r="958" spans="1:23" ht="15.75" customHeight="1">
      <c r="A958" s="8"/>
      <c r="B958" s="7"/>
      <c r="C958" s="33"/>
      <c r="D958" s="7"/>
      <c r="E958" s="7"/>
      <c r="F958" s="7"/>
      <c r="G958" s="7"/>
      <c r="H958" s="7"/>
      <c r="I958" s="7"/>
      <c r="J958" s="7"/>
      <c r="K958" s="7"/>
      <c r="L958" s="7"/>
      <c r="M958" s="7"/>
      <c r="N958" s="7"/>
      <c r="O958" s="7"/>
      <c r="P958" s="7"/>
      <c r="Q958" s="7"/>
      <c r="R958" s="7"/>
      <c r="S958" s="7"/>
      <c r="T958" s="7"/>
      <c r="U958" s="7"/>
      <c r="W958" s="7"/>
    </row>
    <row r="959" spans="1:23" ht="15.75" customHeight="1">
      <c r="A959" s="8"/>
      <c r="B959" s="7"/>
      <c r="C959" s="33"/>
      <c r="D959" s="7"/>
      <c r="E959" s="7"/>
      <c r="F959" s="7"/>
      <c r="G959" s="7"/>
      <c r="H959" s="7"/>
      <c r="I959" s="7"/>
      <c r="J959" s="7"/>
      <c r="K959" s="7"/>
      <c r="L959" s="7"/>
      <c r="M959" s="7"/>
      <c r="N959" s="7"/>
      <c r="O959" s="7"/>
      <c r="P959" s="7"/>
      <c r="Q959" s="7"/>
      <c r="R959" s="7"/>
      <c r="S959" s="7"/>
      <c r="T959" s="7"/>
      <c r="U959" s="7"/>
      <c r="W959" s="7"/>
    </row>
    <row r="960" spans="1:23" ht="15.75" customHeight="1">
      <c r="A960" s="8"/>
      <c r="B960" s="7"/>
      <c r="C960" s="33"/>
      <c r="D960" s="7"/>
      <c r="E960" s="7"/>
      <c r="F960" s="7"/>
      <c r="G960" s="7"/>
      <c r="H960" s="7"/>
      <c r="I960" s="7"/>
      <c r="J960" s="7"/>
      <c r="K960" s="7"/>
      <c r="L960" s="7"/>
      <c r="M960" s="7"/>
      <c r="N960" s="7"/>
      <c r="O960" s="7"/>
      <c r="P960" s="7"/>
      <c r="Q960" s="7"/>
      <c r="R960" s="7"/>
      <c r="S960" s="7"/>
      <c r="T960" s="7"/>
      <c r="U960" s="7"/>
      <c r="W960" s="7"/>
    </row>
    <row r="961" spans="1:23" ht="15.75" customHeight="1">
      <c r="A961" s="8"/>
      <c r="B961" s="7"/>
      <c r="C961" s="33"/>
      <c r="D961" s="7"/>
      <c r="E961" s="7"/>
      <c r="F961" s="7"/>
      <c r="G961" s="7"/>
      <c r="H961" s="7"/>
      <c r="I961" s="7"/>
      <c r="J961" s="7"/>
      <c r="K961" s="7"/>
      <c r="L961" s="7"/>
      <c r="M961" s="7"/>
      <c r="N961" s="7"/>
      <c r="O961" s="7"/>
      <c r="P961" s="7"/>
      <c r="Q961" s="7"/>
      <c r="R961" s="7"/>
      <c r="S961" s="7"/>
      <c r="T961" s="7"/>
      <c r="U961" s="7"/>
      <c r="W961" s="7"/>
    </row>
    <row r="962" spans="1:23" ht="15.75" customHeight="1">
      <c r="A962" s="8"/>
      <c r="B962" s="7"/>
      <c r="C962" s="33"/>
      <c r="D962" s="7"/>
      <c r="E962" s="7"/>
      <c r="F962" s="7"/>
      <c r="G962" s="7"/>
      <c r="H962" s="7"/>
      <c r="I962" s="7"/>
      <c r="J962" s="7"/>
      <c r="K962" s="7"/>
      <c r="L962" s="7"/>
      <c r="M962" s="7"/>
      <c r="N962" s="7"/>
      <c r="O962" s="7"/>
      <c r="P962" s="7"/>
      <c r="Q962" s="7"/>
      <c r="R962" s="7"/>
      <c r="S962" s="7"/>
      <c r="T962" s="7"/>
      <c r="U962" s="7"/>
      <c r="W962" s="7"/>
    </row>
    <row r="963" spans="1:23" ht="15.75" customHeight="1">
      <c r="A963" s="8"/>
      <c r="B963" s="7"/>
      <c r="C963" s="33"/>
      <c r="D963" s="7"/>
      <c r="E963" s="7"/>
      <c r="F963" s="7"/>
      <c r="G963" s="7"/>
      <c r="H963" s="7"/>
      <c r="I963" s="7"/>
      <c r="J963" s="7"/>
      <c r="K963" s="7"/>
      <c r="L963" s="7"/>
      <c r="M963" s="7"/>
      <c r="N963" s="7"/>
      <c r="O963" s="7"/>
      <c r="P963" s="7"/>
      <c r="Q963" s="7"/>
      <c r="R963" s="7"/>
      <c r="S963" s="7"/>
      <c r="T963" s="7"/>
      <c r="U963" s="7"/>
      <c r="W963" s="7"/>
    </row>
    <row r="964" spans="1:23" ht="15.75" customHeight="1">
      <c r="A964" s="8"/>
      <c r="B964" s="7"/>
      <c r="C964" s="33"/>
      <c r="D964" s="7"/>
      <c r="E964" s="7"/>
      <c r="F964" s="7"/>
      <c r="G964" s="7"/>
      <c r="H964" s="7"/>
      <c r="I964" s="7"/>
      <c r="J964" s="7"/>
      <c r="K964" s="7"/>
      <c r="L964" s="7"/>
      <c r="M964" s="7"/>
      <c r="N964" s="7"/>
      <c r="O964" s="7"/>
      <c r="P964" s="7"/>
      <c r="Q964" s="7"/>
      <c r="R964" s="7"/>
      <c r="S964" s="7"/>
      <c r="T964" s="7"/>
      <c r="U964" s="7"/>
      <c r="W964" s="7"/>
    </row>
    <row r="965" spans="1:23" ht="15.75" customHeight="1">
      <c r="A965" s="8"/>
      <c r="B965" s="7"/>
      <c r="C965" s="33"/>
      <c r="D965" s="7"/>
      <c r="E965" s="7"/>
      <c r="F965" s="7"/>
      <c r="G965" s="7"/>
      <c r="H965" s="7"/>
      <c r="I965" s="7"/>
      <c r="J965" s="7"/>
      <c r="K965" s="7"/>
      <c r="L965" s="7"/>
      <c r="M965" s="7"/>
      <c r="N965" s="7"/>
      <c r="O965" s="7"/>
      <c r="P965" s="7"/>
      <c r="Q965" s="7"/>
      <c r="R965" s="7"/>
      <c r="S965" s="7"/>
      <c r="T965" s="7"/>
      <c r="U965" s="7"/>
      <c r="W965" s="7"/>
    </row>
    <row r="966" spans="1:23" ht="15.75" customHeight="1">
      <c r="A966" s="8"/>
      <c r="B966" s="7"/>
      <c r="C966" s="33"/>
      <c r="D966" s="7"/>
      <c r="E966" s="7"/>
      <c r="F966" s="7"/>
      <c r="G966" s="7"/>
      <c r="H966" s="7"/>
      <c r="I966" s="7"/>
      <c r="J966" s="7"/>
      <c r="K966" s="7"/>
      <c r="L966" s="7"/>
      <c r="M966" s="7"/>
      <c r="N966" s="7"/>
      <c r="O966" s="7"/>
      <c r="P966" s="7"/>
      <c r="Q966" s="7"/>
      <c r="R966" s="7"/>
      <c r="S966" s="7"/>
      <c r="T966" s="7"/>
      <c r="U966" s="7"/>
      <c r="W966" s="7"/>
    </row>
    <row r="967" spans="1:23" ht="15.75" customHeight="1">
      <c r="A967" s="8"/>
      <c r="B967" s="7"/>
      <c r="C967" s="33"/>
      <c r="D967" s="7"/>
      <c r="E967" s="7"/>
      <c r="F967" s="7"/>
      <c r="G967" s="7"/>
      <c r="H967" s="7"/>
      <c r="I967" s="7"/>
      <c r="J967" s="7"/>
      <c r="K967" s="7"/>
      <c r="L967" s="7"/>
      <c r="M967" s="7"/>
      <c r="N967" s="7"/>
      <c r="O967" s="7"/>
      <c r="P967" s="7"/>
      <c r="Q967" s="7"/>
      <c r="R967" s="7"/>
      <c r="S967" s="7"/>
      <c r="T967" s="7"/>
      <c r="U967" s="7"/>
      <c r="W967" s="7"/>
    </row>
    <row r="968" spans="1:23" ht="15.75" customHeight="1">
      <c r="A968" s="8"/>
      <c r="B968" s="7"/>
      <c r="C968" s="33"/>
      <c r="D968" s="7"/>
      <c r="E968" s="7"/>
      <c r="F968" s="7"/>
      <c r="G968" s="7"/>
      <c r="H968" s="7"/>
      <c r="I968" s="7"/>
      <c r="J968" s="7"/>
      <c r="K968" s="7"/>
      <c r="L968" s="7"/>
      <c r="M968" s="7"/>
      <c r="N968" s="7"/>
      <c r="O968" s="7"/>
      <c r="P968" s="7"/>
      <c r="Q968" s="7"/>
      <c r="R968" s="7"/>
      <c r="S968" s="7"/>
      <c r="T968" s="7"/>
      <c r="U968" s="7"/>
      <c r="W968" s="7"/>
    </row>
    <row r="969" spans="1:23" ht="15.75" customHeight="1">
      <c r="A969" s="8"/>
      <c r="B969" s="7"/>
      <c r="C969" s="33"/>
      <c r="D969" s="7"/>
      <c r="E969" s="7"/>
      <c r="F969" s="7"/>
      <c r="G969" s="7"/>
      <c r="H969" s="7"/>
      <c r="I969" s="7"/>
      <c r="J969" s="7"/>
      <c r="K969" s="7"/>
      <c r="L969" s="7"/>
      <c r="M969" s="7"/>
      <c r="N969" s="7"/>
      <c r="O969" s="7"/>
      <c r="P969" s="7"/>
      <c r="Q969" s="7"/>
      <c r="R969" s="7"/>
      <c r="S969" s="7"/>
      <c r="T969" s="7"/>
      <c r="U969" s="7"/>
      <c r="W969" s="7"/>
    </row>
    <row r="970" spans="1:23" ht="15.75" customHeight="1">
      <c r="A970" s="8"/>
      <c r="B970" s="7"/>
      <c r="C970" s="33"/>
      <c r="D970" s="7"/>
      <c r="E970" s="7"/>
      <c r="F970" s="7"/>
      <c r="G970" s="7"/>
      <c r="H970" s="7"/>
      <c r="I970" s="7"/>
      <c r="J970" s="7"/>
      <c r="K970" s="7"/>
      <c r="L970" s="7"/>
      <c r="M970" s="7"/>
      <c r="N970" s="7"/>
      <c r="O970" s="7"/>
      <c r="P970" s="7"/>
      <c r="Q970" s="7"/>
      <c r="R970" s="7"/>
      <c r="S970" s="7"/>
      <c r="T970" s="7"/>
      <c r="U970" s="7"/>
      <c r="W970" s="7"/>
    </row>
    <row r="971" spans="1:23" ht="15.75" customHeight="1">
      <c r="A971" s="8"/>
      <c r="B971" s="7"/>
      <c r="C971" s="33"/>
      <c r="D971" s="7"/>
      <c r="E971" s="7"/>
      <c r="F971" s="7"/>
      <c r="G971" s="7"/>
      <c r="H971" s="7"/>
      <c r="I971" s="7"/>
      <c r="J971" s="7"/>
      <c r="K971" s="7"/>
      <c r="L971" s="7"/>
      <c r="M971" s="7"/>
      <c r="N971" s="7"/>
      <c r="O971" s="7"/>
      <c r="P971" s="7"/>
      <c r="Q971" s="7"/>
      <c r="R971" s="7"/>
      <c r="S971" s="7"/>
      <c r="T971" s="7"/>
      <c r="U971" s="7"/>
      <c r="W971" s="7"/>
    </row>
    <row r="972" spans="1:23" ht="15.75" customHeight="1">
      <c r="A972" s="8"/>
      <c r="B972" s="7"/>
      <c r="C972" s="33"/>
      <c r="D972" s="7"/>
      <c r="E972" s="7"/>
      <c r="F972" s="7"/>
      <c r="G972" s="7"/>
      <c r="H972" s="7"/>
      <c r="I972" s="7"/>
      <c r="J972" s="7"/>
      <c r="K972" s="7"/>
      <c r="L972" s="7"/>
      <c r="M972" s="7"/>
      <c r="N972" s="7"/>
      <c r="O972" s="7"/>
      <c r="P972" s="7"/>
      <c r="Q972" s="7"/>
      <c r="R972" s="7"/>
      <c r="S972" s="7"/>
      <c r="T972" s="7"/>
      <c r="U972" s="7"/>
      <c r="W972" s="7"/>
    </row>
    <row r="973" spans="1:23" ht="15.75" customHeight="1">
      <c r="A973" s="8"/>
      <c r="B973" s="7"/>
      <c r="C973" s="33"/>
      <c r="D973" s="7"/>
      <c r="E973" s="7"/>
      <c r="F973" s="7"/>
      <c r="G973" s="7"/>
      <c r="H973" s="7"/>
      <c r="I973" s="7"/>
      <c r="J973" s="7"/>
      <c r="K973" s="7"/>
      <c r="L973" s="7"/>
      <c r="M973" s="7"/>
      <c r="N973" s="7"/>
      <c r="O973" s="7"/>
      <c r="P973" s="7"/>
      <c r="Q973" s="7"/>
      <c r="R973" s="7"/>
      <c r="S973" s="7"/>
      <c r="T973" s="7"/>
      <c r="U973" s="7"/>
      <c r="W973" s="7"/>
    </row>
    <row r="974" spans="1:23" ht="15.75" customHeight="1">
      <c r="A974" s="8"/>
      <c r="B974" s="7"/>
      <c r="C974" s="33"/>
      <c r="D974" s="7"/>
      <c r="E974" s="7"/>
      <c r="F974" s="7"/>
      <c r="G974" s="7"/>
      <c r="H974" s="7"/>
      <c r="I974" s="7"/>
      <c r="J974" s="7"/>
      <c r="K974" s="7"/>
      <c r="L974" s="7"/>
      <c r="M974" s="7"/>
      <c r="N974" s="7"/>
      <c r="O974" s="7"/>
      <c r="P974" s="7"/>
      <c r="Q974" s="7"/>
      <c r="R974" s="7"/>
      <c r="S974" s="7"/>
      <c r="T974" s="7"/>
      <c r="U974" s="7"/>
      <c r="W974" s="7"/>
    </row>
    <row r="975" spans="1:23" ht="15.75" customHeight="1">
      <c r="A975" s="8"/>
      <c r="B975" s="7"/>
      <c r="C975" s="33"/>
      <c r="D975" s="7"/>
      <c r="E975" s="7"/>
      <c r="F975" s="7"/>
      <c r="G975" s="7"/>
      <c r="H975" s="7"/>
      <c r="I975" s="7"/>
      <c r="J975" s="7"/>
      <c r="K975" s="7"/>
      <c r="L975" s="7"/>
      <c r="M975" s="7"/>
      <c r="N975" s="7"/>
      <c r="O975" s="7"/>
      <c r="P975" s="7"/>
      <c r="Q975" s="7"/>
      <c r="R975" s="7"/>
      <c r="S975" s="7"/>
      <c r="T975" s="7"/>
      <c r="U975" s="7"/>
      <c r="W975" s="7"/>
    </row>
    <row r="976" spans="1:23" ht="15.75" customHeight="1">
      <c r="A976" s="8"/>
      <c r="B976" s="7"/>
      <c r="C976" s="33"/>
      <c r="D976" s="7"/>
      <c r="E976" s="7"/>
      <c r="F976" s="7"/>
      <c r="G976" s="7"/>
      <c r="H976" s="7"/>
      <c r="I976" s="7"/>
      <c r="J976" s="7"/>
      <c r="K976" s="7"/>
      <c r="L976" s="7"/>
      <c r="M976" s="7"/>
      <c r="N976" s="7"/>
      <c r="O976" s="7"/>
      <c r="P976" s="7"/>
      <c r="Q976" s="7"/>
      <c r="R976" s="7"/>
      <c r="S976" s="7"/>
      <c r="T976" s="7"/>
      <c r="U976" s="7"/>
      <c r="W976" s="7"/>
    </row>
    <row r="977" spans="1:23" ht="15.75" customHeight="1">
      <c r="A977" s="8"/>
      <c r="B977" s="7"/>
      <c r="C977" s="33"/>
      <c r="D977" s="7"/>
      <c r="E977" s="7"/>
      <c r="F977" s="7"/>
      <c r="G977" s="7"/>
      <c r="H977" s="7"/>
      <c r="I977" s="7"/>
      <c r="J977" s="7"/>
      <c r="K977" s="7"/>
      <c r="L977" s="7"/>
      <c r="M977" s="7"/>
      <c r="N977" s="7"/>
      <c r="O977" s="7"/>
      <c r="P977" s="7"/>
      <c r="Q977" s="7"/>
      <c r="R977" s="7"/>
      <c r="S977" s="7"/>
      <c r="T977" s="7"/>
      <c r="U977" s="7"/>
      <c r="W977" s="7"/>
    </row>
    <row r="978" spans="1:23" ht="15.75" customHeight="1">
      <c r="A978" s="8"/>
      <c r="B978" s="7"/>
      <c r="C978" s="33"/>
      <c r="D978" s="7"/>
      <c r="E978" s="7"/>
      <c r="F978" s="7"/>
      <c r="G978" s="7"/>
      <c r="H978" s="7"/>
      <c r="I978" s="7"/>
      <c r="J978" s="7"/>
      <c r="K978" s="7"/>
      <c r="L978" s="7"/>
      <c r="M978" s="7"/>
      <c r="N978" s="7"/>
      <c r="O978" s="7"/>
      <c r="P978" s="7"/>
      <c r="Q978" s="7"/>
      <c r="R978" s="7"/>
      <c r="S978" s="7"/>
      <c r="T978" s="7"/>
      <c r="U978" s="7"/>
      <c r="W978" s="7"/>
    </row>
    <row r="979" spans="1:23" ht="15.75" customHeight="1">
      <c r="A979" s="8"/>
      <c r="B979" s="7"/>
      <c r="C979" s="33"/>
      <c r="D979" s="7"/>
      <c r="E979" s="7"/>
      <c r="F979" s="7"/>
      <c r="G979" s="7"/>
      <c r="H979" s="7"/>
      <c r="I979" s="7"/>
      <c r="J979" s="7"/>
      <c r="K979" s="7"/>
      <c r="L979" s="7"/>
      <c r="M979" s="7"/>
      <c r="N979" s="7"/>
      <c r="O979" s="7"/>
      <c r="P979" s="7"/>
      <c r="Q979" s="7"/>
      <c r="R979" s="7"/>
      <c r="S979" s="7"/>
      <c r="T979" s="7"/>
      <c r="U979" s="7"/>
      <c r="W979" s="7"/>
    </row>
    <row r="980" spans="1:23" ht="15.75" customHeight="1">
      <c r="A980" s="8"/>
      <c r="B980" s="7"/>
      <c r="C980" s="33"/>
      <c r="D980" s="7"/>
      <c r="E980" s="7"/>
      <c r="F980" s="7"/>
      <c r="G980" s="7"/>
      <c r="H980" s="7"/>
      <c r="I980" s="7"/>
      <c r="J980" s="7"/>
      <c r="K980" s="7"/>
      <c r="L980" s="7"/>
      <c r="M980" s="7"/>
      <c r="N980" s="7"/>
      <c r="O980" s="7"/>
      <c r="P980" s="7"/>
      <c r="Q980" s="7"/>
      <c r="R980" s="7"/>
      <c r="S980" s="7"/>
      <c r="T980" s="7"/>
      <c r="U980" s="7"/>
      <c r="W980" s="7"/>
    </row>
    <row r="981" spans="1:23" ht="15.75" customHeight="1">
      <c r="A981" s="8"/>
      <c r="B981" s="7"/>
      <c r="C981" s="33"/>
      <c r="D981" s="7"/>
      <c r="E981" s="7"/>
      <c r="F981" s="7"/>
      <c r="G981" s="7"/>
      <c r="H981" s="7"/>
      <c r="I981" s="7"/>
      <c r="J981" s="7"/>
      <c r="K981" s="7"/>
      <c r="L981" s="7"/>
      <c r="M981" s="7"/>
      <c r="N981" s="7"/>
      <c r="O981" s="7"/>
      <c r="P981" s="7"/>
      <c r="Q981" s="7"/>
      <c r="R981" s="7"/>
      <c r="S981" s="7"/>
      <c r="T981" s="7"/>
      <c r="U981" s="7"/>
      <c r="W981" s="7"/>
    </row>
    <row r="982" spans="1:23" ht="15.75" customHeight="1">
      <c r="A982" s="8"/>
      <c r="B982" s="7"/>
      <c r="C982" s="33"/>
      <c r="D982" s="7"/>
      <c r="E982" s="7"/>
      <c r="F982" s="7"/>
      <c r="G982" s="7"/>
      <c r="H982" s="7"/>
      <c r="I982" s="7"/>
      <c r="J982" s="7"/>
      <c r="K982" s="7"/>
      <c r="L982" s="7"/>
      <c r="M982" s="7"/>
      <c r="N982" s="7"/>
      <c r="O982" s="7"/>
      <c r="P982" s="7"/>
      <c r="Q982" s="7"/>
      <c r="R982" s="7"/>
      <c r="S982" s="7"/>
      <c r="T982" s="7"/>
      <c r="U982" s="7"/>
      <c r="W982" s="7"/>
    </row>
    <row r="983" spans="1:23" ht="15.75" customHeight="1">
      <c r="A983" s="8"/>
      <c r="B983" s="7"/>
      <c r="C983" s="33"/>
      <c r="D983" s="7"/>
      <c r="E983" s="7"/>
      <c r="F983" s="7"/>
      <c r="G983" s="7"/>
      <c r="H983" s="7"/>
      <c r="I983" s="7"/>
      <c r="J983" s="7"/>
      <c r="K983" s="7"/>
      <c r="L983" s="7"/>
      <c r="M983" s="7"/>
      <c r="N983" s="7"/>
      <c r="O983" s="7"/>
      <c r="P983" s="7"/>
      <c r="Q983" s="7"/>
      <c r="R983" s="7"/>
      <c r="S983" s="7"/>
      <c r="T983" s="7"/>
      <c r="U983" s="7"/>
      <c r="W983" s="7"/>
    </row>
    <row r="984" spans="1:23" ht="15.75" customHeight="1">
      <c r="A984" s="8"/>
      <c r="B984" s="7"/>
      <c r="C984" s="33"/>
      <c r="D984" s="7"/>
      <c r="E984" s="7"/>
      <c r="F984" s="7"/>
      <c r="G984" s="7"/>
      <c r="H984" s="7"/>
      <c r="I984" s="7"/>
      <c r="J984" s="7"/>
      <c r="K984" s="7"/>
      <c r="L984" s="7"/>
      <c r="M984" s="7"/>
      <c r="N984" s="7"/>
      <c r="O984" s="7"/>
      <c r="P984" s="7"/>
      <c r="Q984" s="7"/>
      <c r="R984" s="7"/>
      <c r="S984" s="7"/>
      <c r="T984" s="7"/>
      <c r="U984" s="7"/>
      <c r="W984" s="7"/>
    </row>
    <row r="985" spans="1:23" ht="15.75" customHeight="1">
      <c r="A985" s="8"/>
      <c r="B985" s="7"/>
      <c r="C985" s="33"/>
      <c r="D985" s="7"/>
      <c r="E985" s="7"/>
      <c r="F985" s="7"/>
      <c r="G985" s="7"/>
      <c r="H985" s="7"/>
      <c r="I985" s="7"/>
      <c r="J985" s="7"/>
      <c r="K985" s="7"/>
      <c r="L985" s="7"/>
      <c r="M985" s="7"/>
      <c r="N985" s="7"/>
      <c r="O985" s="7"/>
      <c r="P985" s="7"/>
      <c r="Q985" s="7"/>
      <c r="R985" s="7"/>
      <c r="S985" s="7"/>
      <c r="T985" s="7"/>
      <c r="U985" s="7"/>
      <c r="W985" s="7"/>
    </row>
    <row r="986" spans="1:23" ht="15.75" customHeight="1">
      <c r="A986" s="8"/>
      <c r="B986" s="7"/>
      <c r="C986" s="33"/>
      <c r="D986" s="7"/>
      <c r="E986" s="7"/>
      <c r="F986" s="7"/>
      <c r="G986" s="7"/>
      <c r="H986" s="7"/>
      <c r="I986" s="7"/>
      <c r="J986" s="7"/>
      <c r="K986" s="7"/>
      <c r="L986" s="7"/>
      <c r="M986" s="7"/>
      <c r="N986" s="7"/>
      <c r="O986" s="7"/>
      <c r="P986" s="7"/>
      <c r="Q986" s="7"/>
      <c r="R986" s="7"/>
      <c r="S986" s="7"/>
      <c r="T986" s="7"/>
      <c r="U986" s="7"/>
      <c r="W986" s="7"/>
    </row>
    <row r="987" spans="1:23" ht="15.75" customHeight="1">
      <c r="A987" s="8"/>
      <c r="B987" s="7"/>
      <c r="C987" s="33"/>
      <c r="D987" s="7"/>
      <c r="E987" s="7"/>
      <c r="F987" s="7"/>
      <c r="G987" s="7"/>
      <c r="H987" s="7"/>
      <c r="I987" s="7"/>
      <c r="J987" s="7"/>
      <c r="K987" s="7"/>
      <c r="L987" s="7"/>
      <c r="M987" s="7"/>
      <c r="N987" s="7"/>
      <c r="O987" s="7"/>
      <c r="P987" s="7"/>
      <c r="Q987" s="7"/>
      <c r="R987" s="7"/>
      <c r="S987" s="7"/>
      <c r="T987" s="7"/>
      <c r="U987" s="7"/>
      <c r="W987" s="7"/>
    </row>
    <row r="988" spans="1:23" ht="15.75" customHeight="1">
      <c r="A988" s="8"/>
      <c r="B988" s="7"/>
      <c r="C988" s="33"/>
      <c r="D988" s="7"/>
      <c r="E988" s="7"/>
      <c r="F988" s="7"/>
      <c r="G988" s="7"/>
      <c r="H988" s="7"/>
      <c r="I988" s="7"/>
      <c r="J988" s="7"/>
      <c r="K988" s="7"/>
      <c r="L988" s="7"/>
      <c r="M988" s="7"/>
      <c r="N988" s="7"/>
      <c r="O988" s="7"/>
      <c r="P988" s="7"/>
      <c r="Q988" s="7"/>
      <c r="R988" s="7"/>
      <c r="S988" s="7"/>
      <c r="T988" s="7"/>
      <c r="U988" s="7"/>
      <c r="W988" s="7"/>
    </row>
    <row r="989" spans="1:23" ht="15.75" customHeight="1">
      <c r="A989" s="8"/>
      <c r="B989" s="7"/>
      <c r="C989" s="33"/>
      <c r="D989" s="7"/>
      <c r="E989" s="7"/>
      <c r="F989" s="7"/>
      <c r="G989" s="7"/>
      <c r="H989" s="7"/>
      <c r="I989" s="7"/>
      <c r="J989" s="7"/>
      <c r="K989" s="7"/>
      <c r="L989" s="7"/>
      <c r="M989" s="7"/>
      <c r="N989" s="7"/>
      <c r="O989" s="7"/>
      <c r="P989" s="7"/>
      <c r="Q989" s="7"/>
      <c r="R989" s="7"/>
      <c r="S989" s="7"/>
      <c r="T989" s="7"/>
      <c r="U989" s="7"/>
      <c r="W989" s="7"/>
    </row>
    <row r="990" spans="1:23" ht="15.75" customHeight="1">
      <c r="A990" s="8"/>
      <c r="B990" s="7"/>
      <c r="C990" s="33"/>
      <c r="D990" s="7"/>
      <c r="E990" s="7"/>
      <c r="F990" s="7"/>
      <c r="G990" s="7"/>
      <c r="H990" s="7"/>
      <c r="I990" s="7"/>
      <c r="J990" s="7"/>
      <c r="K990" s="7"/>
      <c r="L990" s="7"/>
      <c r="M990" s="7"/>
      <c r="N990" s="7"/>
      <c r="O990" s="7"/>
      <c r="P990" s="7"/>
      <c r="Q990" s="7"/>
      <c r="R990" s="7"/>
      <c r="S990" s="7"/>
      <c r="T990" s="7"/>
      <c r="U990" s="7"/>
      <c r="W990" s="7"/>
    </row>
    <row r="991" spans="1:23" ht="15.75" customHeight="1">
      <c r="A991" s="8"/>
      <c r="B991" s="7"/>
      <c r="C991" s="33"/>
      <c r="D991" s="7"/>
      <c r="E991" s="7"/>
      <c r="F991" s="7"/>
      <c r="G991" s="7"/>
      <c r="H991" s="7"/>
      <c r="I991" s="7"/>
      <c r="J991" s="7"/>
      <c r="K991" s="7"/>
      <c r="L991" s="7"/>
      <c r="M991" s="7"/>
      <c r="N991" s="7"/>
      <c r="O991" s="7"/>
      <c r="P991" s="7"/>
      <c r="Q991" s="7"/>
      <c r="R991" s="7"/>
      <c r="S991" s="7"/>
      <c r="T991" s="7"/>
      <c r="U991" s="7"/>
      <c r="W991" s="7"/>
    </row>
    <row r="992" spans="1:23" ht="15.75" customHeight="1">
      <c r="A992" s="8"/>
      <c r="B992" s="7"/>
      <c r="C992" s="33"/>
      <c r="D992" s="7"/>
      <c r="E992" s="7"/>
      <c r="F992" s="7"/>
      <c r="G992" s="7"/>
      <c r="H992" s="7"/>
      <c r="I992" s="7"/>
      <c r="J992" s="7"/>
      <c r="K992" s="7"/>
      <c r="L992" s="7"/>
      <c r="M992" s="7"/>
      <c r="N992" s="7"/>
      <c r="O992" s="7"/>
      <c r="P992" s="7"/>
      <c r="Q992" s="7"/>
      <c r="R992" s="7"/>
      <c r="S992" s="7"/>
      <c r="T992" s="7"/>
      <c r="U992" s="7"/>
      <c r="W992" s="7"/>
    </row>
    <row r="993" spans="1:23" ht="15.75" customHeight="1">
      <c r="A993" s="8"/>
      <c r="B993" s="7"/>
      <c r="C993" s="33"/>
      <c r="D993" s="7"/>
      <c r="E993" s="7"/>
      <c r="F993" s="7"/>
      <c r="G993" s="7"/>
      <c r="H993" s="7"/>
      <c r="I993" s="7"/>
      <c r="J993" s="7"/>
      <c r="K993" s="7"/>
      <c r="L993" s="7"/>
      <c r="M993" s="7"/>
      <c r="N993" s="7"/>
      <c r="O993" s="7"/>
      <c r="P993" s="7"/>
      <c r="Q993" s="7"/>
      <c r="R993" s="7"/>
      <c r="S993" s="7"/>
      <c r="T993" s="7"/>
      <c r="U993" s="7"/>
      <c r="W993" s="7"/>
    </row>
    <row r="994" spans="1:23" ht="15.75" customHeight="1">
      <c r="A994" s="8"/>
      <c r="B994" s="7"/>
      <c r="C994" s="33"/>
      <c r="D994" s="7"/>
      <c r="E994" s="7"/>
      <c r="F994" s="7"/>
      <c r="G994" s="7"/>
      <c r="H994" s="7"/>
      <c r="I994" s="7"/>
      <c r="J994" s="7"/>
      <c r="K994" s="7"/>
      <c r="L994" s="7"/>
      <c r="M994" s="7"/>
      <c r="N994" s="7"/>
      <c r="O994" s="7"/>
      <c r="P994" s="7"/>
      <c r="Q994" s="7"/>
      <c r="R994" s="7"/>
      <c r="S994" s="7"/>
      <c r="T994" s="7"/>
      <c r="U994" s="7"/>
      <c r="W994" s="7"/>
    </row>
    <row r="995" spans="1:23" ht="15.75" customHeight="1">
      <c r="A995" s="8"/>
      <c r="B995" s="7"/>
      <c r="C995" s="33"/>
      <c r="D995" s="7"/>
      <c r="E995" s="7"/>
      <c r="F995" s="7"/>
      <c r="G995" s="7"/>
      <c r="H995" s="7"/>
      <c r="I995" s="7"/>
      <c r="J995" s="7"/>
      <c r="K995" s="7"/>
      <c r="L995" s="7"/>
      <c r="M995" s="7"/>
      <c r="N995" s="7"/>
      <c r="O995" s="7"/>
      <c r="P995" s="7"/>
      <c r="Q995" s="7"/>
      <c r="R995" s="7"/>
      <c r="S995" s="7"/>
      <c r="T995" s="7"/>
      <c r="U995" s="7"/>
      <c r="W995" s="7"/>
    </row>
    <row r="996" spans="1:23" ht="15.75" customHeight="1">
      <c r="A996" s="8"/>
      <c r="B996" s="7"/>
      <c r="C996" s="33"/>
      <c r="D996" s="7"/>
      <c r="E996" s="7"/>
      <c r="F996" s="7"/>
      <c r="G996" s="7"/>
      <c r="H996" s="7"/>
      <c r="I996" s="7"/>
      <c r="J996" s="7"/>
      <c r="K996" s="7"/>
      <c r="L996" s="7"/>
      <c r="M996" s="7"/>
      <c r="N996" s="7"/>
      <c r="O996" s="7"/>
      <c r="P996" s="7"/>
      <c r="Q996" s="7"/>
      <c r="R996" s="7"/>
      <c r="S996" s="7"/>
      <c r="T996" s="7"/>
      <c r="U996" s="7"/>
      <c r="W996" s="7"/>
    </row>
    <row r="997" spans="1:23" ht="15.75" customHeight="1">
      <c r="A997" s="8"/>
      <c r="B997" s="7"/>
      <c r="C997" s="33"/>
      <c r="D997" s="7"/>
      <c r="E997" s="7"/>
      <c r="F997" s="7"/>
      <c r="G997" s="7"/>
      <c r="H997" s="7"/>
      <c r="I997" s="7"/>
      <c r="J997" s="7"/>
      <c r="K997" s="7"/>
      <c r="L997" s="7"/>
      <c r="M997" s="7"/>
      <c r="N997" s="7"/>
      <c r="O997" s="7"/>
      <c r="P997" s="7"/>
      <c r="Q997" s="7"/>
      <c r="R997" s="7"/>
      <c r="S997" s="7"/>
      <c r="T997" s="7"/>
      <c r="U997" s="7"/>
      <c r="W997" s="7"/>
    </row>
    <row r="998" spans="1:23" ht="15.75" customHeight="1">
      <c r="A998" s="8"/>
      <c r="B998" s="7"/>
      <c r="C998" s="33"/>
      <c r="D998" s="7"/>
      <c r="E998" s="7"/>
      <c r="F998" s="7"/>
      <c r="G998" s="7"/>
      <c r="H998" s="7"/>
      <c r="I998" s="7"/>
      <c r="J998" s="7"/>
      <c r="K998" s="7"/>
      <c r="L998" s="7"/>
      <c r="M998" s="7"/>
      <c r="N998" s="7"/>
      <c r="O998" s="7"/>
      <c r="P998" s="7"/>
      <c r="Q998" s="7"/>
      <c r="R998" s="7"/>
      <c r="S998" s="7"/>
      <c r="T998" s="7"/>
      <c r="U998" s="7"/>
      <c r="W998" s="7"/>
    </row>
    <row r="999" spans="1:23" ht="15.75" customHeight="1">
      <c r="A999" s="8"/>
      <c r="B999" s="7"/>
      <c r="C999" s="33"/>
      <c r="D999" s="7"/>
      <c r="E999" s="7"/>
      <c r="F999" s="7"/>
      <c r="G999" s="7"/>
      <c r="H999" s="7"/>
      <c r="I999" s="7"/>
      <c r="J999" s="7"/>
      <c r="K999" s="7"/>
      <c r="L999" s="7"/>
      <c r="M999" s="7"/>
      <c r="N999" s="7"/>
      <c r="O999" s="7"/>
      <c r="P999" s="7"/>
      <c r="Q999" s="7"/>
      <c r="R999" s="7"/>
      <c r="S999" s="7"/>
      <c r="T999" s="7"/>
      <c r="U999" s="7"/>
      <c r="W999" s="7"/>
    </row>
    <row r="1000" spans="1:23" ht="15.75" customHeight="1">
      <c r="A1000" s="8"/>
      <c r="B1000" s="7"/>
      <c r="C1000" s="33"/>
      <c r="D1000" s="7"/>
      <c r="E1000" s="7"/>
      <c r="F1000" s="7"/>
      <c r="G1000" s="7"/>
      <c r="H1000" s="7"/>
      <c r="I1000" s="7"/>
      <c r="J1000" s="7"/>
      <c r="K1000" s="7"/>
      <c r="L1000" s="7"/>
      <c r="M1000" s="7"/>
      <c r="N1000" s="7"/>
      <c r="O1000" s="7"/>
      <c r="P1000" s="7"/>
      <c r="Q1000" s="7"/>
      <c r="R1000" s="7"/>
      <c r="S1000" s="7"/>
      <c r="T1000" s="7"/>
      <c r="U1000" s="7"/>
      <c r="W1000" s="7"/>
    </row>
    <row r="1001" spans="1:23" ht="15.75" customHeight="1">
      <c r="A1001" s="8"/>
      <c r="B1001" s="7"/>
      <c r="C1001" s="33"/>
      <c r="D1001" s="7"/>
      <c r="E1001" s="7"/>
      <c r="F1001" s="7"/>
      <c r="G1001" s="7"/>
      <c r="H1001" s="7"/>
      <c r="I1001" s="7"/>
      <c r="J1001" s="7"/>
      <c r="K1001" s="7"/>
      <c r="L1001" s="7"/>
      <c r="M1001" s="7"/>
      <c r="N1001" s="7"/>
      <c r="O1001" s="7"/>
      <c r="P1001" s="7"/>
      <c r="Q1001" s="7"/>
      <c r="R1001" s="7"/>
      <c r="S1001" s="7"/>
      <c r="T1001" s="7"/>
      <c r="U1001" s="7"/>
      <c r="W1001" s="7"/>
    </row>
    <row r="1002" spans="1:23" ht="15.75" customHeight="1">
      <c r="A1002" s="8"/>
      <c r="B1002" s="7"/>
      <c r="C1002" s="33"/>
      <c r="D1002" s="7"/>
      <c r="E1002" s="7"/>
      <c r="F1002" s="7"/>
      <c r="G1002" s="7"/>
      <c r="H1002" s="7"/>
      <c r="I1002" s="7"/>
      <c r="J1002" s="7"/>
      <c r="K1002" s="7"/>
      <c r="L1002" s="7"/>
      <c r="M1002" s="7"/>
      <c r="N1002" s="7"/>
      <c r="O1002" s="7"/>
      <c r="P1002" s="7"/>
      <c r="Q1002" s="7"/>
      <c r="R1002" s="7"/>
      <c r="S1002" s="7"/>
      <c r="T1002" s="7"/>
      <c r="U1002" s="7"/>
      <c r="W1002" s="7"/>
    </row>
    <row r="1003" spans="1:23" ht="15.75" customHeight="1">
      <c r="A1003" s="8"/>
      <c r="B1003" s="7"/>
      <c r="C1003" s="33"/>
      <c r="D1003" s="7"/>
      <c r="E1003" s="7"/>
      <c r="F1003" s="7"/>
      <c r="G1003" s="7"/>
      <c r="H1003" s="7"/>
      <c r="I1003" s="7"/>
      <c r="J1003" s="7"/>
      <c r="K1003" s="7"/>
      <c r="L1003" s="7"/>
      <c r="M1003" s="7"/>
      <c r="N1003" s="7"/>
      <c r="O1003" s="7"/>
      <c r="P1003" s="7"/>
      <c r="Q1003" s="7"/>
      <c r="R1003" s="7"/>
      <c r="S1003" s="7"/>
      <c r="T1003" s="7"/>
      <c r="U1003" s="7"/>
      <c r="W1003" s="7"/>
    </row>
    <row r="1004" spans="1:23" ht="15.75" customHeight="1">
      <c r="A1004" s="8"/>
      <c r="B1004" s="7"/>
      <c r="C1004" s="33"/>
      <c r="D1004" s="7"/>
      <c r="E1004" s="7"/>
      <c r="F1004" s="7"/>
      <c r="G1004" s="7"/>
      <c r="H1004" s="7"/>
      <c r="I1004" s="7"/>
      <c r="J1004" s="7"/>
      <c r="K1004" s="7"/>
      <c r="L1004" s="7"/>
      <c r="M1004" s="7"/>
      <c r="N1004" s="7"/>
      <c r="O1004" s="7"/>
      <c r="P1004" s="7"/>
      <c r="Q1004" s="7"/>
      <c r="R1004" s="7"/>
      <c r="S1004" s="7"/>
      <c r="T1004" s="7"/>
      <c r="U1004" s="7"/>
      <c r="W1004" s="7"/>
    </row>
    <row r="1005" spans="1:23" ht="15.75" customHeight="1">
      <c r="A1005" s="8"/>
      <c r="B1005" s="7"/>
      <c r="C1005" s="33"/>
      <c r="D1005" s="7"/>
      <c r="E1005" s="7"/>
      <c r="F1005" s="7"/>
      <c r="G1005" s="7"/>
      <c r="H1005" s="7"/>
      <c r="I1005" s="7"/>
      <c r="J1005" s="7"/>
      <c r="K1005" s="7"/>
      <c r="L1005" s="7"/>
      <c r="M1005" s="7"/>
      <c r="N1005" s="7"/>
      <c r="O1005" s="7"/>
      <c r="P1005" s="7"/>
      <c r="Q1005" s="7"/>
      <c r="R1005" s="7"/>
      <c r="S1005" s="7"/>
      <c r="T1005" s="7"/>
      <c r="U1005" s="7"/>
      <c r="W1005" s="7"/>
    </row>
    <row r="1006" spans="1:23" ht="15.75" customHeight="1">
      <c r="A1006" s="8"/>
      <c r="B1006" s="7"/>
      <c r="C1006" s="33"/>
      <c r="D1006" s="7"/>
      <c r="E1006" s="7"/>
      <c r="F1006" s="7"/>
      <c r="G1006" s="7"/>
      <c r="H1006" s="7"/>
      <c r="I1006" s="7"/>
      <c r="J1006" s="7"/>
      <c r="K1006" s="7"/>
      <c r="L1006" s="7"/>
      <c r="M1006" s="7"/>
      <c r="N1006" s="7"/>
      <c r="O1006" s="7"/>
      <c r="P1006" s="7"/>
      <c r="Q1006" s="7"/>
      <c r="R1006" s="7"/>
      <c r="S1006" s="7"/>
      <c r="T1006" s="7"/>
      <c r="U1006" s="7"/>
      <c r="W1006" s="7"/>
    </row>
    <row r="1007" spans="1:23" ht="15.75" customHeight="1">
      <c r="A1007" s="8"/>
      <c r="B1007" s="7"/>
      <c r="C1007" s="33"/>
      <c r="D1007" s="7"/>
      <c r="E1007" s="7"/>
      <c r="F1007" s="7"/>
      <c r="G1007" s="7"/>
      <c r="H1007" s="7"/>
      <c r="I1007" s="7"/>
      <c r="J1007" s="7"/>
      <c r="K1007" s="7"/>
      <c r="L1007" s="7"/>
      <c r="M1007" s="7"/>
      <c r="N1007" s="7"/>
      <c r="O1007" s="7"/>
      <c r="P1007" s="7"/>
      <c r="Q1007" s="7"/>
      <c r="R1007" s="7"/>
      <c r="S1007" s="7"/>
      <c r="T1007" s="7"/>
      <c r="U1007" s="7"/>
      <c r="W1007" s="7"/>
    </row>
    <row r="1008" spans="1:23" ht="15.75" customHeight="1">
      <c r="A1008" s="8"/>
      <c r="B1008" s="7"/>
      <c r="C1008" s="33"/>
      <c r="D1008" s="7"/>
      <c r="E1008" s="7"/>
      <c r="F1008" s="7"/>
      <c r="G1008" s="7"/>
      <c r="H1008" s="7"/>
      <c r="I1008" s="7"/>
      <c r="J1008" s="7"/>
      <c r="K1008" s="7"/>
      <c r="L1008" s="7"/>
      <c r="M1008" s="7"/>
      <c r="N1008" s="7"/>
      <c r="O1008" s="7"/>
      <c r="P1008" s="7"/>
      <c r="Q1008" s="7"/>
      <c r="R1008" s="7"/>
      <c r="S1008" s="7"/>
      <c r="T1008" s="7"/>
      <c r="U1008" s="7"/>
      <c r="W1008" s="7"/>
    </row>
    <row r="1009" spans="1:23" ht="15.75" customHeight="1">
      <c r="A1009" s="8"/>
      <c r="B1009" s="7"/>
      <c r="C1009" s="33"/>
      <c r="D1009" s="7"/>
      <c r="E1009" s="7"/>
      <c r="F1009" s="7"/>
      <c r="G1009" s="7"/>
      <c r="H1009" s="7"/>
      <c r="I1009" s="7"/>
      <c r="J1009" s="7"/>
      <c r="K1009" s="7"/>
      <c r="L1009" s="7"/>
      <c r="M1009" s="7"/>
      <c r="N1009" s="7"/>
      <c r="O1009" s="7"/>
      <c r="P1009" s="7"/>
      <c r="Q1009" s="7"/>
      <c r="R1009" s="7"/>
      <c r="S1009" s="7"/>
      <c r="T1009" s="7"/>
      <c r="U1009" s="7"/>
      <c r="W1009" s="7"/>
    </row>
    <row r="1010" spans="1:23" ht="15.75" customHeight="1">
      <c r="A1010" s="8"/>
      <c r="B1010" s="7"/>
      <c r="C1010" s="33"/>
      <c r="D1010" s="7"/>
      <c r="E1010" s="7"/>
      <c r="F1010" s="7"/>
      <c r="G1010" s="7"/>
      <c r="H1010" s="7"/>
      <c r="I1010" s="7"/>
      <c r="J1010" s="7"/>
      <c r="K1010" s="7"/>
      <c r="L1010" s="7"/>
      <c r="M1010" s="7"/>
      <c r="N1010" s="7"/>
      <c r="O1010" s="7"/>
      <c r="P1010" s="7"/>
      <c r="Q1010" s="7"/>
      <c r="R1010" s="7"/>
      <c r="S1010" s="7"/>
      <c r="T1010" s="7"/>
      <c r="U1010" s="7"/>
      <c r="W1010" s="7"/>
    </row>
    <row r="1011" spans="1:23" ht="15.75" customHeight="1">
      <c r="A1011" s="8"/>
      <c r="B1011" s="7"/>
      <c r="C1011" s="33"/>
      <c r="D1011" s="7"/>
      <c r="E1011" s="7"/>
      <c r="F1011" s="7"/>
      <c r="G1011" s="7"/>
      <c r="H1011" s="7"/>
      <c r="I1011" s="7"/>
      <c r="J1011" s="7"/>
      <c r="K1011" s="7"/>
      <c r="L1011" s="7"/>
      <c r="M1011" s="7"/>
      <c r="N1011" s="7"/>
      <c r="O1011" s="7"/>
      <c r="P1011" s="7"/>
      <c r="Q1011" s="7"/>
      <c r="R1011" s="7"/>
      <c r="S1011" s="7"/>
      <c r="T1011" s="7"/>
      <c r="U1011" s="7"/>
      <c r="W1011" s="7"/>
    </row>
    <row r="1012" spans="1:23" ht="15.75" customHeight="1">
      <c r="A1012" s="8"/>
      <c r="B1012" s="7"/>
      <c r="C1012" s="33"/>
      <c r="D1012" s="7"/>
      <c r="E1012" s="7"/>
      <c r="F1012" s="7"/>
      <c r="G1012" s="7"/>
      <c r="H1012" s="7"/>
      <c r="I1012" s="7"/>
      <c r="J1012" s="7"/>
      <c r="K1012" s="7"/>
      <c r="L1012" s="7"/>
      <c r="M1012" s="7"/>
      <c r="N1012" s="7"/>
      <c r="O1012" s="7"/>
      <c r="P1012" s="7"/>
      <c r="Q1012" s="7"/>
      <c r="R1012" s="7"/>
      <c r="S1012" s="7"/>
      <c r="T1012" s="7"/>
      <c r="U1012" s="7"/>
      <c r="W1012" s="7"/>
    </row>
    <row r="1013" spans="1:23" ht="15.75" customHeight="1">
      <c r="A1013" s="8"/>
      <c r="B1013" s="7"/>
      <c r="C1013" s="33"/>
      <c r="D1013" s="7"/>
      <c r="E1013" s="7"/>
      <c r="F1013" s="7"/>
      <c r="G1013" s="7"/>
      <c r="H1013" s="7"/>
      <c r="I1013" s="7"/>
      <c r="J1013" s="7"/>
      <c r="K1013" s="7"/>
      <c r="L1013" s="7"/>
      <c r="M1013" s="7"/>
      <c r="N1013" s="7"/>
      <c r="O1013" s="7"/>
      <c r="P1013" s="7"/>
      <c r="Q1013" s="7"/>
      <c r="R1013" s="7"/>
      <c r="S1013" s="7"/>
      <c r="T1013" s="7"/>
      <c r="U1013" s="7"/>
      <c r="W1013" s="7"/>
    </row>
    <row r="1014" spans="1:23" ht="15.75" customHeight="1">
      <c r="A1014" s="8"/>
      <c r="B1014" s="7"/>
      <c r="C1014" s="33"/>
      <c r="D1014" s="7"/>
      <c r="E1014" s="7"/>
      <c r="F1014" s="7"/>
      <c r="G1014" s="7"/>
      <c r="H1014" s="7"/>
      <c r="I1014" s="7"/>
      <c r="J1014" s="7"/>
      <c r="K1014" s="7"/>
      <c r="L1014" s="7"/>
      <c r="M1014" s="7"/>
      <c r="N1014" s="7"/>
      <c r="O1014" s="7"/>
      <c r="P1014" s="7"/>
      <c r="Q1014" s="7"/>
      <c r="R1014" s="7"/>
      <c r="S1014" s="7"/>
      <c r="T1014" s="7"/>
      <c r="U1014" s="7"/>
      <c r="W1014" s="7"/>
    </row>
    <row r="1015" spans="1:23" ht="15.75" customHeight="1">
      <c r="A1015" s="8"/>
      <c r="B1015" s="7"/>
      <c r="C1015" s="33"/>
      <c r="D1015" s="7"/>
      <c r="E1015" s="7"/>
      <c r="F1015" s="7"/>
      <c r="G1015" s="7"/>
      <c r="H1015" s="7"/>
      <c r="I1015" s="7"/>
      <c r="J1015" s="7"/>
      <c r="K1015" s="7"/>
      <c r="L1015" s="7"/>
      <c r="M1015" s="7"/>
      <c r="N1015" s="7"/>
      <c r="O1015" s="7"/>
      <c r="P1015" s="7"/>
      <c r="Q1015" s="7"/>
      <c r="R1015" s="7"/>
      <c r="S1015" s="7"/>
      <c r="T1015" s="7"/>
      <c r="U1015" s="7"/>
      <c r="W1015" s="7"/>
    </row>
    <row r="1016" spans="1:23" ht="15.75" customHeight="1">
      <c r="A1016" s="8"/>
      <c r="B1016" s="7"/>
      <c r="C1016" s="33"/>
      <c r="D1016" s="7"/>
      <c r="E1016" s="7"/>
      <c r="F1016" s="7"/>
      <c r="G1016" s="7"/>
      <c r="H1016" s="7"/>
      <c r="I1016" s="7"/>
      <c r="J1016" s="7"/>
      <c r="K1016" s="7"/>
      <c r="L1016" s="7"/>
      <c r="M1016" s="7"/>
      <c r="N1016" s="7"/>
      <c r="O1016" s="7"/>
      <c r="P1016" s="7"/>
      <c r="Q1016" s="7"/>
      <c r="R1016" s="7"/>
      <c r="S1016" s="7"/>
      <c r="T1016" s="7"/>
      <c r="U1016" s="7"/>
      <c r="W1016" s="7"/>
    </row>
    <row r="1017" spans="1:23" ht="15.75" customHeight="1">
      <c r="A1017" s="8"/>
      <c r="B1017" s="7"/>
      <c r="C1017" s="33"/>
      <c r="D1017" s="7"/>
      <c r="E1017" s="7"/>
      <c r="F1017" s="7"/>
      <c r="G1017" s="7"/>
      <c r="H1017" s="7"/>
      <c r="I1017" s="7"/>
      <c r="J1017" s="7"/>
      <c r="K1017" s="7"/>
      <c r="L1017" s="7"/>
      <c r="M1017" s="7"/>
      <c r="N1017" s="7"/>
      <c r="O1017" s="7"/>
      <c r="P1017" s="7"/>
      <c r="Q1017" s="7"/>
      <c r="R1017" s="7"/>
      <c r="S1017" s="7"/>
      <c r="T1017" s="7"/>
      <c r="U1017" s="7"/>
      <c r="W1017" s="7"/>
    </row>
    <row r="1018" spans="1:23" ht="15.75" customHeight="1">
      <c r="A1018" s="8"/>
      <c r="B1018" s="7"/>
      <c r="C1018" s="33"/>
      <c r="D1018" s="7"/>
      <c r="E1018" s="7"/>
      <c r="F1018" s="7"/>
      <c r="G1018" s="7"/>
      <c r="H1018" s="7"/>
      <c r="I1018" s="7"/>
      <c r="J1018" s="7"/>
      <c r="K1018" s="7"/>
      <c r="L1018" s="7"/>
      <c r="M1018" s="7"/>
      <c r="N1018" s="7"/>
      <c r="O1018" s="7"/>
      <c r="P1018" s="7"/>
      <c r="Q1018" s="7"/>
      <c r="R1018" s="7"/>
      <c r="S1018" s="7"/>
      <c r="T1018" s="7"/>
      <c r="U1018" s="7"/>
      <c r="W1018" s="7"/>
    </row>
    <row r="1019" spans="1:23" ht="15.75" customHeight="1">
      <c r="A1019" s="8"/>
      <c r="B1019" s="7"/>
      <c r="C1019" s="33"/>
      <c r="D1019" s="7"/>
      <c r="E1019" s="7"/>
      <c r="F1019" s="7"/>
      <c r="G1019" s="7"/>
      <c r="H1019" s="7"/>
      <c r="I1019" s="7"/>
      <c r="J1019" s="7"/>
      <c r="K1019" s="7"/>
      <c r="L1019" s="7"/>
      <c r="M1019" s="7"/>
      <c r="N1019" s="7"/>
      <c r="O1019" s="7"/>
      <c r="P1019" s="7"/>
      <c r="Q1019" s="7"/>
      <c r="R1019" s="7"/>
      <c r="S1019" s="7"/>
      <c r="T1019" s="7"/>
      <c r="U1019" s="7"/>
      <c r="W1019" s="7"/>
    </row>
    <row r="1020" spans="1:23" ht="15.75" customHeight="1">
      <c r="A1020" s="8"/>
      <c r="B1020" s="7"/>
      <c r="C1020" s="33"/>
      <c r="D1020" s="7"/>
      <c r="E1020" s="7"/>
      <c r="F1020" s="7"/>
      <c r="G1020" s="7"/>
      <c r="H1020" s="7"/>
      <c r="I1020" s="7"/>
      <c r="J1020" s="7"/>
      <c r="K1020" s="7"/>
      <c r="L1020" s="7"/>
      <c r="M1020" s="7"/>
      <c r="N1020" s="7"/>
      <c r="O1020" s="7"/>
      <c r="P1020" s="7"/>
      <c r="Q1020" s="7"/>
      <c r="R1020" s="7"/>
      <c r="S1020" s="7"/>
      <c r="T1020" s="7"/>
      <c r="U1020" s="7"/>
      <c r="W1020" s="7"/>
    </row>
    <row r="1021" spans="1:23" ht="15.75" customHeight="1">
      <c r="A1021" s="8"/>
      <c r="B1021" s="7"/>
      <c r="C1021" s="33"/>
      <c r="D1021" s="7"/>
      <c r="E1021" s="7"/>
      <c r="F1021" s="7"/>
      <c r="G1021" s="7"/>
      <c r="H1021" s="7"/>
      <c r="I1021" s="7"/>
      <c r="J1021" s="7"/>
      <c r="K1021" s="7"/>
      <c r="L1021" s="7"/>
      <c r="M1021" s="7"/>
      <c r="N1021" s="7"/>
      <c r="O1021" s="7"/>
      <c r="P1021" s="7"/>
      <c r="Q1021" s="7"/>
      <c r="R1021" s="7"/>
      <c r="S1021" s="7"/>
      <c r="T1021" s="7"/>
      <c r="U1021" s="7"/>
      <c r="W1021" s="7"/>
    </row>
    <row r="1022" spans="1:23" ht="15.75" customHeight="1">
      <c r="A1022" s="8"/>
      <c r="B1022" s="7"/>
      <c r="C1022" s="33"/>
      <c r="D1022" s="7"/>
      <c r="E1022" s="7"/>
      <c r="F1022" s="7"/>
      <c r="G1022" s="7"/>
      <c r="H1022" s="7"/>
      <c r="I1022" s="7"/>
      <c r="J1022" s="7"/>
      <c r="K1022" s="7"/>
      <c r="L1022" s="7"/>
      <c r="M1022" s="7"/>
      <c r="N1022" s="7"/>
      <c r="O1022" s="7"/>
      <c r="P1022" s="7"/>
      <c r="Q1022" s="7"/>
      <c r="R1022" s="7"/>
      <c r="S1022" s="7"/>
      <c r="T1022" s="7"/>
      <c r="U1022" s="7"/>
      <c r="W1022" s="7"/>
    </row>
    <row r="1023" spans="1:23" ht="15.75" customHeight="1">
      <c r="A1023" s="8"/>
      <c r="B1023" s="7"/>
      <c r="C1023" s="33"/>
      <c r="D1023" s="7"/>
      <c r="E1023" s="7"/>
      <c r="F1023" s="7"/>
      <c r="G1023" s="7"/>
      <c r="H1023" s="7"/>
      <c r="I1023" s="7"/>
      <c r="J1023" s="7"/>
      <c r="K1023" s="7"/>
      <c r="L1023" s="7"/>
      <c r="M1023" s="7"/>
      <c r="N1023" s="7"/>
      <c r="O1023" s="7"/>
      <c r="P1023" s="7"/>
      <c r="Q1023" s="7"/>
      <c r="R1023" s="7"/>
      <c r="S1023" s="7"/>
      <c r="T1023" s="7"/>
      <c r="U1023" s="7"/>
      <c r="W1023" s="7"/>
    </row>
    <row r="1024" spans="1:23" ht="15.75" customHeight="1">
      <c r="A1024" s="8"/>
      <c r="B1024" s="7"/>
      <c r="C1024" s="33"/>
      <c r="D1024" s="7"/>
      <c r="E1024" s="7"/>
      <c r="F1024" s="7"/>
      <c r="G1024" s="7"/>
      <c r="H1024" s="7"/>
      <c r="I1024" s="7"/>
      <c r="J1024" s="7"/>
      <c r="K1024" s="7"/>
      <c r="L1024" s="7"/>
      <c r="M1024" s="7"/>
      <c r="N1024" s="7"/>
      <c r="O1024" s="7"/>
      <c r="P1024" s="7"/>
      <c r="Q1024" s="7"/>
      <c r="R1024" s="7"/>
      <c r="S1024" s="7"/>
      <c r="T1024" s="7"/>
      <c r="U1024" s="7"/>
      <c r="W1024" s="7"/>
    </row>
    <row r="1025" spans="1:23" ht="15.75" customHeight="1">
      <c r="A1025" s="8"/>
      <c r="B1025" s="7"/>
      <c r="C1025" s="33"/>
      <c r="D1025" s="7"/>
      <c r="E1025" s="7"/>
      <c r="F1025" s="7"/>
      <c r="G1025" s="7"/>
      <c r="H1025" s="7"/>
      <c r="I1025" s="7"/>
      <c r="J1025" s="7"/>
      <c r="K1025" s="7"/>
      <c r="L1025" s="7"/>
      <c r="M1025" s="7"/>
      <c r="N1025" s="7"/>
      <c r="O1025" s="7"/>
      <c r="P1025" s="7"/>
      <c r="Q1025" s="7"/>
      <c r="R1025" s="7"/>
      <c r="S1025" s="7"/>
      <c r="T1025" s="7"/>
      <c r="U1025" s="7"/>
      <c r="W1025" s="7"/>
    </row>
    <row r="1026" spans="1:23" ht="15.75" customHeight="1">
      <c r="A1026" s="8"/>
      <c r="B1026" s="7"/>
      <c r="C1026" s="33"/>
      <c r="D1026" s="7"/>
      <c r="E1026" s="7"/>
      <c r="F1026" s="7"/>
      <c r="G1026" s="7"/>
      <c r="H1026" s="7"/>
      <c r="I1026" s="7"/>
      <c r="J1026" s="7"/>
      <c r="K1026" s="7"/>
      <c r="L1026" s="7"/>
      <c r="M1026" s="7"/>
      <c r="N1026" s="7"/>
      <c r="O1026" s="7"/>
      <c r="P1026" s="7"/>
      <c r="Q1026" s="7"/>
      <c r="R1026" s="7"/>
      <c r="S1026" s="7"/>
      <c r="T1026" s="7"/>
      <c r="U1026" s="7"/>
      <c r="W1026" s="7"/>
    </row>
    <row r="1027" spans="1:23" ht="15.75" customHeight="1">
      <c r="A1027" s="8"/>
      <c r="B1027" s="7"/>
      <c r="C1027" s="33"/>
      <c r="D1027" s="7"/>
      <c r="E1027" s="7"/>
      <c r="F1027" s="7"/>
      <c r="G1027" s="7"/>
      <c r="H1027" s="7"/>
      <c r="I1027" s="7"/>
      <c r="J1027" s="7"/>
      <c r="K1027" s="7"/>
      <c r="L1027" s="7"/>
      <c r="M1027" s="7"/>
      <c r="N1027" s="7"/>
      <c r="O1027" s="7"/>
      <c r="P1027" s="7"/>
      <c r="Q1027" s="7"/>
      <c r="R1027" s="7"/>
      <c r="S1027" s="7"/>
      <c r="T1027" s="7"/>
      <c r="U1027" s="7"/>
      <c r="W1027" s="7"/>
    </row>
    <row r="1028" spans="1:23" ht="15.75" customHeight="1">
      <c r="A1028" s="8"/>
      <c r="B1028" s="7"/>
      <c r="C1028" s="33"/>
      <c r="D1028" s="7"/>
      <c r="E1028" s="7"/>
      <c r="F1028" s="7"/>
      <c r="G1028" s="7"/>
      <c r="H1028" s="7"/>
      <c r="I1028" s="7"/>
      <c r="J1028" s="7"/>
      <c r="K1028" s="7"/>
      <c r="L1028" s="7"/>
      <c r="M1028" s="7"/>
      <c r="N1028" s="7"/>
      <c r="O1028" s="7"/>
      <c r="P1028" s="7"/>
      <c r="Q1028" s="7"/>
      <c r="R1028" s="7"/>
      <c r="S1028" s="7"/>
      <c r="T1028" s="7"/>
      <c r="U1028" s="7"/>
      <c r="W1028" s="7"/>
    </row>
    <row r="1029" spans="1:23" ht="15.75" customHeight="1">
      <c r="A1029" s="8"/>
      <c r="B1029" s="7"/>
      <c r="C1029" s="33"/>
      <c r="D1029" s="7"/>
      <c r="E1029" s="7"/>
      <c r="F1029" s="7"/>
      <c r="G1029" s="7"/>
      <c r="H1029" s="7"/>
      <c r="I1029" s="7"/>
      <c r="J1029" s="7"/>
      <c r="K1029" s="7"/>
      <c r="L1029" s="7"/>
      <c r="M1029" s="7"/>
      <c r="N1029" s="7"/>
      <c r="O1029" s="7"/>
      <c r="P1029" s="7"/>
      <c r="Q1029" s="7"/>
      <c r="R1029" s="7"/>
      <c r="S1029" s="7"/>
      <c r="T1029" s="7"/>
      <c r="U1029" s="7"/>
      <c r="W1029" s="7"/>
    </row>
    <row r="1030" spans="1:23" ht="15.75" customHeight="1">
      <c r="A1030" s="8"/>
      <c r="B1030" s="7"/>
      <c r="C1030" s="33"/>
      <c r="D1030" s="7"/>
      <c r="E1030" s="7"/>
      <c r="F1030" s="7"/>
      <c r="G1030" s="7"/>
      <c r="H1030" s="7"/>
      <c r="I1030" s="7"/>
      <c r="J1030" s="7"/>
      <c r="K1030" s="7"/>
      <c r="L1030" s="7"/>
      <c r="M1030" s="7"/>
      <c r="N1030" s="7"/>
      <c r="O1030" s="7"/>
      <c r="P1030" s="7"/>
      <c r="Q1030" s="7"/>
      <c r="R1030" s="7"/>
      <c r="S1030" s="7"/>
      <c r="T1030" s="7"/>
      <c r="U1030" s="7"/>
      <c r="W1030" s="7"/>
    </row>
    <row r="1031" spans="1:23" ht="15.75" customHeight="1">
      <c r="A1031" s="8"/>
      <c r="B1031" s="7"/>
      <c r="C1031" s="33"/>
      <c r="D1031" s="7"/>
      <c r="E1031" s="7"/>
      <c r="F1031" s="7"/>
      <c r="G1031" s="7"/>
      <c r="H1031" s="7"/>
      <c r="I1031" s="7"/>
      <c r="J1031" s="7"/>
      <c r="K1031" s="7"/>
      <c r="L1031" s="7"/>
      <c r="M1031" s="7"/>
      <c r="N1031" s="7"/>
      <c r="O1031" s="7"/>
      <c r="P1031" s="7"/>
      <c r="Q1031" s="7"/>
      <c r="R1031" s="7"/>
      <c r="S1031" s="7"/>
      <c r="T1031" s="7"/>
      <c r="U1031" s="7"/>
      <c r="W1031" s="7"/>
    </row>
    <row r="1032" spans="1:23" ht="15.75" customHeight="1">
      <c r="A1032" s="8"/>
      <c r="B1032" s="7"/>
      <c r="C1032" s="33"/>
      <c r="D1032" s="7"/>
      <c r="E1032" s="7"/>
      <c r="F1032" s="7"/>
      <c r="G1032" s="7"/>
      <c r="H1032" s="7"/>
      <c r="I1032" s="7"/>
      <c r="J1032" s="7"/>
      <c r="K1032" s="7"/>
      <c r="L1032" s="7"/>
      <c r="M1032" s="7"/>
      <c r="N1032" s="7"/>
      <c r="O1032" s="7"/>
      <c r="P1032" s="7"/>
      <c r="Q1032" s="7"/>
      <c r="R1032" s="7"/>
      <c r="S1032" s="7"/>
      <c r="T1032" s="7"/>
      <c r="U1032" s="7"/>
      <c r="W1032" s="7"/>
    </row>
    <row r="1033" spans="1:23" ht="15.75" customHeight="1">
      <c r="A1033" s="8"/>
      <c r="B1033" s="7"/>
      <c r="C1033" s="33"/>
      <c r="D1033" s="7"/>
      <c r="E1033" s="7"/>
      <c r="F1033" s="7"/>
      <c r="G1033" s="7"/>
      <c r="H1033" s="7"/>
      <c r="I1033" s="7"/>
      <c r="J1033" s="7"/>
      <c r="K1033" s="7"/>
      <c r="L1033" s="7"/>
      <c r="M1033" s="7"/>
      <c r="N1033" s="7"/>
      <c r="O1033" s="7"/>
      <c r="P1033" s="7"/>
      <c r="Q1033" s="7"/>
      <c r="R1033" s="7"/>
      <c r="S1033" s="7"/>
      <c r="T1033" s="7"/>
      <c r="U1033" s="7"/>
      <c r="W1033" s="7"/>
    </row>
    <row r="1034" spans="1:23" ht="15.75" customHeight="1">
      <c r="A1034" s="8"/>
      <c r="B1034" s="7"/>
      <c r="C1034" s="33"/>
      <c r="D1034" s="7"/>
      <c r="E1034" s="7"/>
      <c r="F1034" s="7"/>
      <c r="G1034" s="7"/>
      <c r="H1034" s="7"/>
      <c r="I1034" s="7"/>
      <c r="J1034" s="7"/>
      <c r="K1034" s="7"/>
      <c r="L1034" s="7"/>
      <c r="M1034" s="7"/>
      <c r="N1034" s="7"/>
      <c r="O1034" s="7"/>
      <c r="P1034" s="7"/>
      <c r="Q1034" s="7"/>
      <c r="R1034" s="7"/>
      <c r="S1034" s="7"/>
      <c r="T1034" s="7"/>
      <c r="U1034" s="7"/>
      <c r="W1034" s="7"/>
    </row>
    <row r="1035" spans="1:23" ht="15.75" customHeight="1">
      <c r="A1035" s="8"/>
      <c r="B1035" s="7"/>
      <c r="C1035" s="33"/>
      <c r="D1035" s="7"/>
      <c r="E1035" s="7"/>
      <c r="F1035" s="7"/>
      <c r="G1035" s="7"/>
      <c r="H1035" s="7"/>
      <c r="I1035" s="7"/>
      <c r="J1035" s="7"/>
      <c r="K1035" s="7"/>
      <c r="L1035" s="7"/>
      <c r="M1035" s="7"/>
      <c r="N1035" s="7"/>
      <c r="O1035" s="7"/>
      <c r="P1035" s="7"/>
      <c r="Q1035" s="7"/>
      <c r="R1035" s="7"/>
      <c r="S1035" s="7"/>
      <c r="T1035" s="7"/>
      <c r="U1035" s="7"/>
      <c r="W1035" s="7"/>
    </row>
    <row r="1036" spans="1:23" ht="15.75" customHeight="1">
      <c r="A1036" s="8"/>
      <c r="B1036" s="7"/>
      <c r="C1036" s="33"/>
      <c r="D1036" s="7"/>
      <c r="E1036" s="7"/>
      <c r="F1036" s="7"/>
      <c r="G1036" s="7"/>
      <c r="H1036" s="7"/>
      <c r="I1036" s="7"/>
      <c r="J1036" s="7"/>
      <c r="K1036" s="7"/>
      <c r="L1036" s="7"/>
      <c r="M1036" s="7"/>
      <c r="N1036" s="7"/>
      <c r="O1036" s="7"/>
      <c r="P1036" s="7"/>
      <c r="Q1036" s="7"/>
      <c r="R1036" s="7"/>
      <c r="S1036" s="7"/>
      <c r="T1036" s="7"/>
      <c r="U1036" s="7"/>
      <c r="W1036" s="7"/>
    </row>
    <row r="1037" spans="1:23" ht="15.75" customHeight="1">
      <c r="A1037" s="8"/>
      <c r="B1037" s="7"/>
      <c r="C1037" s="33"/>
      <c r="D1037" s="7"/>
      <c r="E1037" s="7"/>
      <c r="F1037" s="7"/>
      <c r="G1037" s="7"/>
      <c r="H1037" s="7"/>
      <c r="I1037" s="7"/>
      <c r="J1037" s="7"/>
      <c r="K1037" s="7"/>
      <c r="L1037" s="7"/>
      <c r="M1037" s="7"/>
      <c r="N1037" s="7"/>
      <c r="O1037" s="7"/>
      <c r="P1037" s="7"/>
      <c r="Q1037" s="7"/>
      <c r="R1037" s="7"/>
      <c r="S1037" s="7"/>
      <c r="T1037" s="7"/>
      <c r="U1037" s="7"/>
      <c r="W1037" s="7"/>
    </row>
    <row r="1038" spans="1:23" ht="15.75" customHeight="1">
      <c r="A1038" s="8"/>
      <c r="B1038" s="7"/>
      <c r="C1038" s="33"/>
      <c r="D1038" s="7"/>
      <c r="E1038" s="7"/>
      <c r="F1038" s="7"/>
      <c r="G1038" s="7"/>
      <c r="H1038" s="7"/>
      <c r="I1038" s="7"/>
      <c r="J1038" s="7"/>
      <c r="K1038" s="7"/>
      <c r="L1038" s="7"/>
      <c r="M1038" s="7"/>
      <c r="N1038" s="7"/>
      <c r="O1038" s="7"/>
      <c r="P1038" s="7"/>
      <c r="Q1038" s="7"/>
      <c r="R1038" s="7"/>
      <c r="S1038" s="7"/>
      <c r="T1038" s="7"/>
      <c r="U1038" s="7"/>
      <c r="W1038" s="7"/>
    </row>
    <row r="1039" spans="1:23" ht="15.75" customHeight="1">
      <c r="A1039" s="8"/>
      <c r="B1039" s="7"/>
      <c r="C1039" s="33"/>
      <c r="D1039" s="7"/>
      <c r="E1039" s="7"/>
      <c r="F1039" s="7"/>
      <c r="G1039" s="7"/>
      <c r="H1039" s="7"/>
      <c r="I1039" s="7"/>
      <c r="J1039" s="7"/>
      <c r="K1039" s="7"/>
      <c r="L1039" s="7"/>
      <c r="M1039" s="7"/>
      <c r="N1039" s="7"/>
      <c r="O1039" s="7"/>
      <c r="P1039" s="7"/>
      <c r="Q1039" s="7"/>
      <c r="R1039" s="7"/>
      <c r="S1039" s="7"/>
      <c r="T1039" s="7"/>
      <c r="U1039" s="7"/>
      <c r="W1039" s="7"/>
    </row>
    <row r="1040" spans="1:23" ht="15.75" customHeight="1">
      <c r="A1040" s="8"/>
      <c r="B1040" s="7"/>
      <c r="C1040" s="33"/>
      <c r="D1040" s="7"/>
      <c r="E1040" s="7"/>
      <c r="F1040" s="7"/>
      <c r="G1040" s="7"/>
      <c r="H1040" s="7"/>
      <c r="I1040" s="7"/>
      <c r="J1040" s="7"/>
      <c r="K1040" s="7"/>
      <c r="L1040" s="7"/>
      <c r="M1040" s="7"/>
      <c r="N1040" s="7"/>
      <c r="O1040" s="7"/>
      <c r="P1040" s="7"/>
      <c r="Q1040" s="7"/>
      <c r="R1040" s="7"/>
      <c r="S1040" s="7"/>
      <c r="T1040" s="7"/>
      <c r="U1040" s="7"/>
      <c r="W1040" s="7"/>
    </row>
    <row r="1041" spans="1:23" ht="15.75" customHeight="1">
      <c r="A1041" s="8"/>
      <c r="F1041" s="7"/>
      <c r="G1041" s="7"/>
      <c r="H1041" s="7"/>
      <c r="I1041" s="7"/>
      <c r="J1041" s="7"/>
      <c r="K1041" s="7"/>
      <c r="L1041" s="7"/>
      <c r="M1041" s="7"/>
      <c r="N1041" s="7"/>
      <c r="O1041" s="7"/>
      <c r="P1041" s="7"/>
      <c r="Q1041" s="7"/>
      <c r="R1041" s="7"/>
      <c r="S1041" s="7"/>
      <c r="T1041" s="7"/>
      <c r="U1041" s="7"/>
      <c r="W1041" s="7"/>
    </row>
  </sheetData>
  <mergeCells count="248">
    <mergeCell ref="E13:F13"/>
    <mergeCell ref="E11:F11"/>
    <mergeCell ref="AA10:AA11"/>
    <mergeCell ref="AA12:AA13"/>
    <mergeCell ref="AA14:AA15"/>
    <mergeCell ref="AA16:AA17"/>
    <mergeCell ref="AA18:AA19"/>
    <mergeCell ref="S1:AA1"/>
    <mergeCell ref="AA2:AA3"/>
    <mergeCell ref="AA4:AA5"/>
    <mergeCell ref="AA6:AA7"/>
    <mergeCell ref="AA8:AA9"/>
    <mergeCell ref="W16:W17"/>
    <mergeCell ref="X16:X17"/>
    <mergeCell ref="Y16:Y17"/>
    <mergeCell ref="Z16:Z17"/>
    <mergeCell ref="S18:S19"/>
    <mergeCell ref="T18:T19"/>
    <mergeCell ref="U18:U19"/>
    <mergeCell ref="V18:V19"/>
    <mergeCell ref="W18:W19"/>
    <mergeCell ref="X18:X19"/>
    <mergeCell ref="Y18:Y19"/>
    <mergeCell ref="Z18:Z19"/>
    <mergeCell ref="S16:S17"/>
    <mergeCell ref="T16:T17"/>
    <mergeCell ref="U16:U17"/>
    <mergeCell ref="V16:V17"/>
    <mergeCell ref="W12:W13"/>
    <mergeCell ref="X12:X13"/>
    <mergeCell ref="Y12:Y13"/>
    <mergeCell ref="Z12:Z13"/>
    <mergeCell ref="S14:S15"/>
    <mergeCell ref="T14:T15"/>
    <mergeCell ref="U14:U15"/>
    <mergeCell ref="V14:V15"/>
    <mergeCell ref="W14:W15"/>
    <mergeCell ref="X14:X15"/>
    <mergeCell ref="Y14:Y15"/>
    <mergeCell ref="Z14:Z15"/>
    <mergeCell ref="S12:S13"/>
    <mergeCell ref="T12:T13"/>
    <mergeCell ref="U12:U13"/>
    <mergeCell ref="V12:V13"/>
    <mergeCell ref="W8:W9"/>
    <mergeCell ref="X8:X9"/>
    <mergeCell ref="Y8:Y9"/>
    <mergeCell ref="Z8:Z9"/>
    <mergeCell ref="S10:S11"/>
    <mergeCell ref="T10:T11"/>
    <mergeCell ref="U10:U11"/>
    <mergeCell ref="V10:V11"/>
    <mergeCell ref="W10:W11"/>
    <mergeCell ref="X10:X11"/>
    <mergeCell ref="Y10:Y11"/>
    <mergeCell ref="Z10:Z11"/>
    <mergeCell ref="S8:S9"/>
    <mergeCell ref="T8:T9"/>
    <mergeCell ref="U8:U9"/>
    <mergeCell ref="V8:V9"/>
    <mergeCell ref="Y4:Y5"/>
    <mergeCell ref="Z4:Z5"/>
    <mergeCell ref="S6:S7"/>
    <mergeCell ref="T6:T7"/>
    <mergeCell ref="U6:U7"/>
    <mergeCell ref="V6:V7"/>
    <mergeCell ref="W6:W7"/>
    <mergeCell ref="X6:X7"/>
    <mergeCell ref="Y6:Y7"/>
    <mergeCell ref="Z6:Z7"/>
    <mergeCell ref="T4:T5"/>
    <mergeCell ref="U4:U5"/>
    <mergeCell ref="V4:V5"/>
    <mergeCell ref="W4:W5"/>
    <mergeCell ref="X4:X5"/>
    <mergeCell ref="L18:L19"/>
    <mergeCell ref="K18:K19"/>
    <mergeCell ref="J18:J19"/>
    <mergeCell ref="I18:I19"/>
    <mergeCell ref="S2:S3"/>
    <mergeCell ref="T2:T3"/>
    <mergeCell ref="U2:U3"/>
    <mergeCell ref="V2:V3"/>
    <mergeCell ref="W2:W3"/>
    <mergeCell ref="L14:L15"/>
    <mergeCell ref="K14:K15"/>
    <mergeCell ref="J14:J15"/>
    <mergeCell ref="I14:I15"/>
    <mergeCell ref="L16:L17"/>
    <mergeCell ref="K16:K17"/>
    <mergeCell ref="J16:J17"/>
    <mergeCell ref="I16:I17"/>
    <mergeCell ref="K10:K11"/>
    <mergeCell ref="J10:J11"/>
    <mergeCell ref="I10:I11"/>
    <mergeCell ref="L12:L13"/>
    <mergeCell ref="K12:K13"/>
    <mergeCell ref="J12:J13"/>
    <mergeCell ref="I12:I13"/>
    <mergeCell ref="X2:X3"/>
    <mergeCell ref="Y2:Y3"/>
    <mergeCell ref="Z2:Z3"/>
    <mergeCell ref="S4:S5"/>
    <mergeCell ref="Q18:Q19"/>
    <mergeCell ref="P18:P19"/>
    <mergeCell ref="O18:O19"/>
    <mergeCell ref="N18:N19"/>
    <mergeCell ref="M18:M19"/>
    <mergeCell ref="Q16:Q17"/>
    <mergeCell ref="P16:P17"/>
    <mergeCell ref="O16:O17"/>
    <mergeCell ref="N16:N17"/>
    <mergeCell ref="M16:M17"/>
    <mergeCell ref="Q14:Q15"/>
    <mergeCell ref="P14:P15"/>
    <mergeCell ref="O14:O15"/>
    <mergeCell ref="N14:N15"/>
    <mergeCell ref="M14:M15"/>
    <mergeCell ref="Q12:Q13"/>
    <mergeCell ref="P12:P13"/>
    <mergeCell ref="O12:O13"/>
    <mergeCell ref="N12:N13"/>
    <mergeCell ref="M12:M13"/>
    <mergeCell ref="M2:M3"/>
    <mergeCell ref="I4:I5"/>
    <mergeCell ref="Q8:Q9"/>
    <mergeCell ref="P8:P9"/>
    <mergeCell ref="O8:O9"/>
    <mergeCell ref="N8:N9"/>
    <mergeCell ref="M8:M9"/>
    <mergeCell ref="L8:L9"/>
    <mergeCell ref="K8:K9"/>
    <mergeCell ref="J8:J9"/>
    <mergeCell ref="I8:I9"/>
    <mergeCell ref="N4:N5"/>
    <mergeCell ref="M4:M5"/>
    <mergeCell ref="L4:L5"/>
    <mergeCell ref="K4:K5"/>
    <mergeCell ref="J4:J5"/>
    <mergeCell ref="A2:C2"/>
    <mergeCell ref="D2:G2"/>
    <mergeCell ref="A3:C3"/>
    <mergeCell ref="D3:G3"/>
    <mergeCell ref="L2:L3"/>
    <mergeCell ref="K2:K3"/>
    <mergeCell ref="J2:J3"/>
    <mergeCell ref="I2:I3"/>
    <mergeCell ref="Q6:Q7"/>
    <mergeCell ref="P6:P7"/>
    <mergeCell ref="O6:O7"/>
    <mergeCell ref="N6:N7"/>
    <mergeCell ref="M6:M7"/>
    <mergeCell ref="L6:L7"/>
    <mergeCell ref="K6:K7"/>
    <mergeCell ref="J6:J7"/>
    <mergeCell ref="I6:I7"/>
    <mergeCell ref="Q4:Q5"/>
    <mergeCell ref="P4:P5"/>
    <mergeCell ref="O4:O5"/>
    <mergeCell ref="Q2:Q3"/>
    <mergeCell ref="P2:P3"/>
    <mergeCell ref="O2:O3"/>
    <mergeCell ref="N2:N3"/>
    <mergeCell ref="B20:E20"/>
    <mergeCell ref="B21:E21"/>
    <mergeCell ref="C41:G41"/>
    <mergeCell ref="C40:G40"/>
    <mergeCell ref="I1:Q1"/>
    <mergeCell ref="A34:B34"/>
    <mergeCell ref="C34:G34"/>
    <mergeCell ref="A31:B31"/>
    <mergeCell ref="C31:G31"/>
    <mergeCell ref="A32:B32"/>
    <mergeCell ref="C32:G32"/>
    <mergeCell ref="A33:B33"/>
    <mergeCell ref="C33:G33"/>
    <mergeCell ref="A28:G28"/>
    <mergeCell ref="A29:B29"/>
    <mergeCell ref="C29:G29"/>
    <mergeCell ref="A30:B30"/>
    <mergeCell ref="C30:G30"/>
    <mergeCell ref="B25:E25"/>
    <mergeCell ref="A4:C4"/>
    <mergeCell ref="D4:G4"/>
    <mergeCell ref="A5:C5"/>
    <mergeCell ref="D5:G5"/>
    <mergeCell ref="A1:G1"/>
    <mergeCell ref="C42:G42"/>
    <mergeCell ref="Q10:Q11"/>
    <mergeCell ref="P10:P11"/>
    <mergeCell ref="O10:O11"/>
    <mergeCell ref="N10:N11"/>
    <mergeCell ref="M10:M11"/>
    <mergeCell ref="L10:L11"/>
    <mergeCell ref="A6:C6"/>
    <mergeCell ref="D6:G6"/>
    <mergeCell ref="A7:C7"/>
    <mergeCell ref="D7:G7"/>
    <mergeCell ref="A8:C8"/>
    <mergeCell ref="D8:G8"/>
    <mergeCell ref="A9:C9"/>
    <mergeCell ref="D9:G9"/>
    <mergeCell ref="A36:A42"/>
    <mergeCell ref="A11:C11"/>
    <mergeCell ref="A17:E17"/>
    <mergeCell ref="B15:C15"/>
    <mergeCell ref="B14:C14"/>
    <mergeCell ref="B13:C13"/>
    <mergeCell ref="B12:C12"/>
    <mergeCell ref="B18:E18"/>
    <mergeCell ref="B19:E19"/>
    <mergeCell ref="B22:E22"/>
    <mergeCell ref="B23:E23"/>
    <mergeCell ref="B24:E24"/>
    <mergeCell ref="C39:G39"/>
    <mergeCell ref="C38:G38"/>
    <mergeCell ref="C37:G37"/>
    <mergeCell ref="C36:G36"/>
    <mergeCell ref="I28:I34"/>
    <mergeCell ref="K28:O28"/>
    <mergeCell ref="K29:O29"/>
    <mergeCell ref="K30:O30"/>
    <mergeCell ref="K31:O31"/>
    <mergeCell ref="K32:O32"/>
    <mergeCell ref="K33:O33"/>
    <mergeCell ref="K34:O34"/>
    <mergeCell ref="I21:P21"/>
    <mergeCell ref="I36:I42"/>
    <mergeCell ref="K36:O36"/>
    <mergeCell ref="K37:O37"/>
    <mergeCell ref="K38:O38"/>
    <mergeCell ref="K39:O39"/>
    <mergeCell ref="K40:O40"/>
    <mergeCell ref="K42:O42"/>
    <mergeCell ref="K41:O41"/>
    <mergeCell ref="K25:N25"/>
    <mergeCell ref="O25:S25"/>
    <mergeCell ref="I25:J26"/>
    <mergeCell ref="K26:N26"/>
    <mergeCell ref="O26:S26"/>
    <mergeCell ref="K23:L23"/>
    <mergeCell ref="K22:L22"/>
    <mergeCell ref="M22:N22"/>
    <mergeCell ref="M23:N23"/>
    <mergeCell ref="O22:P22"/>
    <mergeCell ref="O23:P23"/>
    <mergeCell ref="I23:J23"/>
    <mergeCell ref="I22:J22"/>
  </mergeCells>
  <conditionalFormatting sqref="I2 I4:Q4 J6 I8:Q8 J10 I12:Q12 J14 I16:Q16 J18 L2 N2 P2 P6 N6 L6 L10 N10 P10 P14 N14 L14 L18 N18 P18">
    <cfRule type="containsBlanks" dxfId="87" priority="21">
      <formula>LEN(TRIM(I2))=0</formula>
    </cfRule>
  </conditionalFormatting>
  <conditionalFormatting sqref="I2 I4:Q4 J6 I8:Q8 J10 I12:Q12 J14 I16:Q16 J18 L2 N2 P2 P6 N6 L6 L10 N10 P10 P14 N14 L14 L18 N18 P18">
    <cfRule type="cellIs" dxfId="86" priority="22" operator="equal">
      <formula>0</formula>
    </cfRule>
  </conditionalFormatting>
  <conditionalFormatting sqref="J2">
    <cfRule type="containsBlanks" dxfId="85" priority="17">
      <formula>LEN(TRIM(J2))=0</formula>
    </cfRule>
  </conditionalFormatting>
  <conditionalFormatting sqref="J2">
    <cfRule type="cellIs" dxfId="84" priority="18" operator="equal">
      <formula>0</formula>
    </cfRule>
  </conditionalFormatting>
  <conditionalFormatting sqref="Q18 O18 M18 K18 I18 I14 K14 M14 O14 Q14 Q10 O10 M10 K10 I10 I6 K6 M6 O6 Q6 Q2 O2 M2 K2">
    <cfRule type="containsBlanks" dxfId="83" priority="9">
      <formula>LEN(TRIM(I2))=0</formula>
    </cfRule>
  </conditionalFormatting>
  <conditionalFormatting sqref="Q18 O18 M18 K18 I18 I14 K14 M14 O14 Q14 Q10 O10 M10 K10 I10 I6 K6 M6 O6 Q6 Q2 O2 M2 K2">
    <cfRule type="cellIs" dxfId="82" priority="10" operator="equal">
      <formula>0</formula>
    </cfRule>
  </conditionalFormatting>
  <conditionalFormatting sqref="AA18 Y18 W18 U18 S18 S14 U14 W14 Y14 AA14 AA10 Y10 W10 U10 S10 S6 U6 W6 Y6 AA6 AA2 Y2 W2 U2">
    <cfRule type="containsBlanks" dxfId="81" priority="1">
      <formula>LEN(TRIM(S2))=0</formula>
    </cfRule>
  </conditionalFormatting>
  <conditionalFormatting sqref="S2 S4:AA4 T6 S8:AA8 T10 S12:AA12 T14 S16:AA16 T18 V2 X2 Z2 Z6 X6 V6 V10 X10 Z10 Z14 X14 V14 V18 X18 Z18">
    <cfRule type="containsBlanks" dxfId="80" priority="7">
      <formula>LEN(TRIM(S2))=0</formula>
    </cfRule>
  </conditionalFormatting>
  <conditionalFormatting sqref="S2 S4:AA4 T6 S8:AA8 T10 S12:AA12 T14 S16:AA16 T18 V2 X2 Z2 Z6 X6 V6 V10 X10 Z10 Z14 X14 V14 V18 X18 Z18">
    <cfRule type="cellIs" dxfId="79" priority="8" operator="equal">
      <formula>0</formula>
    </cfRule>
  </conditionalFormatting>
  <conditionalFormatting sqref="T2">
    <cfRule type="containsBlanks" dxfId="78" priority="5">
      <formula>LEN(TRIM(T2))=0</formula>
    </cfRule>
  </conditionalFormatting>
  <conditionalFormatting sqref="T2">
    <cfRule type="cellIs" dxfId="77" priority="6" operator="equal">
      <formula>0</formula>
    </cfRule>
  </conditionalFormatting>
  <conditionalFormatting sqref="AA18 Y18 W18 U18 S18 S14 U14 W14 Y14 AA14 AA10 Y10 W10 U10 S10 S6 U6 W6 Y6 AA6 AA2 Y2 W2 U2">
    <cfRule type="cellIs" dxfId="76" priority="2" operator="equal">
      <formula>0</formula>
    </cfRule>
  </conditionalFormatting>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D4" sqref="D4"/>
    </sheetView>
  </sheetViews>
  <sheetFormatPr defaultColWidth="15.28515625" defaultRowHeight="15"/>
  <cols>
    <col min="1" max="1" width="15.28515625" style="1"/>
    <col min="2" max="2" width="61.85546875" customWidth="1"/>
    <col min="3" max="3" width="15.28515625" style="23"/>
  </cols>
  <sheetData>
    <row r="1" spans="1:2" customFormat="1" ht="57.75" thickBot="1">
      <c r="A1" s="369" t="s">
        <v>7313</v>
      </c>
      <c r="B1" s="370" t="s">
        <v>7314</v>
      </c>
    </row>
    <row r="2" spans="1:2" customFormat="1" ht="43.5" thickBot="1">
      <c r="A2" s="369" t="s">
        <v>7315</v>
      </c>
      <c r="B2" s="370" t="s">
        <v>7316</v>
      </c>
    </row>
    <row r="3" spans="1:2" customFormat="1" ht="57.75" thickBot="1">
      <c r="A3" s="369" t="s">
        <v>7317</v>
      </c>
      <c r="B3" s="370" t="s">
        <v>7318</v>
      </c>
    </row>
    <row r="4" spans="1:2" customFormat="1" ht="57.75" thickBot="1">
      <c r="A4" s="369" t="s">
        <v>7319</v>
      </c>
      <c r="B4" s="370" t="s">
        <v>7320</v>
      </c>
    </row>
    <row r="5" spans="1:2" customFormat="1" ht="72" thickBot="1">
      <c r="A5" s="369" t="s">
        <v>7321</v>
      </c>
      <c r="B5" s="370" t="s">
        <v>7322</v>
      </c>
    </row>
    <row r="6" spans="1:2" customFormat="1" ht="57.75" thickBot="1">
      <c r="A6" s="369" t="s">
        <v>7323</v>
      </c>
      <c r="B6" s="370" t="s">
        <v>7324</v>
      </c>
    </row>
    <row r="7" spans="1:2" customFormat="1" ht="43.5" thickBot="1">
      <c r="A7" s="369" t="s">
        <v>7325</v>
      </c>
      <c r="B7" s="370" t="s">
        <v>7326</v>
      </c>
    </row>
    <row r="8" spans="1:2" customFormat="1" ht="57.75" thickBot="1">
      <c r="A8" s="369" t="s">
        <v>7327</v>
      </c>
      <c r="B8" s="370" t="s">
        <v>7328</v>
      </c>
    </row>
    <row r="9" spans="1:2" customFormat="1" ht="57.75" thickBot="1">
      <c r="A9" s="369" t="s">
        <v>7329</v>
      </c>
      <c r="B9" s="370" t="s">
        <v>7330</v>
      </c>
    </row>
    <row r="10" spans="1:2" customFormat="1" ht="43.5" thickBot="1">
      <c r="A10" s="369" t="s">
        <v>7331</v>
      </c>
      <c r="B10" s="370" t="s">
        <v>7332</v>
      </c>
    </row>
    <row r="11" spans="1:2" customFormat="1" ht="57.75" thickBot="1">
      <c r="A11" s="369" t="s">
        <v>7333</v>
      </c>
      <c r="B11" s="370" t="s">
        <v>7334</v>
      </c>
    </row>
    <row r="13" spans="1:2" customFormat="1" ht="18">
      <c r="A13" s="371"/>
    </row>
    <row r="14" spans="1:2" customFormat="1" ht="15.75" thickBot="1">
      <c r="A14" s="23"/>
    </row>
    <row r="15" spans="1:2" customFormat="1" ht="43.5" thickBot="1">
      <c r="A15" s="369" t="s">
        <v>7335</v>
      </c>
      <c r="B15" s="370" t="s">
        <v>7336</v>
      </c>
    </row>
    <row r="16" spans="1:2" customFormat="1" ht="43.5" thickBot="1">
      <c r="A16" s="369" t="s">
        <v>7337</v>
      </c>
      <c r="B16" s="370" t="s">
        <v>7338</v>
      </c>
    </row>
    <row r="17" spans="1:2" customFormat="1" ht="43.5" thickBot="1">
      <c r="A17" s="369" t="s">
        <v>7339</v>
      </c>
      <c r="B17" s="370" t="s">
        <v>7340</v>
      </c>
    </row>
    <row r="18" spans="1:2" customFormat="1" ht="43.5" thickBot="1">
      <c r="A18" s="369" t="s">
        <v>7341</v>
      </c>
      <c r="B18" s="370" t="s">
        <v>7342</v>
      </c>
    </row>
    <row r="19" spans="1:2" customFormat="1" ht="43.5" thickBot="1">
      <c r="A19" s="369" t="s">
        <v>7343</v>
      </c>
      <c r="B19" s="370" t="s">
        <v>7344</v>
      </c>
    </row>
    <row r="20" spans="1:2" customFormat="1" ht="72" thickBot="1">
      <c r="A20" s="369" t="s">
        <v>7345</v>
      </c>
      <c r="B20" s="370" t="s">
        <v>7346</v>
      </c>
    </row>
    <row r="21" spans="1:2" customFormat="1" ht="43.5" thickBot="1">
      <c r="A21" s="369" t="s">
        <v>7347</v>
      </c>
      <c r="B21" s="370" t="s">
        <v>7348</v>
      </c>
    </row>
    <row r="22" spans="1:2" customFormat="1" ht="43.5" thickBot="1">
      <c r="A22" s="369" t="s">
        <v>7349</v>
      </c>
      <c r="B22" s="370" t="s">
        <v>7350</v>
      </c>
    </row>
    <row r="23" spans="1:2" customFormat="1" ht="57.75" thickBot="1">
      <c r="A23" s="369" t="s">
        <v>7351</v>
      </c>
      <c r="B23" s="370" t="s">
        <v>7352</v>
      </c>
    </row>
    <row r="24" spans="1:2" customFormat="1" ht="57.75" thickBot="1">
      <c r="A24" s="369" t="s">
        <v>7353</v>
      </c>
      <c r="B24" s="370" t="s">
        <v>7354</v>
      </c>
    </row>
    <row r="25" spans="1:2" customFormat="1" ht="57.75" thickBot="1">
      <c r="A25" s="369" t="s">
        <v>7355</v>
      </c>
      <c r="B25" s="370" t="s">
        <v>7356</v>
      </c>
    </row>
    <row r="27" spans="1:2" customFormat="1" ht="18">
      <c r="A27" s="371"/>
    </row>
    <row r="28" spans="1:2" customFormat="1" ht="15.75" thickBot="1">
      <c r="A28" s="23"/>
    </row>
    <row r="29" spans="1:2" customFormat="1" ht="29.25" thickBot="1">
      <c r="A29" s="369" t="s">
        <v>7357</v>
      </c>
      <c r="B29" s="370" t="s">
        <v>7358</v>
      </c>
    </row>
    <row r="30" spans="1:2" customFormat="1" ht="29.25" thickBot="1">
      <c r="A30" s="369" t="s">
        <v>7359</v>
      </c>
      <c r="B30" s="370" t="s">
        <v>7360</v>
      </c>
    </row>
    <row r="31" spans="1:2" customFormat="1" ht="43.5" thickBot="1">
      <c r="A31" s="369" t="s">
        <v>7361</v>
      </c>
      <c r="B31" s="370" t="s">
        <v>7362</v>
      </c>
    </row>
    <row r="32" spans="1:2" customFormat="1" ht="43.5" thickBot="1">
      <c r="A32" s="369" t="s">
        <v>7363</v>
      </c>
      <c r="B32" s="370" t="s">
        <v>7364</v>
      </c>
    </row>
    <row r="33" spans="1:2" customFormat="1" ht="29.25" thickBot="1">
      <c r="A33" s="369" t="s">
        <v>7365</v>
      </c>
      <c r="B33" s="370" t="s">
        <v>7366</v>
      </c>
    </row>
    <row r="34" spans="1:2" customFormat="1" ht="43.5" thickBot="1">
      <c r="A34" s="369" t="s">
        <v>7367</v>
      </c>
      <c r="B34" s="370" t="s">
        <v>7368</v>
      </c>
    </row>
    <row r="35" spans="1:2" customFormat="1" ht="43.5" thickBot="1">
      <c r="A35" s="369" t="s">
        <v>7369</v>
      </c>
      <c r="B35" s="370" t="s">
        <v>7370</v>
      </c>
    </row>
    <row r="36" spans="1:2" customFormat="1" ht="29.25" thickBot="1">
      <c r="A36" s="369" t="s">
        <v>7371</v>
      </c>
      <c r="B36" s="370" t="s">
        <v>7372</v>
      </c>
    </row>
    <row r="37" spans="1:2" customFormat="1" ht="43.5" thickBot="1">
      <c r="A37" s="369" t="s">
        <v>7373</v>
      </c>
      <c r="B37" s="370" t="s">
        <v>7374</v>
      </c>
    </row>
    <row r="38" spans="1:2" customFormat="1" ht="29.25" thickBot="1">
      <c r="A38" s="369" t="s">
        <v>7375</v>
      </c>
      <c r="B38" s="370" t="s">
        <v>7376</v>
      </c>
    </row>
    <row r="39" spans="1:2" customFormat="1" ht="43.5" thickBot="1">
      <c r="A39" s="369" t="s">
        <v>7377</v>
      </c>
      <c r="B39" s="370" t="s">
        <v>7378</v>
      </c>
    </row>
    <row r="41" spans="1:2" customFormat="1" ht="18">
      <c r="A41" s="371"/>
    </row>
    <row r="42" spans="1:2" customFormat="1" ht="15.75" thickBot="1">
      <c r="A42" s="23"/>
    </row>
    <row r="43" spans="1:2" customFormat="1" ht="29.25" thickBot="1">
      <c r="A43" s="369" t="s">
        <v>7379</v>
      </c>
      <c r="B43" s="370" t="s">
        <v>7380</v>
      </c>
    </row>
    <row r="44" spans="1:2" customFormat="1" ht="57.75" thickBot="1">
      <c r="A44" s="369" t="s">
        <v>7381</v>
      </c>
      <c r="B44" s="370" t="s">
        <v>7382</v>
      </c>
    </row>
    <row r="45" spans="1:2" customFormat="1" ht="43.5" thickBot="1">
      <c r="A45" s="369" t="s">
        <v>7383</v>
      </c>
      <c r="B45" s="370" t="s">
        <v>7384</v>
      </c>
    </row>
    <row r="46" spans="1:2" customFormat="1" ht="43.5" thickBot="1">
      <c r="A46" s="369" t="s">
        <v>7385</v>
      </c>
      <c r="B46" s="370" t="s">
        <v>7386</v>
      </c>
    </row>
    <row r="47" spans="1:2" customFormat="1" ht="43.5" thickBot="1">
      <c r="A47" s="369" t="s">
        <v>7387</v>
      </c>
      <c r="B47" s="370" t="s">
        <v>7388</v>
      </c>
    </row>
    <row r="48" spans="1:2" customFormat="1" ht="43.5" thickBot="1">
      <c r="A48" s="369" t="s">
        <v>7389</v>
      </c>
      <c r="B48" s="370" t="s">
        <v>7390</v>
      </c>
    </row>
    <row r="49" spans="1:4" ht="57.75" thickBot="1">
      <c r="A49" s="369" t="s">
        <v>7391</v>
      </c>
      <c r="B49" s="370" t="s">
        <v>7392</v>
      </c>
    </row>
    <row r="50" spans="1:4" ht="57.75" thickBot="1">
      <c r="A50" s="369" t="s">
        <v>7393</v>
      </c>
      <c r="B50" s="370" t="s">
        <v>7394</v>
      </c>
    </row>
    <row r="51" spans="1:4" ht="43.5" thickBot="1">
      <c r="A51" s="369" t="s">
        <v>7395</v>
      </c>
      <c r="B51" s="370" t="s">
        <v>7396</v>
      </c>
    </row>
    <row r="52" spans="1:4" ht="43.5" thickBot="1">
      <c r="A52" s="369" t="s">
        <v>7397</v>
      </c>
      <c r="B52" s="370" t="s">
        <v>7398</v>
      </c>
    </row>
    <row r="53" spans="1:4" ht="43.5" thickBot="1">
      <c r="A53" s="369" t="s">
        <v>7377</v>
      </c>
      <c r="B53" s="370" t="s">
        <v>7399</v>
      </c>
    </row>
    <row r="55" spans="1:4" ht="18">
      <c r="A55" s="371"/>
    </row>
    <row r="56" spans="1:4" ht="15.75" thickBot="1">
      <c r="A56" s="23"/>
    </row>
    <row r="57" spans="1:4" ht="15.75" thickBot="1">
      <c r="A57" s="372"/>
      <c r="B57" s="370" t="s">
        <v>7400</v>
      </c>
      <c r="C57" s="23">
        <v>1</v>
      </c>
      <c r="D57">
        <v>1</v>
      </c>
    </row>
    <row r="58" spans="1:4" ht="15.75" thickBot="1">
      <c r="A58" s="372"/>
      <c r="B58" s="370" t="s">
        <v>7400</v>
      </c>
      <c r="C58" s="23">
        <v>1</v>
      </c>
      <c r="D58">
        <v>1</v>
      </c>
    </row>
    <row r="59" spans="1:4" ht="15.75" thickBot="1">
      <c r="A59" s="372"/>
      <c r="B59" s="370" t="str">
        <f ca="1">CONCATENATE("Only Humans, and ",C59," significant subspecies exist in the world.")</f>
        <v>Only Humans, and 2 significant subspecies exist in the world.</v>
      </c>
      <c r="C59" s="23">
        <f ca="1">RANDBETWEEN(1,3)</f>
        <v>2</v>
      </c>
      <c r="D59">
        <f ca="1">C59+1</f>
        <v>3</v>
      </c>
    </row>
    <row r="60" spans="1:4" ht="15.75" thickBot="1">
      <c r="A60" s="372"/>
      <c r="B60" s="370" t="s">
        <v>7401</v>
      </c>
      <c r="C60" s="23">
        <v>2</v>
      </c>
      <c r="D60">
        <v>2</v>
      </c>
    </row>
    <row r="61" spans="1:4" ht="15.75" thickBot="1">
      <c r="A61" s="372"/>
      <c r="B61" s="370" t="str">
        <f ca="1">CONCATENATE("Humans and ",C61," other species exist in the world.")</f>
        <v>Humans and 2 other species exist in the world.</v>
      </c>
      <c r="C61" s="23">
        <f ca="1">RANDBETWEEN(1,3)</f>
        <v>2</v>
      </c>
      <c r="D61">
        <f t="shared" ref="D61:D64" ca="1" si="0">C61+1</f>
        <v>3</v>
      </c>
    </row>
    <row r="62" spans="1:4" ht="15.75" thickBot="1">
      <c r="A62" s="372"/>
      <c r="B62" s="370" t="str">
        <f ca="1">CONCATENATE("Humans and ",C62," other species exist in the world.")</f>
        <v>Humans and 1 other species exist in the world.</v>
      </c>
      <c r="C62" s="23">
        <f t="shared" ref="C62" ca="1" si="1">RANDBETWEEN(1,3)</f>
        <v>1</v>
      </c>
      <c r="D62">
        <f t="shared" ca="1" si="0"/>
        <v>2</v>
      </c>
    </row>
    <row r="63" spans="1:4" ht="15.75" thickBot="1">
      <c r="A63" s="372"/>
      <c r="B63" s="370" t="str">
        <f ca="1">CONCATENATE("Humans and ",C63," other species exist in the world.")</f>
        <v>Humans and 3 other species exist in the world.</v>
      </c>
      <c r="C63" s="23">
        <f ca="1">RANDBETWEEN(1,6)</f>
        <v>3</v>
      </c>
      <c r="D63">
        <f t="shared" ca="1" si="0"/>
        <v>4</v>
      </c>
    </row>
    <row r="64" spans="1:4" ht="15.75" thickBot="1">
      <c r="A64" s="372"/>
      <c r="B64" s="370" t="str">
        <f ca="1">CONCATENATE("Humans and ",C64," other species exist in the world.")</f>
        <v>Humans and 1 other species exist in the world.</v>
      </c>
      <c r="C64" s="23">
        <f ca="1">RANDBETWEEN(1,6)</f>
        <v>1</v>
      </c>
      <c r="D64">
        <f t="shared" ca="1" si="0"/>
        <v>2</v>
      </c>
    </row>
    <row r="65" spans="1:4" ht="29.25" thickBot="1">
      <c r="A65" s="372"/>
      <c r="B65" s="370" t="str">
        <f ca="1">CONCATENATE("No Humans exist in the world, instead, there are ",C65," other species.")</f>
        <v>No Humans exist in the world, instead, there are 2 other species.</v>
      </c>
      <c r="C65" s="23">
        <f ca="1">RANDBETWEEN(1,3)</f>
        <v>2</v>
      </c>
      <c r="D65">
        <f ca="1">C65</f>
        <v>2</v>
      </c>
    </row>
    <row r="66" spans="1:4" ht="15.75" thickBot="1">
      <c r="A66" s="372"/>
      <c r="B66" s="370" t="str">
        <f ca="1">CONCATENATE("Humans and ",C66," other species exist in the world.")</f>
        <v>Humans and 12 other species exist in the world.</v>
      </c>
      <c r="C66" s="23">
        <f ca="1">RANDBETWEEN(2,12)</f>
        <v>12</v>
      </c>
      <c r="D66">
        <f ca="1">C66+1</f>
        <v>13</v>
      </c>
    </row>
    <row r="67" spans="1:4" ht="29.25" thickBot="1">
      <c r="A67" s="372"/>
      <c r="B67" s="370" t="str">
        <f ca="1">CONCATENATE("No Humans exist in the world, instead, there are ",C67," other species.")</f>
        <v>No Humans exist in the world, instead, there are 4 other species.</v>
      </c>
      <c r="C67" s="23">
        <f ca="1">RANDBETWEEN(1,6)</f>
        <v>4</v>
      </c>
      <c r="D67">
        <f ca="1">C67</f>
        <v>4</v>
      </c>
    </row>
    <row r="69" spans="1:4" ht="18">
      <c r="A69" s="371"/>
    </row>
    <row r="70" spans="1:4">
      <c r="A70" s="23"/>
    </row>
    <row r="71" spans="1:4" ht="15.75" thickBot="1">
      <c r="A71" s="23"/>
    </row>
    <row r="72" spans="1:4" ht="29.25" thickBot="1">
      <c r="A72" s="369" t="s">
        <v>7402</v>
      </c>
      <c r="B72" s="370" t="s">
        <v>7403</v>
      </c>
    </row>
    <row r="73" spans="1:4" ht="29.25" thickBot="1">
      <c r="A73" s="369" t="s">
        <v>7404</v>
      </c>
      <c r="B73" s="370" t="s">
        <v>7405</v>
      </c>
    </row>
    <row r="74" spans="1:4" ht="29.25" thickBot="1">
      <c r="A74" s="369" t="s">
        <v>7406</v>
      </c>
      <c r="B74" s="370" t="s">
        <v>7407</v>
      </c>
    </row>
    <row r="75" spans="1:4" ht="29.25" thickBot="1">
      <c r="A75" s="369" t="s">
        <v>7408</v>
      </c>
      <c r="B75" s="370" t="s">
        <v>7409</v>
      </c>
    </row>
    <row r="76" spans="1:4" ht="29.25" thickBot="1">
      <c r="A76" s="369" t="s">
        <v>7410</v>
      </c>
      <c r="B76" s="370" t="s">
        <v>7411</v>
      </c>
    </row>
    <row r="77" spans="1:4" ht="29.25" thickBot="1">
      <c r="A77" s="369" t="s">
        <v>7412</v>
      </c>
      <c r="B77" s="370" t="s">
        <v>7413</v>
      </c>
    </row>
    <row r="78" spans="1:4" ht="29.25" thickBot="1">
      <c r="A78" s="369" t="s">
        <v>7414</v>
      </c>
      <c r="B78" s="370" t="s">
        <v>7415</v>
      </c>
    </row>
    <row r="79" spans="1:4" ht="29.25" thickBot="1">
      <c r="A79" s="369" t="s">
        <v>7416</v>
      </c>
      <c r="B79" s="370" t="s">
        <v>7417</v>
      </c>
    </row>
    <row r="80" spans="1:4" ht="29.25" thickBot="1">
      <c r="A80" s="369" t="s">
        <v>700</v>
      </c>
      <c r="B80" s="370" t="s">
        <v>7418</v>
      </c>
    </row>
    <row r="81" spans="1:2" customFormat="1" ht="29.25" thickBot="1">
      <c r="A81" s="369" t="s">
        <v>7419</v>
      </c>
      <c r="B81" s="370" t="s">
        <v>7420</v>
      </c>
    </row>
    <row r="82" spans="1:2" customFormat="1" ht="29.25" thickBot="1">
      <c r="A82" s="369" t="s">
        <v>7421</v>
      </c>
      <c r="B82" s="370" t="s">
        <v>7422</v>
      </c>
    </row>
    <row r="84" spans="1:2" customFormat="1" ht="18">
      <c r="A84" s="371"/>
    </row>
    <row r="85" spans="1:2" customFormat="1">
      <c r="A85" s="23"/>
    </row>
    <row r="86" spans="1:2" customFormat="1" ht="15.75" thickBot="1">
      <c r="A86" s="23"/>
    </row>
    <row r="87" spans="1:2" customFormat="1" ht="29.25" thickBot="1">
      <c r="A87" s="369" t="s">
        <v>7423</v>
      </c>
      <c r="B87" s="370" t="s">
        <v>7424</v>
      </c>
    </row>
    <row r="88" spans="1:2" customFormat="1" ht="29.25" thickBot="1">
      <c r="A88" s="369" t="s">
        <v>7425</v>
      </c>
      <c r="B88" s="370" t="s">
        <v>7426</v>
      </c>
    </row>
    <row r="89" spans="1:2" customFormat="1" ht="29.25" thickBot="1">
      <c r="A89" s="369" t="s">
        <v>7427</v>
      </c>
      <c r="B89" s="370" t="s">
        <v>7428</v>
      </c>
    </row>
    <row r="90" spans="1:2" customFormat="1" ht="29.25" thickBot="1">
      <c r="A90" s="369" t="s">
        <v>7429</v>
      </c>
      <c r="B90" s="370" t="s">
        <v>7430</v>
      </c>
    </row>
    <row r="91" spans="1:2" customFormat="1" ht="43.5" thickBot="1">
      <c r="A91" s="369" t="s">
        <v>7431</v>
      </c>
      <c r="B91" s="370" t="s">
        <v>7432</v>
      </c>
    </row>
    <row r="92" spans="1:2" customFormat="1" ht="43.5" thickBot="1">
      <c r="A92" s="369" t="s">
        <v>7433</v>
      </c>
      <c r="B92" s="370" t="s">
        <v>7434</v>
      </c>
    </row>
    <row r="93" spans="1:2" customFormat="1" ht="43.5" thickBot="1">
      <c r="A93" s="369" t="s">
        <v>7435</v>
      </c>
      <c r="B93" s="370" t="s">
        <v>7436</v>
      </c>
    </row>
    <row r="94" spans="1:2" customFormat="1" ht="43.5" thickBot="1">
      <c r="A94" s="369" t="s">
        <v>7437</v>
      </c>
      <c r="B94" s="370" t="s">
        <v>7438</v>
      </c>
    </row>
    <row r="95" spans="1:2" customFormat="1" ht="43.5" thickBot="1">
      <c r="A95" s="369" t="s">
        <v>7439</v>
      </c>
      <c r="B95" s="370" t="s">
        <v>7440</v>
      </c>
    </row>
    <row r="96" spans="1:2" customFormat="1" ht="43.5" thickBot="1">
      <c r="A96" s="369" t="s">
        <v>7441</v>
      </c>
      <c r="B96" s="370" t="s">
        <v>7442</v>
      </c>
    </row>
    <row r="97" spans="1:2" customFormat="1" ht="43.5" thickBot="1">
      <c r="A97" s="369" t="s">
        <v>7443</v>
      </c>
      <c r="B97" s="370" t="s">
        <v>7444</v>
      </c>
    </row>
    <row r="99" spans="1:2" customFormat="1" ht="18">
      <c r="A99" s="371"/>
    </row>
    <row r="100" spans="1:2" customFormat="1" ht="15.75" thickBot="1">
      <c r="A100" s="23"/>
    </row>
    <row r="101" spans="1:2" customFormat="1" ht="43.5" thickBot="1">
      <c r="A101" s="369" t="s">
        <v>7445</v>
      </c>
      <c r="B101" s="370" t="s">
        <v>7446</v>
      </c>
    </row>
    <row r="102" spans="1:2" customFormat="1" ht="43.5" thickBot="1">
      <c r="A102" s="369" t="s">
        <v>7447</v>
      </c>
      <c r="B102" s="370" t="s">
        <v>7448</v>
      </c>
    </row>
    <row r="103" spans="1:2" customFormat="1" ht="43.5" thickBot="1">
      <c r="A103" s="369" t="s">
        <v>7449</v>
      </c>
      <c r="B103" s="370" t="s">
        <v>7450</v>
      </c>
    </row>
    <row r="104" spans="1:2" customFormat="1" ht="43.5" thickBot="1">
      <c r="A104" s="369" t="s">
        <v>7451</v>
      </c>
      <c r="B104" s="370" t="s">
        <v>7452</v>
      </c>
    </row>
    <row r="105" spans="1:2" customFormat="1" ht="29.25" thickBot="1">
      <c r="A105" s="369" t="s">
        <v>7453</v>
      </c>
      <c r="B105" s="370" t="s">
        <v>7454</v>
      </c>
    </row>
    <row r="106" spans="1:2" customFormat="1" ht="29.25" thickBot="1">
      <c r="A106" s="369" t="s">
        <v>7453</v>
      </c>
      <c r="B106" s="370" t="s">
        <v>7454</v>
      </c>
    </row>
    <row r="107" spans="1:2" customFormat="1" ht="29.25" thickBot="1">
      <c r="A107" s="369" t="s">
        <v>7453</v>
      </c>
      <c r="B107" s="370" t="s">
        <v>7454</v>
      </c>
    </row>
    <row r="108" spans="1:2" customFormat="1" ht="43.5" thickBot="1">
      <c r="A108" s="369" t="s">
        <v>7455</v>
      </c>
      <c r="B108" s="370" t="s">
        <v>7456</v>
      </c>
    </row>
    <row r="109" spans="1:2" customFormat="1" ht="43.5" thickBot="1">
      <c r="A109" s="369" t="s">
        <v>7457</v>
      </c>
      <c r="B109" s="370" t="s">
        <v>7458</v>
      </c>
    </row>
    <row r="110" spans="1:2" customFormat="1" ht="43.5" thickBot="1">
      <c r="A110" s="369" t="s">
        <v>7459</v>
      </c>
      <c r="B110" s="370" t="s">
        <v>7460</v>
      </c>
    </row>
    <row r="111" spans="1:2" customFormat="1" ht="43.5" thickBot="1">
      <c r="A111" s="369" t="s">
        <v>7461</v>
      </c>
      <c r="B111" s="370" t="s">
        <v>7462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4"/>
  <sheetViews>
    <sheetView zoomScale="90" zoomScaleNormal="90" workbookViewId="0">
      <selection activeCell="K10" sqref="K10:K11"/>
    </sheetView>
  </sheetViews>
  <sheetFormatPr defaultColWidth="15.7109375" defaultRowHeight="15"/>
  <cols>
    <col min="1" max="1" width="18.7109375" style="65" customWidth="1"/>
    <col min="2" max="2" width="15.7109375" style="65"/>
    <col min="3" max="3" width="18.7109375" style="65" customWidth="1"/>
    <col min="4" max="4" width="15.7109375" style="65" customWidth="1"/>
    <col min="5" max="5" width="18.7109375" style="65" customWidth="1"/>
    <col min="6" max="6" width="15.7109375" style="65"/>
    <col min="7" max="7" width="18.7109375" style="65" customWidth="1"/>
    <col min="8" max="8" width="15.7109375" style="65"/>
    <col min="9" max="9" width="20.7109375" style="65" customWidth="1"/>
    <col min="10" max="10" width="15.7109375" style="65" customWidth="1"/>
    <col min="11" max="11" width="20.7109375" style="65" customWidth="1"/>
    <col min="12" max="12" width="15.7109375" style="65" customWidth="1"/>
    <col min="13" max="13" width="20.7109375" style="65" customWidth="1"/>
    <col min="14" max="14" width="15.7109375" style="65"/>
    <col min="15" max="15" width="20.7109375" style="65" customWidth="1"/>
    <col min="16" max="16" width="15.7109375" style="65"/>
    <col min="17" max="17" width="20.7109375" style="65" customWidth="1"/>
    <col min="18" max="16384" width="15.7109375" style="65"/>
  </cols>
  <sheetData>
    <row r="1" spans="1:25" ht="33" customHeight="1" thickBot="1">
      <c r="A1" s="573" t="str">
        <f ca="1">INDEX($U$52:$U$151,RANDBETWEEN(1,100))</f>
        <v>Rainbow Minerals Mines</v>
      </c>
      <c r="B1" s="574"/>
      <c r="C1" s="574"/>
      <c r="D1" s="574"/>
      <c r="E1" s="574"/>
      <c r="F1" s="574"/>
      <c r="G1" s="575"/>
      <c r="H1" s="122"/>
      <c r="I1" s="602" t="s">
        <v>6195</v>
      </c>
      <c r="J1" s="603"/>
      <c r="K1" s="603"/>
      <c r="L1" s="603"/>
      <c r="M1" s="603"/>
      <c r="N1" s="603"/>
      <c r="O1" s="603"/>
      <c r="P1" s="603"/>
      <c r="Q1" s="604"/>
      <c r="R1" s="122"/>
      <c r="S1" s="64"/>
      <c r="T1" s="64"/>
      <c r="U1" s="64"/>
      <c r="V1" s="64"/>
      <c r="W1" s="64"/>
    </row>
    <row r="2" spans="1:25" s="67" customFormat="1" ht="38.1" customHeight="1">
      <c r="A2" s="576" t="s">
        <v>2597</v>
      </c>
      <c r="B2" s="577"/>
      <c r="C2" s="577"/>
      <c r="D2" s="578" t="str">
        <f ca="1">INDEX($M$52:$M$80,RANDBETWEEN(1,29))</f>
        <v>Nickel.</v>
      </c>
      <c r="E2" s="578"/>
      <c r="F2" s="578"/>
      <c r="G2" s="579"/>
      <c r="H2" s="123"/>
      <c r="I2" s="582" t="str">
        <f ca="1">IF(RAND()&lt;$H$15,INDEX('Source Data'!$G$28:$G$47,RANDBETWEEN(1,20))&amp;", with "&amp;INDEX('Source Data'!$H$28:$H$47,RANDBETWEEN(1,12))&amp;" *"&amp;INDEX('Source Data'!$J$5:$J$24,RANDBETWEEN(1,20)),"")</f>
        <v/>
      </c>
      <c r="J2" s="580" t="str">
        <f ca="1">IF(AND(I2&lt;&gt;"",K2&lt;&gt;""),INDEX('Source Data'!$I$28:$I$37,RANDBETWEEN(1,10)),"")</f>
        <v/>
      </c>
      <c r="K2" s="581" t="str">
        <f ca="1">IF(RAND()&lt;$H$15,INDEX('Source Data'!$G$28:$G$47,RANDBETWEEN(1,20))&amp;", with "&amp;INDEX('Source Data'!$H$28:$H$47,RANDBETWEEN(1,12))&amp;" *"&amp;INDEX('Source Data'!$J$5:$J$24,RANDBETWEEN(1,20)),"")</f>
        <v/>
      </c>
      <c r="L2" s="580" t="str">
        <f ca="1">IF(AND(K2&lt;&gt;"",M2&lt;&gt;""),INDEX('Source Data'!$I$28:$I$37,RANDBETWEEN(1,10)),"")</f>
        <v/>
      </c>
      <c r="M2" s="581" t="str">
        <f ca="1">IF(RAND()&lt;$H$15,INDEX('Source Data'!$G$28:$G$47,RANDBETWEEN(1,20))&amp;", with "&amp;INDEX('Source Data'!$H$28:$H$47,RANDBETWEEN(1,12))&amp;" *"&amp;INDEX('Source Data'!$J$5:$J$24,RANDBETWEEN(1,20)),"")</f>
        <v>A brightly lit room with mining equipment, with Evidence of a recent, brief encampment. *Exploration</v>
      </c>
      <c r="N2" s="580" t="str">
        <f ca="1">IF(AND(M2&lt;&gt;"",O2&lt;&gt;""),INDEX('Source Data'!$I$28:$I$37,RANDBETWEEN(1,10)),"")</f>
        <v>narrow hallway</v>
      </c>
      <c r="O2" s="581" t="str">
        <f ca="1">IF(RAND()&lt;$H$15,INDEX('Source Data'!$G$28:$G$47,RANDBETWEEN(1,20))&amp;", with "&amp;INDEX('Source Data'!$H$28:$H$47,RANDBETWEEN(1,12))&amp;" *"&amp;INDEX('Source Data'!$J$5:$J$24,RANDBETWEEN(1,20)),"")</f>
        <v>A cavern that is currently being worked, with Some broken mining equipment. *Key</v>
      </c>
      <c r="P2" s="580" t="str">
        <f ca="1">IF(AND(O2&lt;&gt;"",Q2&lt;&gt;""),INDEX('Source Data'!$I$28:$I$37,RANDBETWEEN(1,10)),"")</f>
        <v>Clean tunnel</v>
      </c>
      <c r="Q2" s="586" t="str">
        <f ca="1">IF(RAND()&lt;$H$15,INDEX('Source Data'!$G$28:$G$47,RANDBETWEEN(1,20))&amp;", with "&amp;INDEX('Source Data'!$H$28:$H$47,RANDBETWEEN(1,12))&amp;" *"&amp;INDEX('Source Data'!$J$5:$J$24,RANDBETWEEN(1,20)),"")</f>
        <v>An underground lake, with A prospector’s mark scratched on the wall. *Entrance/Access</v>
      </c>
      <c r="R2" s="109"/>
    </row>
    <row r="3" spans="1:25" s="67" customFormat="1" ht="38.1" customHeight="1">
      <c r="A3" s="548" t="str">
        <f>I51</f>
        <v>The mine is controlled by:</v>
      </c>
      <c r="B3" s="549"/>
      <c r="C3" s="549"/>
      <c r="D3" s="447" t="str">
        <f ca="1">INDEX($I$52:$I$71,RANDBETWEEN(1,8))</f>
        <v>A shadowy cabal of merchants</v>
      </c>
      <c r="E3" s="447"/>
      <c r="F3" s="447"/>
      <c r="G3" s="448"/>
      <c r="H3" s="123"/>
      <c r="I3" s="583"/>
      <c r="J3" s="540"/>
      <c r="K3" s="541"/>
      <c r="L3" s="540"/>
      <c r="M3" s="541"/>
      <c r="N3" s="540"/>
      <c r="O3" s="541"/>
      <c r="P3" s="540"/>
      <c r="Q3" s="539"/>
      <c r="R3" s="109"/>
    </row>
    <row r="4" spans="1:25" s="67" customFormat="1" ht="38.1" customHeight="1">
      <c r="A4" s="548" t="str">
        <f>J51</f>
        <v>Ther mine is worked by:</v>
      </c>
      <c r="B4" s="549"/>
      <c r="C4" s="549"/>
      <c r="D4" s="447" t="str">
        <f ca="1">INDEX($J$52:$J$63,RANDBETWEEN(1,6))</f>
        <v>Men paid with a fraction of what they haul out.</v>
      </c>
      <c r="E4" s="447"/>
      <c r="F4" s="447"/>
      <c r="G4" s="448"/>
      <c r="H4" s="123"/>
      <c r="I4" s="587" t="str">
        <f ca="1">IF(AND(I2&lt;&gt;"",I6&lt;&gt;""),INDEX('Source Data'!$I$28:$I$37,RANDBETWEEN(1,10)),"")</f>
        <v/>
      </c>
      <c r="J4" s="585" t="str">
        <f ca="1">IF(AND(K2&lt;&gt;"",I6&lt;&gt;"",I2="",K6=""),INDEX('Source Data'!$I$28:$I$37,RANDBETWEEN(1,10)),IF(AND(I2&lt;&gt;"",K6&lt;&gt;"",I6="",K2=""),INDEX('Source Data'!$I$28:$I$37,RANDBETWEEN(1,10)),""))</f>
        <v/>
      </c>
      <c r="K4" s="540" t="str">
        <f ca="1">IF(AND(K2&lt;&gt;"",K6&lt;&gt;""),INDEX('Source Data'!$I$28:$I$37,RANDBETWEEN(1,10)),"")</f>
        <v/>
      </c>
      <c r="L4" s="585" t="str">
        <f ca="1">IF(AND(M2&lt;&gt;"",K6&lt;&gt;"",K2="",M6=""),INDEX('Source Data'!$I$28:$I$37,RANDBETWEEN(1,10)),IF(AND(K2&lt;&gt;"",M6&lt;&gt;"",K6="",M2=""),INDEX('Source Data'!$I$28:$I$37,RANDBETWEEN(1,10)),""))</f>
        <v/>
      </c>
      <c r="M4" s="540" t="str">
        <f ca="1">IF(AND(M2&lt;&gt;"",M6&lt;&gt;""),INDEX('Source Data'!$I$28:$I$37,RANDBETWEEN(1,10)),"")</f>
        <v>low tunnel</v>
      </c>
      <c r="N4" s="585" t="str">
        <f ca="1">IF(AND(O2&lt;&gt;"",M6&lt;&gt;"",M2="",O6=""),INDEX('Source Data'!$I$28:$I$37,RANDBETWEEN(1,10)),IF(AND(M2&lt;&gt;"",O6&lt;&gt;"",M6="",O2=""),INDEX('Source Data'!$I$28:$I$37,RANDBETWEEN(1,10)),""))</f>
        <v/>
      </c>
      <c r="O4" s="540" t="str">
        <f ca="1">IF(AND(O2&lt;&gt;"",O6&lt;&gt;""),INDEX('Source Data'!$I$28:$I$37,RANDBETWEEN(1,10)),"")</f>
        <v>cramped tunnel</v>
      </c>
      <c r="P4" s="585" t="str">
        <f ca="1">IF(AND(Q2&lt;&gt;"",O6&lt;&gt;"",O2="",Q6=""),INDEX('Source Data'!$I$28:$I$37,RANDBETWEEN(1,10)),IF(AND(O2&lt;&gt;"",Q6&lt;&gt;"",O6="",Q2=""),INDEX('Source Data'!$I$28:$I$37,RANDBETWEEN(1,10)),""))</f>
        <v/>
      </c>
      <c r="Q4" s="584" t="str">
        <f ca="1">IF(AND(Q2&lt;&gt;"",Q6&lt;&gt;""),INDEX('Source Data'!$I$28:$I$37,RANDBETWEEN(1,10)),"")</f>
        <v/>
      </c>
      <c r="R4" s="109"/>
      <c r="X4" s="196"/>
      <c r="Y4" s="196"/>
    </row>
    <row r="5" spans="1:25" s="67" customFormat="1" ht="38.1" customHeight="1">
      <c r="A5" s="548" t="str">
        <f>K51</f>
        <v>The miners complain of trouble from a nearby colony of:</v>
      </c>
      <c r="B5" s="549"/>
      <c r="C5" s="549"/>
      <c r="D5" s="447" t="str">
        <f ca="1">INDEX($K$52:$K$71,RANDBETWEEN(1,12))</f>
        <v>Trolls</v>
      </c>
      <c r="E5" s="447"/>
      <c r="F5" s="447"/>
      <c r="G5" s="448"/>
      <c r="H5" s="123"/>
      <c r="I5" s="587"/>
      <c r="J5" s="585"/>
      <c r="K5" s="540"/>
      <c r="L5" s="585"/>
      <c r="M5" s="540"/>
      <c r="N5" s="585"/>
      <c r="O5" s="540"/>
      <c r="P5" s="585"/>
      <c r="Q5" s="584"/>
      <c r="R5" s="109"/>
      <c r="X5" s="184"/>
      <c r="Y5" s="184"/>
    </row>
    <row r="6" spans="1:25" s="67" customFormat="1" ht="38.1" customHeight="1">
      <c r="A6" s="548" t="str">
        <f>H51</f>
        <v>It is widely believed to be:</v>
      </c>
      <c r="B6" s="549"/>
      <c r="C6" s="549"/>
      <c r="D6" s="447" t="str">
        <f ca="1">INDEX($H$52:$H$71,RANDBETWEEN(1,4))</f>
        <v>Full of riches.</v>
      </c>
      <c r="E6" s="447"/>
      <c r="F6" s="447"/>
      <c r="G6" s="448"/>
      <c r="H6" s="123"/>
      <c r="I6" s="583" t="str">
        <f ca="1">IF(RAND()&lt;$H$15,INDEX('Source Data'!$G$28:$G$47,RANDBETWEEN(1,20))&amp;", with "&amp;INDEX('Source Data'!$H$28:$H$47,RANDBETWEEN(1,12))&amp;" *"&amp;INDEX('Source Data'!$J$5:$J$24,RANDBETWEEN(1,20)),"")</f>
        <v>An awe inspiring cavern, with Some old dry bones. *Hazard</v>
      </c>
      <c r="J6" s="540" t="str">
        <f ca="1">IF(AND(I6&lt;&gt;"",K6&lt;&gt;""),INDEX('Source Data'!$I$28:$I$37,RANDBETWEEN(1,10)),"")</f>
        <v>unnatural tunnel</v>
      </c>
      <c r="K6" s="541" t="str">
        <f ca="1">IF(RAND()&lt;$H$15,INDEX('Source Data'!$G$28:$G$47,RANDBETWEEN(1,20))&amp;", with "&amp;INDEX('Source Data'!$H$28:$H$47,RANDBETWEEN(1,12))&amp;" *"&amp;INDEX('Source Data'!$J$5:$J$24,RANDBETWEEN(1,20)),"")</f>
        <v>A low cave that is hard to traverse, with Some broken mining equipment. *Key</v>
      </c>
      <c r="L6" s="540" t="str">
        <f ca="1">IF(AND(K6&lt;&gt;"",M6&lt;&gt;""),INDEX('Source Data'!$I$28:$I$37,RANDBETWEEN(1,10)),"")</f>
        <v>unnatural tunnel</v>
      </c>
      <c r="M6" s="541" t="str">
        <f ca="1">IF(RAND()&lt;$H$15,INDEX('Source Data'!$G$28:$G$47,RANDBETWEEN(1,20))&amp;", with "&amp;INDEX('Source Data'!$H$28:$H$47,RANDBETWEEN(1,12))&amp;" *"&amp;INDEX('Source Data'!$J$5:$J$24,RANDBETWEEN(1,20)),"")</f>
        <v>A room devoted to slag piles, with A prospector’s mark scratched on the wall. *Lock</v>
      </c>
      <c r="N6" s="540" t="str">
        <f ca="1">IF(AND(M6&lt;&gt;"",O6&lt;&gt;""),INDEX('Source Data'!$I$28:$I$37,RANDBETWEEN(1,10)),"")</f>
        <v>rubble tunnel</v>
      </c>
      <c r="O6" s="541" t="str">
        <f ca="1">IF(RAND()&lt;$H$15,INDEX('Source Data'!$G$28:$G$47,RANDBETWEEN(1,20))&amp;", with "&amp;INDEX('Source Data'!$H$28:$H$47,RANDBETWEEN(1,12))&amp;" *"&amp;INDEX('Source Data'!$J$5:$J$24,RANDBETWEEN(1,20)),"")</f>
        <v>A damp chamber with water on the walls and floor, with A prospector’s mark scratched on the wall. *Key</v>
      </c>
      <c r="P6" s="540" t="str">
        <f ca="1">IF(AND(O6&lt;&gt;"",Q6&lt;&gt;""),INDEX('Source Data'!$I$28:$I$37,RANDBETWEEN(1,10)),"")</f>
        <v/>
      </c>
      <c r="Q6" s="539" t="str">
        <f ca="1">IF(RAND()&lt;$H$15,INDEX('Source Data'!$G$28:$G$47,RANDBETWEEN(1,20))&amp;", with "&amp;INDEX('Source Data'!$H$28:$H$47,RANDBETWEEN(1,12))&amp;" *"&amp;INDEX('Source Data'!$J$5:$J$24,RANDBETWEEN(1,20)),"")</f>
        <v/>
      </c>
      <c r="R6" s="109"/>
      <c r="X6" s="184"/>
      <c r="Y6" s="184"/>
    </row>
    <row r="7" spans="1:25" s="67" customFormat="1" ht="38.1" customHeight="1">
      <c r="A7" s="548" t="str">
        <f>B51</f>
        <v>The Entrance is:</v>
      </c>
      <c r="B7" s="549"/>
      <c r="C7" s="549"/>
      <c r="D7" s="545" t="str">
        <f ca="1">INDEX($B$52:$B$71,RANDBETWEEN(1,10))</f>
        <v>A steep, slippery sloped tunnel.</v>
      </c>
      <c r="E7" s="546"/>
      <c r="F7" s="546"/>
      <c r="G7" s="547"/>
      <c r="H7" s="123"/>
      <c r="I7" s="583"/>
      <c r="J7" s="540"/>
      <c r="K7" s="541"/>
      <c r="L7" s="540"/>
      <c r="M7" s="541"/>
      <c r="N7" s="540"/>
      <c r="O7" s="541"/>
      <c r="P7" s="540"/>
      <c r="Q7" s="539"/>
      <c r="R7" s="109"/>
      <c r="X7" s="184"/>
      <c r="Y7" s="184"/>
    </row>
    <row r="8" spans="1:25" s="67" customFormat="1" ht="38.1" customHeight="1">
      <c r="A8" s="542" t="str">
        <f>C51</f>
        <v>Most of the mine is:</v>
      </c>
      <c r="B8" s="543"/>
      <c r="C8" s="544"/>
      <c r="D8" s="545" t="str">
        <f ca="1">INDEX($C$52:$C$71,RANDBETWEEN(1,6))</f>
        <v>A sprawling maze of open trenches.</v>
      </c>
      <c r="E8" s="546"/>
      <c r="F8" s="546"/>
      <c r="G8" s="547"/>
      <c r="H8" s="123"/>
      <c r="I8" s="587" t="str">
        <f ca="1">IF(AND(I6&lt;&gt;"",I10&lt;&gt;""),INDEX('Source Data'!$I$28:$I$37,RANDBETWEEN(1,10)),"")</f>
        <v>low tunnel</v>
      </c>
      <c r="J8" s="585" t="str">
        <f ca="1">IF(AND(K6&lt;&gt;"",I10&lt;&gt;"",I6="",K10=""),INDEX('Source Data'!$I$28:$I$37,RANDBETWEEN(1,10)),IF(AND(I6&lt;&gt;"",K10&lt;&gt;"",I10="",K6=""),INDEX('Source Data'!$I$28:$I$37,RANDBETWEEN(1,10)),""))</f>
        <v/>
      </c>
      <c r="K8" s="540" t="str">
        <f ca="1">IF(AND(K6&lt;&gt;"",K10&lt;&gt;""),INDEX('Source Data'!$I$28:$I$37,RANDBETWEEN(1,10)),"")</f>
        <v>mine tracks</v>
      </c>
      <c r="L8" s="585" t="str">
        <f ca="1">IF(AND(M6&lt;&gt;"",K10&lt;&gt;"",K6="",M10=""),INDEX('Source Data'!$I$28:$I$37,RANDBETWEEN(1,10)),IF(AND(K6&lt;&gt;"",M10&lt;&gt;"",K10="",M6=""),INDEX('Source Data'!$I$28:$I$37,RANDBETWEEN(1,10)),""))</f>
        <v/>
      </c>
      <c r="M8" s="540" t="str">
        <f ca="1">IF(AND(M6&lt;&gt;"",M10&lt;&gt;""),INDEX('Source Data'!$I$28:$I$37,RANDBETWEEN(1,10)),"")</f>
        <v>Clean tunnel</v>
      </c>
      <c r="N8" s="585" t="str">
        <f ca="1">IF(AND(O6&lt;&gt;"",M10&lt;&gt;"",M6="",O10=""),INDEX('Source Data'!$I$28:$I$37,RANDBETWEEN(1,10)),IF(AND(M6&lt;&gt;"",O10&lt;&gt;"",M10="",O6=""),INDEX('Source Data'!$I$28:$I$37,RANDBETWEEN(1,10)),""))</f>
        <v/>
      </c>
      <c r="O8" s="540" t="str">
        <f ca="1">IF(AND(O6&lt;&gt;"",O10&lt;&gt;""),INDEX('Source Data'!$I$28:$I$37,RANDBETWEEN(1,10)),"")</f>
        <v>Clean tunnel</v>
      </c>
      <c r="P8" s="585" t="str">
        <f ca="1">IF(AND(Q6&lt;&gt;"",O10&lt;&gt;"",O6="",Q10=""),INDEX('Source Data'!$I$28:$I$37,RANDBETWEEN(1,10)),IF(AND(O6&lt;&gt;"",Q10&lt;&gt;"",O10="",Q6=""),INDEX('Source Data'!$I$28:$I$37,RANDBETWEEN(1,10)),""))</f>
        <v/>
      </c>
      <c r="Q8" s="584" t="str">
        <f ca="1">IF(AND(Q6&lt;&gt;"",Q10&lt;&gt;""),INDEX('Source Data'!$I$28:$I$37,RANDBETWEEN(1,10)),"")</f>
        <v/>
      </c>
      <c r="R8" s="109"/>
      <c r="X8" s="184"/>
      <c r="Y8" s="184"/>
    </row>
    <row r="9" spans="1:25" s="67" customFormat="1" ht="38.1" customHeight="1">
      <c r="A9" s="542" t="str">
        <f>D51</f>
        <v>Material excavated from the mine is:</v>
      </c>
      <c r="B9" s="543"/>
      <c r="C9" s="544"/>
      <c r="D9" s="545" t="str">
        <f ca="1">INDEX($D$52:$D$71,RANDBETWEEN(1,8))</f>
        <v>Hauled out on ox-drawn carts.</v>
      </c>
      <c r="E9" s="546"/>
      <c r="F9" s="546"/>
      <c r="G9" s="547"/>
      <c r="H9" s="123"/>
      <c r="I9" s="587"/>
      <c r="J9" s="585"/>
      <c r="K9" s="540"/>
      <c r="L9" s="585"/>
      <c r="M9" s="540"/>
      <c r="N9" s="585"/>
      <c r="O9" s="540"/>
      <c r="P9" s="585"/>
      <c r="Q9" s="584"/>
      <c r="R9" s="109"/>
      <c r="X9" s="184"/>
      <c r="Y9" s="184"/>
    </row>
    <row r="10" spans="1:25" s="67" customFormat="1" ht="38.1" customHeight="1">
      <c r="A10" s="542" t="str">
        <f>F51</f>
        <v>Just inside the entrance, you notice:</v>
      </c>
      <c r="B10" s="543"/>
      <c r="C10" s="544"/>
      <c r="D10" s="545" t="str">
        <f ca="1">INDEX($F$52:$F$71,RANDBETWEEN(1,10))</f>
        <v>The clang of a pick breaking rock.</v>
      </c>
      <c r="E10" s="546"/>
      <c r="F10" s="546"/>
      <c r="G10" s="547"/>
      <c r="H10" s="123"/>
      <c r="I10" s="583" t="str">
        <f ca="1">IF(RAND()&lt;$H$15,INDEX('Source Data'!$G$28:$G$47,RANDBETWEEN(1,20))&amp;", with "&amp;INDEX('Source Data'!$H$28:$H$47,RANDBETWEEN(1,12))&amp;" *"&amp;INDEX('Source Data'!$J$5:$J$24,RANDBETWEEN(1,20)),"")</f>
        <v>A cavern with a strange echo, with The distant sound of hammers at work. *Exploration</v>
      </c>
      <c r="J10" s="540" t="str">
        <f ca="1">IF(AND(I10&lt;&gt;"",K10&lt;&gt;""),INDEX('Source Data'!$I$28:$I$37,RANDBETWEEN(1,10)),"")</f>
        <v>narrow hallway</v>
      </c>
      <c r="K10" s="541" t="str">
        <f ca="1">IF(RAND()&lt;$H$15,INDEX('Source Data'!$G$28:$G$47,RANDBETWEEN(1,20))&amp;", with "&amp;INDEX('Source Data'!$H$28:$H$47,RANDBETWEEN(1,12))&amp;" *"&amp;INDEX('Source Data'!$J$5:$J$24,RANDBETWEEN(1,20)),"")</f>
        <v>An abandoned room , with Evidence of an abandoned campsite. *Encounter</v>
      </c>
      <c r="L10" s="540" t="str">
        <f ca="1">IF(AND(K10&lt;&gt;"",M10&lt;&gt;""),INDEX('Source Data'!$I$28:$I$37,RANDBETWEEN(1,10)),"")</f>
        <v>cramped tunnel</v>
      </c>
      <c r="M10" s="541" t="str">
        <f ca="1">IF(RAND()&lt;$H$15,INDEX('Source Data'!$G$28:$G$47,RANDBETWEEN(1,20))&amp;", with "&amp;INDEX('Source Data'!$H$28:$H$47,RANDBETWEEN(1,12))&amp;" *"&amp;INDEX('Source Data'!$J$5:$J$24,RANDBETWEEN(1,20)),"")</f>
        <v>An awe inspiring cavern, with The distant sound of hammers at work. *Puzzle</v>
      </c>
      <c r="N10" s="540" t="str">
        <f ca="1">IF(AND(M10&lt;&gt;"",O10&lt;&gt;""),INDEX('Source Data'!$I$28:$I$37,RANDBETWEEN(1,10)),"")</f>
        <v>low tunnel</v>
      </c>
      <c r="O10" s="541" t="str">
        <f ca="1">IF(RAND()&lt;$H$15,INDEX('Source Data'!$G$28:$G$47,RANDBETWEEN(1,20))&amp;", with "&amp;INDEX('Source Data'!$H$28:$H$47,RANDBETWEEN(1,12))&amp;" *"&amp;INDEX('Source Data'!$J$5:$J$24,RANDBETWEEN(1,20)),"")</f>
        <v>A room covered in fungus, with A cracked wooden beam overhead. *Interaction</v>
      </c>
      <c r="P10" s="540" t="str">
        <f ca="1">IF(AND(O10&lt;&gt;"",Q10&lt;&gt;""),INDEX('Source Data'!$I$28:$I$37,RANDBETWEEN(1,10)),"")</f>
        <v>busy tunnel</v>
      </c>
      <c r="Q10" s="539" t="str">
        <f ca="1">IF(RAND()&lt;$H$15,INDEX('Source Data'!$G$28:$G$47,RANDBETWEEN(1,20))&amp;", with "&amp;INDEX('Source Data'!$H$28:$H$47,RANDBETWEEN(1,12))&amp;" *"&amp;INDEX('Source Data'!$J$5:$J$24,RANDBETWEEN(1,20)),"")</f>
        <v>A chamber covered in mold, with Some old dry bones. *Combat</v>
      </c>
      <c r="R10" s="109"/>
      <c r="X10" s="184"/>
      <c r="Y10" s="184"/>
    </row>
    <row r="11" spans="1:25" s="67" customFormat="1" ht="38.1" customHeight="1">
      <c r="A11" s="542" t="str">
        <f>G51</f>
        <v>Further in, you find:</v>
      </c>
      <c r="B11" s="543"/>
      <c r="C11" s="544"/>
      <c r="D11" s="545" t="str">
        <f ca="1">INDEX($G$52:$G$71,RANDBETWEEN(1,20))</f>
        <v>A partially excavated wall with plentiful ore.</v>
      </c>
      <c r="E11" s="546"/>
      <c r="F11" s="546"/>
      <c r="G11" s="547"/>
      <c r="H11" s="123"/>
      <c r="I11" s="583"/>
      <c r="J11" s="540"/>
      <c r="K11" s="541"/>
      <c r="L11" s="540"/>
      <c r="M11" s="541"/>
      <c r="N11" s="540"/>
      <c r="O11" s="541"/>
      <c r="P11" s="540"/>
      <c r="Q11" s="539"/>
      <c r="R11" s="109"/>
      <c r="X11" s="184"/>
      <c r="Y11" s="184"/>
    </row>
    <row r="12" spans="1:25" s="67" customFormat="1" ht="38.1" customHeight="1">
      <c r="A12" s="542" t="s">
        <v>6928</v>
      </c>
      <c r="B12" s="543"/>
      <c r="C12" s="544"/>
      <c r="D12" s="545" t="str">
        <f ca="1">INDEX($E$52:$E$71,RANDBETWEEN(1,13))</f>
        <v>The tunnel or trench is steadily flooding.</v>
      </c>
      <c r="E12" s="546"/>
      <c r="F12" s="546"/>
      <c r="G12" s="547"/>
      <c r="H12" s="123"/>
      <c r="I12" s="587" t="str">
        <f ca="1">IF(AND(I10&lt;&gt;"",I14&lt;&gt;""),INDEX('Source Data'!$I$28:$I$37,RANDBETWEEN(1,10)),"")</f>
        <v/>
      </c>
      <c r="J12" s="585" t="str">
        <f ca="1">IF(AND(K10&lt;&gt;"",I14&lt;&gt;"",I10="",K14=""),INDEX('Source Data'!$I$28:$I$37,RANDBETWEEN(1,10)),IF(AND(I10&lt;&gt;"",K14&lt;&gt;"",I14="",K10=""),INDEX('Source Data'!$I$28:$I$37,RANDBETWEEN(1,10)),""))</f>
        <v/>
      </c>
      <c r="K12" s="540" t="str">
        <f ca="1">IF(AND(K10&lt;&gt;"",K14&lt;&gt;""),INDEX('Source Data'!$I$28:$I$37,RANDBETWEEN(1,10)),"")</f>
        <v/>
      </c>
      <c r="L12" s="585" t="str">
        <f ca="1">IF(AND(M10&lt;&gt;"",K14&lt;&gt;"",K10="",M14=""),INDEX('Source Data'!$I$28:$I$37,RANDBETWEEN(1,10)),IF(AND(K10&lt;&gt;"",M14&lt;&gt;"",K14="",M10=""),INDEX('Source Data'!$I$28:$I$37,RANDBETWEEN(1,10)),""))</f>
        <v/>
      </c>
      <c r="M12" s="540" t="str">
        <f ca="1">IF(AND(M10&lt;&gt;"",M14&lt;&gt;""),INDEX('Source Data'!$I$28:$I$37,RANDBETWEEN(1,10)),"")</f>
        <v/>
      </c>
      <c r="N12" s="585" t="str">
        <f ca="1">IF(AND(O10&lt;&gt;"",M14&lt;&gt;"",M10="",O14=""),INDEX('Source Data'!$I$28:$I$37,RANDBETWEEN(1,10)),IF(AND(M10&lt;&gt;"",O14&lt;&gt;"",M14="",O10=""),INDEX('Source Data'!$I$28:$I$37,RANDBETWEEN(1,10)),""))</f>
        <v/>
      </c>
      <c r="O12" s="540" t="str">
        <f ca="1">IF(AND(O10&lt;&gt;"",O14&lt;&gt;""),INDEX('Source Data'!$I$28:$I$37,RANDBETWEEN(1,10)),"")</f>
        <v>narrow hallway</v>
      </c>
      <c r="P12" s="585" t="str">
        <f ca="1">IF(AND(Q10&lt;&gt;"",O14&lt;&gt;"",O10="",Q14=""),INDEX('Source Data'!$I$28:$I$37,RANDBETWEEN(1,10)),IF(AND(O10&lt;&gt;"",Q14&lt;&gt;"",O14="",Q10=""),INDEX('Source Data'!$I$28:$I$37,RANDBETWEEN(1,10)),""))</f>
        <v/>
      </c>
      <c r="Q12" s="584" t="str">
        <f ca="1">IF(AND(Q10&lt;&gt;"",Q14&lt;&gt;""),INDEX('Source Data'!$I$28:$I$37,RANDBETWEEN(1,10)),"")</f>
        <v>low tunnel</v>
      </c>
      <c r="R12" s="109"/>
      <c r="X12" s="184"/>
      <c r="Y12" s="184"/>
    </row>
    <row r="13" spans="1:25" s="67" customFormat="1" ht="38.1" customHeight="1" thickBot="1">
      <c r="A13" s="550" t="str">
        <f>L51</f>
        <v>If you dig too deeply, you come upon a creature that is:</v>
      </c>
      <c r="B13" s="551"/>
      <c r="C13" s="551"/>
      <c r="D13" s="445" t="str">
        <f ca="1">INDEX($L$52:$L$71,RANDBETWEEN(1,10))</f>
        <v>Severely out of place in this cave.</v>
      </c>
      <c r="E13" s="445"/>
      <c r="F13" s="445"/>
      <c r="G13" s="446"/>
      <c r="H13" s="123"/>
      <c r="I13" s="587"/>
      <c r="J13" s="585"/>
      <c r="K13" s="540"/>
      <c r="L13" s="585"/>
      <c r="M13" s="540"/>
      <c r="N13" s="585"/>
      <c r="O13" s="540"/>
      <c r="P13" s="585"/>
      <c r="Q13" s="584"/>
      <c r="R13" s="109"/>
    </row>
    <row r="14" spans="1:25" s="67" customFormat="1" ht="38.1" customHeight="1" thickBot="1">
      <c r="A14" s="125"/>
      <c r="B14" s="123"/>
      <c r="C14" s="123"/>
      <c r="D14" s="123"/>
      <c r="E14" s="123"/>
      <c r="F14" s="123"/>
      <c r="G14" s="123"/>
      <c r="H14" s="123"/>
      <c r="I14" s="583" t="str">
        <f ca="1">IF(RAND()&lt;$H$15,INDEX('Source Data'!$G$28:$G$47,RANDBETWEEN(1,20))&amp;", with "&amp;INDEX('Source Data'!$H$28:$H$47,RANDBETWEEN(1,12))&amp;" *"&amp;INDEX('Source Data'!$J$5:$J$24,RANDBETWEEN(1,20)),"")</f>
        <v/>
      </c>
      <c r="J14" s="540" t="str">
        <f ca="1">IF(AND(I14&lt;&gt;"",K14&lt;&gt;""),INDEX('Source Data'!$I$28:$I$37,RANDBETWEEN(1,10)),"")</f>
        <v/>
      </c>
      <c r="K14" s="541" t="str">
        <f ca="1">IF(RAND()&lt;$H$15,INDEX('Source Data'!$G$28:$G$47,RANDBETWEEN(1,20))&amp;", with "&amp;INDEX('Source Data'!$H$28:$H$47,RANDBETWEEN(1,12))&amp;" *"&amp;INDEX('Source Data'!$J$5:$J$24,RANDBETWEEN(1,20)),"")</f>
        <v/>
      </c>
      <c r="L14" s="540" t="str">
        <f ca="1">IF(AND(K14&lt;&gt;"",M14&lt;&gt;""),INDEX('Source Data'!$I$28:$I$37,RANDBETWEEN(1,10)),"")</f>
        <v/>
      </c>
      <c r="M14" s="541" t="str">
        <f ca="1">IF(RAND()&lt;$H$15,INDEX('Source Data'!$G$28:$G$47,RANDBETWEEN(1,20))&amp;", with "&amp;INDEX('Source Data'!$H$28:$H$47,RANDBETWEEN(1,12))&amp;" *"&amp;INDEX('Source Data'!$J$5:$J$24,RANDBETWEEN(1,20)),"")</f>
        <v/>
      </c>
      <c r="N14" s="540" t="str">
        <f ca="1">IF(AND(M14&lt;&gt;"",O14&lt;&gt;""),INDEX('Source Data'!$I$28:$I$37,RANDBETWEEN(1,10)),"")</f>
        <v/>
      </c>
      <c r="O14" s="541" t="str">
        <f ca="1">IF(RAND()&lt;$H$15,INDEX('Source Data'!$G$28:$G$47,RANDBETWEEN(1,20))&amp;", with "&amp;INDEX('Source Data'!$H$28:$H$47,RANDBETWEEN(1,12))&amp;" *"&amp;INDEX('Source Data'!$J$5:$J$24,RANDBETWEEN(1,20)),"")</f>
        <v>A cavern with a strange echo, with A prospector’s mark scratched on the wall. *Hazard</v>
      </c>
      <c r="P14" s="540" t="str">
        <f ca="1">IF(AND(O14&lt;&gt;"",Q14&lt;&gt;""),INDEX('Source Data'!$I$28:$I$37,RANDBETWEEN(1,10)),"")</f>
        <v>confusing corridor</v>
      </c>
      <c r="Q14" s="539" t="str">
        <f ca="1">IF(RAND()&lt;$H$15,INDEX('Source Data'!$G$28:$G$47,RANDBETWEEN(1,20))&amp;", with "&amp;INDEX('Source Data'!$H$28:$H$47,RANDBETWEEN(1,12))&amp;" *"&amp;INDEX('Source Data'!$J$5:$J$24,RANDBETWEEN(1,20)),"")</f>
        <v>A brightly lit room with mining equipment, with a clatter of rocks falling. *Lock</v>
      </c>
      <c r="R14" s="109"/>
    </row>
    <row r="15" spans="1:25" s="67" customFormat="1" ht="38.1" customHeight="1" thickBot="1">
      <c r="A15" s="600" t="s">
        <v>6105</v>
      </c>
      <c r="B15" s="601"/>
      <c r="C15" s="601"/>
      <c r="D15" s="601"/>
      <c r="E15" s="601"/>
      <c r="F15" s="601"/>
      <c r="G15" s="311" t="s">
        <v>6887</v>
      </c>
      <c r="H15" s="314">
        <v>0.7</v>
      </c>
      <c r="I15" s="541"/>
      <c r="J15" s="540"/>
      <c r="K15" s="541"/>
      <c r="L15" s="540"/>
      <c r="M15" s="541"/>
      <c r="N15" s="540"/>
      <c r="O15" s="541"/>
      <c r="P15" s="540"/>
      <c r="Q15" s="539"/>
      <c r="R15" s="109"/>
    </row>
    <row r="16" spans="1:25" s="67" customFormat="1" ht="38.1" customHeight="1">
      <c r="A16" s="576" t="str">
        <f>W51</f>
        <v>Guild Status and Control is:</v>
      </c>
      <c r="B16" s="577"/>
      <c r="C16" s="609" t="str">
        <f ca="1">INDEX($W$52:$W$59,RANDBETWEEN(1,8))</f>
        <v>Questionable, though they claim to have control, some operators have undermined it.</v>
      </c>
      <c r="D16" s="609"/>
      <c r="E16" s="609"/>
      <c r="F16" s="610"/>
      <c r="G16" s="109"/>
      <c r="H16" s="121"/>
      <c r="I16" s="587" t="str">
        <f ca="1">IF(AND(I14&lt;&gt;"",I18&lt;&gt;""),INDEX('Source Data'!$I$28:$I$37,RANDBETWEEN(1,10)),"")</f>
        <v/>
      </c>
      <c r="J16" s="585" t="str">
        <f ca="1">IF(AND(K14&lt;&gt;"",I18&lt;&gt;"",I14="",K18=""),INDEX('Source Data'!$I$28:$I$37,RANDBETWEEN(1,10)),IF(AND(I14&lt;&gt;"",K18&lt;&gt;"",I18="",K14=""),INDEX('Source Data'!$I$28:$I$37,RANDBETWEEN(1,10)),""))</f>
        <v/>
      </c>
      <c r="K16" s="540" t="str">
        <f ca="1">IF(AND(K14&lt;&gt;"",K18&lt;&gt;""),INDEX('Source Data'!$I$28:$I$37,RANDBETWEEN(1,10)),"")</f>
        <v/>
      </c>
      <c r="L16" s="585" t="str">
        <f ca="1">IF(AND(M14&lt;&gt;"",K18&lt;&gt;"",K14="",M18=""),INDEX('Source Data'!$I$28:$I$37,RANDBETWEEN(1,10)),IF(AND(K14&lt;&gt;"",M18&lt;&gt;"",K18="",M14=""),INDEX('Source Data'!$I$28:$I$37,RANDBETWEEN(1,10)),""))</f>
        <v/>
      </c>
      <c r="M16" s="540" t="str">
        <f ca="1">IF(AND(M14&lt;&gt;"",M18&lt;&gt;""),INDEX('Source Data'!$I$28:$I$37,RANDBETWEEN(1,10)),"")</f>
        <v/>
      </c>
      <c r="N16" s="585" t="str">
        <f ca="1">IF(AND(O14&lt;&gt;"",M18&lt;&gt;"",M14="",O18=""),INDEX('Source Data'!$I$28:$I$37,RANDBETWEEN(1,10)),IF(AND(M14&lt;&gt;"",O18&lt;&gt;"",M18="",O14=""),INDEX('Source Data'!$I$28:$I$37,RANDBETWEEN(1,10)),""))</f>
        <v>mine tracks</v>
      </c>
      <c r="O16" s="540" t="str">
        <f ca="1">IF(AND(O14&lt;&gt;"",O18&lt;&gt;""),INDEX('Source Data'!$I$28:$I$37,RANDBETWEEN(1,10)),"")</f>
        <v/>
      </c>
      <c r="P16" s="585" t="str">
        <f ca="1">IF(AND(Q14&lt;&gt;"",O18&lt;&gt;"",O14="",Q18=""),INDEX('Source Data'!$I$28:$I$37,RANDBETWEEN(1,10)),IF(AND(O14&lt;&gt;"",Q18&lt;&gt;"",O18="",Q14=""),INDEX('Source Data'!$I$28:$I$37,RANDBETWEEN(1,10)),""))</f>
        <v/>
      </c>
      <c r="Q16" s="584" t="str">
        <f ca="1">IF(AND(Q14&lt;&gt;"",Q18&lt;&gt;""),INDEX('Source Data'!$I$28:$I$37,RANDBETWEEN(1,10)),"")</f>
        <v>rubble tunnel</v>
      </c>
      <c r="R16" s="109"/>
    </row>
    <row r="17" spans="1:23" s="67" customFormat="1" ht="38.1" customHeight="1">
      <c r="A17" s="548" t="str">
        <f>X51</f>
        <v>Guild's illicit affairs comprise:</v>
      </c>
      <c r="B17" s="549"/>
      <c r="C17" s="607" t="str">
        <f ca="1">INDEX($X$52:$X$59,RANDBETWEEN(1,8))</f>
        <v>Staying well within the law, if slipping on a few taxes due to ignorance, of course.</v>
      </c>
      <c r="D17" s="607"/>
      <c r="E17" s="607"/>
      <c r="F17" s="608"/>
      <c r="G17" s="109"/>
      <c r="H17" s="123"/>
      <c r="I17" s="587"/>
      <c r="J17" s="585"/>
      <c r="K17" s="540"/>
      <c r="L17" s="585"/>
      <c r="M17" s="540"/>
      <c r="N17" s="585"/>
      <c r="O17" s="540"/>
      <c r="P17" s="585"/>
      <c r="Q17" s="584"/>
      <c r="R17" s="109"/>
    </row>
    <row r="18" spans="1:23" ht="38.1" customHeight="1" thickBot="1">
      <c r="A18" s="550" t="str">
        <f>Y51</f>
        <v>Guild Headquarters is:</v>
      </c>
      <c r="B18" s="551"/>
      <c r="C18" s="605" t="str">
        <f ca="1">INDEX($Y$52:$Y$59,RANDBETWEEN(1,8))</f>
        <v>An open-air pavilion centered in the city's bazaar.</v>
      </c>
      <c r="D18" s="605"/>
      <c r="E18" s="605"/>
      <c r="F18" s="606"/>
      <c r="G18" s="120"/>
      <c r="H18" s="122"/>
      <c r="I18" s="583" t="str">
        <f ca="1">IF(RAND()&lt;$H$15,INDEX('Source Data'!$G$28:$G$47,RANDBETWEEN(1,20))&amp;", with "&amp;INDEX('Source Data'!$H$28:$H$47,RANDBETWEEN(1,12))&amp;" *"&amp;INDEX('Source Data'!$J$5:$J$24,RANDBETWEEN(1,20)),"")</f>
        <v>A cavern filled with ore veins, with Evidence of an abandoned campsite. *Encounter</v>
      </c>
      <c r="J18" s="540" t="str">
        <f ca="1">IF(AND(I18&lt;&gt;"",K18&lt;&gt;""),INDEX('Source Data'!$I$28:$I$37,RANDBETWEEN(1,10)),"")</f>
        <v/>
      </c>
      <c r="K18" s="541" t="str">
        <f ca="1">IF(RAND()&lt;$H$15,INDEX('Source Data'!$G$28:$G$47,RANDBETWEEN(1,20))&amp;", with "&amp;INDEX('Source Data'!$H$28:$H$47,RANDBETWEEN(1,12))&amp;" *"&amp;INDEX('Source Data'!$J$5:$J$24,RANDBETWEEN(1,20)),"")</f>
        <v/>
      </c>
      <c r="L18" s="540" t="str">
        <f ca="1">IF(AND(K18&lt;&gt;"",M18&lt;&gt;""),INDEX('Source Data'!$I$28:$I$37,RANDBETWEEN(1,10)),"")</f>
        <v/>
      </c>
      <c r="M18" s="541" t="str">
        <f ca="1">IF(RAND()&lt;$H$15,INDEX('Source Data'!$G$28:$G$47,RANDBETWEEN(1,20))&amp;", with "&amp;INDEX('Source Data'!$H$28:$H$47,RANDBETWEEN(1,12))&amp;" *"&amp;INDEX('Source Data'!$J$5:$J$24,RANDBETWEEN(1,20)),"")</f>
        <v>An abandoned room , with A cracked wooden beam overhead. *Key</v>
      </c>
      <c r="N18" s="540" t="str">
        <f ca="1">IF(AND(M18&lt;&gt;"",O18&lt;&gt;""),INDEX('Source Data'!$I$28:$I$37,RANDBETWEEN(1,10)),"")</f>
        <v/>
      </c>
      <c r="O18" s="541" t="str">
        <f ca="1">IF(RAND()&lt;$H$15,INDEX('Source Data'!$G$28:$G$47,RANDBETWEEN(1,20))&amp;", with "&amp;INDEX('Source Data'!$H$28:$H$47,RANDBETWEEN(1,12))&amp;" *"&amp;INDEX('Source Data'!$J$5:$J$24,RANDBETWEEN(1,20)),"")</f>
        <v/>
      </c>
      <c r="P18" s="540" t="str">
        <f ca="1">IF(AND(O18&lt;&gt;"",Q18&lt;&gt;""),INDEX('Source Data'!$I$28:$I$37,RANDBETWEEN(1,10)),"")</f>
        <v/>
      </c>
      <c r="Q18" s="539" t="str">
        <f ca="1">IF(RAND()&lt;$H$15,INDEX('Source Data'!$G$28:$G$47,RANDBETWEEN(1,20))&amp;", with "&amp;INDEX('Source Data'!$H$28:$H$47,RANDBETWEEN(1,12))&amp;" *"&amp;INDEX('Source Data'!$J$5:$J$24,RANDBETWEEN(1,20)),"")</f>
        <v>A low cave that is hard to traverse, with A wide slippery patch of mold on the floor. *Entrance/Access</v>
      </c>
      <c r="R18" s="122"/>
      <c r="S18" s="64"/>
      <c r="T18" s="64"/>
      <c r="U18" s="64"/>
      <c r="V18" s="64"/>
      <c r="W18" s="64"/>
    </row>
    <row r="19" spans="1:23" ht="38.1" customHeight="1" thickBot="1">
      <c r="A19" s="120"/>
      <c r="B19" s="120"/>
      <c r="C19" s="120"/>
      <c r="D19" s="120"/>
      <c r="E19" s="120"/>
      <c r="F19" s="120"/>
      <c r="G19" s="120"/>
      <c r="H19" s="119"/>
      <c r="I19" s="591"/>
      <c r="J19" s="589"/>
      <c r="K19" s="590"/>
      <c r="L19" s="589"/>
      <c r="M19" s="590"/>
      <c r="N19" s="589"/>
      <c r="O19" s="590"/>
      <c r="P19" s="589"/>
      <c r="Q19" s="588"/>
      <c r="R19" s="122"/>
      <c r="S19" s="64"/>
      <c r="T19" s="64"/>
      <c r="U19" s="64"/>
      <c r="V19" s="64"/>
      <c r="W19" s="64"/>
    </row>
    <row r="20" spans="1:23" ht="35.1" customHeight="1" thickBot="1">
      <c r="A20" s="120"/>
      <c r="B20" s="120"/>
      <c r="C20" s="120"/>
      <c r="D20" s="120"/>
      <c r="E20" s="120"/>
      <c r="F20" s="120"/>
      <c r="G20" s="120"/>
      <c r="H20" s="75"/>
      <c r="I20" s="120"/>
      <c r="J20" s="120"/>
      <c r="K20" s="120"/>
      <c r="L20" s="120"/>
      <c r="M20" s="120"/>
      <c r="N20" s="120"/>
      <c r="O20" s="120"/>
      <c r="P20" s="120"/>
      <c r="Q20" s="120"/>
      <c r="R20" s="122"/>
      <c r="S20" s="64"/>
      <c r="T20" s="64"/>
      <c r="U20" s="64"/>
      <c r="V20" s="64"/>
      <c r="W20" s="64"/>
    </row>
    <row r="21" spans="1:23" ht="35.1" customHeight="1" thickBot="1">
      <c r="A21" s="555" t="s">
        <v>5301</v>
      </c>
      <c r="B21" s="556"/>
      <c r="C21" s="556"/>
      <c r="D21" s="556"/>
      <c r="E21" s="556"/>
      <c r="F21" s="556"/>
      <c r="G21" s="556"/>
      <c r="H21" s="556"/>
      <c r="I21" s="557"/>
      <c r="J21" s="120"/>
      <c r="K21" s="120"/>
      <c r="L21" s="120"/>
      <c r="M21" s="120"/>
      <c r="N21" s="120"/>
      <c r="O21" s="120"/>
      <c r="P21" s="120"/>
      <c r="Q21" s="120"/>
      <c r="R21" s="122"/>
      <c r="S21" s="64"/>
      <c r="T21" s="64"/>
      <c r="U21" s="64"/>
      <c r="V21" s="64"/>
      <c r="W21" s="64"/>
    </row>
    <row r="22" spans="1:23" ht="35.1" customHeight="1">
      <c r="A22" s="305" t="s">
        <v>2589</v>
      </c>
      <c r="B22" s="562" t="str">
        <f ca="1">INDEX($N$52:$N$57,RANDBETWEEN(1,6))</f>
        <v>Unkempt hair.</v>
      </c>
      <c r="C22" s="563"/>
      <c r="D22" s="305" t="s">
        <v>2589</v>
      </c>
      <c r="E22" s="562" t="str">
        <f ca="1">INDEX($N$52:$N$57,RANDBETWEEN(1,6))</f>
        <v>A raspy voice.</v>
      </c>
      <c r="F22" s="563"/>
      <c r="G22" s="305" t="s">
        <v>2589</v>
      </c>
      <c r="H22" s="562" t="str">
        <f ca="1">INDEX($N$52:$N$57,RANDBETWEEN(1,6))</f>
        <v>Long whiskers.</v>
      </c>
      <c r="I22" s="563"/>
      <c r="J22" s="120"/>
      <c r="K22" s="120"/>
      <c r="L22" s="120"/>
      <c r="M22" s="120"/>
      <c r="N22" s="120"/>
      <c r="O22" s="120"/>
      <c r="P22" s="120"/>
      <c r="Q22" s="120"/>
      <c r="R22" s="122"/>
      <c r="S22" s="64"/>
      <c r="T22" s="64"/>
      <c r="U22" s="64"/>
      <c r="V22" s="64"/>
      <c r="W22" s="64"/>
    </row>
    <row r="23" spans="1:23" ht="35.1" customHeight="1">
      <c r="A23" s="306" t="s">
        <v>2590</v>
      </c>
      <c r="B23" s="560" t="str">
        <f ca="1">INDEX($O$52:$O$55,RANDBETWEEN(1,4))</f>
        <v>A sweat-stained shirt.</v>
      </c>
      <c r="C23" s="561"/>
      <c r="D23" s="306" t="s">
        <v>2590</v>
      </c>
      <c r="E23" s="560" t="str">
        <f ca="1">INDEX($O$52:$O$55,RANDBETWEEN(1,4))</f>
        <v>A head lamp.</v>
      </c>
      <c r="F23" s="561"/>
      <c r="G23" s="306" t="s">
        <v>2590</v>
      </c>
      <c r="H23" s="560" t="str">
        <f ca="1">INDEX($O$52:$O$55,RANDBETWEEN(1,4))</f>
        <v>A sweat-stained shirt.</v>
      </c>
      <c r="I23" s="561"/>
      <c r="J23" s="120"/>
      <c r="K23" s="120"/>
      <c r="L23" s="120"/>
      <c r="M23" s="120"/>
      <c r="N23" s="120"/>
      <c r="O23" s="120"/>
      <c r="P23" s="120"/>
      <c r="Q23" s="120"/>
      <c r="R23" s="122"/>
      <c r="S23" s="64"/>
      <c r="T23" s="64"/>
      <c r="U23" s="64"/>
      <c r="V23" s="64"/>
      <c r="W23" s="64"/>
    </row>
    <row r="24" spans="1:23" ht="40.5" customHeight="1">
      <c r="A24" s="306" t="s">
        <v>2591</v>
      </c>
      <c r="B24" s="560" t="str">
        <f ca="1">INDEX($P$52:$P$55,RANDBETWEEN(1,4))</f>
        <v>Get rich quick.</v>
      </c>
      <c r="C24" s="561"/>
      <c r="D24" s="306" t="s">
        <v>2591</v>
      </c>
      <c r="E24" s="560" t="str">
        <f ca="1">INDEX($P$52:$P$55,RANDBETWEEN(1,4))</f>
        <v>Get rich quick.</v>
      </c>
      <c r="F24" s="561"/>
      <c r="G24" s="306" t="s">
        <v>2591</v>
      </c>
      <c r="H24" s="560" t="str">
        <f ca="1">INDEX($P$52:$P$55,RANDBETWEEN(1,4))</f>
        <v>Make some coin to pay off a debt.</v>
      </c>
      <c r="I24" s="561"/>
      <c r="J24" s="120"/>
      <c r="K24" s="120"/>
      <c r="L24" s="120"/>
      <c r="M24" s="120"/>
      <c r="N24" s="120"/>
      <c r="O24" s="120"/>
      <c r="P24" s="120"/>
      <c r="Q24" s="120"/>
      <c r="R24" s="122"/>
      <c r="S24" s="64"/>
      <c r="T24" s="64"/>
      <c r="U24" s="64"/>
      <c r="V24" s="64"/>
      <c r="W24" s="64"/>
    </row>
    <row r="25" spans="1:23" ht="35.1" customHeight="1" thickBot="1">
      <c r="A25" s="307" t="s">
        <v>2608</v>
      </c>
      <c r="B25" s="558" t="str">
        <f ca="1">INDEX($Q$52:$Q$55,RANDBETWEEN(1,4))</f>
        <v>A pouch of uncut gems or bits of raw ore.</v>
      </c>
      <c r="C25" s="559"/>
      <c r="D25" s="307" t="s">
        <v>2608</v>
      </c>
      <c r="E25" s="558" t="str">
        <f ca="1">INDEX($Q$52:$Q$55,RANDBETWEEN(1,4))</f>
        <v>A length of rope and a lantern.</v>
      </c>
      <c r="F25" s="559"/>
      <c r="G25" s="307" t="s">
        <v>2608</v>
      </c>
      <c r="H25" s="558" t="str">
        <f ca="1">INDEX($Q$52:$Q$55,RANDBETWEEN(1,4))</f>
        <v>A flask of strong spirits.</v>
      </c>
      <c r="I25" s="559"/>
      <c r="J25" s="120"/>
      <c r="K25" s="120"/>
      <c r="L25" s="120"/>
      <c r="M25" s="120"/>
      <c r="N25" s="120"/>
      <c r="O25" s="120"/>
      <c r="P25" s="120"/>
      <c r="Q25" s="120"/>
      <c r="R25" s="122"/>
      <c r="S25" s="64"/>
      <c r="T25" s="64"/>
      <c r="U25" s="64"/>
      <c r="V25" s="64"/>
      <c r="W25" s="64"/>
    </row>
    <row r="26" spans="1:23" ht="35.1" customHeight="1" thickBot="1">
      <c r="A26" s="120"/>
      <c r="B26" s="120"/>
      <c r="C26" s="120"/>
      <c r="D26" s="120"/>
      <c r="E26" s="120"/>
      <c r="F26" s="120"/>
      <c r="G26" s="120"/>
      <c r="H26" s="75"/>
      <c r="I26" s="120"/>
      <c r="J26" s="120"/>
      <c r="K26" s="120"/>
      <c r="L26" s="120"/>
      <c r="M26" s="120"/>
      <c r="N26" s="120"/>
      <c r="O26" s="120"/>
      <c r="P26" s="120"/>
      <c r="Q26" s="120"/>
      <c r="R26" s="122"/>
      <c r="S26" s="64"/>
      <c r="T26" s="64"/>
      <c r="U26" s="64"/>
      <c r="V26" s="64"/>
      <c r="W26" s="64"/>
    </row>
    <row r="27" spans="1:23" ht="35.1" customHeight="1">
      <c r="A27" s="597" t="s">
        <v>2609</v>
      </c>
      <c r="B27" s="93" t="s">
        <v>2416</v>
      </c>
      <c r="C27" s="503" t="str">
        <f ca="1">CONCATENATE(INDEX('NPC''s'!$I$106:$I$115,RANDBETWEEN(1,10))," in stature, with a ",INDEX('NPC''s'!$J$106:$J$125,RANDBETWEEN(1,20))," body, and ",INDEX('NPC''s'!$K$106:$K$111,RANDBETWEEN(1,6)))</f>
        <v>UNUSUALLY SHORT in stature, with a PUDGY body, and A HEAVY TOUCH.</v>
      </c>
      <c r="D27" s="504"/>
      <c r="E27" s="504"/>
      <c r="F27" s="504"/>
      <c r="G27" s="505"/>
      <c r="H27" s="75"/>
      <c r="I27" s="120"/>
      <c r="J27" s="120"/>
      <c r="K27" s="120"/>
      <c r="L27" s="120"/>
      <c r="M27" s="120"/>
      <c r="N27" s="120"/>
      <c r="O27" s="120"/>
      <c r="P27" s="120"/>
      <c r="Q27" s="120"/>
      <c r="R27" s="122"/>
      <c r="S27" s="64"/>
      <c r="T27" s="64"/>
      <c r="U27" s="64"/>
      <c r="V27" s="64"/>
      <c r="W27" s="64"/>
    </row>
    <row r="28" spans="1:23" ht="35.1" customHeight="1">
      <c r="A28" s="598"/>
      <c r="B28" s="94" t="s">
        <v>2415</v>
      </c>
      <c r="C28" s="506" t="str">
        <f ca="1">CONCATENATE(INDEX('NPC''s'!$B$106:$B$125,RANDBETWEEN(1,20)),", ",INDEX('NPC''s'!$C$106:$C$117,RANDBETWEEN(1,12)),", and ",INDEX('NPC''s'!$D$106:$D$115,RANDBETWEEN(1,10)),". They have ",INDEX('NPC''s'!$H$106:$H$113,RANDBETWEEN(1,8)),", ",INDEX('NPC''s'!$E$106:$E$117,RANDBETWEEN(1,12)),", ",INDEX('NPC''s'!$F$106:$F$113,RANDBETWEEN(1,8)),", and ",INDEX('NPC''s'!$G$106:$G$125,RANDBETWEEN(1,20)))</f>
        <v>SLIGHTLY CROSSED EYES, SHORT EAR LOBES, and THIN LIPS. They have CHUBBY CHEEKS, A NARROW NOSE, A PRONOUNCED CHIN, and A SHAVED HEAD</v>
      </c>
      <c r="D28" s="507"/>
      <c r="E28" s="507"/>
      <c r="F28" s="507"/>
      <c r="G28" s="508"/>
      <c r="H28" s="75"/>
      <c r="I28" s="120"/>
      <c r="J28" s="120"/>
      <c r="K28" s="120"/>
      <c r="L28" s="120"/>
      <c r="M28" s="120"/>
      <c r="N28" s="120"/>
      <c r="O28" s="120"/>
      <c r="P28" s="120"/>
      <c r="Q28" s="120"/>
      <c r="R28" s="122"/>
      <c r="S28" s="64"/>
      <c r="T28" s="64"/>
      <c r="U28" s="64"/>
      <c r="V28" s="64"/>
      <c r="W28" s="64"/>
    </row>
    <row r="29" spans="1:23" ht="35.1" customHeight="1">
      <c r="A29" s="598"/>
      <c r="B29" s="94" t="s">
        <v>2417</v>
      </c>
      <c r="C29" s="506" t="str">
        <f ca="1">CONCATENATE(INDEX('NPC''s'!$M$106:$M$117,RANDBETWEEN(1,12)),", made of ",INDEX('NPC''s'!$N$106:$N$115,RANDBETWEEN(1,10)))</f>
        <v>A RING, made of GOLD</v>
      </c>
      <c r="D29" s="507"/>
      <c r="E29" s="507"/>
      <c r="F29" s="507"/>
      <c r="G29" s="508"/>
      <c r="H29" s="75"/>
      <c r="I29" s="120"/>
      <c r="J29" s="120"/>
      <c r="K29" s="120"/>
      <c r="L29" s="120"/>
      <c r="M29" s="120"/>
      <c r="N29" s="120"/>
      <c r="O29" s="120"/>
      <c r="P29" s="120"/>
      <c r="Q29" s="120"/>
      <c r="R29" s="122"/>
      <c r="S29" s="64"/>
      <c r="T29" s="64"/>
      <c r="U29" s="64"/>
      <c r="V29" s="64"/>
      <c r="W29" s="64"/>
    </row>
    <row r="30" spans="1:23" ht="35.1" customHeight="1">
      <c r="A30" s="598"/>
      <c r="B30" s="94" t="s">
        <v>2418</v>
      </c>
      <c r="C30" s="506" t="str">
        <f ca="1">CONCATENATE(INDEX('NPC''s'!$O$106:$O$113,RANDBETWEEN(1,8)))</f>
        <v>FADED AND PATCHED</v>
      </c>
      <c r="D30" s="507"/>
      <c r="E30" s="507"/>
      <c r="F30" s="507"/>
      <c r="G30" s="508"/>
      <c r="H30" s="75"/>
      <c r="I30" s="75"/>
      <c r="J30" s="120"/>
      <c r="K30" s="120"/>
      <c r="L30" s="120"/>
      <c r="M30" s="120"/>
      <c r="N30" s="120"/>
      <c r="O30" s="120"/>
      <c r="P30" s="120"/>
      <c r="Q30" s="109"/>
      <c r="R30" s="122"/>
      <c r="S30" s="64"/>
      <c r="T30" s="64"/>
      <c r="U30" s="64"/>
      <c r="V30" s="64"/>
      <c r="W30" s="64"/>
    </row>
    <row r="31" spans="1:23" ht="35.1" customHeight="1">
      <c r="A31" s="598"/>
      <c r="B31" s="94" t="s">
        <v>2435</v>
      </c>
      <c r="C31" s="506" t="str">
        <f ca="1">CONCATENATE(INDEX('NPC''s'!$S$106:$S$113,RANDBETWEEN(1,8)))</f>
        <v>FANATICAL TRUE BELIEVER</v>
      </c>
      <c r="D31" s="507"/>
      <c r="E31" s="507"/>
      <c r="F31" s="507"/>
      <c r="G31" s="508"/>
      <c r="H31" s="120"/>
      <c r="I31" s="120"/>
      <c r="J31" s="120"/>
      <c r="K31" s="120"/>
      <c r="L31" s="120"/>
      <c r="M31" s="120"/>
      <c r="N31" s="120"/>
      <c r="O31" s="120"/>
      <c r="P31" s="120"/>
      <c r="Q31" s="123"/>
      <c r="R31" s="122"/>
      <c r="S31" s="64"/>
      <c r="T31" s="64"/>
      <c r="U31" s="64"/>
      <c r="V31" s="64"/>
      <c r="W31" s="64"/>
    </row>
    <row r="32" spans="1:23" ht="35.1" customHeight="1">
      <c r="A32" s="598"/>
      <c r="B32" s="94" t="s">
        <v>2420</v>
      </c>
      <c r="C32" s="506" t="str">
        <f ca="1">CONCATENATE(INDEX('NPC''s'!$T$106:$T$111,RANDBETWEEN(1,6)))</f>
        <v>HALFLINGS</v>
      </c>
      <c r="D32" s="507"/>
      <c r="E32" s="507"/>
      <c r="F32" s="507"/>
      <c r="G32" s="508"/>
      <c r="H32" s="120"/>
      <c r="I32" s="120"/>
      <c r="J32" s="120"/>
      <c r="K32" s="120"/>
      <c r="L32" s="120"/>
      <c r="M32" s="120"/>
      <c r="N32" s="120"/>
      <c r="O32" s="120"/>
      <c r="P32" s="120"/>
      <c r="Q32" s="123"/>
      <c r="R32" s="122"/>
      <c r="S32" s="64"/>
      <c r="T32" s="64"/>
      <c r="U32" s="64"/>
      <c r="V32" s="64"/>
      <c r="W32" s="64"/>
    </row>
    <row r="33" spans="1:23" ht="35.1" customHeight="1" thickBot="1">
      <c r="A33" s="599"/>
      <c r="B33" s="95" t="s">
        <v>2419</v>
      </c>
      <c r="C33" s="509" t="str">
        <f ca="1">CONCATENATE("Their current mood is ",INDEX('NPC''s'!$R$106:$R$125,RANDBETWEEN(1,20)),". When calm, they are ",INDEX('NPC''s'!$P$106:$P$137,RANDBETWEEN(1,32)),", and when stressed they are ",INDEX('NPC''s'!$Q$106:$Q$137,RANDBETWEEN(1,32)))</f>
        <v>Their current mood is NERVOUS. When calm, they are EAGER, and when stressed they are SCORNFUL</v>
      </c>
      <c r="D33" s="510"/>
      <c r="E33" s="510"/>
      <c r="F33" s="510"/>
      <c r="G33" s="511"/>
      <c r="H33" s="120"/>
      <c r="I33" s="120"/>
      <c r="J33" s="120"/>
      <c r="K33" s="120"/>
      <c r="L33" s="120"/>
      <c r="M33" s="120"/>
      <c r="N33" s="120"/>
      <c r="O33" s="120"/>
      <c r="P33" s="120"/>
      <c r="Q33" s="123"/>
      <c r="R33" s="122"/>
      <c r="S33" s="64"/>
      <c r="T33" s="64"/>
      <c r="U33" s="64"/>
      <c r="V33" s="64"/>
      <c r="W33" s="64"/>
    </row>
    <row r="34" spans="1:23" ht="35.1" customHeight="1" thickBot="1">
      <c r="A34" s="121"/>
      <c r="B34" s="75"/>
      <c r="C34" s="75"/>
      <c r="D34" s="75"/>
      <c r="E34" s="75"/>
      <c r="F34" s="75"/>
      <c r="G34" s="75"/>
      <c r="H34" s="120"/>
      <c r="I34" s="120"/>
      <c r="J34" s="120"/>
      <c r="K34" s="120"/>
      <c r="L34" s="120"/>
      <c r="M34" s="120"/>
      <c r="N34" s="120"/>
      <c r="O34" s="120"/>
      <c r="P34" s="120"/>
      <c r="Q34" s="123"/>
      <c r="R34" s="122"/>
      <c r="S34" s="64"/>
      <c r="T34" s="64"/>
      <c r="U34" s="64"/>
      <c r="V34" s="64"/>
      <c r="W34" s="64"/>
    </row>
    <row r="35" spans="1:23" ht="35.1" customHeight="1">
      <c r="A35" s="552" t="s">
        <v>2482</v>
      </c>
      <c r="B35" s="93" t="s">
        <v>2416</v>
      </c>
      <c r="C35" s="503" t="str">
        <f ca="1">CONCATENATE(INDEX('NPC''s'!$I$106:$I$115,RANDBETWEEN(1,10))," in stature, with a ",INDEX('NPC''s'!$J$106:$J$125,RANDBETWEEN(1,20))," body, and ",INDEX('NPC''s'!$K$106:$K$111,RANDBETWEEN(1,6)))</f>
        <v>SLIGHTLY BELOW AVERAGE in stature, with a BIG AND BROAD body, and DELICATE HANDS.</v>
      </c>
      <c r="D35" s="504"/>
      <c r="E35" s="504"/>
      <c r="F35" s="504"/>
      <c r="G35" s="505"/>
      <c r="H35" s="120"/>
      <c r="I35" s="552" t="s">
        <v>2482</v>
      </c>
      <c r="J35" s="93" t="s">
        <v>2416</v>
      </c>
      <c r="K35" s="503" t="str">
        <f ca="1">CONCATENATE(INDEX('NPC''s'!$I$106:$I$115,RANDBETWEEN(1,10))," in stature, with a ",INDEX('NPC''s'!$J$106:$J$125,RANDBETWEEN(1,20))," body, and ",INDEX('NPC''s'!$K$106:$K$111,RANDBETWEEN(1,6)))</f>
        <v>AVERAGE  in stature, with a SINEWY AND STRONG body, and SOFT HANDS.</v>
      </c>
      <c r="L35" s="504"/>
      <c r="M35" s="504"/>
      <c r="N35" s="504"/>
      <c r="O35" s="505"/>
      <c r="P35" s="120"/>
      <c r="Q35" s="123"/>
      <c r="R35" s="122"/>
      <c r="S35" s="64"/>
      <c r="T35" s="64"/>
      <c r="U35" s="64"/>
      <c r="V35" s="64"/>
      <c r="W35" s="64"/>
    </row>
    <row r="36" spans="1:23" ht="35.1" customHeight="1">
      <c r="A36" s="553"/>
      <c r="B36" s="94" t="s">
        <v>2415</v>
      </c>
      <c r="C36" s="506" t="str">
        <f ca="1">CONCATENATE(INDEX('NPC''s'!$B$106:$B$125,RANDBETWEEN(1,20)),", ",INDEX('NPC''s'!$C$106:$C$117,RANDBETWEEN(1,12)),", and ",INDEX('NPC''s'!$D$106:$D$115,RANDBETWEEN(1,10)),". They have ",INDEX('NPC''s'!$H$106:$H$113,RANDBETWEEN(1,8)),", ",INDEX('NPC''s'!$E$106:$E$117,RANDBETWEEN(1,12)),", ",INDEX('NPC''s'!$F$106:$F$113,RANDBETWEEN(1,8)),", and ",INDEX('NPC''s'!$G$106:$G$125,RANDBETWEEN(1,20)))</f>
        <v>SHIFTY EYES, SMALL EARS, and BROKEN/MISSING TEETH. They have A LARGE MOLE, A HAWK-LIKE NOSE, A DIMPLE ON THE CHIN, and NO HAIR OF ANY KIND</v>
      </c>
      <c r="D36" s="507"/>
      <c r="E36" s="507"/>
      <c r="F36" s="507"/>
      <c r="G36" s="508"/>
      <c r="H36" s="120"/>
      <c r="I36" s="553"/>
      <c r="J36" s="94" t="s">
        <v>2415</v>
      </c>
      <c r="K36" s="506" t="str">
        <f ca="1">CONCATENATE(INDEX('NPC''s'!$B$106:$B$125,RANDBETWEEN(1,20)),", ",INDEX('NPC''s'!$C$106:$C$117,RANDBETWEEN(1,12)),", and ",INDEX('NPC''s'!$D$106:$D$115,RANDBETWEEN(1,10)),". They have ",INDEX('NPC''s'!$H$106:$H$113,RANDBETWEEN(1,8)),", ",INDEX('NPC''s'!$E$106:$E$117,RANDBETWEEN(1,12)),", ",INDEX('NPC''s'!$F$106:$F$113,RANDBETWEEN(1,8)),", and ",INDEX('NPC''s'!$G$106:$G$125,RANDBETWEEN(1,20)))</f>
        <v>SLEEPY EYES, LONG EAR LOBES, and CROOKED TEETH. They have A LARGE MOLE, A NARROW NOSE, A DIMPLE ON THE CHIN, and VERY LONG HAIR</v>
      </c>
      <c r="L36" s="507"/>
      <c r="M36" s="507"/>
      <c r="N36" s="507"/>
      <c r="O36" s="508"/>
      <c r="P36" s="120"/>
      <c r="Q36" s="120"/>
      <c r="R36" s="122"/>
      <c r="S36" s="64"/>
      <c r="T36" s="64"/>
      <c r="U36" s="64"/>
      <c r="V36" s="64"/>
      <c r="W36" s="64"/>
    </row>
    <row r="37" spans="1:23" ht="35.1" customHeight="1">
      <c r="A37" s="553"/>
      <c r="B37" s="94" t="s">
        <v>2417</v>
      </c>
      <c r="C37" s="506" t="str">
        <f ca="1">CONCATENATE(INDEX('NPC''s'!$M$106:$M$117,RANDBETWEEN(1,12)),", made of ",INDEX('NPC''s'!$N$106:$N$115,RANDBETWEEN(1,10)))</f>
        <v>A BRACELET, made of GOLD</v>
      </c>
      <c r="D37" s="507"/>
      <c r="E37" s="507"/>
      <c r="F37" s="507"/>
      <c r="G37" s="508"/>
      <c r="H37" s="120"/>
      <c r="I37" s="553"/>
      <c r="J37" s="94" t="s">
        <v>2417</v>
      </c>
      <c r="K37" s="506" t="str">
        <f ca="1">CONCATENATE(INDEX('NPC''s'!$M$106:$M$117,RANDBETWEEN(1,12)),", made of ",INDEX('NPC''s'!$N$106:$N$115,RANDBETWEEN(1,10)))</f>
        <v>AN EARING, made of BRONZE</v>
      </c>
      <c r="L37" s="507"/>
      <c r="M37" s="507"/>
      <c r="N37" s="507"/>
      <c r="O37" s="508"/>
      <c r="P37" s="120"/>
      <c r="Q37" s="120"/>
      <c r="R37" s="122"/>
      <c r="S37" s="64"/>
      <c r="T37" s="64"/>
      <c r="U37" s="64"/>
      <c r="V37" s="64"/>
      <c r="W37" s="64"/>
    </row>
    <row r="38" spans="1:23" ht="35.1" customHeight="1">
      <c r="A38" s="553"/>
      <c r="B38" s="94" t="s">
        <v>2418</v>
      </c>
      <c r="C38" s="506" t="str">
        <f ca="1">CONCATENATE(INDEX('NPC''s'!$O$106:$O$113,RANDBETWEEN(1,8)))</f>
        <v>A BIT OLD-FASHIONED</v>
      </c>
      <c r="D38" s="507"/>
      <c r="E38" s="507"/>
      <c r="F38" s="507"/>
      <c r="G38" s="508"/>
      <c r="H38" s="120"/>
      <c r="I38" s="553"/>
      <c r="J38" s="94" t="s">
        <v>2418</v>
      </c>
      <c r="K38" s="506" t="str">
        <f ca="1">CONCATENATE(INDEX('NPC''s'!$O$106:$O$113,RANDBETWEEN(1,8)))</f>
        <v>A BIT OLD-FASHIONED</v>
      </c>
      <c r="L38" s="507"/>
      <c r="M38" s="507"/>
      <c r="N38" s="507"/>
      <c r="O38" s="508"/>
      <c r="P38" s="120"/>
      <c r="Q38" s="120"/>
      <c r="R38" s="122"/>
      <c r="S38" s="64"/>
      <c r="T38" s="64"/>
      <c r="U38" s="64"/>
      <c r="V38" s="64"/>
      <c r="W38" s="64"/>
    </row>
    <row r="39" spans="1:23" ht="35.1" customHeight="1">
      <c r="A39" s="553"/>
      <c r="B39" s="94" t="s">
        <v>2435</v>
      </c>
      <c r="C39" s="506" t="str">
        <f ca="1">CONCATENATE(INDEX('NPC''s'!$S$106:$S$113,RANDBETWEEN(1,8)))</f>
        <v>OPEN-MINDED SEEKER</v>
      </c>
      <c r="D39" s="507"/>
      <c r="E39" s="507"/>
      <c r="F39" s="507"/>
      <c r="G39" s="508"/>
      <c r="H39" s="120"/>
      <c r="I39" s="553"/>
      <c r="J39" s="94" t="s">
        <v>2435</v>
      </c>
      <c r="K39" s="506" t="str">
        <f ca="1">CONCATENATE(INDEX('NPC''s'!$S$106:$S$113,RANDBETWEEN(1,8)))</f>
        <v>CAUTIOUS LISTENER</v>
      </c>
      <c r="L39" s="507"/>
      <c r="M39" s="507"/>
      <c r="N39" s="507"/>
      <c r="O39" s="508"/>
      <c r="P39" s="120"/>
      <c r="Q39" s="120"/>
      <c r="R39" s="122"/>
      <c r="S39" s="64"/>
      <c r="T39" s="64"/>
      <c r="U39" s="64"/>
      <c r="V39" s="64"/>
      <c r="W39" s="64"/>
    </row>
    <row r="40" spans="1:23" ht="35.1" customHeight="1">
      <c r="A40" s="553"/>
      <c r="B40" s="94" t="s">
        <v>2420</v>
      </c>
      <c r="C40" s="506" t="str">
        <f ca="1">CONCATENATE(INDEX('NPC''s'!$T$106:$T$111,RANDBETWEEN(1,6)))</f>
        <v>FISHERS</v>
      </c>
      <c r="D40" s="507"/>
      <c r="E40" s="507"/>
      <c r="F40" s="507"/>
      <c r="G40" s="508"/>
      <c r="H40" s="120"/>
      <c r="I40" s="553"/>
      <c r="J40" s="94" t="s">
        <v>2420</v>
      </c>
      <c r="K40" s="506" t="str">
        <f ca="1">CONCATENATE(INDEX('NPC''s'!$T$106:$T$111,RANDBETWEEN(1,6)))</f>
        <v>BEGGARS</v>
      </c>
      <c r="L40" s="507"/>
      <c r="M40" s="507"/>
      <c r="N40" s="507"/>
      <c r="O40" s="508"/>
      <c r="P40" s="120"/>
      <c r="Q40" s="120"/>
      <c r="R40" s="122"/>
      <c r="S40" s="64"/>
      <c r="T40" s="64"/>
      <c r="U40" s="64"/>
      <c r="V40" s="64"/>
      <c r="W40" s="64"/>
    </row>
    <row r="41" spans="1:23" ht="35.1" customHeight="1" thickBot="1">
      <c r="A41" s="554"/>
      <c r="B41" s="95" t="s">
        <v>2419</v>
      </c>
      <c r="C41" s="509" t="str">
        <f ca="1">CONCATENATE("Their current mood is ",INDEX('NPC''s'!$R$106:$R$125,RANDBETWEEN(1,20)),". When calm, they are ",INDEX('NPC''s'!$P$106:$P$137,RANDBETWEEN(1,32)),", and when stressed they are ",INDEX('NPC''s'!$Q$106:$Q$137,RANDBETWEEN(1,32)))</f>
        <v>Their current mood is HOPEFUL. When calm, they are FUNNY, and when stressed they are CAUSTIC</v>
      </c>
      <c r="D41" s="510"/>
      <c r="E41" s="510"/>
      <c r="F41" s="510"/>
      <c r="G41" s="511"/>
      <c r="H41" s="120"/>
      <c r="I41" s="554"/>
      <c r="J41" s="95" t="s">
        <v>2419</v>
      </c>
      <c r="K41" s="509" t="str">
        <f ca="1">CONCATENATE("Their current mood is ",INDEX('NPC''s'!$R$106:$R$125,RANDBETWEEN(1,20)),". When calm, they are ",INDEX('NPC''s'!$P$106:$P$137,RANDBETWEEN(1,32)),", and when stressed they are ",INDEX('NPC''s'!$Q$106:$Q$137,RANDBETWEEN(1,32)))</f>
        <v>Their current mood is DESPONDANT. When calm, they are THOUGHTFUL, and when stressed they are RECKLESS</v>
      </c>
      <c r="L41" s="510"/>
      <c r="M41" s="510"/>
      <c r="N41" s="510"/>
      <c r="O41" s="511"/>
      <c r="P41" s="109"/>
      <c r="Q41" s="109"/>
      <c r="R41" s="122"/>
      <c r="S41" s="64"/>
      <c r="T41" s="64"/>
      <c r="U41" s="64"/>
      <c r="V41" s="64"/>
      <c r="W41" s="64"/>
    </row>
    <row r="42" spans="1:23" ht="15" customHeight="1">
      <c r="A42" s="120"/>
      <c r="B42" s="120"/>
      <c r="C42" s="120"/>
      <c r="D42" s="120"/>
      <c r="E42" s="120"/>
      <c r="F42" s="120"/>
      <c r="G42" s="120"/>
      <c r="H42" s="120"/>
      <c r="I42" s="120"/>
      <c r="J42" s="120"/>
      <c r="K42" s="120"/>
      <c r="L42" s="120"/>
      <c r="M42" s="120"/>
      <c r="N42" s="120"/>
      <c r="O42" s="120"/>
      <c r="P42" s="109"/>
      <c r="Q42" s="109"/>
      <c r="R42" s="122"/>
      <c r="S42" s="64"/>
      <c r="T42" s="64"/>
      <c r="U42" s="64"/>
      <c r="V42" s="64"/>
      <c r="W42" s="64"/>
    </row>
    <row r="43" spans="1:23" ht="15" customHeight="1">
      <c r="A43" s="120"/>
      <c r="B43" s="120"/>
      <c r="C43" s="120"/>
      <c r="D43" s="120"/>
      <c r="E43" s="120"/>
      <c r="F43" s="120"/>
      <c r="G43" s="120"/>
      <c r="H43" s="120"/>
      <c r="I43" s="120"/>
      <c r="J43" s="120"/>
      <c r="K43" s="120"/>
      <c r="L43" s="120"/>
      <c r="M43" s="120"/>
      <c r="N43" s="120"/>
      <c r="O43" s="120"/>
      <c r="P43" s="109"/>
      <c r="Q43" s="109"/>
      <c r="R43" s="122"/>
      <c r="S43" s="64"/>
      <c r="T43" s="64"/>
      <c r="U43" s="64"/>
      <c r="V43" s="64"/>
      <c r="W43" s="64"/>
    </row>
    <row r="44" spans="1:23" ht="15" customHeight="1">
      <c r="A44" s="120"/>
      <c r="B44" s="120"/>
      <c r="C44" s="120"/>
      <c r="D44" s="120"/>
      <c r="E44" s="120"/>
      <c r="F44" s="120"/>
      <c r="G44" s="120"/>
      <c r="H44" s="120"/>
      <c r="I44" s="120"/>
      <c r="J44" s="120"/>
      <c r="K44" s="120"/>
      <c r="L44" s="120"/>
      <c r="M44" s="120"/>
      <c r="N44" s="120"/>
      <c r="O44" s="120"/>
      <c r="P44" s="109"/>
      <c r="Q44" s="109"/>
      <c r="R44" s="122"/>
      <c r="S44" s="64"/>
      <c r="T44" s="64"/>
      <c r="U44" s="64"/>
      <c r="V44" s="64"/>
      <c r="W44" s="64"/>
    </row>
    <row r="45" spans="1:23" ht="15.75" customHeight="1">
      <c r="A45" s="120"/>
      <c r="B45" s="120"/>
      <c r="C45" s="120"/>
      <c r="D45" s="120"/>
      <c r="E45" s="120"/>
      <c r="F45" s="120"/>
      <c r="G45" s="120"/>
      <c r="H45" s="120"/>
      <c r="I45" s="120"/>
      <c r="J45" s="120"/>
      <c r="K45" s="120"/>
      <c r="L45" s="120"/>
      <c r="M45" s="120"/>
      <c r="N45" s="120"/>
      <c r="O45" s="120"/>
      <c r="P45" s="109"/>
      <c r="Q45" s="109"/>
      <c r="R45" s="122"/>
      <c r="S45" s="64"/>
      <c r="T45" s="64"/>
      <c r="U45" s="64"/>
      <c r="V45" s="64"/>
      <c r="W45" s="64"/>
    </row>
    <row r="46" spans="1:23" ht="15.75" customHeight="1">
      <c r="A46" s="120"/>
      <c r="B46" s="120"/>
      <c r="C46" s="120"/>
      <c r="D46" s="120"/>
      <c r="E46" s="120"/>
      <c r="F46" s="120"/>
      <c r="G46" s="120"/>
      <c r="H46" s="120"/>
      <c r="I46" s="120"/>
      <c r="J46" s="120"/>
      <c r="K46" s="120"/>
      <c r="L46" s="120"/>
      <c r="M46" s="120"/>
      <c r="N46" s="120"/>
      <c r="O46" s="120"/>
      <c r="P46" s="109"/>
      <c r="Q46" s="109"/>
      <c r="R46" s="122"/>
      <c r="S46" s="64"/>
      <c r="T46" s="64"/>
      <c r="U46" s="64"/>
      <c r="V46" s="64"/>
      <c r="W46" s="64"/>
    </row>
    <row r="47" spans="1:23" ht="15.75" customHeight="1">
      <c r="A47" s="120"/>
      <c r="B47" s="120"/>
      <c r="C47" s="120"/>
      <c r="D47" s="120"/>
      <c r="E47" s="120"/>
      <c r="F47" s="120"/>
      <c r="G47" s="120"/>
      <c r="H47" s="120"/>
      <c r="I47" s="120"/>
      <c r="J47" s="120"/>
      <c r="K47" s="120"/>
      <c r="L47" s="120"/>
      <c r="M47" s="120"/>
      <c r="N47" s="120"/>
      <c r="O47" s="120"/>
      <c r="P47" s="109"/>
      <c r="Q47" s="109"/>
      <c r="R47" s="122"/>
      <c r="S47" s="64"/>
      <c r="T47" s="64"/>
      <c r="U47" s="64"/>
      <c r="V47" s="64"/>
      <c r="W47" s="64"/>
    </row>
    <row r="48" spans="1:23" ht="15.75" customHeight="1">
      <c r="A48" s="120"/>
      <c r="B48" s="120"/>
      <c r="C48" s="120"/>
      <c r="D48" s="120"/>
      <c r="E48" s="120"/>
      <c r="F48" s="120"/>
      <c r="G48" s="120"/>
      <c r="H48" s="120"/>
      <c r="I48" s="120"/>
      <c r="J48" s="120"/>
      <c r="K48" s="120"/>
      <c r="L48" s="120"/>
      <c r="M48" s="120"/>
      <c r="N48" s="120"/>
      <c r="O48" s="120"/>
      <c r="P48" s="109"/>
      <c r="Q48" s="109"/>
      <c r="R48" s="122"/>
      <c r="S48" s="64"/>
      <c r="T48" s="64"/>
      <c r="U48" s="64"/>
      <c r="V48" s="64"/>
      <c r="W48" s="64"/>
    </row>
    <row r="49" spans="1:25" ht="15.75" customHeight="1">
      <c r="A49" s="120"/>
      <c r="B49" s="120"/>
      <c r="C49" s="120"/>
      <c r="D49" s="120"/>
      <c r="E49" s="120"/>
      <c r="F49" s="120"/>
      <c r="G49" s="120"/>
      <c r="H49" s="120"/>
      <c r="I49" s="120"/>
      <c r="J49" s="120"/>
      <c r="K49" s="120"/>
      <c r="L49" s="121"/>
      <c r="M49" s="109"/>
      <c r="N49" s="109"/>
      <c r="O49" s="109"/>
      <c r="P49" s="109"/>
      <c r="Q49" s="122"/>
      <c r="R49" s="122"/>
      <c r="S49" s="64"/>
      <c r="T49" s="64"/>
      <c r="U49" s="64"/>
      <c r="V49" s="64"/>
      <c r="W49" s="64"/>
    </row>
    <row r="50" spans="1:25" ht="15.75" customHeight="1">
      <c r="A50" s="121"/>
      <c r="B50" s="75"/>
      <c r="C50" s="75"/>
      <c r="D50" s="75"/>
      <c r="E50" s="75"/>
      <c r="F50" s="75"/>
      <c r="G50" s="75"/>
      <c r="H50" s="75"/>
      <c r="I50" s="75"/>
      <c r="J50" s="75"/>
      <c r="K50" s="120"/>
      <c r="L50" s="121"/>
      <c r="M50" s="109"/>
      <c r="N50" s="109"/>
      <c r="O50" s="109"/>
      <c r="P50" s="109"/>
      <c r="Q50" s="122"/>
      <c r="R50" s="122"/>
      <c r="S50" s="64"/>
      <c r="T50" s="64"/>
      <c r="U50" s="64"/>
      <c r="V50" s="64"/>
      <c r="W50" s="64"/>
    </row>
    <row r="51" spans="1:25" ht="15.75" customHeight="1">
      <c r="A51" s="137"/>
      <c r="B51" s="138" t="s">
        <v>2478</v>
      </c>
      <c r="C51" s="139" t="s">
        <v>2598</v>
      </c>
      <c r="D51" s="138" t="s">
        <v>2599</v>
      </c>
      <c r="E51" s="138" t="s">
        <v>1312</v>
      </c>
      <c r="F51" s="138" t="s">
        <v>2600</v>
      </c>
      <c r="G51" s="68" t="s">
        <v>2601</v>
      </c>
      <c r="H51" s="82" t="s">
        <v>2602</v>
      </c>
      <c r="I51" s="68" t="s">
        <v>2603</v>
      </c>
      <c r="J51" s="68" t="s">
        <v>2607</v>
      </c>
      <c r="K51" s="68" t="s">
        <v>2604</v>
      </c>
      <c r="L51" s="82" t="s">
        <v>2605</v>
      </c>
      <c r="M51" s="68" t="s">
        <v>2606</v>
      </c>
      <c r="N51" s="68" t="s">
        <v>2067</v>
      </c>
      <c r="O51" s="68" t="s">
        <v>2076</v>
      </c>
      <c r="P51" s="68" t="s">
        <v>2068</v>
      </c>
      <c r="Q51" s="68" t="s">
        <v>2069</v>
      </c>
      <c r="R51" s="64"/>
      <c r="S51" s="64"/>
      <c r="T51" s="64"/>
      <c r="U51" s="64" t="s">
        <v>3005</v>
      </c>
      <c r="V51" s="64"/>
      <c r="W51" s="196" t="s">
        <v>5048</v>
      </c>
      <c r="X51" s="196" t="s">
        <v>5049</v>
      </c>
      <c r="Y51" s="196" t="s">
        <v>5050</v>
      </c>
    </row>
    <row r="52" spans="1:25" ht="15.75" customHeight="1">
      <c r="A52" s="137">
        <v>1</v>
      </c>
      <c r="B52" s="64" t="s">
        <v>1216</v>
      </c>
      <c r="C52" s="140" t="s">
        <v>1299</v>
      </c>
      <c r="D52" s="64" t="s">
        <v>1305</v>
      </c>
      <c r="E52" s="64" t="s">
        <v>1254</v>
      </c>
      <c r="F52" s="141" t="s">
        <v>1317</v>
      </c>
      <c r="G52" s="141" t="s">
        <v>1223</v>
      </c>
      <c r="H52" s="64" t="s">
        <v>1337</v>
      </c>
      <c r="I52" s="65" t="s">
        <v>1387</v>
      </c>
      <c r="J52" s="64" t="s">
        <v>1340</v>
      </c>
      <c r="K52" s="64" t="s">
        <v>1344</v>
      </c>
      <c r="L52" s="141" t="s">
        <v>1277</v>
      </c>
      <c r="M52" s="64" t="s">
        <v>1356</v>
      </c>
      <c r="N52" s="64" t="s">
        <v>2070</v>
      </c>
      <c r="O52" s="64" t="s">
        <v>2077</v>
      </c>
      <c r="P52" s="64" t="s">
        <v>2081</v>
      </c>
      <c r="Q52" s="64" t="s">
        <v>2085</v>
      </c>
      <c r="R52" s="64"/>
      <c r="S52" s="64"/>
      <c r="T52" s="64"/>
      <c r="U52" s="168" t="s">
        <v>2909</v>
      </c>
      <c r="V52" s="64"/>
      <c r="W52" s="184" t="s">
        <v>5023</v>
      </c>
      <c r="X52" s="184" t="s">
        <v>5031</v>
      </c>
      <c r="Y52" s="184" t="s">
        <v>5039</v>
      </c>
    </row>
    <row r="53" spans="1:25" ht="15.75" customHeight="1">
      <c r="A53" s="137">
        <v>2</v>
      </c>
      <c r="B53" s="64" t="s">
        <v>1217</v>
      </c>
      <c r="C53" s="140" t="s">
        <v>1300</v>
      </c>
      <c r="D53" s="64" t="s">
        <v>1306</v>
      </c>
      <c r="E53" s="64" t="s">
        <v>1255</v>
      </c>
      <c r="F53" s="141" t="s">
        <v>1146</v>
      </c>
      <c r="G53" s="141" t="s">
        <v>1224</v>
      </c>
      <c r="H53" s="64" t="s">
        <v>1336</v>
      </c>
      <c r="I53" s="65" t="s">
        <v>1388</v>
      </c>
      <c r="J53" s="64" t="s">
        <v>1341</v>
      </c>
      <c r="K53" s="64" t="s">
        <v>1345</v>
      </c>
      <c r="L53" s="141" t="s">
        <v>1278</v>
      </c>
      <c r="M53" s="64" t="s">
        <v>1357</v>
      </c>
      <c r="N53" s="64" t="s">
        <v>2071</v>
      </c>
      <c r="O53" s="64" t="s">
        <v>2078</v>
      </c>
      <c r="P53" s="64" t="s">
        <v>2082</v>
      </c>
      <c r="Q53" s="64" t="s">
        <v>2086</v>
      </c>
      <c r="R53" s="64"/>
      <c r="S53" s="64"/>
      <c r="T53" s="64"/>
      <c r="U53" s="168" t="s">
        <v>2910</v>
      </c>
      <c r="V53" s="64"/>
      <c r="W53" s="184" t="s">
        <v>5024</v>
      </c>
      <c r="X53" s="184" t="s">
        <v>5032</v>
      </c>
      <c r="Y53" s="184" t="s">
        <v>5040</v>
      </c>
    </row>
    <row r="54" spans="1:25" ht="15.75" customHeight="1">
      <c r="A54" s="137">
        <v>3</v>
      </c>
      <c r="B54" s="64" t="s">
        <v>1218</v>
      </c>
      <c r="C54" s="140" t="s">
        <v>1301</v>
      </c>
      <c r="D54" s="64" t="s">
        <v>1307</v>
      </c>
      <c r="E54" s="64" t="s">
        <v>1313</v>
      </c>
      <c r="F54" s="141" t="s">
        <v>1318</v>
      </c>
      <c r="G54" s="141" t="s">
        <v>1225</v>
      </c>
      <c r="H54" s="64" t="s">
        <v>1338</v>
      </c>
      <c r="I54" s="65" t="s">
        <v>1389</v>
      </c>
      <c r="J54" s="64" t="s">
        <v>1396</v>
      </c>
      <c r="K54" s="64" t="s">
        <v>1346</v>
      </c>
      <c r="L54" s="141" t="s">
        <v>1279</v>
      </c>
      <c r="M54" s="64" t="s">
        <v>1358</v>
      </c>
      <c r="N54" s="64" t="s">
        <v>2072</v>
      </c>
      <c r="O54" s="64" t="s">
        <v>2079</v>
      </c>
      <c r="P54" s="64" t="s">
        <v>2083</v>
      </c>
      <c r="Q54" s="64" t="s">
        <v>2087</v>
      </c>
      <c r="R54" s="64"/>
      <c r="S54" s="64"/>
      <c r="T54" s="64"/>
      <c r="U54" s="168" t="s">
        <v>2911</v>
      </c>
      <c r="V54" s="64"/>
      <c r="W54" s="184" t="s">
        <v>5025</v>
      </c>
      <c r="X54" s="184" t="s">
        <v>5033</v>
      </c>
      <c r="Y54" s="184" t="s">
        <v>5041</v>
      </c>
    </row>
    <row r="55" spans="1:25" ht="15.75" customHeight="1">
      <c r="A55" s="137">
        <v>4</v>
      </c>
      <c r="B55" s="64" t="s">
        <v>1219</v>
      </c>
      <c r="C55" s="140" t="s">
        <v>1302</v>
      </c>
      <c r="D55" s="64" t="s">
        <v>1308</v>
      </c>
      <c r="E55" s="64" t="s">
        <v>1257</v>
      </c>
      <c r="F55" s="141" t="s">
        <v>1319</v>
      </c>
      <c r="G55" s="141" t="s">
        <v>1324</v>
      </c>
      <c r="H55" s="64" t="s">
        <v>1339</v>
      </c>
      <c r="I55" s="65" t="s">
        <v>1390</v>
      </c>
      <c r="J55" s="64" t="s">
        <v>1395</v>
      </c>
      <c r="K55" s="64" t="s">
        <v>1347</v>
      </c>
      <c r="L55" s="141" t="s">
        <v>1280</v>
      </c>
      <c r="M55" s="64" t="s">
        <v>1359</v>
      </c>
      <c r="N55" s="64" t="s">
        <v>2073</v>
      </c>
      <c r="O55" s="64" t="s">
        <v>2080</v>
      </c>
      <c r="P55" s="64" t="s">
        <v>2084</v>
      </c>
      <c r="Q55" s="64" t="s">
        <v>2088</v>
      </c>
      <c r="R55" s="64"/>
      <c r="S55" s="64"/>
      <c r="T55" s="64"/>
      <c r="U55" s="168" t="s">
        <v>2912</v>
      </c>
      <c r="V55" s="64"/>
      <c r="W55" s="184" t="s">
        <v>5026</v>
      </c>
      <c r="X55" s="184" t="s">
        <v>5034</v>
      </c>
      <c r="Y55" s="184" t="s">
        <v>5042</v>
      </c>
    </row>
    <row r="56" spans="1:25" ht="15.75" customHeight="1">
      <c r="A56" s="137">
        <v>5</v>
      </c>
      <c r="B56" s="64" t="s">
        <v>1220</v>
      </c>
      <c r="C56" s="140" t="s">
        <v>1303</v>
      </c>
      <c r="D56" s="64" t="s">
        <v>1309</v>
      </c>
      <c r="E56" s="64" t="s">
        <v>1258</v>
      </c>
      <c r="F56" s="141" t="s">
        <v>1148</v>
      </c>
      <c r="G56" s="141" t="s">
        <v>1227</v>
      </c>
      <c r="H56" s="64"/>
      <c r="I56" s="65" t="s">
        <v>1391</v>
      </c>
      <c r="J56" s="64" t="s">
        <v>1342</v>
      </c>
      <c r="K56" s="64" t="s">
        <v>1348</v>
      </c>
      <c r="L56" s="141" t="s">
        <v>1281</v>
      </c>
      <c r="M56" s="64" t="s">
        <v>1360</v>
      </c>
      <c r="N56" s="64" t="s">
        <v>2074</v>
      </c>
      <c r="O56" s="64"/>
      <c r="P56" s="64"/>
      <c r="Q56" s="64"/>
      <c r="R56" s="64"/>
      <c r="S56" s="64"/>
      <c r="T56" s="64"/>
      <c r="U56" s="168" t="s">
        <v>2913</v>
      </c>
      <c r="V56" s="64"/>
      <c r="W56" s="184" t="s">
        <v>5027</v>
      </c>
      <c r="X56" s="184" t="s">
        <v>5035</v>
      </c>
      <c r="Y56" s="184" t="s">
        <v>5043</v>
      </c>
    </row>
    <row r="57" spans="1:25" ht="15.75" customHeight="1">
      <c r="A57" s="137">
        <v>6</v>
      </c>
      <c r="B57" s="64" t="s">
        <v>1221</v>
      </c>
      <c r="C57" s="140" t="s">
        <v>1304</v>
      </c>
      <c r="D57" s="64" t="s">
        <v>1401</v>
      </c>
      <c r="E57" s="64" t="s">
        <v>1259</v>
      </c>
      <c r="F57" s="141" t="s">
        <v>1244</v>
      </c>
      <c r="G57" s="141" t="s">
        <v>1228</v>
      </c>
      <c r="H57" s="64"/>
      <c r="I57" s="65" t="s">
        <v>1392</v>
      </c>
      <c r="J57" s="64" t="s">
        <v>1343</v>
      </c>
      <c r="K57" s="64" t="s">
        <v>1349</v>
      </c>
      <c r="L57" s="141" t="s">
        <v>1282</v>
      </c>
      <c r="M57" s="64" t="s">
        <v>1361</v>
      </c>
      <c r="N57" s="64" t="s">
        <v>2075</v>
      </c>
      <c r="O57" s="64"/>
      <c r="P57" s="64"/>
      <c r="Q57" s="64"/>
      <c r="R57" s="64"/>
      <c r="S57" s="64"/>
      <c r="T57" s="64"/>
      <c r="U57" s="168" t="s">
        <v>2914</v>
      </c>
      <c r="V57" s="64"/>
      <c r="W57" s="184" t="s">
        <v>5028</v>
      </c>
      <c r="X57" s="184" t="s">
        <v>5036</v>
      </c>
      <c r="Y57" s="184" t="s">
        <v>5044</v>
      </c>
    </row>
    <row r="58" spans="1:25" ht="15.75" customHeight="1">
      <c r="A58" s="137">
        <v>7</v>
      </c>
      <c r="B58" s="64" t="s">
        <v>1222</v>
      </c>
      <c r="C58" s="140"/>
      <c r="D58" s="64" t="s">
        <v>1310</v>
      </c>
      <c r="E58" s="64" t="s">
        <v>1314</v>
      </c>
      <c r="F58" s="65" t="s">
        <v>1149</v>
      </c>
      <c r="G58" s="142" t="s">
        <v>1325</v>
      </c>
      <c r="I58" s="65" t="s">
        <v>1393</v>
      </c>
      <c r="J58" s="64"/>
      <c r="K58" s="64" t="s">
        <v>1350</v>
      </c>
      <c r="L58" s="141" t="s">
        <v>1283</v>
      </c>
      <c r="M58" s="64" t="s">
        <v>1362</v>
      </c>
      <c r="N58" s="64"/>
      <c r="O58" s="64"/>
      <c r="P58" s="64"/>
      <c r="Q58" s="64"/>
      <c r="R58" s="64"/>
      <c r="S58" s="64"/>
      <c r="T58" s="64"/>
      <c r="U58" s="168" t="s">
        <v>2915</v>
      </c>
      <c r="V58" s="64"/>
      <c r="W58" s="184" t="s">
        <v>5029</v>
      </c>
      <c r="X58" s="184" t="s">
        <v>5037</v>
      </c>
      <c r="Y58" s="184" t="s">
        <v>5045</v>
      </c>
    </row>
    <row r="59" spans="1:25" ht="15.75" customHeight="1">
      <c r="A59" s="137">
        <v>8</v>
      </c>
      <c r="B59" s="64" t="str">
        <f ca="1">CONCATENATE("hidden by ",CHOOSE(RANDBETWEEN(1,4),"some boulders","a waterfall", "a rocky overhang","a hillock."))</f>
        <v>hidden by some boulders</v>
      </c>
      <c r="C59" s="140"/>
      <c r="D59" s="64" t="s">
        <v>1311</v>
      </c>
      <c r="E59" s="64" t="s">
        <v>1315</v>
      </c>
      <c r="F59" s="64" t="s">
        <v>1150</v>
      </c>
      <c r="G59" s="142" t="s">
        <v>1236</v>
      </c>
      <c r="I59" s="65" t="s">
        <v>1394</v>
      </c>
      <c r="J59" s="64"/>
      <c r="K59" s="64" t="s">
        <v>1351</v>
      </c>
      <c r="L59" s="141" t="s">
        <v>1284</v>
      </c>
      <c r="M59" s="64" t="s">
        <v>1363</v>
      </c>
      <c r="N59" s="64"/>
      <c r="O59" s="64"/>
      <c r="P59" s="64"/>
      <c r="Q59" s="64"/>
      <c r="R59" s="64"/>
      <c r="S59" s="64"/>
      <c r="T59" s="64"/>
      <c r="U59" s="168" t="s">
        <v>2916</v>
      </c>
      <c r="V59" s="64"/>
      <c r="W59" s="184" t="s">
        <v>5030</v>
      </c>
      <c r="X59" s="184" t="s">
        <v>5038</v>
      </c>
      <c r="Y59" s="184" t="s">
        <v>5046</v>
      </c>
    </row>
    <row r="60" spans="1:25" ht="15.75" customHeight="1">
      <c r="A60" s="137">
        <v>9</v>
      </c>
      <c r="B60" s="64" t="str">
        <f ca="1">CONCATENATE("hidden by ",CHOOSE(RANDBETWEEN(1,4),"a briar patch","a curtain of moss","enormous tree roots","overgrown vines"))</f>
        <v>hidden by a briar patch</v>
      </c>
      <c r="C60" s="140"/>
      <c r="D60" s="64"/>
      <c r="E60" s="64" t="s">
        <v>1397</v>
      </c>
      <c r="F60" s="65" t="s">
        <v>1320</v>
      </c>
      <c r="G60" s="142" t="s">
        <v>1237</v>
      </c>
      <c r="J60" s="64"/>
      <c r="K60" s="64" t="s">
        <v>1352</v>
      </c>
      <c r="L60" s="141" t="s">
        <v>1285</v>
      </c>
      <c r="M60" s="64" t="s">
        <v>1364</v>
      </c>
      <c r="N60" s="64"/>
      <c r="O60" s="64"/>
      <c r="P60" s="64"/>
      <c r="Q60" s="64"/>
      <c r="R60" s="64"/>
      <c r="S60" s="64"/>
      <c r="T60" s="64"/>
      <c r="U60" s="168" t="s">
        <v>2917</v>
      </c>
      <c r="V60" s="64"/>
      <c r="W60" s="64"/>
    </row>
    <row r="61" spans="1:25" ht="15.75" customHeight="1">
      <c r="A61" s="137">
        <v>10</v>
      </c>
      <c r="B61" s="64" t="str">
        <f ca="1">CONCATENATE("difficult to access ",CHOOSE(RANDBETWEEN(1,4),"up or down a cliff face","down a deep hole","in an underwater tunnel","through an illusory rock or wall"))</f>
        <v>difficult to access in an underwater tunnel</v>
      </c>
      <c r="C61" s="140"/>
      <c r="D61" s="64"/>
      <c r="E61" s="64" t="s">
        <v>1316</v>
      </c>
      <c r="F61" s="65" t="s">
        <v>1321</v>
      </c>
      <c r="G61" s="142" t="s">
        <v>1326</v>
      </c>
      <c r="J61" s="64"/>
      <c r="K61" s="64" t="s">
        <v>1353</v>
      </c>
      <c r="L61" s="141" t="s">
        <v>1286</v>
      </c>
      <c r="M61" s="64" t="s">
        <v>1365</v>
      </c>
      <c r="N61" s="64"/>
      <c r="O61" s="64"/>
      <c r="P61" s="64"/>
      <c r="Q61" s="64"/>
      <c r="R61" s="64"/>
      <c r="S61" s="64"/>
      <c r="T61" s="64"/>
      <c r="U61" s="168" t="s">
        <v>2918</v>
      </c>
      <c r="V61" s="64"/>
      <c r="W61" s="64"/>
    </row>
    <row r="62" spans="1:25" ht="15.75" customHeight="1">
      <c r="A62" s="137">
        <v>11</v>
      </c>
      <c r="B62" s="64"/>
      <c r="C62" s="140"/>
      <c r="D62" s="64"/>
      <c r="E62" s="64" t="s">
        <v>1398</v>
      </c>
      <c r="F62" s="65" t="s">
        <v>1322</v>
      </c>
      <c r="G62" s="142" t="s">
        <v>1327</v>
      </c>
      <c r="I62" s="141"/>
      <c r="J62" s="64"/>
      <c r="K62" s="64" t="s">
        <v>1354</v>
      </c>
      <c r="L62" s="64"/>
      <c r="M62" s="64" t="s">
        <v>1366</v>
      </c>
      <c r="N62" s="64"/>
      <c r="O62" s="64"/>
      <c r="P62" s="64"/>
      <c r="Q62" s="64"/>
      <c r="R62" s="64"/>
      <c r="S62" s="64"/>
      <c r="T62" s="64"/>
      <c r="U62" s="168" t="s">
        <v>2919</v>
      </c>
      <c r="V62" s="64"/>
      <c r="W62" s="64"/>
    </row>
    <row r="63" spans="1:25" ht="15.75" customHeight="1">
      <c r="A63" s="137">
        <v>12</v>
      </c>
      <c r="B63" s="64"/>
      <c r="C63" s="140"/>
      <c r="D63" s="64"/>
      <c r="E63" s="64" t="s">
        <v>1399</v>
      </c>
      <c r="F63" s="64" t="s">
        <v>1323</v>
      </c>
      <c r="G63" s="142" t="s">
        <v>1242</v>
      </c>
      <c r="I63" s="141"/>
      <c r="J63" s="64"/>
      <c r="K63" s="64" t="s">
        <v>1355</v>
      </c>
      <c r="L63" s="64"/>
      <c r="M63" s="64" t="s">
        <v>1367</v>
      </c>
      <c r="N63" s="64"/>
      <c r="O63" s="64"/>
      <c r="P63" s="64"/>
      <c r="Q63" s="64"/>
      <c r="R63" s="64"/>
      <c r="S63" s="64"/>
      <c r="T63" s="64"/>
      <c r="U63" s="168" t="s">
        <v>2920</v>
      </c>
      <c r="V63" s="64"/>
      <c r="W63" s="64"/>
    </row>
    <row r="64" spans="1:25" ht="15.75" customHeight="1">
      <c r="A64" s="137">
        <v>13</v>
      </c>
      <c r="B64" s="64"/>
      <c r="C64" s="140"/>
      <c r="D64" s="64"/>
      <c r="E64" s="64" t="s">
        <v>1400</v>
      </c>
      <c r="G64" s="142" t="s">
        <v>1328</v>
      </c>
      <c r="I64" s="64"/>
      <c r="J64" s="64"/>
      <c r="K64" s="64"/>
      <c r="L64" s="64"/>
      <c r="M64" s="64" t="s">
        <v>1368</v>
      </c>
      <c r="N64" s="64"/>
      <c r="O64" s="64"/>
      <c r="P64" s="64"/>
      <c r="Q64" s="64"/>
      <c r="R64" s="64"/>
      <c r="S64" s="64"/>
      <c r="T64" s="64"/>
      <c r="U64" s="168" t="s">
        <v>2921</v>
      </c>
      <c r="V64" s="64"/>
      <c r="W64" s="64"/>
    </row>
    <row r="65" spans="1:23" ht="15.75" customHeight="1">
      <c r="A65" s="137">
        <v>14</v>
      </c>
      <c r="B65" s="64"/>
      <c r="C65" s="140"/>
      <c r="D65" s="64"/>
      <c r="E65" s="64"/>
      <c r="F65" s="64"/>
      <c r="G65" s="142" t="s">
        <v>1329</v>
      </c>
      <c r="I65" s="64"/>
      <c r="J65" s="64"/>
      <c r="K65" s="64"/>
      <c r="L65" s="64"/>
      <c r="M65" s="64" t="s">
        <v>1369</v>
      </c>
      <c r="N65" s="64"/>
      <c r="O65" s="64"/>
      <c r="P65" s="64"/>
      <c r="Q65" s="64"/>
      <c r="R65" s="64"/>
      <c r="S65" s="64"/>
      <c r="T65" s="64"/>
      <c r="U65" s="168" t="s">
        <v>2922</v>
      </c>
      <c r="V65" s="64"/>
      <c r="W65" s="64"/>
    </row>
    <row r="66" spans="1:23" ht="15.75" customHeight="1">
      <c r="A66" s="137">
        <v>15</v>
      </c>
      <c r="B66" s="64"/>
      <c r="C66" s="140"/>
      <c r="D66" s="64"/>
      <c r="E66" s="64"/>
      <c r="G66" s="142" t="s">
        <v>1330</v>
      </c>
      <c r="I66" s="64"/>
      <c r="J66" s="64"/>
      <c r="K66" s="64"/>
      <c r="L66" s="64"/>
      <c r="M66" s="64" t="s">
        <v>1370</v>
      </c>
      <c r="N66" s="64"/>
      <c r="O66" s="64"/>
      <c r="P66" s="64"/>
      <c r="Q66" s="64"/>
      <c r="R66" s="64"/>
      <c r="S66" s="64"/>
      <c r="T66" s="64"/>
      <c r="U66" s="168" t="s">
        <v>2923</v>
      </c>
      <c r="V66" s="64"/>
      <c r="W66" s="64"/>
    </row>
    <row r="67" spans="1:23" ht="15.75" customHeight="1">
      <c r="A67" s="137">
        <v>16</v>
      </c>
      <c r="B67" s="64"/>
      <c r="C67" s="140"/>
      <c r="D67" s="64"/>
      <c r="E67" s="64"/>
      <c r="F67" s="64"/>
      <c r="G67" s="142" t="s">
        <v>1331</v>
      </c>
      <c r="I67" s="64"/>
      <c r="J67" s="64"/>
      <c r="K67" s="64"/>
      <c r="L67" s="64"/>
      <c r="M67" s="64" t="s">
        <v>1371</v>
      </c>
      <c r="N67" s="64"/>
      <c r="O67" s="64"/>
      <c r="P67" s="64"/>
      <c r="Q67" s="64"/>
      <c r="R67" s="64"/>
      <c r="S67" s="64"/>
      <c r="T67" s="64"/>
      <c r="U67" s="168" t="s">
        <v>2924</v>
      </c>
      <c r="V67" s="64"/>
      <c r="W67" s="64"/>
    </row>
    <row r="68" spans="1:23" ht="15.75" customHeight="1">
      <c r="A68" s="137">
        <v>17</v>
      </c>
      <c r="B68" s="64"/>
      <c r="C68" s="140"/>
      <c r="D68" s="64"/>
      <c r="E68" s="64"/>
      <c r="G68" s="142" t="s">
        <v>1332</v>
      </c>
      <c r="H68" s="64"/>
      <c r="I68" s="64"/>
      <c r="J68" s="64"/>
      <c r="K68" s="64"/>
      <c r="L68" s="64"/>
      <c r="M68" s="64" t="s">
        <v>1372</v>
      </c>
      <c r="N68" s="64"/>
      <c r="O68" s="64"/>
      <c r="P68" s="64"/>
      <c r="Q68" s="64"/>
      <c r="R68" s="64"/>
      <c r="S68" s="64"/>
      <c r="T68" s="64"/>
      <c r="U68" s="168" t="s">
        <v>2925</v>
      </c>
      <c r="V68" s="64"/>
      <c r="W68" s="64"/>
    </row>
    <row r="69" spans="1:23" ht="15.75" customHeight="1">
      <c r="A69" s="137">
        <v>18</v>
      </c>
      <c r="B69" s="64"/>
      <c r="C69" s="140"/>
      <c r="D69" s="64"/>
      <c r="E69" s="64"/>
      <c r="G69" s="142" t="s">
        <v>1333</v>
      </c>
      <c r="H69" s="64"/>
      <c r="I69" s="64"/>
      <c r="J69" s="64"/>
      <c r="K69" s="64"/>
      <c r="L69" s="64"/>
      <c r="M69" s="64" t="s">
        <v>1373</v>
      </c>
      <c r="N69" s="64"/>
      <c r="O69" s="64"/>
      <c r="P69" s="64"/>
      <c r="Q69" s="64"/>
      <c r="R69" s="64"/>
      <c r="S69" s="64"/>
      <c r="T69" s="64"/>
      <c r="U69" s="168" t="s">
        <v>2926</v>
      </c>
      <c r="V69" s="64"/>
      <c r="W69" s="64"/>
    </row>
    <row r="70" spans="1:23" ht="15.75" customHeight="1">
      <c r="A70" s="137">
        <v>19</v>
      </c>
      <c r="B70" s="64"/>
      <c r="C70" s="140"/>
      <c r="D70" s="64"/>
      <c r="E70" s="64"/>
      <c r="F70" s="64"/>
      <c r="G70" s="142" t="s">
        <v>1334</v>
      </c>
      <c r="H70" s="64"/>
      <c r="I70" s="64"/>
      <c r="J70" s="64"/>
      <c r="K70" s="64"/>
      <c r="L70" s="64"/>
      <c r="M70" s="65" t="s">
        <v>1376</v>
      </c>
      <c r="N70" s="64" t="s">
        <v>1374</v>
      </c>
      <c r="O70" s="64"/>
      <c r="P70" s="64"/>
      <c r="Q70" s="64"/>
      <c r="R70" s="64"/>
      <c r="S70" s="64"/>
      <c r="T70" s="64"/>
      <c r="U70" s="168" t="s">
        <v>2927</v>
      </c>
      <c r="V70" s="64"/>
      <c r="W70" s="64"/>
    </row>
    <row r="71" spans="1:23" ht="15.75" customHeight="1">
      <c r="A71" s="137">
        <v>20</v>
      </c>
      <c r="B71" s="64"/>
      <c r="C71" s="140"/>
      <c r="D71" s="64"/>
      <c r="E71" s="64"/>
      <c r="G71" s="142" t="s">
        <v>1335</v>
      </c>
      <c r="H71" s="64"/>
      <c r="I71" s="64"/>
      <c r="J71" s="64"/>
      <c r="K71" s="64"/>
      <c r="L71" s="64"/>
      <c r="M71" s="65" t="s">
        <v>1377</v>
      </c>
      <c r="N71" s="64" t="s">
        <v>1375</v>
      </c>
      <c r="O71" s="64"/>
      <c r="P71" s="64"/>
      <c r="Q71" s="64"/>
      <c r="R71" s="64"/>
      <c r="S71" s="64"/>
      <c r="T71" s="64"/>
      <c r="U71" s="168" t="s">
        <v>2928</v>
      </c>
      <c r="V71" s="64"/>
      <c r="W71" s="64"/>
    </row>
    <row r="72" spans="1:23" ht="15.75" customHeight="1">
      <c r="A72" s="137">
        <v>21</v>
      </c>
      <c r="B72" s="64"/>
      <c r="C72" s="140"/>
      <c r="D72" s="64"/>
      <c r="E72" s="64"/>
      <c r="F72" s="64"/>
      <c r="G72" s="64"/>
      <c r="H72" s="64"/>
      <c r="I72" s="64"/>
      <c r="J72" s="64"/>
      <c r="K72" s="64"/>
      <c r="L72" s="64"/>
      <c r="M72" s="65" t="s">
        <v>1378</v>
      </c>
      <c r="N72" s="64"/>
      <c r="O72" s="64"/>
      <c r="P72" s="64"/>
      <c r="Q72" s="64"/>
      <c r="R72" s="64"/>
      <c r="S72" s="64"/>
      <c r="T72" s="64"/>
      <c r="U72" s="168" t="s">
        <v>2929</v>
      </c>
      <c r="V72" s="64"/>
      <c r="W72" s="64"/>
    </row>
    <row r="73" spans="1:23" ht="15.75" customHeight="1">
      <c r="A73" s="137">
        <v>22</v>
      </c>
      <c r="B73" s="64"/>
      <c r="C73" s="140"/>
      <c r="D73" s="64"/>
      <c r="E73" s="64"/>
      <c r="G73" s="64"/>
      <c r="H73" s="64"/>
      <c r="I73" s="64"/>
      <c r="J73" s="64"/>
      <c r="K73" s="64"/>
      <c r="L73" s="64"/>
      <c r="M73" s="65" t="s">
        <v>1379</v>
      </c>
      <c r="N73" s="64"/>
      <c r="O73" s="64"/>
      <c r="P73" s="64"/>
      <c r="Q73" s="64"/>
      <c r="R73" s="64"/>
      <c r="S73" s="64"/>
      <c r="T73" s="64"/>
      <c r="U73" s="168" t="s">
        <v>2925</v>
      </c>
      <c r="V73" s="64"/>
      <c r="W73" s="64"/>
    </row>
    <row r="74" spans="1:23" ht="15.75" customHeight="1">
      <c r="A74" s="137">
        <v>23</v>
      </c>
      <c r="B74" s="64"/>
      <c r="C74" s="140"/>
      <c r="D74" s="64"/>
      <c r="E74" s="64"/>
      <c r="G74" s="64"/>
      <c r="H74" s="64"/>
      <c r="I74" s="64"/>
      <c r="J74" s="64"/>
      <c r="K74" s="64"/>
      <c r="L74" s="64"/>
      <c r="M74" s="65" t="s">
        <v>1380</v>
      </c>
      <c r="N74" s="64"/>
      <c r="O74" s="64"/>
      <c r="P74" s="64"/>
      <c r="Q74" s="64"/>
      <c r="R74" s="64"/>
      <c r="S74" s="64"/>
      <c r="T74" s="64"/>
      <c r="U74" s="168" t="s">
        <v>2930</v>
      </c>
      <c r="V74" s="64"/>
      <c r="W74" s="64"/>
    </row>
    <row r="75" spans="1:23" ht="15.75" customHeight="1">
      <c r="A75" s="137">
        <v>24</v>
      </c>
      <c r="B75" s="64"/>
      <c r="C75" s="140"/>
      <c r="D75" s="64"/>
      <c r="E75" s="64"/>
      <c r="F75" s="64"/>
      <c r="G75" s="64"/>
      <c r="H75" s="64"/>
      <c r="I75" s="64"/>
      <c r="J75" s="64"/>
      <c r="K75" s="64"/>
      <c r="L75" s="64"/>
      <c r="M75" s="65" t="s">
        <v>1381</v>
      </c>
      <c r="N75" s="64"/>
      <c r="O75" s="64"/>
      <c r="P75" s="64"/>
      <c r="Q75" s="64"/>
      <c r="R75" s="64"/>
      <c r="S75" s="64"/>
      <c r="T75" s="64"/>
      <c r="U75" s="168" t="s">
        <v>2931</v>
      </c>
      <c r="V75" s="64"/>
      <c r="W75" s="64"/>
    </row>
    <row r="76" spans="1:23" ht="15.75" customHeight="1">
      <c r="A76" s="137">
        <v>25</v>
      </c>
      <c r="B76" s="64"/>
      <c r="C76" s="140"/>
      <c r="D76" s="64"/>
      <c r="E76" s="64"/>
      <c r="G76" s="64"/>
      <c r="H76" s="64"/>
      <c r="I76" s="64"/>
      <c r="J76" s="64"/>
      <c r="K76" s="64"/>
      <c r="L76" s="64"/>
      <c r="M76" s="65" t="s">
        <v>1382</v>
      </c>
      <c r="N76" s="64"/>
      <c r="O76" s="64"/>
      <c r="P76" s="64"/>
      <c r="Q76" s="64"/>
      <c r="R76" s="64"/>
      <c r="S76" s="64"/>
      <c r="T76" s="64"/>
      <c r="U76" s="168" t="s">
        <v>2932</v>
      </c>
      <c r="V76" s="64"/>
      <c r="W76" s="64"/>
    </row>
    <row r="77" spans="1:23" ht="15.75" customHeight="1">
      <c r="A77" s="137">
        <v>26</v>
      </c>
      <c r="B77" s="64"/>
      <c r="C77" s="140"/>
      <c r="D77" s="64"/>
      <c r="E77" s="64"/>
      <c r="G77" s="64"/>
      <c r="H77" s="64"/>
      <c r="I77" s="64"/>
      <c r="J77" s="64"/>
      <c r="K77" s="64"/>
      <c r="L77" s="64"/>
      <c r="M77" s="65" t="s">
        <v>1383</v>
      </c>
      <c r="N77" s="64"/>
      <c r="O77" s="64"/>
      <c r="P77" s="64"/>
      <c r="Q77" s="64"/>
      <c r="R77" s="64"/>
      <c r="S77" s="64"/>
      <c r="T77" s="64"/>
      <c r="U77" s="168" t="s">
        <v>2933</v>
      </c>
      <c r="V77" s="64"/>
      <c r="W77" s="64"/>
    </row>
    <row r="78" spans="1:23" ht="15.75" customHeight="1">
      <c r="A78" s="137">
        <v>27</v>
      </c>
      <c r="B78" s="64"/>
      <c r="C78" s="140"/>
      <c r="D78" s="64"/>
      <c r="E78" s="64"/>
      <c r="G78" s="64"/>
      <c r="H78" s="64"/>
      <c r="I78" s="64"/>
      <c r="J78" s="64"/>
      <c r="K78" s="64"/>
      <c r="L78" s="64"/>
      <c r="M78" s="65" t="s">
        <v>1384</v>
      </c>
      <c r="N78" s="64"/>
      <c r="O78" s="64"/>
      <c r="P78" s="64"/>
      <c r="Q78" s="64"/>
      <c r="R78" s="64"/>
      <c r="S78" s="64"/>
      <c r="T78" s="64"/>
      <c r="U78" s="168" t="s">
        <v>2934</v>
      </c>
      <c r="V78" s="64"/>
      <c r="W78" s="64"/>
    </row>
    <row r="79" spans="1:23" ht="15.75" customHeight="1">
      <c r="A79" s="137">
        <v>28</v>
      </c>
      <c r="B79" s="64"/>
      <c r="C79" s="140"/>
      <c r="D79" s="64"/>
      <c r="E79" s="64"/>
      <c r="G79" s="64"/>
      <c r="H79" s="64"/>
      <c r="I79" s="64"/>
      <c r="J79" s="64"/>
      <c r="K79" s="64"/>
      <c r="L79" s="64"/>
      <c r="M79" s="65" t="s">
        <v>1385</v>
      </c>
      <c r="N79" s="64"/>
      <c r="O79" s="64"/>
      <c r="P79" s="64"/>
      <c r="Q79" s="64"/>
      <c r="R79" s="64"/>
      <c r="S79" s="64"/>
      <c r="T79" s="64"/>
      <c r="U79" s="168" t="s">
        <v>2926</v>
      </c>
      <c r="V79" s="64"/>
      <c r="W79" s="64"/>
    </row>
    <row r="80" spans="1:23" ht="15.75" customHeight="1">
      <c r="A80" s="137">
        <v>29</v>
      </c>
      <c r="B80" s="64"/>
      <c r="C80" s="140"/>
      <c r="D80" s="64"/>
      <c r="E80" s="64"/>
      <c r="G80" s="64"/>
      <c r="H80" s="64"/>
      <c r="I80" s="64"/>
      <c r="J80" s="64"/>
      <c r="K80" s="64"/>
      <c r="L80" s="64"/>
      <c r="M80" s="65" t="s">
        <v>1386</v>
      </c>
      <c r="N80" s="64"/>
      <c r="O80" s="64"/>
      <c r="P80" s="64"/>
      <c r="Q80" s="64"/>
      <c r="R80" s="64"/>
      <c r="S80" s="64"/>
      <c r="T80" s="64"/>
      <c r="U80" s="168" t="s">
        <v>2935</v>
      </c>
      <c r="V80" s="64"/>
      <c r="W80" s="64"/>
    </row>
    <row r="81" spans="1:23" ht="15.75" customHeight="1">
      <c r="A81" s="137"/>
      <c r="B81" s="64"/>
      <c r="C81" s="140"/>
      <c r="D81" s="64"/>
      <c r="E81" s="64"/>
      <c r="G81" s="64"/>
      <c r="H81" s="64"/>
      <c r="I81" s="64"/>
      <c r="J81" s="64"/>
      <c r="K81" s="64"/>
      <c r="L81" s="64"/>
      <c r="M81" s="64"/>
      <c r="N81" s="64"/>
      <c r="O81" s="64"/>
      <c r="P81" s="64"/>
      <c r="Q81" s="64"/>
      <c r="R81" s="64"/>
      <c r="S81" s="64"/>
      <c r="T81" s="64"/>
      <c r="U81" s="168" t="s">
        <v>2936</v>
      </c>
      <c r="V81" s="64"/>
      <c r="W81" s="64"/>
    </row>
    <row r="82" spans="1:23" ht="15.75" customHeight="1">
      <c r="A82" s="137"/>
      <c r="B82" s="64"/>
      <c r="C82" s="140"/>
      <c r="D82" s="64"/>
      <c r="E82" s="64"/>
      <c r="G82" s="64"/>
      <c r="H82" s="64"/>
      <c r="I82" s="64"/>
      <c r="J82" s="64"/>
      <c r="K82" s="64"/>
      <c r="L82" s="64"/>
      <c r="M82" s="64"/>
      <c r="N82" s="64"/>
      <c r="O82" s="64"/>
      <c r="P82" s="64"/>
      <c r="Q82" s="64"/>
      <c r="R82" s="64"/>
      <c r="S82" s="64"/>
      <c r="T82" s="64"/>
      <c r="U82" s="168" t="s">
        <v>2937</v>
      </c>
      <c r="V82" s="64"/>
      <c r="W82" s="64"/>
    </row>
    <row r="83" spans="1:23" ht="15.75" customHeight="1">
      <c r="A83" s="137"/>
      <c r="B83" s="64"/>
      <c r="C83" s="140"/>
      <c r="D83" s="64"/>
      <c r="E83" s="64"/>
      <c r="G83" s="64"/>
      <c r="H83" s="64"/>
      <c r="I83" s="64"/>
      <c r="J83" s="64"/>
      <c r="K83" s="64"/>
      <c r="L83" s="64"/>
      <c r="M83" s="64"/>
      <c r="N83" s="64"/>
      <c r="O83" s="64"/>
      <c r="P83" s="64"/>
      <c r="Q83" s="64"/>
      <c r="R83" s="64"/>
      <c r="S83" s="64"/>
      <c r="T83" s="64"/>
      <c r="U83" s="168" t="s">
        <v>2938</v>
      </c>
      <c r="V83" s="64"/>
      <c r="W83" s="64"/>
    </row>
    <row r="84" spans="1:23" ht="15.75" customHeight="1">
      <c r="A84" s="137"/>
      <c r="B84" s="64"/>
      <c r="C84" s="140"/>
      <c r="D84" s="64"/>
      <c r="E84" s="64"/>
      <c r="G84" s="64"/>
      <c r="H84" s="64"/>
      <c r="I84" s="64"/>
      <c r="J84" s="64"/>
      <c r="K84" s="64"/>
      <c r="L84" s="64"/>
      <c r="M84" s="64"/>
      <c r="N84" s="64"/>
      <c r="O84" s="64"/>
      <c r="P84" s="64"/>
      <c r="Q84" s="64"/>
      <c r="R84" s="64"/>
      <c r="S84" s="64"/>
      <c r="T84" s="64"/>
      <c r="U84" s="168" t="s">
        <v>2939</v>
      </c>
      <c r="V84" s="64"/>
      <c r="W84" s="64"/>
    </row>
    <row r="85" spans="1:23" ht="15.75" customHeight="1">
      <c r="A85" s="7"/>
      <c r="B85" s="7"/>
      <c r="C85" s="7"/>
      <c r="D85" s="7"/>
      <c r="E85" s="64"/>
      <c r="G85" s="64"/>
      <c r="H85" s="64"/>
      <c r="I85" s="64"/>
      <c r="J85" s="64"/>
      <c r="K85" s="64"/>
      <c r="L85" s="64"/>
      <c r="M85" s="64"/>
      <c r="N85" s="64"/>
      <c r="O85" s="64"/>
      <c r="P85" s="64"/>
      <c r="Q85" s="64"/>
      <c r="R85" s="64"/>
      <c r="S85" s="64"/>
      <c r="T85" s="64"/>
      <c r="U85" s="168" t="s">
        <v>2940</v>
      </c>
      <c r="V85" s="64"/>
      <c r="W85" s="64"/>
    </row>
    <row r="86" spans="1:23" ht="15.75" customHeight="1">
      <c r="A86" s="7"/>
      <c r="B86" s="7"/>
      <c r="C86" s="7"/>
      <c r="D86" s="7"/>
      <c r="E86" s="64"/>
      <c r="G86" s="64"/>
      <c r="H86" s="64"/>
      <c r="I86" s="64"/>
      <c r="J86" s="64"/>
      <c r="K86" s="64"/>
      <c r="L86" s="64"/>
      <c r="M86" s="64"/>
      <c r="N86" s="64"/>
      <c r="O86" s="64"/>
      <c r="P86" s="64"/>
      <c r="Q86" s="64"/>
      <c r="R86" s="64"/>
      <c r="S86" s="64"/>
      <c r="T86" s="64"/>
      <c r="U86" s="168" t="s">
        <v>2941</v>
      </c>
      <c r="V86" s="64"/>
      <c r="W86" s="64"/>
    </row>
    <row r="87" spans="1:23" ht="15.75" customHeight="1">
      <c r="A87" s="7"/>
      <c r="B87" s="7"/>
      <c r="C87" s="7"/>
      <c r="D87" s="7"/>
      <c r="E87" s="64"/>
      <c r="G87" s="64"/>
      <c r="H87" s="64"/>
      <c r="I87" s="64"/>
      <c r="J87" s="64"/>
      <c r="K87" s="64"/>
      <c r="L87" s="64"/>
      <c r="M87" s="64"/>
      <c r="N87" s="64"/>
      <c r="O87" s="64"/>
      <c r="P87" s="64"/>
      <c r="Q87" s="64"/>
      <c r="R87" s="64"/>
      <c r="S87" s="64"/>
      <c r="T87" s="64"/>
      <c r="U87" s="168" t="s">
        <v>2942</v>
      </c>
      <c r="V87" s="64"/>
      <c r="W87" s="64"/>
    </row>
    <row r="88" spans="1:23" ht="15.75" customHeight="1">
      <c r="A88" s="7"/>
      <c r="B88" s="7"/>
      <c r="C88" s="7"/>
      <c r="D88" s="32"/>
      <c r="E88" s="64"/>
      <c r="F88" s="64"/>
      <c r="G88" s="64"/>
      <c r="H88" s="64"/>
      <c r="I88" s="64"/>
      <c r="J88" s="64"/>
      <c r="K88" s="64"/>
      <c r="L88" s="64"/>
      <c r="M88" s="64"/>
      <c r="N88" s="64"/>
      <c r="O88" s="64"/>
      <c r="P88" s="64"/>
      <c r="Q88" s="64"/>
      <c r="R88" s="64"/>
      <c r="S88" s="64"/>
      <c r="T88" s="64"/>
      <c r="U88" s="168" t="s">
        <v>2943</v>
      </c>
      <c r="V88" s="64"/>
      <c r="W88" s="64"/>
    </row>
    <row r="89" spans="1:23" ht="15.75" customHeight="1">
      <c r="A89" s="141"/>
      <c r="B89" s="141"/>
      <c r="C89" s="64"/>
      <c r="D89" s="32"/>
      <c r="E89" s="64"/>
      <c r="F89" s="64"/>
      <c r="G89" s="64"/>
      <c r="H89" s="64"/>
      <c r="I89" s="64"/>
      <c r="J89" s="64"/>
      <c r="K89" s="64"/>
      <c r="L89" s="64"/>
      <c r="M89" s="64"/>
      <c r="N89" s="64"/>
      <c r="O89" s="64"/>
      <c r="P89" s="64"/>
      <c r="Q89" s="64"/>
      <c r="R89" s="64"/>
      <c r="S89" s="64"/>
      <c r="T89" s="64"/>
      <c r="U89" s="168" t="s">
        <v>2944</v>
      </c>
      <c r="V89" s="64"/>
      <c r="W89" s="64"/>
    </row>
    <row r="90" spans="1:23" ht="15.75" customHeight="1">
      <c r="A90" s="141"/>
      <c r="B90" s="141"/>
      <c r="C90" s="64"/>
      <c r="D90" s="32"/>
      <c r="E90" s="64"/>
      <c r="F90" s="64"/>
      <c r="G90" s="64"/>
      <c r="H90" s="64"/>
      <c r="I90" s="64"/>
      <c r="J90" s="64"/>
      <c r="K90" s="64"/>
      <c r="L90" s="64"/>
      <c r="M90" s="64"/>
      <c r="N90" s="64"/>
      <c r="O90" s="64"/>
      <c r="P90" s="64"/>
      <c r="Q90" s="64"/>
      <c r="R90" s="64"/>
      <c r="S90" s="64"/>
      <c r="T90" s="64"/>
      <c r="U90" s="168" t="s">
        <v>2945</v>
      </c>
      <c r="V90" s="64"/>
      <c r="W90" s="64"/>
    </row>
    <row r="91" spans="1:23" ht="15.75" customHeight="1">
      <c r="A91" s="141"/>
      <c r="B91" s="141"/>
      <c r="C91" s="64"/>
      <c r="D91" s="32"/>
      <c r="E91" s="64"/>
      <c r="F91" s="64"/>
      <c r="G91" s="64"/>
      <c r="H91" s="64"/>
      <c r="I91" s="64"/>
      <c r="J91" s="64"/>
      <c r="K91" s="64"/>
      <c r="L91" s="64"/>
      <c r="M91" s="64"/>
      <c r="N91" s="64"/>
      <c r="O91" s="64"/>
      <c r="P91" s="64"/>
      <c r="Q91" s="64"/>
      <c r="R91" s="64"/>
      <c r="S91" s="64"/>
      <c r="T91" s="64"/>
      <c r="U91" s="168" t="s">
        <v>2946</v>
      </c>
      <c r="V91" s="64"/>
      <c r="W91" s="64"/>
    </row>
    <row r="92" spans="1:23" ht="15.75" customHeight="1">
      <c r="A92" s="141"/>
      <c r="B92" s="141"/>
      <c r="C92" s="64"/>
      <c r="D92" s="32"/>
      <c r="E92" s="64"/>
      <c r="F92" s="64"/>
      <c r="G92" s="64"/>
      <c r="H92" s="64"/>
      <c r="I92" s="64"/>
      <c r="J92" s="64"/>
      <c r="K92" s="64"/>
      <c r="L92" s="64"/>
      <c r="M92" s="64"/>
      <c r="N92" s="64"/>
      <c r="O92" s="64"/>
      <c r="P92" s="64"/>
      <c r="Q92" s="64"/>
      <c r="R92" s="64"/>
      <c r="S92" s="64"/>
      <c r="T92" s="64"/>
      <c r="U92" s="168" t="s">
        <v>2947</v>
      </c>
      <c r="V92" s="64"/>
      <c r="W92" s="64"/>
    </row>
    <row r="93" spans="1:23" ht="15.75" customHeight="1">
      <c r="A93" s="141"/>
      <c r="B93" s="141"/>
      <c r="C93" s="64"/>
      <c r="D93" s="32"/>
      <c r="E93" s="64"/>
      <c r="F93" s="64"/>
      <c r="G93" s="64"/>
      <c r="H93" s="64"/>
      <c r="I93" s="64"/>
      <c r="J93" s="64"/>
      <c r="K93" s="64"/>
      <c r="L93" s="64"/>
      <c r="M93" s="64"/>
      <c r="N93" s="64"/>
      <c r="O93" s="64"/>
      <c r="P93" s="64"/>
      <c r="Q93" s="64"/>
      <c r="R93" s="64"/>
      <c r="S93" s="64"/>
      <c r="T93" s="64"/>
      <c r="U93" s="168" t="s">
        <v>2948</v>
      </c>
      <c r="V93" s="64"/>
      <c r="W93" s="64"/>
    </row>
    <row r="94" spans="1:23" ht="15.75" customHeight="1">
      <c r="A94" s="141"/>
      <c r="B94" s="141"/>
      <c r="C94" s="64"/>
      <c r="D94" s="32"/>
      <c r="E94" s="64"/>
      <c r="F94" s="64"/>
      <c r="G94" s="64"/>
      <c r="H94" s="64"/>
      <c r="I94" s="64"/>
      <c r="J94" s="64"/>
      <c r="K94" s="64"/>
      <c r="L94" s="64"/>
      <c r="M94" s="64"/>
      <c r="N94" s="64"/>
      <c r="O94" s="64"/>
      <c r="P94" s="64"/>
      <c r="Q94" s="64"/>
      <c r="R94" s="64"/>
      <c r="S94" s="64"/>
      <c r="T94" s="64"/>
      <c r="U94" s="168" t="s">
        <v>2949</v>
      </c>
      <c r="V94" s="64"/>
      <c r="W94" s="64"/>
    </row>
    <row r="95" spans="1:23" ht="15.75" customHeight="1">
      <c r="A95" s="142"/>
      <c r="C95" s="64"/>
      <c r="D95" s="32"/>
      <c r="E95" s="64"/>
      <c r="F95" s="64"/>
      <c r="G95" s="64"/>
      <c r="H95" s="64"/>
      <c r="I95" s="64"/>
      <c r="J95" s="64"/>
      <c r="K95" s="64"/>
      <c r="L95" s="64"/>
      <c r="M95" s="64"/>
      <c r="N95" s="64"/>
      <c r="O95" s="64"/>
      <c r="P95" s="64"/>
      <c r="Q95" s="64"/>
      <c r="R95" s="64"/>
      <c r="S95" s="64"/>
      <c r="T95" s="64"/>
      <c r="U95" s="168" t="s">
        <v>2950</v>
      </c>
      <c r="V95" s="64"/>
      <c r="W95" s="64"/>
    </row>
    <row r="96" spans="1:23" ht="15.75" customHeight="1">
      <c r="A96" s="142"/>
      <c r="B96" s="64"/>
      <c r="C96" s="64"/>
      <c r="D96" s="32"/>
      <c r="E96" s="64"/>
      <c r="F96" s="64"/>
      <c r="G96" s="64"/>
      <c r="H96" s="64"/>
      <c r="I96" s="64"/>
      <c r="J96" s="64"/>
      <c r="K96" s="64"/>
      <c r="L96" s="64"/>
      <c r="M96" s="64"/>
      <c r="N96" s="64"/>
      <c r="O96" s="64"/>
      <c r="P96" s="64"/>
      <c r="Q96" s="64"/>
      <c r="R96" s="64"/>
      <c r="S96" s="64"/>
      <c r="T96" s="64"/>
      <c r="U96" s="168" t="s">
        <v>2922</v>
      </c>
      <c r="V96" s="64"/>
      <c r="W96" s="64"/>
    </row>
    <row r="97" spans="1:23" ht="15.75" customHeight="1">
      <c r="A97" s="142"/>
      <c r="C97" s="64"/>
      <c r="D97" s="32"/>
      <c r="E97" s="64"/>
      <c r="F97" s="64"/>
      <c r="G97" s="64"/>
      <c r="H97" s="64"/>
      <c r="I97" s="64"/>
      <c r="J97" s="64"/>
      <c r="K97" s="64"/>
      <c r="L97" s="64"/>
      <c r="M97" s="64"/>
      <c r="N97" s="64"/>
      <c r="O97" s="64"/>
      <c r="P97" s="64"/>
      <c r="Q97" s="64"/>
      <c r="R97" s="64"/>
      <c r="S97" s="64"/>
      <c r="T97" s="64"/>
      <c r="U97" s="168" t="s">
        <v>2951</v>
      </c>
      <c r="V97" s="64"/>
      <c r="W97" s="64"/>
    </row>
    <row r="98" spans="1:23" ht="15.75" customHeight="1">
      <c r="A98" s="142"/>
      <c r="C98" s="64"/>
      <c r="D98" s="32"/>
      <c r="E98" s="64"/>
      <c r="F98" s="64"/>
      <c r="G98" s="64"/>
      <c r="H98" s="64"/>
      <c r="I98" s="64"/>
      <c r="J98" s="64"/>
      <c r="K98" s="64"/>
      <c r="L98" s="64"/>
      <c r="M98" s="64"/>
      <c r="N98" s="64"/>
      <c r="O98" s="64"/>
      <c r="P98" s="64"/>
      <c r="Q98" s="64"/>
      <c r="R98" s="64"/>
      <c r="S98" s="64"/>
      <c r="T98" s="64"/>
      <c r="U98" s="168" t="s">
        <v>2952</v>
      </c>
      <c r="V98" s="64"/>
      <c r="W98" s="64"/>
    </row>
    <row r="99" spans="1:23" ht="15.75" customHeight="1">
      <c r="A99" s="142"/>
      <c r="C99" s="64"/>
      <c r="D99" s="32"/>
      <c r="E99" s="64"/>
      <c r="F99" s="64"/>
      <c r="G99" s="64"/>
      <c r="H99" s="64"/>
      <c r="I99" s="64"/>
      <c r="J99" s="64"/>
      <c r="K99" s="64"/>
      <c r="L99" s="64"/>
      <c r="M99" s="64"/>
      <c r="N99" s="64"/>
      <c r="O99" s="64"/>
      <c r="P99" s="64"/>
      <c r="Q99" s="64"/>
      <c r="R99" s="64"/>
      <c r="S99" s="64"/>
      <c r="T99" s="64"/>
      <c r="U99" s="168" t="s">
        <v>2953</v>
      </c>
      <c r="V99" s="64"/>
      <c r="W99" s="64"/>
    </row>
    <row r="100" spans="1:23" ht="15.75" customHeight="1">
      <c r="A100" s="142"/>
      <c r="B100" s="64"/>
      <c r="C100" s="64"/>
      <c r="D100" s="32"/>
      <c r="E100" s="64"/>
      <c r="F100" s="64"/>
      <c r="G100" s="64"/>
      <c r="H100" s="64"/>
      <c r="I100" s="64"/>
      <c r="J100" s="64"/>
      <c r="K100" s="64"/>
      <c r="L100" s="64"/>
      <c r="M100" s="64"/>
      <c r="N100" s="64"/>
      <c r="O100" s="64"/>
      <c r="P100" s="64"/>
      <c r="Q100" s="64"/>
      <c r="R100" s="64"/>
      <c r="S100" s="64"/>
      <c r="T100" s="64"/>
      <c r="U100" s="168" t="s">
        <v>2954</v>
      </c>
      <c r="V100" s="64"/>
      <c r="W100" s="64"/>
    </row>
    <row r="101" spans="1:23" ht="15.75" customHeight="1">
      <c r="A101" s="142"/>
      <c r="C101" s="64"/>
      <c r="D101" s="7"/>
      <c r="E101" s="64"/>
      <c r="F101" s="64"/>
      <c r="G101" s="64"/>
      <c r="H101" s="64"/>
      <c r="I101" s="64"/>
      <c r="J101" s="64"/>
      <c r="K101" s="64"/>
      <c r="L101" s="64"/>
      <c r="M101" s="64"/>
      <c r="N101" s="64"/>
      <c r="O101" s="64"/>
      <c r="P101" s="64"/>
      <c r="Q101" s="64"/>
      <c r="R101" s="64"/>
      <c r="S101" s="64"/>
      <c r="T101" s="64"/>
      <c r="U101" s="168" t="s">
        <v>2955</v>
      </c>
      <c r="V101" s="64"/>
      <c r="W101" s="64"/>
    </row>
    <row r="102" spans="1:23" ht="15.75" customHeight="1">
      <c r="A102" s="142"/>
      <c r="B102" s="7"/>
      <c r="C102" s="32"/>
      <c r="D102" s="7"/>
      <c r="E102" s="64"/>
      <c r="F102" s="64"/>
      <c r="G102" s="64"/>
      <c r="H102" s="64"/>
      <c r="I102" s="64"/>
      <c r="J102" s="64"/>
      <c r="K102" s="64"/>
      <c r="L102" s="64"/>
      <c r="M102" s="64"/>
      <c r="N102" s="64"/>
      <c r="O102" s="64"/>
      <c r="P102" s="64"/>
      <c r="Q102" s="64"/>
      <c r="R102" s="64"/>
      <c r="S102" s="64"/>
      <c r="T102" s="64"/>
      <c r="U102" s="168" t="s">
        <v>2956</v>
      </c>
      <c r="V102" s="64"/>
      <c r="W102" s="64"/>
    </row>
    <row r="103" spans="1:23" ht="15.75" customHeight="1">
      <c r="A103" s="142"/>
      <c r="B103" s="7"/>
      <c r="C103" s="32"/>
      <c r="D103" s="7"/>
      <c r="E103" s="64"/>
      <c r="F103" s="64"/>
      <c r="G103" s="64"/>
      <c r="H103" s="64"/>
      <c r="I103" s="64"/>
      <c r="J103" s="64"/>
      <c r="K103" s="64"/>
      <c r="L103" s="64"/>
      <c r="M103" s="64"/>
      <c r="N103" s="64"/>
      <c r="O103" s="64"/>
      <c r="P103" s="64"/>
      <c r="Q103" s="64"/>
      <c r="R103" s="64"/>
      <c r="S103" s="64"/>
      <c r="T103" s="64"/>
      <c r="U103" s="168" t="s">
        <v>2957</v>
      </c>
      <c r="V103" s="64"/>
      <c r="W103" s="64"/>
    </row>
    <row r="104" spans="1:23" ht="15.75" customHeight="1">
      <c r="A104" s="142"/>
      <c r="B104" s="7"/>
      <c r="C104" s="32"/>
      <c r="D104" s="7"/>
      <c r="E104" s="64"/>
      <c r="F104" s="64"/>
      <c r="G104" s="64"/>
      <c r="H104" s="64"/>
      <c r="I104" s="64"/>
      <c r="J104" s="64"/>
      <c r="K104" s="64"/>
      <c r="L104" s="64"/>
      <c r="M104" s="64"/>
      <c r="N104" s="64"/>
      <c r="O104" s="64"/>
      <c r="P104" s="64"/>
      <c r="Q104" s="64"/>
      <c r="R104" s="64"/>
      <c r="S104" s="64"/>
      <c r="T104" s="64"/>
      <c r="U104" s="168" t="s">
        <v>2958</v>
      </c>
      <c r="V104" s="64"/>
      <c r="W104" s="64"/>
    </row>
    <row r="105" spans="1:23" ht="15.75" customHeight="1">
      <c r="A105" s="142"/>
      <c r="B105" s="7"/>
      <c r="C105" s="32"/>
      <c r="D105" s="7"/>
      <c r="E105" s="64"/>
      <c r="F105" s="64"/>
      <c r="G105" s="64"/>
      <c r="H105" s="64"/>
      <c r="I105" s="64"/>
      <c r="J105" s="64"/>
      <c r="K105" s="64"/>
      <c r="L105" s="64"/>
      <c r="M105" s="64"/>
      <c r="N105" s="64"/>
      <c r="O105" s="64"/>
      <c r="P105" s="64"/>
      <c r="Q105" s="64"/>
      <c r="R105" s="64"/>
      <c r="S105" s="64"/>
      <c r="T105" s="64"/>
      <c r="U105" s="168" t="s">
        <v>2959</v>
      </c>
      <c r="V105" s="64"/>
      <c r="W105" s="64"/>
    </row>
    <row r="106" spans="1:23" ht="15.75" customHeight="1">
      <c r="A106" s="142"/>
      <c r="B106" s="7"/>
      <c r="C106" s="32"/>
      <c r="D106" s="7"/>
      <c r="E106" s="64"/>
      <c r="F106" s="64"/>
      <c r="G106" s="64"/>
      <c r="H106" s="64"/>
      <c r="I106" s="64"/>
      <c r="J106" s="64"/>
      <c r="K106" s="64"/>
      <c r="L106" s="64"/>
      <c r="M106" s="64"/>
      <c r="N106" s="64"/>
      <c r="O106" s="64"/>
      <c r="P106" s="64"/>
      <c r="Q106" s="64"/>
      <c r="R106" s="64"/>
      <c r="S106" s="64"/>
      <c r="T106" s="64"/>
      <c r="U106" s="168" t="s">
        <v>2960</v>
      </c>
      <c r="V106" s="64"/>
      <c r="W106" s="64"/>
    </row>
    <row r="107" spans="1:23" ht="15.75" customHeight="1">
      <c r="A107" s="142"/>
      <c r="B107" s="7"/>
      <c r="C107" s="32"/>
      <c r="D107" s="7"/>
      <c r="E107" s="64"/>
      <c r="F107" s="64"/>
      <c r="G107" s="64"/>
      <c r="H107" s="64"/>
      <c r="I107" s="64"/>
      <c r="J107" s="64"/>
      <c r="K107" s="64"/>
      <c r="L107" s="64"/>
      <c r="M107" s="64"/>
      <c r="N107" s="64"/>
      <c r="O107" s="64"/>
      <c r="P107" s="64"/>
      <c r="Q107" s="64"/>
      <c r="R107" s="64"/>
      <c r="S107" s="64"/>
      <c r="T107" s="64"/>
      <c r="U107" s="168" t="s">
        <v>2961</v>
      </c>
      <c r="V107" s="64"/>
      <c r="W107" s="64"/>
    </row>
    <row r="108" spans="1:23" ht="15.75" customHeight="1">
      <c r="A108" s="142"/>
      <c r="B108" s="7"/>
      <c r="C108" s="32"/>
      <c r="D108" s="7"/>
      <c r="E108" s="64"/>
      <c r="F108" s="64"/>
      <c r="G108" s="64"/>
      <c r="H108" s="64"/>
      <c r="I108" s="64"/>
      <c r="J108" s="64"/>
      <c r="K108" s="64"/>
      <c r="L108" s="64"/>
      <c r="M108" s="64"/>
      <c r="N108" s="64"/>
      <c r="O108" s="64"/>
      <c r="P108" s="64"/>
      <c r="Q108" s="64"/>
      <c r="R108" s="64"/>
      <c r="S108" s="64"/>
      <c r="T108" s="64"/>
      <c r="U108" s="168" t="s">
        <v>2962</v>
      </c>
      <c r="V108" s="64"/>
      <c r="W108" s="64"/>
    </row>
    <row r="109" spans="1:23" ht="15.75" customHeight="1">
      <c r="A109" s="137"/>
      <c r="B109" s="64"/>
      <c r="C109" s="140"/>
      <c r="D109" s="64"/>
      <c r="E109" s="64"/>
      <c r="F109" s="64"/>
      <c r="G109" s="64"/>
      <c r="H109" s="64"/>
      <c r="I109" s="64"/>
      <c r="J109" s="64"/>
      <c r="K109" s="64"/>
      <c r="L109" s="64"/>
      <c r="M109" s="64"/>
      <c r="N109" s="64"/>
      <c r="O109" s="64"/>
      <c r="P109" s="64"/>
      <c r="Q109" s="64"/>
      <c r="R109" s="64"/>
      <c r="S109" s="64"/>
      <c r="T109" s="64"/>
      <c r="U109" s="168" t="s">
        <v>2963</v>
      </c>
      <c r="V109" s="64"/>
      <c r="W109" s="64"/>
    </row>
    <row r="110" spans="1:23" ht="15.75" customHeight="1">
      <c r="A110" s="137"/>
      <c r="B110" s="64"/>
      <c r="C110" s="140"/>
      <c r="D110" s="64"/>
      <c r="E110" s="64"/>
      <c r="F110" s="64"/>
      <c r="G110" s="64"/>
      <c r="H110" s="64"/>
      <c r="I110" s="64"/>
      <c r="J110" s="64"/>
      <c r="K110" s="64"/>
      <c r="L110" s="64"/>
      <c r="M110" s="64"/>
      <c r="N110" s="64"/>
      <c r="O110" s="64"/>
      <c r="P110" s="64"/>
      <c r="Q110" s="64"/>
      <c r="R110" s="64"/>
      <c r="S110" s="64"/>
      <c r="T110" s="64"/>
      <c r="U110" s="168" t="s">
        <v>2964</v>
      </c>
      <c r="V110" s="64"/>
      <c r="W110" s="64"/>
    </row>
    <row r="111" spans="1:23" ht="15.75" customHeight="1">
      <c r="A111" s="137"/>
      <c r="B111" s="64"/>
      <c r="C111" s="140"/>
      <c r="D111" s="64"/>
      <c r="E111" s="64"/>
      <c r="F111" s="64"/>
      <c r="G111" s="64"/>
      <c r="H111" s="64"/>
      <c r="I111" s="64"/>
      <c r="J111" s="64"/>
      <c r="K111" s="64"/>
      <c r="L111" s="64"/>
      <c r="M111" s="64"/>
      <c r="N111" s="64"/>
      <c r="O111" s="64"/>
      <c r="P111" s="64"/>
      <c r="Q111" s="64"/>
      <c r="R111" s="64"/>
      <c r="S111" s="64"/>
      <c r="T111" s="64"/>
      <c r="U111" s="168" t="s">
        <v>2965</v>
      </c>
      <c r="V111" s="64"/>
      <c r="W111" s="64"/>
    </row>
    <row r="112" spans="1:23" ht="15.75" customHeight="1">
      <c r="A112" s="137"/>
      <c r="B112" s="64"/>
      <c r="C112" s="140"/>
      <c r="D112" s="64"/>
      <c r="E112" s="64"/>
      <c r="F112" s="64"/>
      <c r="G112" s="64"/>
      <c r="H112" s="64"/>
      <c r="I112" s="64"/>
      <c r="J112" s="64"/>
      <c r="K112" s="64"/>
      <c r="L112" s="64"/>
      <c r="M112" s="64"/>
      <c r="N112" s="64"/>
      <c r="O112" s="64"/>
      <c r="P112" s="64"/>
      <c r="Q112" s="64"/>
      <c r="R112" s="64"/>
      <c r="S112" s="64"/>
      <c r="T112" s="64"/>
      <c r="U112" s="168" t="s">
        <v>2966</v>
      </c>
      <c r="V112" s="64"/>
      <c r="W112" s="64"/>
    </row>
    <row r="113" spans="1:23" ht="15.75" customHeight="1">
      <c r="A113" s="137"/>
      <c r="B113" s="64"/>
      <c r="C113" s="140"/>
      <c r="D113" s="64"/>
      <c r="E113" s="64"/>
      <c r="F113" s="64"/>
      <c r="G113" s="64"/>
      <c r="H113" s="64"/>
      <c r="I113" s="64"/>
      <c r="J113" s="64"/>
      <c r="K113" s="64"/>
      <c r="L113" s="64"/>
      <c r="M113" s="64"/>
      <c r="N113" s="64"/>
      <c r="O113" s="64"/>
      <c r="P113" s="64"/>
      <c r="Q113" s="64"/>
      <c r="R113" s="64"/>
      <c r="S113" s="64"/>
      <c r="T113" s="64"/>
      <c r="U113" s="168" t="s">
        <v>2967</v>
      </c>
      <c r="V113" s="64"/>
      <c r="W113" s="64"/>
    </row>
    <row r="114" spans="1:23" ht="15.75" customHeight="1">
      <c r="A114" s="137"/>
      <c r="B114" s="64"/>
      <c r="C114" s="140"/>
      <c r="D114" s="64"/>
      <c r="E114" s="64"/>
      <c r="F114" s="64"/>
      <c r="G114" s="64"/>
      <c r="H114" s="64"/>
      <c r="I114" s="64"/>
      <c r="J114" s="64"/>
      <c r="K114" s="64"/>
      <c r="L114" s="64"/>
      <c r="M114" s="64"/>
      <c r="N114" s="64"/>
      <c r="O114" s="64"/>
      <c r="P114" s="64"/>
      <c r="Q114" s="64"/>
      <c r="R114" s="64"/>
      <c r="S114" s="64"/>
      <c r="T114" s="64"/>
      <c r="U114" s="168" t="s">
        <v>2968</v>
      </c>
      <c r="V114" s="64"/>
      <c r="W114" s="64"/>
    </row>
    <row r="115" spans="1:23" ht="15.75" customHeight="1">
      <c r="A115" s="137"/>
      <c r="B115" s="64"/>
      <c r="C115" s="140"/>
      <c r="D115" s="64"/>
      <c r="E115" s="64"/>
      <c r="F115" s="64"/>
      <c r="G115" s="64"/>
      <c r="H115" s="64"/>
      <c r="I115" s="64"/>
      <c r="J115" s="64"/>
      <c r="K115" s="64"/>
      <c r="L115" s="64"/>
      <c r="M115" s="64"/>
      <c r="N115" s="64"/>
      <c r="O115" s="64"/>
      <c r="P115" s="64"/>
      <c r="Q115" s="64"/>
      <c r="R115" s="64"/>
      <c r="S115" s="64"/>
      <c r="T115" s="64"/>
      <c r="U115" s="168" t="s">
        <v>2969</v>
      </c>
      <c r="V115" s="64"/>
      <c r="W115" s="64"/>
    </row>
    <row r="116" spans="1:23" ht="15.75" customHeight="1">
      <c r="A116" s="137"/>
      <c r="B116" s="64"/>
      <c r="C116" s="140"/>
      <c r="D116" s="64"/>
      <c r="E116" s="64"/>
      <c r="F116" s="64"/>
      <c r="G116" s="64"/>
      <c r="H116" s="64"/>
      <c r="I116" s="64"/>
      <c r="J116" s="64"/>
      <c r="K116" s="64"/>
      <c r="L116" s="64"/>
      <c r="M116" s="64"/>
      <c r="N116" s="64"/>
      <c r="O116" s="64"/>
      <c r="P116" s="64"/>
      <c r="Q116" s="64"/>
      <c r="R116" s="64"/>
      <c r="S116" s="64"/>
      <c r="T116" s="64"/>
      <c r="U116" s="168" t="s">
        <v>2970</v>
      </c>
      <c r="V116" s="64"/>
      <c r="W116" s="64"/>
    </row>
    <row r="117" spans="1:23" ht="15.75" customHeight="1">
      <c r="A117" s="137"/>
      <c r="B117" s="64"/>
      <c r="C117" s="140"/>
      <c r="D117" s="64"/>
      <c r="E117" s="64"/>
      <c r="F117" s="64"/>
      <c r="G117" s="64"/>
      <c r="H117" s="64"/>
      <c r="I117" s="64"/>
      <c r="J117" s="64"/>
      <c r="K117" s="64"/>
      <c r="L117" s="64"/>
      <c r="M117" s="64"/>
      <c r="N117" s="64"/>
      <c r="O117" s="64"/>
      <c r="P117" s="64"/>
      <c r="Q117" s="64"/>
      <c r="R117" s="64"/>
      <c r="S117" s="64"/>
      <c r="T117" s="64"/>
      <c r="U117" s="168" t="s">
        <v>2971</v>
      </c>
      <c r="V117" s="64"/>
      <c r="W117" s="64"/>
    </row>
    <row r="118" spans="1:23" ht="15.75" customHeight="1">
      <c r="A118" s="137"/>
      <c r="B118" s="64"/>
      <c r="C118" s="140"/>
      <c r="D118" s="64"/>
      <c r="E118" s="64"/>
      <c r="F118" s="64"/>
      <c r="G118" s="64"/>
      <c r="H118" s="64"/>
      <c r="I118" s="64"/>
      <c r="J118" s="64"/>
      <c r="K118" s="64"/>
      <c r="L118" s="64"/>
      <c r="M118" s="64"/>
      <c r="N118" s="64"/>
      <c r="O118" s="64"/>
      <c r="P118" s="64"/>
      <c r="Q118" s="64"/>
      <c r="R118" s="64"/>
      <c r="S118" s="64"/>
      <c r="T118" s="64"/>
      <c r="U118" s="168" t="s">
        <v>2972</v>
      </c>
      <c r="V118" s="64"/>
      <c r="W118" s="64"/>
    </row>
    <row r="119" spans="1:23" ht="15.75" customHeight="1">
      <c r="A119" s="137"/>
      <c r="B119" s="64"/>
      <c r="C119" s="140"/>
      <c r="D119" s="64"/>
      <c r="E119" s="64"/>
      <c r="F119" s="64"/>
      <c r="G119" s="64"/>
      <c r="H119" s="64"/>
      <c r="I119" s="64"/>
      <c r="J119" s="64"/>
      <c r="K119" s="64"/>
      <c r="L119" s="64"/>
      <c r="M119" s="64"/>
      <c r="N119" s="64"/>
      <c r="O119" s="64"/>
      <c r="P119" s="64"/>
      <c r="Q119" s="64"/>
      <c r="R119" s="64"/>
      <c r="S119" s="64"/>
      <c r="T119" s="64"/>
      <c r="U119" s="168" t="s">
        <v>2973</v>
      </c>
      <c r="V119" s="64"/>
      <c r="W119" s="64"/>
    </row>
    <row r="120" spans="1:23" ht="15.75" customHeight="1">
      <c r="A120" s="137"/>
      <c r="B120" s="64"/>
      <c r="C120" s="140"/>
      <c r="D120" s="64"/>
      <c r="E120" s="64"/>
      <c r="F120" s="64"/>
      <c r="G120" s="64"/>
      <c r="H120" s="64"/>
      <c r="I120" s="64"/>
      <c r="J120" s="64"/>
      <c r="K120" s="64"/>
      <c r="L120" s="64"/>
      <c r="M120" s="64"/>
      <c r="N120" s="64"/>
      <c r="O120" s="64"/>
      <c r="P120" s="64"/>
      <c r="Q120" s="64"/>
      <c r="R120" s="64"/>
      <c r="S120" s="64"/>
      <c r="T120" s="64"/>
      <c r="U120" s="168" t="s">
        <v>2974</v>
      </c>
      <c r="V120" s="64"/>
      <c r="W120" s="64"/>
    </row>
    <row r="121" spans="1:23" ht="15.75" customHeight="1">
      <c r="A121" s="137"/>
      <c r="B121" s="64"/>
      <c r="C121" s="140"/>
      <c r="D121" s="64"/>
      <c r="E121" s="64"/>
      <c r="F121" s="64"/>
      <c r="G121" s="64"/>
      <c r="H121" s="64"/>
      <c r="I121" s="64"/>
      <c r="J121" s="64"/>
      <c r="K121" s="64"/>
      <c r="L121" s="64"/>
      <c r="M121" s="64"/>
      <c r="N121" s="64"/>
      <c r="O121" s="64"/>
      <c r="P121" s="64"/>
      <c r="Q121" s="64"/>
      <c r="R121" s="64"/>
      <c r="S121" s="64"/>
      <c r="T121" s="64"/>
      <c r="U121" s="168" t="s">
        <v>2975</v>
      </c>
      <c r="V121" s="64"/>
      <c r="W121" s="64"/>
    </row>
    <row r="122" spans="1:23" ht="15.75" customHeight="1">
      <c r="A122" s="137"/>
      <c r="B122" s="64"/>
      <c r="C122" s="140"/>
      <c r="D122" s="64"/>
      <c r="E122" s="64"/>
      <c r="F122" s="64"/>
      <c r="G122" s="64"/>
      <c r="H122" s="64"/>
      <c r="I122" s="64"/>
      <c r="J122" s="64"/>
      <c r="K122" s="64"/>
      <c r="L122" s="64"/>
      <c r="M122" s="64"/>
      <c r="N122" s="64"/>
      <c r="O122" s="64"/>
      <c r="P122" s="64"/>
      <c r="Q122" s="64"/>
      <c r="R122" s="64"/>
      <c r="S122" s="64"/>
      <c r="T122" s="64"/>
      <c r="U122" s="168" t="s">
        <v>2976</v>
      </c>
      <c r="V122" s="64"/>
      <c r="W122" s="64"/>
    </row>
    <row r="123" spans="1:23" ht="15.75" customHeight="1">
      <c r="A123" s="137"/>
      <c r="B123" s="64"/>
      <c r="C123" s="140"/>
      <c r="D123" s="64"/>
      <c r="E123" s="64"/>
      <c r="F123" s="64"/>
      <c r="G123" s="64"/>
      <c r="H123" s="64"/>
      <c r="I123" s="64"/>
      <c r="J123" s="64"/>
      <c r="K123" s="64"/>
      <c r="L123" s="64"/>
      <c r="M123" s="64"/>
      <c r="N123" s="64"/>
      <c r="O123" s="64"/>
      <c r="P123" s="64"/>
      <c r="Q123" s="64"/>
      <c r="R123" s="64"/>
      <c r="S123" s="64"/>
      <c r="T123" s="64"/>
      <c r="U123" s="168" t="s">
        <v>2977</v>
      </c>
      <c r="V123" s="64"/>
      <c r="W123" s="64"/>
    </row>
    <row r="124" spans="1:23" ht="15.75" customHeight="1">
      <c r="A124" s="137"/>
      <c r="B124" s="64"/>
      <c r="C124" s="140"/>
      <c r="D124" s="64"/>
      <c r="E124" s="64"/>
      <c r="F124" s="64"/>
      <c r="G124" s="64"/>
      <c r="H124" s="64"/>
      <c r="I124" s="64"/>
      <c r="J124" s="64"/>
      <c r="K124" s="64"/>
      <c r="L124" s="64"/>
      <c r="M124" s="64"/>
      <c r="N124" s="64"/>
      <c r="O124" s="64"/>
      <c r="P124" s="64"/>
      <c r="Q124" s="64"/>
      <c r="R124" s="64"/>
      <c r="S124" s="64"/>
      <c r="T124" s="64"/>
      <c r="U124" s="168" t="s">
        <v>2978</v>
      </c>
      <c r="V124" s="64"/>
      <c r="W124" s="64"/>
    </row>
    <row r="125" spans="1:23" ht="15.75" customHeight="1">
      <c r="A125" s="137"/>
      <c r="B125" s="64"/>
      <c r="C125" s="140"/>
      <c r="D125" s="64"/>
      <c r="E125" s="64"/>
      <c r="F125" s="64"/>
      <c r="G125" s="64"/>
      <c r="H125" s="64"/>
      <c r="I125" s="64"/>
      <c r="J125" s="64"/>
      <c r="K125" s="64"/>
      <c r="L125" s="64"/>
      <c r="M125" s="64"/>
      <c r="N125" s="64"/>
      <c r="O125" s="64"/>
      <c r="P125" s="64"/>
      <c r="Q125" s="64"/>
      <c r="R125" s="64"/>
      <c r="S125" s="64"/>
      <c r="T125" s="64"/>
      <c r="U125" s="168" t="s">
        <v>2979</v>
      </c>
      <c r="V125" s="64"/>
      <c r="W125" s="64"/>
    </row>
    <row r="126" spans="1:23" ht="15.75" customHeight="1">
      <c r="A126" s="137"/>
      <c r="B126" s="64"/>
      <c r="C126" s="140"/>
      <c r="D126" s="64"/>
      <c r="E126" s="64"/>
      <c r="F126" s="64"/>
      <c r="G126" s="64"/>
      <c r="H126" s="64"/>
      <c r="I126" s="64"/>
      <c r="J126" s="64"/>
      <c r="K126" s="64"/>
      <c r="L126" s="64"/>
      <c r="M126" s="64"/>
      <c r="N126" s="64"/>
      <c r="O126" s="64"/>
      <c r="P126" s="64"/>
      <c r="Q126" s="64"/>
      <c r="R126" s="64"/>
      <c r="S126" s="64"/>
      <c r="T126" s="64"/>
      <c r="U126" s="168" t="s">
        <v>2980</v>
      </c>
      <c r="V126" s="64"/>
      <c r="W126" s="64"/>
    </row>
    <row r="127" spans="1:23" ht="15.75" customHeight="1">
      <c r="A127" s="137"/>
      <c r="B127" s="64"/>
      <c r="C127" s="140"/>
      <c r="D127" s="64"/>
      <c r="E127" s="64"/>
      <c r="F127" s="64"/>
      <c r="G127" s="64"/>
      <c r="H127" s="64"/>
      <c r="I127" s="64"/>
      <c r="J127" s="64"/>
      <c r="K127" s="64"/>
      <c r="L127" s="64"/>
      <c r="M127" s="64"/>
      <c r="N127" s="64"/>
      <c r="O127" s="64"/>
      <c r="P127" s="64"/>
      <c r="Q127" s="64"/>
      <c r="R127" s="64"/>
      <c r="S127" s="64"/>
      <c r="T127" s="64"/>
      <c r="U127" s="168" t="s">
        <v>2981</v>
      </c>
      <c r="V127" s="64"/>
      <c r="W127" s="64"/>
    </row>
    <row r="128" spans="1:23" ht="15.75" customHeight="1">
      <c r="A128" s="137"/>
      <c r="B128" s="64"/>
      <c r="C128" s="140"/>
      <c r="D128" s="64"/>
      <c r="E128" s="64"/>
      <c r="F128" s="64"/>
      <c r="G128" s="64"/>
      <c r="H128" s="64"/>
      <c r="I128" s="64"/>
      <c r="J128" s="64"/>
      <c r="K128" s="64"/>
      <c r="L128" s="64"/>
      <c r="M128" s="64"/>
      <c r="N128" s="64"/>
      <c r="O128" s="64"/>
      <c r="P128" s="64"/>
      <c r="Q128" s="64"/>
      <c r="R128" s="64"/>
      <c r="S128" s="64"/>
      <c r="T128" s="64"/>
      <c r="U128" s="168" t="s">
        <v>2982</v>
      </c>
      <c r="V128" s="64"/>
      <c r="W128" s="64"/>
    </row>
    <row r="129" spans="1:23" ht="15.75" customHeight="1">
      <c r="A129" s="137"/>
      <c r="B129" s="64"/>
      <c r="C129" s="140"/>
      <c r="D129" s="64"/>
      <c r="E129" s="64"/>
      <c r="F129" s="64"/>
      <c r="G129" s="64"/>
      <c r="H129" s="64"/>
      <c r="I129" s="64"/>
      <c r="J129" s="64"/>
      <c r="K129" s="64"/>
      <c r="L129" s="64"/>
      <c r="M129" s="64"/>
      <c r="N129" s="64"/>
      <c r="O129" s="64"/>
      <c r="P129" s="64"/>
      <c r="Q129" s="64"/>
      <c r="R129" s="64"/>
      <c r="S129" s="64"/>
      <c r="T129" s="64"/>
      <c r="U129" s="168" t="s">
        <v>2983</v>
      </c>
      <c r="V129" s="64"/>
      <c r="W129" s="64"/>
    </row>
    <row r="130" spans="1:23" ht="15.75" customHeight="1">
      <c r="A130" s="137"/>
      <c r="B130" s="64"/>
      <c r="C130" s="140"/>
      <c r="D130" s="64"/>
      <c r="E130" s="64"/>
      <c r="F130" s="64"/>
      <c r="G130" s="64"/>
      <c r="H130" s="64"/>
      <c r="I130" s="64"/>
      <c r="J130" s="64"/>
      <c r="K130" s="64"/>
      <c r="L130" s="64"/>
      <c r="M130" s="64"/>
      <c r="N130" s="64"/>
      <c r="O130" s="64"/>
      <c r="P130" s="64"/>
      <c r="Q130" s="64"/>
      <c r="R130" s="64"/>
      <c r="S130" s="64"/>
      <c r="T130" s="64"/>
      <c r="U130" s="168" t="s">
        <v>2984</v>
      </c>
      <c r="V130" s="64"/>
      <c r="W130" s="64"/>
    </row>
    <row r="131" spans="1:23" ht="15.75" customHeight="1">
      <c r="A131" s="137"/>
      <c r="B131" s="64"/>
      <c r="C131" s="140"/>
      <c r="D131" s="64"/>
      <c r="E131" s="64"/>
      <c r="F131" s="64"/>
      <c r="G131" s="64"/>
      <c r="H131" s="64"/>
      <c r="I131" s="64"/>
      <c r="J131" s="64"/>
      <c r="K131" s="64"/>
      <c r="L131" s="64"/>
      <c r="M131" s="64"/>
      <c r="N131" s="64"/>
      <c r="O131" s="64"/>
      <c r="P131" s="64"/>
      <c r="Q131" s="64"/>
      <c r="R131" s="64"/>
      <c r="S131" s="64"/>
      <c r="T131" s="64"/>
      <c r="U131" s="168" t="s">
        <v>2985</v>
      </c>
      <c r="V131" s="64"/>
      <c r="W131" s="64"/>
    </row>
    <row r="132" spans="1:23" ht="15.75" customHeight="1">
      <c r="A132" s="137"/>
      <c r="B132" s="64"/>
      <c r="C132" s="140"/>
      <c r="D132" s="64"/>
      <c r="E132" s="64"/>
      <c r="F132" s="64"/>
      <c r="G132" s="64"/>
      <c r="H132" s="64"/>
      <c r="I132" s="64"/>
      <c r="J132" s="64"/>
      <c r="K132" s="64"/>
      <c r="L132" s="64"/>
      <c r="M132" s="64"/>
      <c r="N132" s="64"/>
      <c r="O132" s="64"/>
      <c r="P132" s="64"/>
      <c r="Q132" s="64"/>
      <c r="R132" s="64"/>
      <c r="S132" s="64"/>
      <c r="T132" s="64"/>
      <c r="U132" s="168" t="s">
        <v>2986</v>
      </c>
      <c r="V132" s="64"/>
      <c r="W132" s="64"/>
    </row>
    <row r="133" spans="1:23" ht="15.75" customHeight="1">
      <c r="A133" s="137"/>
      <c r="B133" s="64"/>
      <c r="C133" s="140"/>
      <c r="D133" s="64"/>
      <c r="E133" s="64"/>
      <c r="F133" s="64"/>
      <c r="G133" s="64"/>
      <c r="H133" s="64"/>
      <c r="I133" s="64"/>
      <c r="J133" s="64"/>
      <c r="K133" s="64"/>
      <c r="L133" s="64"/>
      <c r="M133" s="64"/>
      <c r="N133" s="64"/>
      <c r="O133" s="64"/>
      <c r="P133" s="64"/>
      <c r="Q133" s="64"/>
      <c r="R133" s="64"/>
      <c r="S133" s="64"/>
      <c r="T133" s="64"/>
      <c r="U133" s="168" t="s">
        <v>2987</v>
      </c>
      <c r="V133" s="64"/>
      <c r="W133" s="64"/>
    </row>
    <row r="134" spans="1:23" ht="15.75" customHeight="1">
      <c r="A134" s="137"/>
      <c r="B134" s="64"/>
      <c r="C134" s="140"/>
      <c r="D134" s="64"/>
      <c r="E134" s="64"/>
      <c r="F134" s="64"/>
      <c r="G134" s="64"/>
      <c r="H134" s="64"/>
      <c r="I134" s="64"/>
      <c r="J134" s="64"/>
      <c r="K134" s="64"/>
      <c r="L134" s="64"/>
      <c r="M134" s="64"/>
      <c r="N134" s="64"/>
      <c r="O134" s="64"/>
      <c r="P134" s="64"/>
      <c r="Q134" s="64"/>
      <c r="R134" s="64"/>
      <c r="S134" s="64"/>
      <c r="T134" s="64"/>
      <c r="U134" s="168" t="s">
        <v>2988</v>
      </c>
      <c r="V134" s="64"/>
      <c r="W134" s="64"/>
    </row>
    <row r="135" spans="1:23" ht="15.75" customHeight="1">
      <c r="A135" s="137"/>
      <c r="B135" s="64"/>
      <c r="C135" s="140"/>
      <c r="D135" s="64"/>
      <c r="E135" s="64"/>
      <c r="F135" s="64"/>
      <c r="G135" s="64"/>
      <c r="H135" s="64"/>
      <c r="I135" s="64"/>
      <c r="J135" s="64"/>
      <c r="K135" s="64"/>
      <c r="L135" s="64"/>
      <c r="M135" s="64"/>
      <c r="N135" s="64"/>
      <c r="O135" s="64"/>
      <c r="P135" s="64"/>
      <c r="Q135" s="64"/>
      <c r="R135" s="64"/>
      <c r="S135" s="64"/>
      <c r="T135" s="64"/>
      <c r="U135" s="168" t="s">
        <v>2989</v>
      </c>
      <c r="V135" s="64"/>
      <c r="W135" s="64"/>
    </row>
    <row r="136" spans="1:23" ht="15.75" customHeight="1">
      <c r="A136" s="137"/>
      <c r="B136" s="64"/>
      <c r="C136" s="140"/>
      <c r="D136" s="64"/>
      <c r="E136" s="64"/>
      <c r="F136" s="64"/>
      <c r="G136" s="64"/>
      <c r="H136" s="64"/>
      <c r="I136" s="64"/>
      <c r="J136" s="64"/>
      <c r="K136" s="64"/>
      <c r="L136" s="64"/>
      <c r="M136" s="64"/>
      <c r="N136" s="64"/>
      <c r="O136" s="64"/>
      <c r="P136" s="64"/>
      <c r="Q136" s="64"/>
      <c r="R136" s="64"/>
      <c r="S136" s="64"/>
      <c r="T136" s="64"/>
      <c r="U136" s="168" t="s">
        <v>2990</v>
      </c>
      <c r="V136" s="64"/>
      <c r="W136" s="64"/>
    </row>
    <row r="137" spans="1:23" ht="15.75" customHeight="1">
      <c r="A137" s="137"/>
      <c r="B137" s="64"/>
      <c r="C137" s="140"/>
      <c r="D137" s="64"/>
      <c r="E137" s="64"/>
      <c r="F137" s="64"/>
      <c r="G137" s="64"/>
      <c r="H137" s="64"/>
      <c r="I137" s="64"/>
      <c r="J137" s="64"/>
      <c r="K137" s="64"/>
      <c r="L137" s="64"/>
      <c r="M137" s="64"/>
      <c r="N137" s="64"/>
      <c r="O137" s="64"/>
      <c r="P137" s="64"/>
      <c r="Q137" s="64"/>
      <c r="R137" s="64"/>
      <c r="S137" s="64"/>
      <c r="T137" s="64"/>
      <c r="U137" s="168" t="s">
        <v>2991</v>
      </c>
      <c r="V137" s="64"/>
      <c r="W137" s="64"/>
    </row>
    <row r="138" spans="1:23" ht="15.75" customHeight="1">
      <c r="A138" s="137"/>
      <c r="B138" s="64"/>
      <c r="C138" s="140"/>
      <c r="D138" s="64"/>
      <c r="E138" s="64"/>
      <c r="F138" s="64"/>
      <c r="G138" s="64"/>
      <c r="H138" s="64"/>
      <c r="I138" s="64"/>
      <c r="J138" s="64"/>
      <c r="K138" s="64"/>
      <c r="L138" s="64"/>
      <c r="M138" s="64"/>
      <c r="N138" s="64"/>
      <c r="O138" s="64"/>
      <c r="P138" s="64"/>
      <c r="Q138" s="64"/>
      <c r="R138" s="64"/>
      <c r="S138" s="64"/>
      <c r="T138" s="64"/>
      <c r="U138" s="168" t="s">
        <v>2992</v>
      </c>
      <c r="V138" s="64"/>
      <c r="W138" s="64"/>
    </row>
    <row r="139" spans="1:23" ht="15.75" customHeight="1">
      <c r="A139" s="137"/>
      <c r="B139" s="64"/>
      <c r="C139" s="140"/>
      <c r="D139" s="64"/>
      <c r="E139" s="64"/>
      <c r="F139" s="64"/>
      <c r="G139" s="64"/>
      <c r="H139" s="64"/>
      <c r="I139" s="64"/>
      <c r="J139" s="64"/>
      <c r="K139" s="64"/>
      <c r="L139" s="64"/>
      <c r="M139" s="64"/>
      <c r="N139" s="64"/>
      <c r="O139" s="64"/>
      <c r="P139" s="64"/>
      <c r="Q139" s="64"/>
      <c r="R139" s="64"/>
      <c r="S139" s="64"/>
      <c r="T139" s="64"/>
      <c r="U139" s="168" t="s">
        <v>2993</v>
      </c>
      <c r="V139" s="64"/>
      <c r="W139" s="64"/>
    </row>
    <row r="140" spans="1:23" ht="15.75" customHeight="1">
      <c r="A140" s="137"/>
      <c r="B140" s="64"/>
      <c r="C140" s="140"/>
      <c r="D140" s="64"/>
      <c r="E140" s="64"/>
      <c r="F140" s="64"/>
      <c r="G140" s="64"/>
      <c r="H140" s="64"/>
      <c r="I140" s="64"/>
      <c r="J140" s="64"/>
      <c r="K140" s="64"/>
      <c r="L140" s="64"/>
      <c r="M140" s="64"/>
      <c r="N140" s="64"/>
      <c r="O140" s="64"/>
      <c r="P140" s="64"/>
      <c r="Q140" s="64"/>
      <c r="R140" s="64"/>
      <c r="S140" s="64"/>
      <c r="T140" s="64"/>
      <c r="U140" s="168" t="s">
        <v>2994</v>
      </c>
      <c r="V140" s="64"/>
      <c r="W140" s="64"/>
    </row>
    <row r="141" spans="1:23" ht="15.75" customHeight="1">
      <c r="A141" s="137"/>
      <c r="B141" s="64"/>
      <c r="C141" s="140"/>
      <c r="D141" s="64"/>
      <c r="E141" s="64"/>
      <c r="F141" s="64"/>
      <c r="G141" s="64"/>
      <c r="H141" s="64"/>
      <c r="I141" s="64"/>
      <c r="J141" s="64"/>
      <c r="K141" s="64"/>
      <c r="L141" s="64"/>
      <c r="M141" s="64"/>
      <c r="N141" s="64"/>
      <c r="O141" s="64"/>
      <c r="P141" s="64"/>
      <c r="Q141" s="64"/>
      <c r="R141" s="64"/>
      <c r="S141" s="64"/>
      <c r="T141" s="64"/>
      <c r="U141" s="168" t="s">
        <v>2995</v>
      </c>
      <c r="V141" s="64"/>
      <c r="W141" s="64"/>
    </row>
    <row r="142" spans="1:23" ht="15.75" customHeight="1">
      <c r="A142" s="137"/>
      <c r="B142" s="64"/>
      <c r="C142" s="140"/>
      <c r="D142" s="64"/>
      <c r="E142" s="64"/>
      <c r="F142" s="64"/>
      <c r="G142" s="64"/>
      <c r="H142" s="64"/>
      <c r="I142" s="64"/>
      <c r="J142" s="64"/>
      <c r="K142" s="64"/>
      <c r="L142" s="64"/>
      <c r="M142" s="64"/>
      <c r="N142" s="64"/>
      <c r="O142" s="64"/>
      <c r="P142" s="64"/>
      <c r="Q142" s="64"/>
      <c r="R142" s="64"/>
      <c r="S142" s="64"/>
      <c r="T142" s="64"/>
      <c r="U142" s="168" t="s">
        <v>2996</v>
      </c>
      <c r="V142" s="64"/>
      <c r="W142" s="64"/>
    </row>
    <row r="143" spans="1:23" ht="15.75" customHeight="1">
      <c r="A143" s="137"/>
      <c r="B143" s="64"/>
      <c r="C143" s="140"/>
      <c r="D143" s="64"/>
      <c r="E143" s="64"/>
      <c r="F143" s="64"/>
      <c r="G143" s="64"/>
      <c r="H143" s="64"/>
      <c r="I143" s="64"/>
      <c r="J143" s="64"/>
      <c r="K143" s="64"/>
      <c r="L143" s="64"/>
      <c r="M143" s="64"/>
      <c r="N143" s="64"/>
      <c r="O143" s="64"/>
      <c r="P143" s="64"/>
      <c r="Q143" s="64"/>
      <c r="R143" s="64"/>
      <c r="S143" s="64"/>
      <c r="T143" s="64"/>
      <c r="U143" s="168" t="s">
        <v>2997</v>
      </c>
      <c r="V143" s="64"/>
      <c r="W143" s="64"/>
    </row>
    <row r="144" spans="1:23" ht="15.75" customHeight="1">
      <c r="A144" s="137"/>
      <c r="B144" s="64"/>
      <c r="C144" s="140"/>
      <c r="D144" s="64"/>
      <c r="E144" s="64"/>
      <c r="F144" s="64"/>
      <c r="G144" s="64"/>
      <c r="H144" s="64"/>
      <c r="I144" s="64"/>
      <c r="J144" s="64"/>
      <c r="K144" s="64"/>
      <c r="L144" s="64"/>
      <c r="M144" s="64"/>
      <c r="N144" s="64"/>
      <c r="O144" s="64"/>
      <c r="P144" s="64"/>
      <c r="Q144" s="64"/>
      <c r="R144" s="64"/>
      <c r="S144" s="64"/>
      <c r="T144" s="64"/>
      <c r="U144" s="168" t="s">
        <v>2998</v>
      </c>
      <c r="V144" s="64"/>
      <c r="W144" s="64"/>
    </row>
    <row r="145" spans="1:23" ht="15.75" customHeight="1">
      <c r="A145" s="137"/>
      <c r="B145" s="64"/>
      <c r="C145" s="140"/>
      <c r="D145" s="64"/>
      <c r="E145" s="64"/>
      <c r="F145" s="64"/>
      <c r="G145" s="64"/>
      <c r="H145" s="64"/>
      <c r="I145" s="64"/>
      <c r="J145" s="64"/>
      <c r="K145" s="64"/>
      <c r="L145" s="64"/>
      <c r="M145" s="64"/>
      <c r="N145" s="64"/>
      <c r="O145" s="64"/>
      <c r="P145" s="64"/>
      <c r="Q145" s="64"/>
      <c r="R145" s="64"/>
      <c r="S145" s="64"/>
      <c r="T145" s="64"/>
      <c r="U145" s="168" t="s">
        <v>2999</v>
      </c>
      <c r="V145" s="64"/>
      <c r="W145" s="64"/>
    </row>
    <row r="146" spans="1:23" ht="15.75" customHeight="1">
      <c r="A146" s="137"/>
      <c r="B146" s="64"/>
      <c r="C146" s="140"/>
      <c r="D146" s="64"/>
      <c r="E146" s="64"/>
      <c r="F146" s="64"/>
      <c r="G146" s="64"/>
      <c r="H146" s="64"/>
      <c r="I146" s="64"/>
      <c r="J146" s="64"/>
      <c r="K146" s="64"/>
      <c r="L146" s="64"/>
      <c r="M146" s="64"/>
      <c r="N146" s="64"/>
      <c r="O146" s="64"/>
      <c r="P146" s="64"/>
      <c r="Q146" s="64"/>
      <c r="R146" s="64"/>
      <c r="S146" s="64"/>
      <c r="T146" s="64"/>
      <c r="U146" s="168" t="s">
        <v>3000</v>
      </c>
      <c r="V146" s="64"/>
      <c r="W146" s="64"/>
    </row>
    <row r="147" spans="1:23" ht="15.75" customHeight="1">
      <c r="A147" s="137"/>
      <c r="B147" s="64"/>
      <c r="C147" s="140"/>
      <c r="D147" s="64"/>
      <c r="E147" s="64"/>
      <c r="F147" s="64"/>
      <c r="G147" s="64"/>
      <c r="H147" s="64"/>
      <c r="I147" s="64"/>
      <c r="J147" s="64"/>
      <c r="K147" s="64"/>
      <c r="L147" s="64"/>
      <c r="M147" s="64"/>
      <c r="N147" s="64"/>
      <c r="O147" s="64"/>
      <c r="P147" s="64"/>
      <c r="Q147" s="64"/>
      <c r="R147" s="64"/>
      <c r="S147" s="64"/>
      <c r="T147" s="64"/>
      <c r="U147" s="168" t="s">
        <v>3001</v>
      </c>
      <c r="V147" s="64"/>
      <c r="W147" s="64"/>
    </row>
    <row r="148" spans="1:23" ht="15.75" customHeight="1">
      <c r="A148" s="137"/>
      <c r="B148" s="64"/>
      <c r="C148" s="140"/>
      <c r="D148" s="64"/>
      <c r="E148" s="64"/>
      <c r="F148" s="64"/>
      <c r="G148" s="64"/>
      <c r="H148" s="64"/>
      <c r="I148" s="64"/>
      <c r="J148" s="64"/>
      <c r="K148" s="64"/>
      <c r="L148" s="64"/>
      <c r="M148" s="64"/>
      <c r="N148" s="64"/>
      <c r="O148" s="64"/>
      <c r="P148" s="64"/>
      <c r="Q148" s="64"/>
      <c r="R148" s="64"/>
      <c r="S148" s="64"/>
      <c r="T148" s="64"/>
      <c r="U148" s="168" t="s">
        <v>3002</v>
      </c>
      <c r="V148" s="64"/>
      <c r="W148" s="64"/>
    </row>
    <row r="149" spans="1:23" ht="15.75" customHeight="1">
      <c r="A149" s="137"/>
      <c r="B149" s="64"/>
      <c r="C149" s="140"/>
      <c r="D149" s="64"/>
      <c r="E149" s="64"/>
      <c r="F149" s="64"/>
      <c r="G149" s="64"/>
      <c r="H149" s="64"/>
      <c r="I149" s="64"/>
      <c r="J149" s="64"/>
      <c r="K149" s="64"/>
      <c r="L149" s="64"/>
      <c r="M149" s="64"/>
      <c r="N149" s="64"/>
      <c r="O149" s="64"/>
      <c r="P149" s="64"/>
      <c r="Q149" s="64"/>
      <c r="R149" s="64"/>
      <c r="S149" s="64"/>
      <c r="T149" s="64"/>
      <c r="U149" s="168" t="s">
        <v>2982</v>
      </c>
      <c r="V149" s="64"/>
      <c r="W149" s="64"/>
    </row>
    <row r="150" spans="1:23" ht="15.75" customHeight="1">
      <c r="A150" s="137"/>
      <c r="B150" s="64"/>
      <c r="C150" s="140"/>
      <c r="D150" s="64"/>
      <c r="E150" s="64"/>
      <c r="F150" s="64"/>
      <c r="G150" s="64"/>
      <c r="H150" s="64"/>
      <c r="I150" s="64"/>
      <c r="J150" s="64"/>
      <c r="K150" s="64"/>
      <c r="L150" s="64"/>
      <c r="M150" s="64"/>
      <c r="N150" s="64"/>
      <c r="O150" s="64"/>
      <c r="P150" s="64"/>
      <c r="Q150" s="64"/>
      <c r="R150" s="64"/>
      <c r="S150" s="64"/>
      <c r="T150" s="64"/>
      <c r="U150" s="168" t="s">
        <v>3003</v>
      </c>
      <c r="V150" s="64"/>
      <c r="W150" s="64"/>
    </row>
    <row r="151" spans="1:23" ht="15.75" customHeight="1">
      <c r="A151" s="137"/>
      <c r="B151" s="64"/>
      <c r="C151" s="140"/>
      <c r="D151" s="64"/>
      <c r="E151" s="64"/>
      <c r="F151" s="64"/>
      <c r="G151" s="64"/>
      <c r="H151" s="64"/>
      <c r="I151" s="64"/>
      <c r="J151" s="64"/>
      <c r="K151" s="64"/>
      <c r="L151" s="64"/>
      <c r="M151" s="64"/>
      <c r="N151" s="64"/>
      <c r="O151" s="64"/>
      <c r="P151" s="64"/>
      <c r="Q151" s="64"/>
      <c r="R151" s="64"/>
      <c r="S151" s="64"/>
      <c r="T151" s="64"/>
      <c r="U151" s="168" t="s">
        <v>3004</v>
      </c>
      <c r="V151" s="64"/>
      <c r="W151" s="64"/>
    </row>
    <row r="152" spans="1:23" ht="15.75" customHeight="1">
      <c r="A152" s="137"/>
      <c r="B152" s="64"/>
      <c r="C152" s="140"/>
      <c r="D152" s="64"/>
      <c r="E152" s="64"/>
      <c r="F152" s="64"/>
      <c r="G152" s="64"/>
      <c r="H152" s="64"/>
      <c r="I152" s="64"/>
      <c r="J152" s="64"/>
      <c r="K152" s="64"/>
      <c r="L152" s="64"/>
      <c r="M152" s="64"/>
      <c r="N152" s="64"/>
      <c r="O152" s="64"/>
      <c r="P152" s="64"/>
      <c r="Q152" s="64"/>
      <c r="R152" s="64"/>
      <c r="S152" s="64"/>
      <c r="T152" s="64"/>
      <c r="U152" s="64"/>
      <c r="V152" s="64"/>
      <c r="W152" s="64"/>
    </row>
    <row r="153" spans="1:23" ht="15.75" customHeight="1">
      <c r="A153" s="137"/>
      <c r="B153" s="64"/>
      <c r="C153" s="140"/>
      <c r="D153" s="64"/>
      <c r="E153" s="64"/>
      <c r="F153" s="64"/>
      <c r="G153" s="64"/>
      <c r="H153" s="64"/>
      <c r="I153" s="64"/>
      <c r="J153" s="64"/>
      <c r="K153" s="64"/>
      <c r="L153" s="64"/>
      <c r="M153" s="64"/>
      <c r="N153" s="64"/>
      <c r="O153" s="64"/>
      <c r="P153" s="64"/>
      <c r="Q153" s="64"/>
      <c r="R153" s="64"/>
      <c r="S153" s="64"/>
      <c r="T153" s="64"/>
      <c r="U153" s="64"/>
      <c r="V153" s="64"/>
      <c r="W153" s="64"/>
    </row>
    <row r="154" spans="1:23" ht="15.75" customHeight="1">
      <c r="A154" s="137"/>
      <c r="B154" s="64"/>
      <c r="C154" s="140"/>
      <c r="D154" s="64"/>
      <c r="E154" s="64"/>
      <c r="F154" s="64"/>
      <c r="G154" s="64"/>
      <c r="H154" s="64"/>
      <c r="I154" s="64"/>
      <c r="J154" s="64"/>
      <c r="K154" s="64"/>
      <c r="L154" s="64"/>
      <c r="M154" s="64"/>
      <c r="N154" s="64"/>
      <c r="O154" s="64"/>
      <c r="P154" s="64"/>
      <c r="Q154" s="64"/>
      <c r="R154" s="64"/>
      <c r="S154" s="64"/>
      <c r="T154" s="64"/>
      <c r="U154" s="64"/>
      <c r="V154" s="64"/>
      <c r="W154" s="64"/>
    </row>
    <row r="155" spans="1:23" ht="15.75" customHeight="1">
      <c r="A155" s="137"/>
      <c r="B155" s="64"/>
      <c r="C155" s="140"/>
      <c r="D155" s="64"/>
      <c r="E155" s="64"/>
      <c r="F155" s="64"/>
      <c r="G155" s="64"/>
      <c r="H155" s="64"/>
      <c r="I155" s="64"/>
      <c r="J155" s="64"/>
      <c r="K155" s="64"/>
      <c r="L155" s="64"/>
      <c r="M155" s="64"/>
      <c r="N155" s="64"/>
      <c r="O155" s="64"/>
      <c r="P155" s="64"/>
      <c r="Q155" s="64"/>
      <c r="R155" s="64"/>
      <c r="S155" s="64"/>
      <c r="T155" s="64"/>
      <c r="U155" s="64"/>
      <c r="V155" s="64"/>
      <c r="W155" s="64"/>
    </row>
    <row r="156" spans="1:23" ht="15.75" customHeight="1">
      <c r="A156" s="137"/>
      <c r="B156" s="64"/>
      <c r="C156" s="140"/>
      <c r="D156" s="64"/>
      <c r="E156" s="64"/>
      <c r="F156" s="64"/>
      <c r="G156" s="64"/>
      <c r="H156" s="64"/>
      <c r="I156" s="64"/>
      <c r="J156" s="64"/>
      <c r="K156" s="64"/>
      <c r="L156" s="64"/>
      <c r="M156" s="64"/>
      <c r="N156" s="64"/>
      <c r="O156" s="64"/>
      <c r="P156" s="64"/>
      <c r="Q156" s="64"/>
      <c r="R156" s="64"/>
      <c r="S156" s="64"/>
      <c r="T156" s="64"/>
      <c r="U156" s="64"/>
      <c r="V156" s="64"/>
      <c r="W156" s="64"/>
    </row>
    <row r="157" spans="1:23" ht="15.75" customHeight="1">
      <c r="A157" s="137"/>
      <c r="B157" s="64"/>
      <c r="C157" s="140"/>
      <c r="D157" s="64"/>
      <c r="E157" s="64"/>
      <c r="F157" s="64"/>
      <c r="G157" s="64"/>
      <c r="H157" s="64"/>
      <c r="I157" s="64"/>
      <c r="J157" s="64"/>
      <c r="K157" s="64"/>
      <c r="L157" s="64"/>
      <c r="M157" s="64"/>
      <c r="N157" s="64"/>
      <c r="O157" s="64"/>
      <c r="P157" s="64"/>
      <c r="Q157" s="64"/>
      <c r="R157" s="64"/>
      <c r="S157" s="64"/>
      <c r="T157" s="64"/>
      <c r="U157" s="64"/>
      <c r="V157" s="64"/>
      <c r="W157" s="64"/>
    </row>
    <row r="158" spans="1:23" ht="15.75" customHeight="1">
      <c r="A158" s="137"/>
      <c r="B158" s="64"/>
      <c r="C158" s="140"/>
      <c r="D158" s="64"/>
      <c r="E158" s="64"/>
      <c r="F158" s="64"/>
      <c r="G158" s="64"/>
      <c r="H158" s="64"/>
      <c r="I158" s="64"/>
      <c r="J158" s="64"/>
      <c r="K158" s="64"/>
      <c r="L158" s="64"/>
      <c r="M158" s="64"/>
      <c r="N158" s="64"/>
      <c r="O158" s="64"/>
      <c r="P158" s="64"/>
      <c r="Q158" s="64"/>
      <c r="R158" s="64"/>
      <c r="S158" s="64"/>
      <c r="T158" s="64"/>
      <c r="U158" s="64"/>
      <c r="V158" s="64"/>
      <c r="W158" s="64"/>
    </row>
    <row r="159" spans="1:23" ht="15.75" customHeight="1">
      <c r="A159" s="137"/>
      <c r="B159" s="64"/>
      <c r="C159" s="140"/>
      <c r="D159" s="64"/>
      <c r="E159" s="64"/>
      <c r="F159" s="64"/>
      <c r="G159" s="64"/>
      <c r="H159" s="64"/>
      <c r="I159" s="64"/>
      <c r="J159" s="64"/>
      <c r="K159" s="64"/>
      <c r="L159" s="64"/>
      <c r="M159" s="64"/>
      <c r="N159" s="64"/>
      <c r="O159" s="64"/>
      <c r="P159" s="64"/>
      <c r="Q159" s="64"/>
      <c r="R159" s="64"/>
      <c r="S159" s="64"/>
      <c r="T159" s="64"/>
      <c r="U159" s="64"/>
      <c r="V159" s="64"/>
      <c r="W159" s="64"/>
    </row>
    <row r="160" spans="1:23" ht="15.75" customHeight="1">
      <c r="A160" s="137"/>
      <c r="B160" s="64"/>
      <c r="C160" s="140"/>
      <c r="D160" s="64"/>
      <c r="E160" s="64"/>
      <c r="F160" s="64"/>
      <c r="G160" s="64"/>
      <c r="H160" s="64"/>
      <c r="I160" s="64"/>
      <c r="J160" s="64"/>
      <c r="K160" s="64"/>
      <c r="L160" s="64"/>
      <c r="M160" s="64"/>
      <c r="N160" s="64"/>
      <c r="O160" s="64"/>
      <c r="P160" s="64"/>
      <c r="Q160" s="64"/>
      <c r="R160" s="64"/>
      <c r="S160" s="64"/>
      <c r="T160" s="64"/>
      <c r="U160" s="64"/>
      <c r="V160" s="64"/>
      <c r="W160" s="64"/>
    </row>
    <row r="161" spans="1:23" ht="15.75" customHeight="1">
      <c r="A161" s="137"/>
      <c r="B161" s="64"/>
      <c r="C161" s="140"/>
      <c r="D161" s="64"/>
      <c r="E161" s="64"/>
      <c r="F161" s="64"/>
      <c r="G161" s="64"/>
      <c r="H161" s="64"/>
      <c r="I161" s="64"/>
      <c r="J161" s="64"/>
      <c r="K161" s="64"/>
      <c r="L161" s="64"/>
      <c r="M161" s="64"/>
      <c r="N161" s="64"/>
      <c r="O161" s="64"/>
      <c r="P161" s="64"/>
      <c r="Q161" s="64"/>
      <c r="R161" s="64"/>
      <c r="S161" s="64"/>
      <c r="T161" s="64"/>
      <c r="U161" s="64"/>
      <c r="V161" s="64"/>
      <c r="W161" s="64"/>
    </row>
    <row r="162" spans="1:23" ht="15.75" customHeight="1">
      <c r="A162" s="137"/>
      <c r="B162" s="64"/>
      <c r="C162" s="140"/>
      <c r="D162" s="64"/>
      <c r="E162" s="64"/>
      <c r="F162" s="64"/>
      <c r="G162" s="64"/>
      <c r="H162" s="64"/>
      <c r="I162" s="64"/>
      <c r="J162" s="64"/>
      <c r="K162" s="64"/>
      <c r="L162" s="64"/>
      <c r="M162" s="64"/>
      <c r="N162" s="64"/>
      <c r="O162" s="64"/>
      <c r="P162" s="64"/>
      <c r="Q162" s="64"/>
      <c r="R162" s="64"/>
      <c r="S162" s="64"/>
      <c r="T162" s="64"/>
      <c r="U162" s="64"/>
      <c r="V162" s="64"/>
      <c r="W162" s="64"/>
    </row>
    <row r="163" spans="1:23" ht="15.75" customHeight="1">
      <c r="A163" s="137"/>
      <c r="B163" s="64"/>
      <c r="C163" s="140"/>
      <c r="D163" s="64"/>
      <c r="E163" s="64"/>
      <c r="F163" s="64"/>
      <c r="G163" s="64"/>
      <c r="H163" s="64"/>
      <c r="I163" s="64"/>
      <c r="J163" s="64"/>
      <c r="K163" s="64"/>
      <c r="L163" s="64"/>
      <c r="M163" s="64"/>
      <c r="N163" s="64"/>
      <c r="O163" s="64"/>
      <c r="P163" s="64"/>
      <c r="Q163" s="64"/>
      <c r="R163" s="64"/>
      <c r="S163" s="64"/>
      <c r="T163" s="64"/>
      <c r="U163" s="64"/>
      <c r="V163" s="64"/>
      <c r="W163" s="64"/>
    </row>
    <row r="164" spans="1:23" ht="15.75" customHeight="1">
      <c r="A164" s="137"/>
      <c r="B164" s="64"/>
      <c r="C164" s="140"/>
      <c r="D164" s="64"/>
      <c r="E164" s="64"/>
      <c r="F164" s="64"/>
      <c r="G164" s="64"/>
      <c r="H164" s="64"/>
      <c r="I164" s="64"/>
      <c r="J164" s="64"/>
      <c r="K164" s="64"/>
      <c r="L164" s="64"/>
      <c r="M164" s="64"/>
      <c r="N164" s="64"/>
      <c r="O164" s="64"/>
      <c r="P164" s="64"/>
      <c r="Q164" s="64"/>
      <c r="R164" s="64"/>
      <c r="S164" s="64"/>
      <c r="T164" s="64"/>
      <c r="U164" s="64"/>
      <c r="V164" s="64"/>
      <c r="W164" s="64"/>
    </row>
    <row r="165" spans="1:23" ht="15.75" customHeight="1">
      <c r="A165" s="137"/>
      <c r="B165" s="64"/>
      <c r="C165" s="140"/>
      <c r="D165" s="64"/>
      <c r="E165" s="64"/>
      <c r="F165" s="64"/>
      <c r="G165" s="64"/>
      <c r="H165" s="64"/>
      <c r="I165" s="64"/>
      <c r="J165" s="64"/>
      <c r="K165" s="64"/>
      <c r="L165" s="64"/>
      <c r="M165" s="64"/>
      <c r="N165" s="64"/>
      <c r="O165" s="64"/>
      <c r="P165" s="64"/>
      <c r="Q165" s="64"/>
      <c r="R165" s="64"/>
      <c r="S165" s="64"/>
      <c r="T165" s="64"/>
      <c r="U165" s="64"/>
      <c r="V165" s="64"/>
      <c r="W165" s="64"/>
    </row>
    <row r="166" spans="1:23" ht="15.75" customHeight="1">
      <c r="A166" s="137"/>
      <c r="B166" s="64"/>
      <c r="C166" s="140"/>
      <c r="D166" s="64"/>
      <c r="E166" s="64"/>
      <c r="F166" s="64"/>
      <c r="G166" s="64"/>
      <c r="H166" s="64"/>
      <c r="I166" s="64"/>
      <c r="J166" s="64"/>
      <c r="K166" s="64"/>
      <c r="L166" s="64"/>
      <c r="M166" s="64"/>
      <c r="N166" s="64"/>
      <c r="O166" s="64"/>
      <c r="P166" s="64"/>
      <c r="Q166" s="64"/>
      <c r="R166" s="64"/>
      <c r="S166" s="64"/>
      <c r="T166" s="64"/>
      <c r="U166" s="64"/>
      <c r="V166" s="64"/>
      <c r="W166" s="64"/>
    </row>
    <row r="167" spans="1:23" ht="15.75" customHeight="1">
      <c r="A167" s="137"/>
      <c r="B167" s="64"/>
      <c r="C167" s="140"/>
      <c r="D167" s="64"/>
      <c r="E167" s="64"/>
      <c r="F167" s="64"/>
      <c r="G167" s="64"/>
      <c r="H167" s="64"/>
      <c r="I167" s="64"/>
      <c r="J167" s="64"/>
      <c r="K167" s="64"/>
      <c r="L167" s="64"/>
      <c r="M167" s="64"/>
      <c r="N167" s="64"/>
      <c r="O167" s="64"/>
      <c r="P167" s="64"/>
      <c r="Q167" s="64"/>
      <c r="R167" s="64"/>
      <c r="S167" s="64"/>
      <c r="T167" s="64"/>
      <c r="U167" s="64"/>
      <c r="V167" s="64"/>
      <c r="W167" s="64"/>
    </row>
    <row r="168" spans="1:23" ht="15.75" customHeight="1">
      <c r="A168" s="137"/>
      <c r="B168" s="64"/>
      <c r="C168" s="140"/>
      <c r="D168" s="64"/>
      <c r="E168" s="64"/>
      <c r="F168" s="64"/>
      <c r="G168" s="64"/>
      <c r="H168" s="64"/>
      <c r="I168" s="64"/>
      <c r="J168" s="64"/>
      <c r="K168" s="64"/>
      <c r="L168" s="64"/>
      <c r="M168" s="64"/>
      <c r="N168" s="64"/>
      <c r="O168" s="64"/>
      <c r="P168" s="64"/>
      <c r="Q168" s="64"/>
      <c r="R168" s="64"/>
      <c r="S168" s="64"/>
      <c r="T168" s="64"/>
      <c r="U168" s="64"/>
      <c r="V168" s="64"/>
      <c r="W168" s="64"/>
    </row>
    <row r="169" spans="1:23" ht="15.75" customHeight="1">
      <c r="A169" s="137"/>
      <c r="B169" s="64"/>
      <c r="C169" s="140"/>
      <c r="D169" s="64"/>
      <c r="E169" s="64"/>
      <c r="F169" s="64"/>
      <c r="G169" s="64"/>
      <c r="H169" s="64"/>
      <c r="I169" s="64"/>
      <c r="J169" s="64"/>
      <c r="K169" s="64"/>
      <c r="L169" s="64"/>
      <c r="M169" s="64"/>
      <c r="N169" s="64"/>
      <c r="O169" s="64"/>
      <c r="P169" s="64"/>
      <c r="Q169" s="64"/>
      <c r="R169" s="64"/>
      <c r="S169" s="64"/>
      <c r="T169" s="64"/>
      <c r="U169" s="64"/>
      <c r="V169" s="64"/>
      <c r="W169" s="64"/>
    </row>
    <row r="170" spans="1:23" ht="15.75" customHeight="1">
      <c r="A170" s="137"/>
      <c r="B170" s="64"/>
      <c r="C170" s="140"/>
      <c r="D170" s="64"/>
      <c r="E170" s="64"/>
      <c r="F170" s="64"/>
      <c r="G170" s="64"/>
      <c r="H170" s="64"/>
      <c r="I170" s="64"/>
      <c r="J170" s="64"/>
      <c r="K170" s="64"/>
      <c r="L170" s="64"/>
      <c r="M170" s="64"/>
      <c r="N170" s="64"/>
      <c r="O170" s="64"/>
      <c r="P170" s="64"/>
      <c r="Q170" s="64"/>
      <c r="R170" s="64"/>
      <c r="S170" s="64"/>
      <c r="T170" s="64"/>
      <c r="U170" s="64"/>
      <c r="V170" s="64"/>
      <c r="W170" s="64"/>
    </row>
    <row r="171" spans="1:23" ht="15.75" customHeight="1">
      <c r="A171" s="137"/>
      <c r="B171" s="64"/>
      <c r="C171" s="140"/>
      <c r="D171" s="64"/>
      <c r="E171" s="64"/>
      <c r="F171" s="64"/>
      <c r="G171" s="64"/>
      <c r="H171" s="64"/>
      <c r="I171" s="64"/>
      <c r="J171" s="64"/>
      <c r="K171" s="64"/>
      <c r="L171" s="64"/>
      <c r="M171" s="64"/>
      <c r="N171" s="64"/>
      <c r="O171" s="64"/>
      <c r="P171" s="64"/>
      <c r="Q171" s="64"/>
      <c r="R171" s="64"/>
      <c r="S171" s="64"/>
      <c r="T171" s="64"/>
      <c r="U171" s="64"/>
      <c r="V171" s="64"/>
      <c r="W171" s="64"/>
    </row>
    <row r="172" spans="1:23" ht="15.75" customHeight="1">
      <c r="A172" s="137"/>
      <c r="B172" s="64"/>
      <c r="C172" s="140"/>
      <c r="D172" s="64"/>
      <c r="E172" s="64"/>
      <c r="F172" s="64"/>
      <c r="G172" s="64"/>
      <c r="H172" s="64"/>
      <c r="I172" s="64"/>
      <c r="J172" s="64"/>
      <c r="K172" s="64"/>
      <c r="L172" s="64"/>
      <c r="M172" s="64"/>
      <c r="N172" s="64"/>
      <c r="O172" s="64"/>
      <c r="P172" s="64"/>
      <c r="Q172" s="64"/>
      <c r="R172" s="64"/>
      <c r="S172" s="64"/>
      <c r="T172" s="64"/>
      <c r="U172" s="64"/>
      <c r="V172" s="64"/>
      <c r="W172" s="64"/>
    </row>
    <row r="173" spans="1:23" ht="15.75" customHeight="1">
      <c r="A173" s="137"/>
      <c r="B173" s="64"/>
      <c r="C173" s="140"/>
      <c r="D173" s="64"/>
      <c r="E173" s="64"/>
      <c r="F173" s="64"/>
      <c r="G173" s="64"/>
      <c r="H173" s="64"/>
      <c r="I173" s="64"/>
      <c r="J173" s="64"/>
      <c r="K173" s="64"/>
      <c r="L173" s="64"/>
      <c r="M173" s="64"/>
      <c r="N173" s="64"/>
      <c r="O173" s="64"/>
      <c r="P173" s="64"/>
      <c r="Q173" s="64"/>
      <c r="R173" s="64"/>
      <c r="S173" s="64"/>
      <c r="T173" s="64"/>
      <c r="U173" s="64"/>
      <c r="V173" s="64"/>
      <c r="W173" s="64"/>
    </row>
    <row r="174" spans="1:23" ht="15.75" customHeight="1">
      <c r="A174" s="137"/>
      <c r="B174" s="64"/>
      <c r="C174" s="140"/>
      <c r="D174" s="64"/>
      <c r="E174" s="64"/>
      <c r="F174" s="64"/>
      <c r="G174" s="64"/>
      <c r="H174" s="64"/>
      <c r="I174" s="64"/>
      <c r="J174" s="64"/>
      <c r="K174" s="64"/>
      <c r="L174" s="64"/>
      <c r="M174" s="64"/>
      <c r="N174" s="64"/>
      <c r="O174" s="64"/>
      <c r="P174" s="64"/>
      <c r="Q174" s="64"/>
      <c r="R174" s="64"/>
      <c r="S174" s="64"/>
      <c r="T174" s="64"/>
      <c r="U174" s="64"/>
      <c r="V174" s="64"/>
      <c r="W174" s="64"/>
    </row>
    <row r="175" spans="1:23" ht="15.75" customHeight="1">
      <c r="A175" s="137"/>
      <c r="B175" s="64"/>
      <c r="C175" s="140"/>
      <c r="D175" s="64"/>
      <c r="E175" s="64"/>
      <c r="F175" s="64"/>
      <c r="G175" s="64"/>
      <c r="H175" s="64"/>
      <c r="I175" s="64"/>
      <c r="J175" s="64"/>
      <c r="K175" s="64"/>
      <c r="L175" s="64"/>
      <c r="M175" s="64"/>
      <c r="N175" s="64"/>
      <c r="O175" s="64"/>
      <c r="P175" s="64"/>
      <c r="Q175" s="64"/>
      <c r="R175" s="64"/>
      <c r="S175" s="64"/>
      <c r="T175" s="64"/>
      <c r="U175" s="64"/>
      <c r="V175" s="64"/>
      <c r="W175" s="64"/>
    </row>
    <row r="176" spans="1:23" ht="15.75" customHeight="1">
      <c r="A176" s="137"/>
      <c r="B176" s="64"/>
      <c r="C176" s="140"/>
      <c r="D176" s="64"/>
      <c r="E176" s="64"/>
      <c r="F176" s="64"/>
      <c r="G176" s="64"/>
      <c r="H176" s="64"/>
      <c r="I176" s="64"/>
      <c r="J176" s="64"/>
      <c r="K176" s="64"/>
      <c r="L176" s="64"/>
      <c r="M176" s="64"/>
      <c r="N176" s="64"/>
      <c r="O176" s="64"/>
      <c r="P176" s="64"/>
      <c r="Q176" s="64"/>
      <c r="R176" s="64"/>
      <c r="S176" s="64"/>
      <c r="T176" s="64"/>
      <c r="U176" s="64"/>
      <c r="V176" s="64"/>
      <c r="W176" s="64"/>
    </row>
    <row r="177" spans="1:23" ht="15.75" customHeight="1">
      <c r="A177" s="137"/>
      <c r="B177" s="64"/>
      <c r="C177" s="140"/>
      <c r="D177" s="64"/>
      <c r="E177" s="64"/>
      <c r="F177" s="64"/>
      <c r="G177" s="64"/>
      <c r="H177" s="64"/>
      <c r="I177" s="64"/>
      <c r="J177" s="64"/>
      <c r="K177" s="64"/>
      <c r="L177" s="64"/>
      <c r="M177" s="64"/>
      <c r="N177" s="64"/>
      <c r="O177" s="64"/>
      <c r="P177" s="64"/>
      <c r="Q177" s="64"/>
      <c r="R177" s="64"/>
      <c r="S177" s="64"/>
      <c r="T177" s="64"/>
      <c r="U177" s="64"/>
      <c r="V177" s="64"/>
      <c r="W177" s="64"/>
    </row>
    <row r="178" spans="1:23" ht="15.75" customHeight="1">
      <c r="A178" s="137"/>
      <c r="B178" s="64"/>
      <c r="C178" s="140"/>
      <c r="D178" s="64"/>
      <c r="E178" s="64"/>
      <c r="F178" s="64"/>
      <c r="G178" s="64"/>
      <c r="H178" s="64"/>
      <c r="I178" s="64"/>
      <c r="J178" s="64"/>
      <c r="K178" s="64"/>
      <c r="L178" s="64"/>
      <c r="M178" s="64"/>
      <c r="N178" s="64"/>
      <c r="O178" s="64"/>
      <c r="P178" s="64"/>
      <c r="Q178" s="64"/>
      <c r="R178" s="64"/>
      <c r="S178" s="64"/>
      <c r="T178" s="64"/>
      <c r="U178" s="64"/>
      <c r="V178" s="64"/>
      <c r="W178" s="64"/>
    </row>
    <row r="179" spans="1:23" ht="15.75" customHeight="1">
      <c r="A179" s="137"/>
      <c r="B179" s="64"/>
      <c r="C179" s="140"/>
      <c r="D179" s="64"/>
      <c r="E179" s="64"/>
      <c r="F179" s="64"/>
      <c r="G179" s="64"/>
      <c r="H179" s="64"/>
      <c r="I179" s="64"/>
      <c r="J179" s="64"/>
      <c r="K179" s="64"/>
      <c r="L179" s="64"/>
      <c r="M179" s="64"/>
      <c r="N179" s="64"/>
      <c r="O179" s="64"/>
      <c r="P179" s="64"/>
      <c r="Q179" s="64"/>
      <c r="R179" s="64"/>
      <c r="S179" s="64"/>
      <c r="T179" s="64"/>
      <c r="U179" s="64"/>
      <c r="V179" s="64"/>
      <c r="W179" s="64"/>
    </row>
    <row r="180" spans="1:23" ht="15.75" customHeight="1">
      <c r="A180" s="137"/>
      <c r="B180" s="64"/>
      <c r="C180" s="140"/>
      <c r="D180" s="64"/>
      <c r="E180" s="64"/>
      <c r="F180" s="64"/>
      <c r="G180" s="64"/>
      <c r="H180" s="64"/>
      <c r="I180" s="64"/>
      <c r="J180" s="64"/>
      <c r="K180" s="64"/>
      <c r="L180" s="64"/>
      <c r="M180" s="64"/>
      <c r="N180" s="64"/>
      <c r="O180" s="64"/>
      <c r="P180" s="64"/>
      <c r="Q180" s="64"/>
      <c r="R180" s="64"/>
      <c r="S180" s="64"/>
      <c r="T180" s="64"/>
      <c r="U180" s="64"/>
      <c r="V180" s="64"/>
      <c r="W180" s="64"/>
    </row>
    <row r="181" spans="1:23" ht="15.75" customHeight="1">
      <c r="A181" s="137"/>
      <c r="B181" s="64"/>
      <c r="C181" s="140"/>
      <c r="D181" s="64"/>
      <c r="E181" s="64"/>
      <c r="F181" s="64"/>
      <c r="G181" s="64"/>
      <c r="H181" s="64"/>
      <c r="I181" s="64"/>
      <c r="J181" s="64"/>
      <c r="K181" s="64"/>
      <c r="L181" s="64"/>
      <c r="M181" s="64"/>
      <c r="N181" s="64"/>
      <c r="O181" s="64"/>
      <c r="P181" s="64"/>
      <c r="Q181" s="64"/>
      <c r="R181" s="64"/>
      <c r="S181" s="64"/>
      <c r="T181" s="64"/>
      <c r="U181" s="64"/>
      <c r="V181" s="64"/>
      <c r="W181" s="64"/>
    </row>
    <row r="182" spans="1:23" ht="15.75" customHeight="1">
      <c r="A182" s="137"/>
      <c r="B182" s="64"/>
      <c r="C182" s="140"/>
      <c r="D182" s="64"/>
      <c r="E182" s="64"/>
      <c r="F182" s="64"/>
      <c r="G182" s="64"/>
      <c r="H182" s="64"/>
      <c r="I182" s="64"/>
      <c r="J182" s="64"/>
      <c r="K182" s="64"/>
      <c r="L182" s="64"/>
      <c r="M182" s="64"/>
      <c r="N182" s="64"/>
      <c r="O182" s="64"/>
      <c r="P182" s="64"/>
      <c r="Q182" s="64"/>
      <c r="R182" s="64"/>
      <c r="S182" s="64"/>
      <c r="T182" s="64"/>
      <c r="U182" s="64"/>
      <c r="V182" s="64"/>
      <c r="W182" s="64"/>
    </row>
    <row r="183" spans="1:23" ht="15.75" customHeight="1">
      <c r="A183" s="137"/>
      <c r="B183" s="64"/>
      <c r="C183" s="140"/>
      <c r="D183" s="64"/>
      <c r="E183" s="64"/>
      <c r="F183" s="64"/>
      <c r="G183" s="64"/>
      <c r="H183" s="64"/>
      <c r="I183" s="64"/>
      <c r="J183" s="64"/>
      <c r="K183" s="64"/>
      <c r="L183" s="64"/>
      <c r="M183" s="64"/>
      <c r="N183" s="64"/>
      <c r="O183" s="64"/>
      <c r="P183" s="64"/>
      <c r="Q183" s="64"/>
      <c r="R183" s="64"/>
      <c r="S183" s="64"/>
      <c r="T183" s="64"/>
      <c r="U183" s="64"/>
      <c r="V183" s="64"/>
      <c r="W183" s="64"/>
    </row>
    <row r="184" spans="1:23" ht="15.75" customHeight="1">
      <c r="A184" s="137"/>
      <c r="B184" s="64"/>
      <c r="C184" s="140"/>
      <c r="D184" s="64"/>
      <c r="E184" s="64"/>
      <c r="F184" s="64"/>
      <c r="G184" s="64"/>
      <c r="H184" s="64"/>
      <c r="I184" s="64"/>
      <c r="J184" s="64"/>
      <c r="K184" s="64"/>
      <c r="L184" s="64"/>
      <c r="M184" s="64"/>
      <c r="N184" s="64"/>
      <c r="O184" s="64"/>
      <c r="P184" s="64"/>
      <c r="Q184" s="64"/>
      <c r="R184" s="64"/>
      <c r="S184" s="64"/>
      <c r="T184" s="64"/>
      <c r="U184" s="64"/>
      <c r="V184" s="64"/>
      <c r="W184" s="64"/>
    </row>
    <row r="185" spans="1:23" ht="15.75" customHeight="1">
      <c r="A185" s="137"/>
      <c r="B185" s="64"/>
      <c r="C185" s="140"/>
      <c r="D185" s="64"/>
      <c r="E185" s="64"/>
      <c r="F185" s="64"/>
      <c r="G185" s="64"/>
      <c r="H185" s="64"/>
      <c r="I185" s="64"/>
      <c r="J185" s="64"/>
      <c r="K185" s="64"/>
      <c r="L185" s="64"/>
      <c r="M185" s="64"/>
      <c r="N185" s="64"/>
      <c r="O185" s="64"/>
      <c r="P185" s="64"/>
      <c r="Q185" s="64"/>
      <c r="R185" s="64"/>
      <c r="S185" s="64"/>
      <c r="T185" s="64"/>
      <c r="U185" s="64"/>
      <c r="V185" s="64"/>
      <c r="W185" s="64"/>
    </row>
    <row r="186" spans="1:23" ht="15.75" customHeight="1">
      <c r="A186" s="137"/>
      <c r="B186" s="64"/>
      <c r="C186" s="140"/>
      <c r="D186" s="64"/>
      <c r="E186" s="64"/>
      <c r="F186" s="64"/>
      <c r="G186" s="64"/>
      <c r="H186" s="64"/>
      <c r="I186" s="64"/>
      <c r="J186" s="64"/>
      <c r="K186" s="64"/>
      <c r="L186" s="64"/>
      <c r="M186" s="64"/>
      <c r="N186" s="64"/>
      <c r="O186" s="64"/>
      <c r="P186" s="64"/>
      <c r="Q186" s="64"/>
      <c r="R186" s="64"/>
      <c r="S186" s="64"/>
      <c r="T186" s="64"/>
      <c r="U186" s="64"/>
      <c r="V186" s="64"/>
      <c r="W186" s="64"/>
    </row>
    <row r="187" spans="1:23" ht="15.75" customHeight="1">
      <c r="A187" s="137"/>
      <c r="B187" s="64"/>
      <c r="C187" s="140"/>
      <c r="D187" s="64"/>
      <c r="E187" s="64"/>
      <c r="F187" s="64"/>
      <c r="G187" s="64"/>
      <c r="H187" s="64"/>
      <c r="I187" s="64"/>
      <c r="J187" s="64"/>
      <c r="K187" s="64"/>
      <c r="L187" s="64"/>
      <c r="M187" s="64"/>
      <c r="N187" s="64"/>
      <c r="O187" s="64"/>
      <c r="P187" s="64"/>
      <c r="Q187" s="64"/>
      <c r="R187" s="64"/>
      <c r="S187" s="64"/>
      <c r="T187" s="64"/>
      <c r="U187" s="64"/>
      <c r="V187" s="64"/>
      <c r="W187" s="64"/>
    </row>
    <row r="188" spans="1:23" ht="15.75" customHeight="1">
      <c r="A188" s="137"/>
      <c r="B188" s="64"/>
      <c r="C188" s="140"/>
      <c r="D188" s="64"/>
      <c r="E188" s="64"/>
      <c r="F188" s="64"/>
      <c r="G188" s="64"/>
      <c r="H188" s="64"/>
      <c r="I188" s="64"/>
      <c r="J188" s="64"/>
      <c r="K188" s="64"/>
      <c r="L188" s="64"/>
      <c r="M188" s="64"/>
      <c r="N188" s="64"/>
      <c r="O188" s="64"/>
      <c r="P188" s="64"/>
      <c r="Q188" s="64"/>
      <c r="R188" s="64"/>
      <c r="S188" s="64"/>
      <c r="T188" s="64"/>
      <c r="U188" s="64"/>
      <c r="V188" s="64"/>
      <c r="W188" s="64"/>
    </row>
    <row r="189" spans="1:23" ht="15.75" customHeight="1">
      <c r="A189" s="137"/>
      <c r="B189" s="64"/>
      <c r="C189" s="140"/>
      <c r="D189" s="64"/>
      <c r="E189" s="64"/>
      <c r="F189" s="64"/>
      <c r="G189" s="64"/>
      <c r="H189" s="64"/>
      <c r="I189" s="64"/>
      <c r="J189" s="64"/>
      <c r="K189" s="64"/>
      <c r="L189" s="64"/>
      <c r="M189" s="64"/>
      <c r="N189" s="64"/>
      <c r="O189" s="64"/>
      <c r="P189" s="64"/>
      <c r="Q189" s="64"/>
      <c r="R189" s="64"/>
      <c r="S189" s="64"/>
      <c r="T189" s="64"/>
      <c r="U189" s="64"/>
      <c r="V189" s="64"/>
      <c r="W189" s="64"/>
    </row>
    <row r="190" spans="1:23" ht="15.75" customHeight="1">
      <c r="A190" s="137"/>
      <c r="B190" s="64"/>
      <c r="C190" s="140"/>
      <c r="D190" s="64"/>
      <c r="E190" s="64"/>
      <c r="F190" s="64"/>
      <c r="G190" s="64"/>
      <c r="H190" s="64"/>
      <c r="I190" s="64"/>
      <c r="J190" s="64"/>
      <c r="K190" s="64"/>
      <c r="L190" s="64"/>
      <c r="M190" s="64"/>
      <c r="N190" s="64"/>
      <c r="O190" s="64"/>
      <c r="P190" s="64"/>
      <c r="Q190" s="64"/>
      <c r="R190" s="64"/>
      <c r="S190" s="64"/>
      <c r="T190" s="64"/>
      <c r="U190" s="64"/>
      <c r="V190" s="64"/>
      <c r="W190" s="64"/>
    </row>
    <row r="191" spans="1:23" ht="15.75" customHeight="1">
      <c r="A191" s="137"/>
      <c r="B191" s="64"/>
      <c r="C191" s="140"/>
      <c r="D191" s="64"/>
      <c r="E191" s="64"/>
      <c r="F191" s="64"/>
      <c r="G191" s="64"/>
      <c r="H191" s="64"/>
      <c r="I191" s="64"/>
      <c r="J191" s="64"/>
      <c r="K191" s="64"/>
      <c r="L191" s="64"/>
      <c r="M191" s="64"/>
      <c r="N191" s="64"/>
      <c r="O191" s="64"/>
      <c r="P191" s="64"/>
      <c r="Q191" s="64"/>
      <c r="R191" s="64"/>
      <c r="S191" s="64"/>
      <c r="T191" s="64"/>
      <c r="U191" s="64"/>
      <c r="V191" s="64"/>
      <c r="W191" s="64"/>
    </row>
    <row r="192" spans="1:23" ht="15.75" customHeight="1">
      <c r="A192" s="137"/>
      <c r="B192" s="64"/>
      <c r="C192" s="140"/>
      <c r="D192" s="64"/>
      <c r="E192" s="64"/>
      <c r="F192" s="64"/>
      <c r="G192" s="64"/>
      <c r="H192" s="64"/>
      <c r="I192" s="64"/>
      <c r="J192" s="64"/>
      <c r="K192" s="64"/>
      <c r="L192" s="64"/>
      <c r="M192" s="64"/>
      <c r="N192" s="64"/>
      <c r="O192" s="64"/>
      <c r="P192" s="64"/>
      <c r="Q192" s="64"/>
      <c r="R192" s="64"/>
      <c r="S192" s="64"/>
      <c r="T192" s="64"/>
      <c r="U192" s="64"/>
      <c r="V192" s="64"/>
      <c r="W192" s="64"/>
    </row>
    <row r="193" spans="1:23" ht="15.75" customHeight="1">
      <c r="A193" s="137"/>
      <c r="B193" s="64"/>
      <c r="C193" s="140"/>
      <c r="D193" s="64"/>
      <c r="E193" s="64"/>
      <c r="F193" s="64"/>
      <c r="G193" s="64"/>
      <c r="H193" s="64"/>
      <c r="I193" s="64"/>
      <c r="J193" s="64"/>
      <c r="K193" s="64"/>
      <c r="L193" s="64"/>
      <c r="M193" s="64"/>
      <c r="N193" s="64"/>
      <c r="O193" s="64"/>
      <c r="P193" s="64"/>
      <c r="Q193" s="64"/>
      <c r="R193" s="64"/>
      <c r="S193" s="64"/>
      <c r="T193" s="64"/>
      <c r="U193" s="64"/>
      <c r="V193" s="64"/>
      <c r="W193" s="64"/>
    </row>
    <row r="194" spans="1:23" ht="15.75" customHeight="1">
      <c r="A194" s="137"/>
      <c r="B194" s="64"/>
      <c r="C194" s="140"/>
      <c r="D194" s="64"/>
      <c r="E194" s="64"/>
      <c r="F194" s="64"/>
      <c r="G194" s="64"/>
      <c r="H194" s="64"/>
      <c r="I194" s="64"/>
      <c r="J194" s="64"/>
      <c r="K194" s="64"/>
      <c r="L194" s="64"/>
      <c r="M194" s="64"/>
      <c r="N194" s="64"/>
      <c r="O194" s="64"/>
      <c r="P194" s="64"/>
      <c r="Q194" s="64"/>
      <c r="R194" s="64"/>
      <c r="S194" s="64"/>
      <c r="T194" s="64"/>
      <c r="U194" s="64"/>
      <c r="V194" s="64"/>
      <c r="W194" s="64"/>
    </row>
    <row r="195" spans="1:23" ht="15.75" customHeight="1">
      <c r="A195" s="137"/>
      <c r="B195" s="64"/>
      <c r="C195" s="140"/>
      <c r="D195" s="64"/>
      <c r="E195" s="64"/>
      <c r="F195" s="64"/>
      <c r="G195" s="64"/>
      <c r="H195" s="64"/>
      <c r="I195" s="64"/>
      <c r="J195" s="64"/>
      <c r="K195" s="64"/>
      <c r="L195" s="64"/>
      <c r="M195" s="64"/>
      <c r="N195" s="64"/>
      <c r="O195" s="64"/>
      <c r="P195" s="64"/>
      <c r="Q195" s="64"/>
      <c r="R195" s="64"/>
      <c r="S195" s="64"/>
      <c r="T195" s="64"/>
      <c r="U195" s="64"/>
      <c r="V195" s="64"/>
      <c r="W195" s="64"/>
    </row>
    <row r="196" spans="1:23" ht="15.75" customHeight="1">
      <c r="A196" s="137"/>
      <c r="B196" s="64"/>
      <c r="C196" s="140"/>
      <c r="D196" s="64"/>
      <c r="E196" s="64"/>
      <c r="F196" s="64"/>
      <c r="G196" s="64"/>
      <c r="H196" s="64"/>
      <c r="I196" s="64"/>
      <c r="J196" s="64"/>
      <c r="K196" s="64"/>
      <c r="L196" s="64"/>
      <c r="M196" s="64"/>
      <c r="N196" s="64"/>
      <c r="O196" s="64"/>
      <c r="P196" s="64"/>
      <c r="Q196" s="64"/>
      <c r="R196" s="64"/>
      <c r="S196" s="64"/>
      <c r="T196" s="64"/>
      <c r="U196" s="64"/>
      <c r="V196" s="64"/>
      <c r="W196" s="64"/>
    </row>
    <row r="197" spans="1:23" ht="15.75" customHeight="1">
      <c r="A197" s="137"/>
      <c r="B197" s="64"/>
      <c r="C197" s="140"/>
      <c r="D197" s="64"/>
      <c r="E197" s="64"/>
      <c r="F197" s="64"/>
      <c r="G197" s="64"/>
      <c r="H197" s="64"/>
      <c r="I197" s="64"/>
      <c r="J197" s="64"/>
      <c r="K197" s="64"/>
      <c r="L197" s="64"/>
      <c r="M197" s="64"/>
      <c r="N197" s="64"/>
      <c r="O197" s="64"/>
      <c r="P197" s="64"/>
      <c r="Q197" s="64"/>
      <c r="R197" s="64"/>
      <c r="S197" s="64"/>
      <c r="T197" s="64"/>
      <c r="U197" s="64"/>
      <c r="V197" s="64"/>
      <c r="W197" s="64"/>
    </row>
    <row r="198" spans="1:23" ht="15.75" customHeight="1">
      <c r="A198" s="137"/>
      <c r="B198" s="64"/>
      <c r="C198" s="140"/>
      <c r="D198" s="64"/>
      <c r="E198" s="64"/>
      <c r="F198" s="64"/>
      <c r="G198" s="64"/>
      <c r="H198" s="64"/>
      <c r="I198" s="64"/>
      <c r="J198" s="64"/>
      <c r="K198" s="64"/>
      <c r="L198" s="64"/>
      <c r="M198" s="64"/>
      <c r="N198" s="64"/>
      <c r="O198" s="64"/>
      <c r="P198" s="64"/>
      <c r="Q198" s="64"/>
      <c r="R198" s="64"/>
      <c r="S198" s="64"/>
      <c r="T198" s="64"/>
      <c r="U198" s="64"/>
      <c r="V198" s="64"/>
      <c r="W198" s="64"/>
    </row>
    <row r="199" spans="1:23" ht="15.75" customHeight="1">
      <c r="A199" s="137"/>
      <c r="B199" s="64"/>
      <c r="C199" s="140"/>
      <c r="D199" s="64"/>
      <c r="E199" s="64"/>
      <c r="F199" s="64"/>
      <c r="G199" s="64"/>
      <c r="H199" s="64"/>
      <c r="I199" s="64"/>
      <c r="J199" s="64"/>
      <c r="K199" s="64"/>
      <c r="L199" s="64"/>
      <c r="M199" s="64"/>
      <c r="N199" s="64"/>
      <c r="O199" s="64"/>
      <c r="P199" s="64"/>
      <c r="Q199" s="64"/>
      <c r="R199" s="64"/>
      <c r="S199" s="64"/>
      <c r="T199" s="64"/>
      <c r="U199" s="64"/>
      <c r="V199" s="64"/>
      <c r="W199" s="64"/>
    </row>
    <row r="200" spans="1:23" ht="15.75" customHeight="1">
      <c r="A200" s="137"/>
      <c r="B200" s="64"/>
      <c r="C200" s="140"/>
      <c r="D200" s="64"/>
      <c r="E200" s="64"/>
      <c r="F200" s="64"/>
      <c r="G200" s="64"/>
      <c r="H200" s="64"/>
      <c r="I200" s="64"/>
      <c r="J200" s="64"/>
      <c r="K200" s="64"/>
      <c r="L200" s="64"/>
      <c r="M200" s="64"/>
      <c r="N200" s="64"/>
      <c r="O200" s="64"/>
      <c r="P200" s="64"/>
      <c r="Q200" s="64"/>
      <c r="R200" s="64"/>
      <c r="S200" s="64"/>
      <c r="T200" s="64"/>
      <c r="U200" s="64"/>
      <c r="V200" s="64"/>
      <c r="W200" s="64"/>
    </row>
    <row r="201" spans="1:23" ht="15.75" customHeight="1">
      <c r="A201" s="137"/>
      <c r="B201" s="64"/>
      <c r="C201" s="140"/>
      <c r="D201" s="64"/>
      <c r="E201" s="64"/>
      <c r="F201" s="64"/>
      <c r="G201" s="64"/>
      <c r="H201" s="64"/>
      <c r="I201" s="64"/>
      <c r="J201" s="64"/>
      <c r="K201" s="64"/>
      <c r="L201" s="64"/>
      <c r="M201" s="64"/>
      <c r="N201" s="64"/>
      <c r="O201" s="64"/>
      <c r="P201" s="64"/>
      <c r="Q201" s="64"/>
      <c r="R201" s="64"/>
      <c r="S201" s="64"/>
      <c r="T201" s="64"/>
      <c r="U201" s="64"/>
      <c r="V201" s="64"/>
      <c r="W201" s="64"/>
    </row>
    <row r="202" spans="1:23" ht="15.75" customHeight="1">
      <c r="A202" s="137"/>
      <c r="B202" s="64"/>
      <c r="C202" s="140"/>
      <c r="D202" s="64"/>
      <c r="E202" s="64"/>
      <c r="F202" s="64"/>
      <c r="G202" s="64"/>
      <c r="H202" s="64"/>
      <c r="I202" s="64"/>
      <c r="J202" s="64"/>
      <c r="K202" s="64"/>
      <c r="L202" s="64"/>
      <c r="M202" s="64"/>
      <c r="N202" s="64"/>
      <c r="O202" s="64"/>
      <c r="P202" s="64"/>
      <c r="Q202" s="64"/>
      <c r="R202" s="64"/>
      <c r="S202" s="64"/>
      <c r="T202" s="64"/>
      <c r="U202" s="64"/>
      <c r="V202" s="64"/>
      <c r="W202" s="64"/>
    </row>
    <row r="203" spans="1:23" ht="15.75" customHeight="1">
      <c r="A203" s="137"/>
      <c r="B203" s="64"/>
      <c r="C203" s="140"/>
      <c r="D203" s="64"/>
      <c r="E203" s="64"/>
      <c r="F203" s="64"/>
      <c r="G203" s="64"/>
      <c r="H203" s="64"/>
      <c r="I203" s="64"/>
      <c r="J203" s="64"/>
      <c r="K203" s="64"/>
      <c r="L203" s="64"/>
      <c r="M203" s="64"/>
      <c r="N203" s="64"/>
      <c r="O203" s="64"/>
      <c r="P203" s="64"/>
      <c r="Q203" s="64"/>
      <c r="R203" s="64"/>
      <c r="S203" s="64"/>
      <c r="T203" s="64"/>
      <c r="U203" s="64"/>
      <c r="V203" s="64"/>
      <c r="W203" s="64"/>
    </row>
    <row r="204" spans="1:23" ht="15.75" customHeight="1">
      <c r="A204" s="137"/>
      <c r="B204" s="64"/>
      <c r="C204" s="140"/>
      <c r="D204" s="64"/>
      <c r="E204" s="64"/>
      <c r="F204" s="64"/>
      <c r="G204" s="64"/>
      <c r="H204" s="64"/>
      <c r="I204" s="64"/>
      <c r="J204" s="64"/>
      <c r="K204" s="64"/>
      <c r="L204" s="64"/>
      <c r="M204" s="64"/>
      <c r="N204" s="64"/>
      <c r="O204" s="64"/>
      <c r="P204" s="64"/>
      <c r="Q204" s="64"/>
      <c r="R204" s="64"/>
      <c r="S204" s="64"/>
      <c r="T204" s="64"/>
      <c r="U204" s="64"/>
      <c r="V204" s="64"/>
      <c r="W204" s="64"/>
    </row>
    <row r="205" spans="1:23" ht="15.75" customHeight="1">
      <c r="A205" s="137"/>
      <c r="B205" s="64"/>
      <c r="C205" s="140"/>
      <c r="D205" s="64"/>
      <c r="E205" s="64"/>
      <c r="F205" s="64"/>
      <c r="G205" s="64"/>
      <c r="H205" s="64"/>
      <c r="I205" s="64"/>
      <c r="J205" s="64"/>
      <c r="K205" s="64"/>
      <c r="L205" s="64"/>
      <c r="M205" s="64"/>
      <c r="N205" s="64"/>
      <c r="O205" s="64"/>
      <c r="P205" s="64"/>
      <c r="Q205" s="64"/>
      <c r="R205" s="64"/>
      <c r="S205" s="64"/>
      <c r="T205" s="64"/>
      <c r="U205" s="64"/>
      <c r="V205" s="64"/>
      <c r="W205" s="64"/>
    </row>
    <row r="206" spans="1:23" ht="15.75" customHeight="1">
      <c r="A206" s="137"/>
      <c r="B206" s="64"/>
      <c r="C206" s="140"/>
      <c r="D206" s="64"/>
      <c r="E206" s="64"/>
      <c r="F206" s="64"/>
      <c r="G206" s="64"/>
      <c r="H206" s="64"/>
      <c r="I206" s="64"/>
      <c r="J206" s="64"/>
      <c r="K206" s="64"/>
      <c r="L206" s="64"/>
      <c r="M206" s="64"/>
      <c r="N206" s="64"/>
      <c r="O206" s="64"/>
      <c r="P206" s="64"/>
      <c r="Q206" s="64"/>
      <c r="R206" s="64"/>
      <c r="S206" s="64"/>
      <c r="T206" s="64"/>
      <c r="U206" s="64"/>
      <c r="V206" s="64"/>
      <c r="W206" s="64"/>
    </row>
    <row r="207" spans="1:23" ht="15.75" customHeight="1">
      <c r="A207" s="137"/>
      <c r="B207" s="64"/>
      <c r="C207" s="140"/>
      <c r="D207" s="64"/>
      <c r="E207" s="64"/>
      <c r="F207" s="64"/>
      <c r="G207" s="64"/>
      <c r="H207" s="64"/>
      <c r="I207" s="64"/>
      <c r="J207" s="64"/>
      <c r="K207" s="64"/>
      <c r="L207" s="64"/>
      <c r="M207" s="64"/>
      <c r="N207" s="64"/>
      <c r="O207" s="64"/>
      <c r="P207" s="64"/>
      <c r="Q207" s="64"/>
      <c r="R207" s="64"/>
      <c r="S207" s="64"/>
      <c r="T207" s="64"/>
      <c r="U207" s="64"/>
      <c r="V207" s="64"/>
      <c r="W207" s="64"/>
    </row>
    <row r="208" spans="1:23" ht="15.75" customHeight="1">
      <c r="A208" s="137"/>
      <c r="B208" s="64"/>
      <c r="C208" s="140"/>
      <c r="D208" s="64"/>
      <c r="E208" s="64"/>
      <c r="F208" s="64"/>
      <c r="G208" s="64"/>
      <c r="H208" s="64"/>
      <c r="I208" s="64"/>
      <c r="J208" s="64"/>
      <c r="K208" s="64"/>
      <c r="L208" s="64"/>
      <c r="M208" s="64"/>
      <c r="N208" s="64"/>
      <c r="O208" s="64"/>
      <c r="P208" s="64"/>
      <c r="Q208" s="64"/>
      <c r="R208" s="64"/>
      <c r="S208" s="64"/>
      <c r="T208" s="64"/>
      <c r="U208" s="64"/>
      <c r="V208" s="64"/>
      <c r="W208" s="64"/>
    </row>
    <row r="209" spans="1:23" ht="15.75" customHeight="1">
      <c r="A209" s="137"/>
      <c r="B209" s="64"/>
      <c r="C209" s="140"/>
      <c r="D209" s="64"/>
      <c r="E209" s="64"/>
      <c r="F209" s="64"/>
      <c r="G209" s="64"/>
      <c r="H209" s="64"/>
      <c r="I209" s="64"/>
      <c r="J209" s="64"/>
      <c r="K209" s="64"/>
      <c r="L209" s="64"/>
      <c r="M209" s="64"/>
      <c r="N209" s="64"/>
      <c r="O209" s="64"/>
      <c r="P209" s="64"/>
      <c r="Q209" s="64"/>
      <c r="R209" s="64"/>
      <c r="S209" s="64"/>
      <c r="T209" s="64"/>
      <c r="U209" s="64"/>
      <c r="V209" s="64"/>
      <c r="W209" s="64"/>
    </row>
    <row r="210" spans="1:23" ht="15.75" customHeight="1">
      <c r="A210" s="137"/>
      <c r="B210" s="64"/>
      <c r="C210" s="140"/>
      <c r="D210" s="64"/>
      <c r="E210" s="64"/>
      <c r="F210" s="64"/>
      <c r="G210" s="64"/>
      <c r="H210" s="64"/>
      <c r="I210" s="64"/>
      <c r="J210" s="64"/>
      <c r="K210" s="64"/>
      <c r="L210" s="64"/>
      <c r="M210" s="64"/>
      <c r="N210" s="64"/>
      <c r="O210" s="64"/>
      <c r="P210" s="64"/>
      <c r="Q210" s="64"/>
      <c r="R210" s="64"/>
      <c r="S210" s="64"/>
      <c r="T210" s="64"/>
      <c r="U210" s="64"/>
      <c r="V210" s="64"/>
      <c r="W210" s="64"/>
    </row>
    <row r="211" spans="1:23" ht="15.75" customHeight="1">
      <c r="A211" s="137"/>
      <c r="B211" s="64"/>
      <c r="C211" s="140"/>
      <c r="D211" s="64"/>
      <c r="E211" s="64"/>
      <c r="F211" s="64"/>
      <c r="G211" s="64"/>
      <c r="H211" s="64"/>
      <c r="I211" s="64"/>
      <c r="J211" s="64"/>
      <c r="K211" s="64"/>
      <c r="L211" s="64"/>
      <c r="M211" s="64"/>
      <c r="N211" s="64"/>
      <c r="O211" s="64"/>
      <c r="P211" s="64"/>
      <c r="Q211" s="64"/>
      <c r="R211" s="64"/>
      <c r="S211" s="64"/>
      <c r="T211" s="64"/>
      <c r="U211" s="64"/>
      <c r="V211" s="64"/>
      <c r="W211" s="64"/>
    </row>
    <row r="212" spans="1:23" ht="15.75" customHeight="1">
      <c r="A212" s="137"/>
      <c r="B212" s="64"/>
      <c r="C212" s="140"/>
      <c r="D212" s="64"/>
      <c r="E212" s="64"/>
      <c r="F212" s="64"/>
      <c r="G212" s="64"/>
      <c r="H212" s="64"/>
      <c r="I212" s="64"/>
      <c r="J212" s="64"/>
      <c r="K212" s="64"/>
      <c r="L212" s="64"/>
      <c r="M212" s="64"/>
      <c r="N212" s="64"/>
      <c r="O212" s="64"/>
      <c r="P212" s="64"/>
      <c r="Q212" s="64"/>
      <c r="R212" s="64"/>
      <c r="S212" s="64"/>
      <c r="T212" s="64"/>
      <c r="U212" s="64"/>
      <c r="V212" s="64"/>
      <c r="W212" s="64"/>
    </row>
    <row r="213" spans="1:23" ht="15.75" customHeight="1">
      <c r="A213" s="137"/>
      <c r="B213" s="64"/>
      <c r="C213" s="140"/>
      <c r="D213" s="64"/>
      <c r="E213" s="64"/>
      <c r="F213" s="64"/>
      <c r="G213" s="64"/>
      <c r="H213" s="64"/>
      <c r="I213" s="64"/>
      <c r="J213" s="64"/>
      <c r="K213" s="64"/>
      <c r="L213" s="64"/>
      <c r="M213" s="64"/>
      <c r="N213" s="64"/>
      <c r="O213" s="64"/>
      <c r="P213" s="64"/>
      <c r="Q213" s="64"/>
      <c r="R213" s="64"/>
      <c r="S213" s="64"/>
      <c r="T213" s="64"/>
      <c r="U213" s="64"/>
      <c r="V213" s="64"/>
      <c r="W213" s="64"/>
    </row>
    <row r="214" spans="1:23" ht="15.75" customHeight="1">
      <c r="A214" s="137"/>
      <c r="B214" s="64"/>
      <c r="C214" s="140"/>
      <c r="D214" s="64"/>
      <c r="E214" s="64"/>
      <c r="F214" s="64"/>
      <c r="G214" s="64"/>
      <c r="H214" s="64"/>
      <c r="I214" s="64"/>
      <c r="J214" s="64"/>
      <c r="K214" s="64"/>
      <c r="L214" s="64"/>
      <c r="M214" s="64"/>
      <c r="N214" s="64"/>
      <c r="O214" s="64"/>
      <c r="P214" s="64"/>
      <c r="Q214" s="64"/>
      <c r="R214" s="64"/>
      <c r="S214" s="64"/>
      <c r="T214" s="64"/>
      <c r="U214" s="64"/>
      <c r="V214" s="64"/>
      <c r="W214" s="64"/>
    </row>
    <row r="215" spans="1:23" ht="15.75" customHeight="1">
      <c r="A215" s="137"/>
      <c r="B215" s="64"/>
      <c r="C215" s="140"/>
      <c r="D215" s="64"/>
      <c r="E215" s="64"/>
      <c r="F215" s="64"/>
      <c r="G215" s="64"/>
      <c r="H215" s="64"/>
      <c r="I215" s="64"/>
      <c r="J215" s="64"/>
      <c r="K215" s="64"/>
      <c r="L215" s="64"/>
      <c r="M215" s="64"/>
      <c r="N215" s="64"/>
      <c r="O215" s="64"/>
      <c r="P215" s="64"/>
      <c r="Q215" s="64"/>
      <c r="R215" s="64"/>
      <c r="S215" s="64"/>
      <c r="T215" s="64"/>
      <c r="U215" s="64"/>
      <c r="V215" s="64"/>
      <c r="W215" s="64"/>
    </row>
    <row r="216" spans="1:23" ht="15.75" customHeight="1">
      <c r="A216" s="137"/>
      <c r="B216" s="64"/>
      <c r="C216" s="140"/>
      <c r="D216" s="64"/>
      <c r="E216" s="64"/>
      <c r="F216" s="64"/>
      <c r="G216" s="64"/>
      <c r="H216" s="64"/>
      <c r="I216" s="64"/>
      <c r="J216" s="64"/>
      <c r="K216" s="64"/>
      <c r="L216" s="64"/>
      <c r="M216" s="64"/>
      <c r="N216" s="64"/>
      <c r="O216" s="64"/>
      <c r="P216" s="64"/>
      <c r="Q216" s="64"/>
      <c r="R216" s="64"/>
      <c r="S216" s="64"/>
      <c r="T216" s="64"/>
      <c r="U216" s="64"/>
      <c r="V216" s="64"/>
      <c r="W216" s="64"/>
    </row>
    <row r="217" spans="1:23" ht="15.75" customHeight="1">
      <c r="A217" s="137"/>
      <c r="B217" s="64"/>
      <c r="C217" s="140"/>
      <c r="D217" s="64"/>
      <c r="E217" s="64"/>
      <c r="F217" s="64"/>
      <c r="G217" s="64"/>
      <c r="H217" s="64"/>
      <c r="I217" s="64"/>
      <c r="J217" s="64"/>
      <c r="K217" s="64"/>
      <c r="L217" s="64"/>
      <c r="M217" s="64"/>
      <c r="N217" s="64"/>
      <c r="O217" s="64"/>
      <c r="P217" s="64"/>
      <c r="Q217" s="64"/>
      <c r="R217" s="64"/>
      <c r="S217" s="64"/>
      <c r="T217" s="64"/>
      <c r="U217" s="64"/>
      <c r="V217" s="64"/>
      <c r="W217" s="64"/>
    </row>
    <row r="218" spans="1:23" ht="15.75" customHeight="1">
      <c r="A218" s="137"/>
      <c r="B218" s="64"/>
      <c r="C218" s="140"/>
      <c r="D218" s="64"/>
      <c r="E218" s="64"/>
      <c r="F218" s="64"/>
      <c r="G218" s="64"/>
      <c r="H218" s="64"/>
      <c r="I218" s="64"/>
      <c r="J218" s="64"/>
      <c r="K218" s="64"/>
      <c r="L218" s="64"/>
      <c r="M218" s="64"/>
      <c r="N218" s="64"/>
      <c r="O218" s="64"/>
      <c r="P218" s="64"/>
      <c r="Q218" s="64"/>
      <c r="R218" s="64"/>
      <c r="S218" s="64"/>
      <c r="T218" s="64"/>
      <c r="U218" s="64"/>
      <c r="V218" s="64"/>
      <c r="W218" s="64"/>
    </row>
    <row r="219" spans="1:23" ht="15.75" customHeight="1">
      <c r="A219" s="137"/>
      <c r="B219" s="64"/>
      <c r="C219" s="140"/>
      <c r="D219" s="64"/>
      <c r="E219" s="64"/>
      <c r="F219" s="64"/>
      <c r="G219" s="64"/>
      <c r="H219" s="64"/>
      <c r="I219" s="64"/>
      <c r="J219" s="64"/>
      <c r="K219" s="64"/>
      <c r="L219" s="64"/>
      <c r="M219" s="64"/>
      <c r="N219" s="64"/>
      <c r="O219" s="64"/>
      <c r="P219" s="64"/>
      <c r="Q219" s="64"/>
      <c r="R219" s="64"/>
      <c r="S219" s="64"/>
      <c r="T219" s="64"/>
      <c r="U219" s="64"/>
      <c r="V219" s="64"/>
      <c r="W219" s="64"/>
    </row>
    <row r="220" spans="1:23" ht="15.75" customHeight="1">
      <c r="A220" s="137"/>
      <c r="B220" s="64"/>
      <c r="C220" s="140"/>
      <c r="D220" s="64"/>
      <c r="E220" s="64"/>
      <c r="F220" s="64"/>
      <c r="G220" s="64"/>
      <c r="H220" s="64"/>
      <c r="I220" s="64"/>
      <c r="J220" s="64"/>
      <c r="K220" s="64"/>
      <c r="L220" s="64"/>
      <c r="M220" s="64"/>
      <c r="N220" s="64"/>
      <c r="O220" s="64"/>
      <c r="P220" s="64"/>
      <c r="Q220" s="64"/>
      <c r="R220" s="64"/>
      <c r="S220" s="64"/>
      <c r="T220" s="64"/>
      <c r="U220" s="64"/>
      <c r="V220" s="64"/>
      <c r="W220" s="64"/>
    </row>
    <row r="221" spans="1:23" ht="15.75" customHeight="1">
      <c r="A221" s="137"/>
      <c r="B221" s="64"/>
      <c r="C221" s="140"/>
      <c r="D221" s="64"/>
      <c r="E221" s="64"/>
      <c r="F221" s="64"/>
      <c r="G221" s="64"/>
      <c r="H221" s="64"/>
      <c r="I221" s="64"/>
      <c r="J221" s="64"/>
      <c r="K221" s="64"/>
      <c r="L221" s="64"/>
      <c r="M221" s="64"/>
      <c r="N221" s="64"/>
      <c r="O221" s="64"/>
      <c r="P221" s="64"/>
      <c r="Q221" s="64"/>
      <c r="R221" s="64"/>
      <c r="S221" s="64"/>
      <c r="T221" s="64"/>
      <c r="U221" s="64"/>
      <c r="V221" s="64"/>
      <c r="W221" s="64"/>
    </row>
    <row r="222" spans="1:23" ht="15.75" customHeight="1">
      <c r="A222" s="137"/>
      <c r="B222" s="64"/>
      <c r="C222" s="140"/>
      <c r="D222" s="64"/>
      <c r="E222" s="64"/>
      <c r="F222" s="64"/>
      <c r="G222" s="64"/>
      <c r="H222" s="64"/>
      <c r="I222" s="64"/>
      <c r="J222" s="64"/>
      <c r="K222" s="64"/>
      <c r="L222" s="64"/>
      <c r="M222" s="64"/>
      <c r="N222" s="64"/>
      <c r="O222" s="64"/>
      <c r="P222" s="64"/>
      <c r="Q222" s="64"/>
      <c r="R222" s="64"/>
      <c r="S222" s="64"/>
      <c r="T222" s="64"/>
      <c r="U222" s="64"/>
      <c r="V222" s="64"/>
      <c r="W222" s="64"/>
    </row>
    <row r="223" spans="1:23" ht="15.75" customHeight="1">
      <c r="A223" s="137"/>
      <c r="B223" s="64"/>
      <c r="C223" s="140"/>
      <c r="D223" s="64"/>
      <c r="E223" s="64"/>
      <c r="F223" s="64"/>
      <c r="G223" s="64"/>
      <c r="H223" s="64"/>
      <c r="I223" s="64"/>
      <c r="J223" s="64"/>
      <c r="K223" s="64"/>
      <c r="L223" s="64"/>
      <c r="M223" s="64"/>
      <c r="N223" s="64"/>
      <c r="O223" s="64"/>
      <c r="P223" s="64"/>
      <c r="Q223" s="64"/>
      <c r="R223" s="64"/>
      <c r="S223" s="64"/>
      <c r="T223" s="64"/>
      <c r="U223" s="64"/>
      <c r="V223" s="64"/>
      <c r="W223" s="64"/>
    </row>
    <row r="224" spans="1:23" ht="15.75" customHeight="1">
      <c r="A224" s="137"/>
      <c r="B224" s="64"/>
      <c r="C224" s="140"/>
      <c r="D224" s="64"/>
      <c r="E224" s="64"/>
      <c r="F224" s="64"/>
      <c r="G224" s="64"/>
      <c r="H224" s="64"/>
      <c r="I224" s="64"/>
      <c r="J224" s="64"/>
      <c r="K224" s="64"/>
      <c r="L224" s="64"/>
      <c r="M224" s="64"/>
      <c r="N224" s="64"/>
      <c r="O224" s="64"/>
      <c r="P224" s="64"/>
      <c r="Q224" s="64"/>
      <c r="R224" s="64"/>
      <c r="S224" s="64"/>
      <c r="T224" s="64"/>
      <c r="U224" s="64"/>
      <c r="V224" s="64"/>
      <c r="W224" s="64"/>
    </row>
    <row r="225" spans="1:23" ht="15.75" customHeight="1">
      <c r="A225" s="137"/>
      <c r="B225" s="64"/>
      <c r="C225" s="140"/>
      <c r="D225" s="64"/>
      <c r="E225" s="64"/>
      <c r="F225" s="64"/>
      <c r="G225" s="64"/>
      <c r="H225" s="64"/>
      <c r="I225" s="64"/>
      <c r="J225" s="64"/>
      <c r="K225" s="64"/>
      <c r="L225" s="64"/>
      <c r="M225" s="64"/>
      <c r="N225" s="64"/>
      <c r="O225" s="64"/>
      <c r="P225" s="64"/>
      <c r="Q225" s="64"/>
      <c r="R225" s="64"/>
      <c r="S225" s="64"/>
      <c r="T225" s="64"/>
      <c r="U225" s="64"/>
      <c r="V225" s="64"/>
      <c r="W225" s="64"/>
    </row>
    <row r="226" spans="1:23" ht="15.75" customHeight="1">
      <c r="A226" s="137"/>
      <c r="B226" s="64"/>
      <c r="C226" s="140"/>
      <c r="D226" s="64"/>
      <c r="E226" s="64"/>
      <c r="F226" s="64"/>
      <c r="G226" s="64"/>
      <c r="H226" s="64"/>
      <c r="I226" s="64"/>
      <c r="J226" s="64"/>
      <c r="K226" s="64"/>
      <c r="L226" s="64"/>
      <c r="M226" s="64"/>
      <c r="N226" s="64"/>
      <c r="O226" s="64"/>
      <c r="P226" s="64"/>
      <c r="Q226" s="64"/>
      <c r="R226" s="64"/>
      <c r="S226" s="64"/>
      <c r="T226" s="64"/>
      <c r="U226" s="64"/>
      <c r="V226" s="64"/>
      <c r="W226" s="64"/>
    </row>
    <row r="227" spans="1:23" ht="15.75" customHeight="1">
      <c r="A227" s="137"/>
      <c r="B227" s="64"/>
      <c r="C227" s="140"/>
      <c r="D227" s="64"/>
      <c r="E227" s="64"/>
      <c r="F227" s="64"/>
      <c r="G227" s="64"/>
      <c r="H227" s="64"/>
      <c r="I227" s="64"/>
      <c r="J227" s="64"/>
      <c r="K227" s="64"/>
      <c r="L227" s="64"/>
      <c r="M227" s="64"/>
      <c r="N227" s="64"/>
      <c r="O227" s="64"/>
      <c r="P227" s="64"/>
      <c r="Q227" s="64"/>
      <c r="R227" s="64"/>
      <c r="S227" s="64"/>
      <c r="T227" s="64"/>
      <c r="U227" s="64"/>
      <c r="V227" s="64"/>
      <c r="W227" s="64"/>
    </row>
    <row r="228" spans="1:23" ht="15.75" customHeight="1">
      <c r="A228" s="137"/>
      <c r="B228" s="64"/>
      <c r="C228" s="140"/>
      <c r="D228" s="64"/>
      <c r="E228" s="64"/>
      <c r="F228" s="64"/>
      <c r="G228" s="64"/>
      <c r="H228" s="64"/>
      <c r="I228" s="64"/>
      <c r="J228" s="64"/>
      <c r="K228" s="64"/>
      <c r="L228" s="64"/>
      <c r="M228" s="64"/>
      <c r="N228" s="64"/>
      <c r="O228" s="64"/>
      <c r="P228" s="64"/>
      <c r="Q228" s="64"/>
      <c r="R228" s="64"/>
      <c r="S228" s="64"/>
      <c r="T228" s="64"/>
      <c r="U228" s="64"/>
      <c r="V228" s="64"/>
      <c r="W228" s="64"/>
    </row>
    <row r="229" spans="1:23" ht="15.75" customHeight="1">
      <c r="A229" s="137"/>
      <c r="B229" s="64"/>
      <c r="C229" s="140"/>
      <c r="D229" s="64"/>
      <c r="E229" s="64"/>
      <c r="F229" s="64"/>
      <c r="G229" s="64"/>
      <c r="H229" s="64"/>
      <c r="I229" s="64"/>
      <c r="J229" s="64"/>
      <c r="K229" s="64"/>
      <c r="L229" s="64"/>
      <c r="M229" s="64"/>
      <c r="N229" s="64"/>
      <c r="O229" s="64"/>
      <c r="P229" s="64"/>
      <c r="Q229" s="64"/>
      <c r="R229" s="64"/>
      <c r="S229" s="64"/>
      <c r="T229" s="64"/>
      <c r="U229" s="64"/>
      <c r="V229" s="64"/>
      <c r="W229" s="64"/>
    </row>
    <row r="230" spans="1:23" ht="15.75" customHeight="1">
      <c r="A230" s="137"/>
      <c r="B230" s="64"/>
      <c r="C230" s="140"/>
      <c r="D230" s="64"/>
      <c r="E230" s="64"/>
      <c r="F230" s="64"/>
      <c r="G230" s="64"/>
      <c r="H230" s="64"/>
      <c r="I230" s="64"/>
      <c r="J230" s="64"/>
      <c r="K230" s="64"/>
      <c r="L230" s="64"/>
      <c r="M230" s="64"/>
      <c r="N230" s="64"/>
      <c r="O230" s="64"/>
      <c r="P230" s="64"/>
      <c r="Q230" s="64"/>
      <c r="R230" s="64"/>
      <c r="S230" s="64"/>
      <c r="T230" s="64"/>
      <c r="U230" s="64"/>
      <c r="V230" s="64"/>
      <c r="W230" s="64"/>
    </row>
    <row r="231" spans="1:23" ht="15.75" customHeight="1">
      <c r="A231" s="137"/>
      <c r="B231" s="64"/>
      <c r="C231" s="140"/>
      <c r="D231" s="64"/>
      <c r="E231" s="64"/>
      <c r="F231" s="64"/>
      <c r="G231" s="64"/>
      <c r="H231" s="64"/>
      <c r="I231" s="64"/>
      <c r="J231" s="64"/>
      <c r="K231" s="64"/>
      <c r="L231" s="64"/>
      <c r="M231" s="64"/>
      <c r="N231" s="64"/>
      <c r="O231" s="64"/>
      <c r="P231" s="64"/>
      <c r="Q231" s="64"/>
      <c r="R231" s="64"/>
      <c r="S231" s="64"/>
      <c r="T231" s="64"/>
      <c r="U231" s="64"/>
      <c r="V231" s="64"/>
      <c r="W231" s="64"/>
    </row>
    <row r="232" spans="1:23" ht="15.75" customHeight="1">
      <c r="A232" s="137"/>
      <c r="B232" s="64"/>
      <c r="C232" s="140"/>
      <c r="D232" s="64"/>
      <c r="E232" s="64"/>
      <c r="F232" s="64"/>
      <c r="G232" s="64"/>
      <c r="H232" s="64"/>
      <c r="I232" s="64"/>
      <c r="J232" s="64"/>
      <c r="K232" s="64"/>
      <c r="L232" s="64"/>
      <c r="M232" s="64"/>
      <c r="N232" s="64"/>
      <c r="O232" s="64"/>
      <c r="P232" s="64"/>
      <c r="Q232" s="64"/>
      <c r="R232" s="64"/>
      <c r="S232" s="64"/>
      <c r="T232" s="64"/>
      <c r="U232" s="64"/>
      <c r="V232" s="64"/>
      <c r="W232" s="64"/>
    </row>
    <row r="233" spans="1:23" ht="15.75" customHeight="1">
      <c r="A233" s="137"/>
      <c r="B233" s="64"/>
      <c r="C233" s="140"/>
      <c r="D233" s="64"/>
      <c r="E233" s="64"/>
      <c r="F233" s="64"/>
      <c r="G233" s="64"/>
      <c r="H233" s="64"/>
      <c r="I233" s="64"/>
      <c r="J233" s="64"/>
      <c r="K233" s="64"/>
      <c r="L233" s="64"/>
      <c r="M233" s="64"/>
      <c r="N233" s="64"/>
      <c r="O233" s="64"/>
      <c r="P233" s="64"/>
      <c r="Q233" s="64"/>
      <c r="R233" s="64"/>
      <c r="S233" s="64"/>
      <c r="T233" s="64"/>
      <c r="U233" s="64"/>
      <c r="V233" s="64"/>
      <c r="W233" s="64"/>
    </row>
    <row r="234" spans="1:23" ht="15.75" customHeight="1">
      <c r="A234" s="137"/>
      <c r="B234" s="64"/>
      <c r="C234" s="140"/>
      <c r="D234" s="64"/>
      <c r="E234" s="64"/>
      <c r="F234" s="64"/>
      <c r="G234" s="64"/>
      <c r="H234" s="64"/>
      <c r="I234" s="64"/>
      <c r="J234" s="64"/>
      <c r="K234" s="64"/>
      <c r="L234" s="64"/>
      <c r="M234" s="64"/>
      <c r="N234" s="64"/>
      <c r="O234" s="64"/>
      <c r="P234" s="64"/>
      <c r="Q234" s="64"/>
      <c r="R234" s="64"/>
      <c r="S234" s="64"/>
      <c r="T234" s="64"/>
      <c r="U234" s="64"/>
      <c r="V234" s="64"/>
      <c r="W234" s="64"/>
    </row>
    <row r="235" spans="1:23" ht="15.75" customHeight="1">
      <c r="A235" s="137"/>
      <c r="B235" s="64"/>
      <c r="C235" s="140"/>
      <c r="D235" s="64"/>
      <c r="E235" s="64"/>
      <c r="F235" s="64"/>
      <c r="G235" s="64"/>
      <c r="H235" s="64"/>
      <c r="I235" s="64"/>
      <c r="J235" s="64"/>
      <c r="K235" s="64"/>
      <c r="L235" s="64"/>
      <c r="M235" s="64"/>
      <c r="N235" s="64"/>
      <c r="O235" s="64"/>
      <c r="P235" s="64"/>
      <c r="Q235" s="64"/>
      <c r="R235" s="64"/>
      <c r="S235" s="64"/>
      <c r="T235" s="64"/>
      <c r="U235" s="64"/>
      <c r="V235" s="64"/>
      <c r="W235" s="64"/>
    </row>
    <row r="236" spans="1:23" ht="15.75" customHeight="1">
      <c r="A236" s="137"/>
      <c r="B236" s="64"/>
      <c r="C236" s="140"/>
      <c r="D236" s="64"/>
      <c r="E236" s="64"/>
      <c r="F236" s="64"/>
      <c r="G236" s="64"/>
      <c r="H236" s="64"/>
      <c r="I236" s="64"/>
      <c r="J236" s="64"/>
      <c r="K236" s="64"/>
      <c r="L236" s="64"/>
      <c r="M236" s="64"/>
      <c r="N236" s="64"/>
      <c r="O236" s="64"/>
      <c r="P236" s="64"/>
      <c r="Q236" s="64"/>
      <c r="R236" s="64"/>
      <c r="S236" s="64"/>
      <c r="T236" s="64"/>
      <c r="U236" s="64"/>
      <c r="V236" s="64"/>
      <c r="W236" s="64"/>
    </row>
    <row r="237" spans="1:23" ht="15.75" customHeight="1">
      <c r="A237" s="137"/>
      <c r="B237" s="64"/>
      <c r="C237" s="140"/>
      <c r="D237" s="64"/>
      <c r="E237" s="64"/>
      <c r="F237" s="64"/>
      <c r="G237" s="64"/>
      <c r="H237" s="64"/>
      <c r="I237" s="64"/>
      <c r="J237" s="64"/>
      <c r="K237" s="64"/>
      <c r="L237" s="64"/>
      <c r="M237" s="64"/>
      <c r="N237" s="64"/>
      <c r="O237" s="64"/>
      <c r="P237" s="64"/>
      <c r="Q237" s="64"/>
      <c r="R237" s="64"/>
      <c r="S237" s="64"/>
      <c r="T237" s="64"/>
      <c r="U237" s="64"/>
      <c r="V237" s="64"/>
      <c r="W237" s="64"/>
    </row>
    <row r="238" spans="1:23" ht="15.75" customHeight="1">
      <c r="A238" s="137"/>
      <c r="B238" s="64"/>
      <c r="C238" s="140"/>
      <c r="D238" s="64"/>
      <c r="E238" s="64"/>
      <c r="F238" s="64"/>
      <c r="G238" s="64"/>
      <c r="H238" s="64"/>
      <c r="I238" s="64"/>
      <c r="J238" s="64"/>
      <c r="K238" s="64"/>
      <c r="L238" s="64"/>
      <c r="M238" s="64"/>
      <c r="N238" s="64"/>
      <c r="O238" s="64"/>
      <c r="P238" s="64"/>
      <c r="Q238" s="64"/>
      <c r="R238" s="64"/>
      <c r="S238" s="64"/>
      <c r="T238" s="64"/>
      <c r="U238" s="64"/>
      <c r="V238" s="64"/>
      <c r="W238" s="64"/>
    </row>
    <row r="239" spans="1:23" ht="15.75" customHeight="1">
      <c r="A239" s="137"/>
      <c r="B239" s="64"/>
      <c r="C239" s="140"/>
      <c r="D239" s="64"/>
      <c r="E239" s="64"/>
      <c r="F239" s="64"/>
      <c r="G239" s="64"/>
      <c r="H239" s="64"/>
      <c r="I239" s="64"/>
      <c r="J239" s="64"/>
      <c r="K239" s="64"/>
      <c r="L239" s="64"/>
      <c r="M239" s="64"/>
      <c r="N239" s="64"/>
      <c r="O239" s="64"/>
      <c r="P239" s="64"/>
      <c r="Q239" s="64"/>
      <c r="R239" s="64"/>
      <c r="S239" s="64"/>
      <c r="T239" s="64"/>
      <c r="U239" s="64"/>
      <c r="V239" s="64"/>
      <c r="W239" s="64"/>
    </row>
    <row r="240" spans="1:23" ht="15.75" customHeight="1">
      <c r="A240" s="137"/>
      <c r="B240" s="64"/>
      <c r="C240" s="140"/>
      <c r="D240" s="64"/>
      <c r="E240" s="64"/>
      <c r="F240" s="64"/>
      <c r="G240" s="64"/>
      <c r="H240" s="64"/>
      <c r="I240" s="64"/>
      <c r="J240" s="64"/>
      <c r="K240" s="64"/>
      <c r="L240" s="64"/>
      <c r="M240" s="64"/>
      <c r="N240" s="64"/>
      <c r="O240" s="64"/>
      <c r="P240" s="64"/>
      <c r="Q240" s="64"/>
      <c r="R240" s="64"/>
      <c r="S240" s="64"/>
      <c r="T240" s="64"/>
      <c r="U240" s="64"/>
      <c r="V240" s="64"/>
      <c r="W240" s="64"/>
    </row>
    <row r="241" spans="1:23" ht="15.75" customHeight="1">
      <c r="A241" s="137"/>
      <c r="B241" s="64"/>
      <c r="C241" s="140"/>
      <c r="D241" s="64"/>
      <c r="E241" s="64"/>
      <c r="F241" s="64"/>
      <c r="G241" s="64"/>
      <c r="H241" s="64"/>
      <c r="I241" s="64"/>
      <c r="J241" s="64"/>
      <c r="K241" s="64"/>
      <c r="L241" s="64"/>
      <c r="M241" s="64"/>
      <c r="N241" s="64"/>
      <c r="O241" s="64"/>
      <c r="P241" s="64"/>
      <c r="Q241" s="64"/>
      <c r="R241" s="64"/>
      <c r="S241" s="64"/>
      <c r="T241" s="64"/>
      <c r="U241" s="64"/>
      <c r="V241" s="64"/>
      <c r="W241" s="64"/>
    </row>
    <row r="242" spans="1:23" ht="15.75" customHeight="1">
      <c r="A242" s="137"/>
      <c r="B242" s="64"/>
      <c r="C242" s="140"/>
      <c r="D242" s="64"/>
      <c r="E242" s="64"/>
      <c r="F242" s="64"/>
      <c r="G242" s="64"/>
      <c r="H242" s="64"/>
      <c r="I242" s="64"/>
      <c r="J242" s="64"/>
      <c r="K242" s="64"/>
      <c r="L242" s="64"/>
      <c r="M242" s="64"/>
      <c r="N242" s="64"/>
      <c r="O242" s="64"/>
      <c r="P242" s="64"/>
      <c r="Q242" s="64"/>
      <c r="R242" s="64"/>
      <c r="S242" s="64"/>
      <c r="T242" s="64"/>
      <c r="U242" s="64"/>
      <c r="V242" s="64"/>
      <c r="W242" s="64"/>
    </row>
    <row r="243" spans="1:23" ht="15.75" customHeight="1">
      <c r="A243" s="137"/>
      <c r="B243" s="64"/>
      <c r="C243" s="140"/>
      <c r="D243" s="64"/>
      <c r="E243" s="64"/>
      <c r="F243" s="64"/>
      <c r="G243" s="64"/>
      <c r="H243" s="64"/>
      <c r="I243" s="64"/>
      <c r="J243" s="64"/>
      <c r="K243" s="64"/>
      <c r="L243" s="64"/>
      <c r="M243" s="64"/>
      <c r="N243" s="64"/>
      <c r="O243" s="64"/>
      <c r="P243" s="64"/>
      <c r="Q243" s="64"/>
      <c r="R243" s="64"/>
      <c r="S243" s="64"/>
      <c r="T243" s="64"/>
      <c r="U243" s="64"/>
      <c r="V243" s="64"/>
      <c r="W243" s="64"/>
    </row>
    <row r="244" spans="1:23" ht="15.75" customHeight="1">
      <c r="A244" s="137"/>
      <c r="B244" s="64"/>
      <c r="C244" s="140"/>
      <c r="D244" s="64"/>
      <c r="E244" s="64"/>
      <c r="F244" s="64"/>
      <c r="G244" s="64"/>
      <c r="H244" s="64"/>
      <c r="I244" s="64"/>
      <c r="J244" s="64"/>
      <c r="K244" s="64"/>
      <c r="L244" s="64"/>
      <c r="M244" s="64"/>
      <c r="N244" s="64"/>
      <c r="O244" s="64"/>
      <c r="P244" s="64"/>
      <c r="Q244" s="64"/>
      <c r="R244" s="64"/>
      <c r="S244" s="64"/>
      <c r="T244" s="64"/>
      <c r="U244" s="64"/>
      <c r="V244" s="64"/>
      <c r="W244" s="64"/>
    </row>
    <row r="245" spans="1:23" ht="15.75" customHeight="1">
      <c r="A245" s="137"/>
      <c r="B245" s="64"/>
      <c r="C245" s="140"/>
      <c r="D245" s="64"/>
      <c r="E245" s="64"/>
      <c r="F245" s="64"/>
      <c r="G245" s="64"/>
      <c r="H245" s="64"/>
      <c r="I245" s="64"/>
      <c r="J245" s="64"/>
      <c r="K245" s="64"/>
      <c r="L245" s="64"/>
      <c r="M245" s="64"/>
      <c r="N245" s="64"/>
      <c r="O245" s="64"/>
      <c r="P245" s="64"/>
      <c r="Q245" s="64"/>
      <c r="R245" s="64"/>
      <c r="S245" s="64"/>
      <c r="T245" s="64"/>
      <c r="U245" s="64"/>
      <c r="V245" s="64"/>
      <c r="W245" s="64"/>
    </row>
    <row r="246" spans="1:23" ht="15.75" customHeight="1">
      <c r="A246" s="137"/>
      <c r="B246" s="64"/>
      <c r="C246" s="140"/>
      <c r="D246" s="64"/>
      <c r="E246" s="64"/>
      <c r="F246" s="64"/>
      <c r="G246" s="64"/>
      <c r="H246" s="64"/>
      <c r="I246" s="64"/>
      <c r="J246" s="64"/>
      <c r="K246" s="64"/>
      <c r="L246" s="64"/>
      <c r="M246" s="64"/>
      <c r="N246" s="64"/>
      <c r="O246" s="64"/>
      <c r="P246" s="64"/>
      <c r="Q246" s="64"/>
      <c r="R246" s="64"/>
      <c r="S246" s="64"/>
      <c r="T246" s="64"/>
      <c r="U246" s="64"/>
      <c r="V246" s="64"/>
      <c r="W246" s="64"/>
    </row>
    <row r="247" spans="1:23" ht="15.75" customHeight="1">
      <c r="A247" s="137"/>
      <c r="B247" s="64"/>
      <c r="C247" s="140"/>
      <c r="D247" s="64"/>
      <c r="E247" s="64"/>
      <c r="F247" s="64"/>
      <c r="G247" s="64"/>
      <c r="H247" s="64"/>
      <c r="I247" s="64"/>
      <c r="J247" s="64"/>
      <c r="K247" s="64"/>
      <c r="L247" s="64"/>
      <c r="M247" s="64"/>
      <c r="N247" s="64"/>
      <c r="O247" s="64"/>
      <c r="P247" s="64"/>
      <c r="Q247" s="64"/>
      <c r="R247" s="64"/>
      <c r="S247" s="64"/>
      <c r="T247" s="64"/>
      <c r="U247" s="64"/>
      <c r="V247" s="64"/>
      <c r="W247" s="64"/>
    </row>
    <row r="248" spans="1:23" ht="15.75" customHeight="1">
      <c r="A248" s="137"/>
      <c r="B248" s="64"/>
      <c r="C248" s="140"/>
      <c r="D248" s="64"/>
      <c r="E248" s="64"/>
      <c r="F248" s="64"/>
      <c r="G248" s="64"/>
      <c r="H248" s="64"/>
      <c r="I248" s="64"/>
      <c r="J248" s="64"/>
      <c r="K248" s="64"/>
      <c r="L248" s="64"/>
      <c r="M248" s="64"/>
      <c r="N248" s="64"/>
      <c r="O248" s="64"/>
      <c r="P248" s="64"/>
      <c r="Q248" s="64"/>
      <c r="R248" s="64"/>
      <c r="S248" s="64"/>
      <c r="T248" s="64"/>
      <c r="U248" s="64"/>
      <c r="V248" s="64"/>
      <c r="W248" s="64"/>
    </row>
    <row r="249" spans="1:23" ht="15.75" customHeight="1">
      <c r="A249" s="137"/>
      <c r="B249" s="64"/>
      <c r="C249" s="140"/>
      <c r="D249" s="64"/>
      <c r="E249" s="64"/>
      <c r="F249" s="64"/>
      <c r="G249" s="64"/>
      <c r="H249" s="64"/>
      <c r="I249" s="64"/>
      <c r="J249" s="64"/>
      <c r="K249" s="64"/>
      <c r="L249" s="64"/>
      <c r="M249" s="64"/>
      <c r="N249" s="64"/>
      <c r="O249" s="64"/>
      <c r="P249" s="64"/>
      <c r="Q249" s="64"/>
      <c r="R249" s="64"/>
      <c r="S249" s="64"/>
      <c r="T249" s="64"/>
      <c r="U249" s="64"/>
      <c r="V249" s="64"/>
      <c r="W249" s="64"/>
    </row>
    <row r="250" spans="1:23" ht="15.75" customHeight="1">
      <c r="A250" s="137"/>
      <c r="B250" s="64"/>
      <c r="C250" s="140"/>
      <c r="D250" s="64"/>
      <c r="E250" s="64"/>
      <c r="F250" s="64"/>
      <c r="G250" s="64"/>
      <c r="H250" s="64"/>
      <c r="I250" s="64"/>
      <c r="J250" s="64"/>
      <c r="K250" s="64"/>
      <c r="L250" s="64"/>
      <c r="M250" s="64"/>
      <c r="N250" s="64"/>
      <c r="O250" s="64"/>
      <c r="P250" s="64"/>
      <c r="Q250" s="64"/>
      <c r="R250" s="64"/>
      <c r="S250" s="64"/>
      <c r="T250" s="64"/>
      <c r="U250" s="64"/>
      <c r="V250" s="64"/>
      <c r="W250" s="64"/>
    </row>
    <row r="251" spans="1:23" ht="15.75" customHeight="1">
      <c r="A251" s="137"/>
      <c r="B251" s="64"/>
      <c r="C251" s="140"/>
      <c r="D251" s="64"/>
      <c r="E251" s="64"/>
      <c r="F251" s="64"/>
      <c r="G251" s="64"/>
      <c r="H251" s="64"/>
      <c r="I251" s="64"/>
      <c r="J251" s="64"/>
      <c r="K251" s="64"/>
      <c r="L251" s="64"/>
      <c r="M251" s="64"/>
      <c r="N251" s="64"/>
      <c r="O251" s="64"/>
      <c r="P251" s="64"/>
      <c r="Q251" s="64"/>
      <c r="R251" s="64"/>
      <c r="S251" s="64"/>
      <c r="T251" s="64"/>
      <c r="U251" s="64"/>
      <c r="V251" s="64"/>
      <c r="W251" s="64"/>
    </row>
    <row r="252" spans="1:23" ht="15.75" customHeight="1">
      <c r="A252" s="137"/>
      <c r="B252" s="64"/>
      <c r="C252" s="140"/>
      <c r="D252" s="64"/>
      <c r="E252" s="64"/>
      <c r="F252" s="64"/>
      <c r="G252" s="64"/>
      <c r="H252" s="64"/>
      <c r="I252" s="64"/>
      <c r="J252" s="64"/>
      <c r="K252" s="64"/>
      <c r="L252" s="64"/>
      <c r="M252" s="64"/>
      <c r="N252" s="64"/>
      <c r="O252" s="64"/>
      <c r="P252" s="64"/>
      <c r="Q252" s="64"/>
      <c r="R252" s="64"/>
      <c r="S252" s="64"/>
      <c r="T252" s="64"/>
      <c r="U252" s="64"/>
      <c r="V252" s="64"/>
      <c r="W252" s="64"/>
    </row>
    <row r="253" spans="1:23" ht="15.75" customHeight="1">
      <c r="A253" s="137"/>
      <c r="B253" s="64"/>
      <c r="C253" s="140"/>
      <c r="D253" s="64"/>
      <c r="E253" s="64"/>
      <c r="F253" s="64"/>
      <c r="G253" s="64"/>
      <c r="H253" s="64"/>
      <c r="I253" s="64"/>
      <c r="J253" s="64"/>
      <c r="K253" s="64"/>
      <c r="L253" s="64"/>
      <c r="M253" s="64"/>
      <c r="N253" s="64"/>
      <c r="O253" s="64"/>
      <c r="P253" s="64"/>
      <c r="Q253" s="64"/>
      <c r="R253" s="64"/>
      <c r="S253" s="64"/>
      <c r="T253" s="64"/>
      <c r="U253" s="64"/>
      <c r="V253" s="64"/>
      <c r="W253" s="64"/>
    </row>
    <row r="254" spans="1:23" ht="15.75" customHeight="1">
      <c r="A254" s="137"/>
      <c r="B254" s="64"/>
      <c r="C254" s="140"/>
      <c r="D254" s="64"/>
      <c r="E254" s="64"/>
      <c r="F254" s="64"/>
      <c r="G254" s="64"/>
      <c r="H254" s="64"/>
      <c r="I254" s="64"/>
      <c r="J254" s="64"/>
      <c r="K254" s="64"/>
      <c r="L254" s="64"/>
      <c r="M254" s="64"/>
      <c r="N254" s="64"/>
      <c r="O254" s="64"/>
      <c r="P254" s="64"/>
      <c r="Q254" s="64"/>
      <c r="R254" s="64"/>
      <c r="S254" s="64"/>
      <c r="T254" s="64"/>
      <c r="U254" s="64"/>
      <c r="V254" s="64"/>
      <c r="W254" s="64"/>
    </row>
    <row r="255" spans="1:23" ht="15.75" customHeight="1">
      <c r="A255" s="137"/>
      <c r="B255" s="64"/>
      <c r="C255" s="140"/>
      <c r="D255" s="64"/>
      <c r="E255" s="64"/>
      <c r="F255" s="64"/>
      <c r="G255" s="64"/>
      <c r="H255" s="64"/>
      <c r="I255" s="64"/>
      <c r="J255" s="64"/>
      <c r="K255" s="64"/>
      <c r="L255" s="64"/>
      <c r="M255" s="64"/>
      <c r="N255" s="64"/>
      <c r="O255" s="64"/>
      <c r="P255" s="64"/>
      <c r="Q255" s="64"/>
      <c r="R255" s="64"/>
      <c r="S255" s="64"/>
      <c r="T255" s="64"/>
      <c r="U255" s="64"/>
      <c r="V255" s="64"/>
      <c r="W255" s="64"/>
    </row>
    <row r="256" spans="1:23" ht="15.75" customHeight="1">
      <c r="A256" s="137"/>
      <c r="B256" s="64"/>
      <c r="C256" s="140"/>
      <c r="D256" s="64"/>
      <c r="E256" s="64"/>
      <c r="F256" s="64"/>
      <c r="G256" s="64"/>
      <c r="H256" s="64"/>
      <c r="I256" s="64"/>
      <c r="J256" s="64"/>
      <c r="K256" s="64"/>
      <c r="L256" s="64"/>
      <c r="M256" s="64"/>
      <c r="N256" s="64"/>
      <c r="O256" s="64"/>
      <c r="P256" s="64"/>
      <c r="Q256" s="64"/>
      <c r="R256" s="64"/>
      <c r="S256" s="64"/>
      <c r="T256" s="64"/>
      <c r="U256" s="64"/>
      <c r="V256" s="64"/>
      <c r="W256" s="64"/>
    </row>
    <row r="257" spans="1:23" ht="15.75" customHeight="1">
      <c r="A257" s="137"/>
      <c r="B257" s="64"/>
      <c r="C257" s="140"/>
      <c r="D257" s="64"/>
      <c r="E257" s="64"/>
      <c r="F257" s="64"/>
      <c r="G257" s="64"/>
      <c r="H257" s="64"/>
      <c r="I257" s="64"/>
      <c r="J257" s="64"/>
      <c r="K257" s="64"/>
      <c r="L257" s="64"/>
      <c r="M257" s="64"/>
      <c r="N257" s="64"/>
      <c r="O257" s="64"/>
      <c r="P257" s="64"/>
      <c r="Q257" s="64"/>
      <c r="R257" s="64"/>
      <c r="S257" s="64"/>
      <c r="T257" s="64"/>
      <c r="U257" s="64"/>
      <c r="V257" s="64"/>
      <c r="W257" s="64"/>
    </row>
    <row r="258" spans="1:23" ht="15.75" customHeight="1">
      <c r="A258" s="137"/>
      <c r="B258" s="64"/>
      <c r="C258" s="140"/>
      <c r="D258" s="64"/>
      <c r="E258" s="64"/>
      <c r="F258" s="64"/>
      <c r="G258" s="64"/>
      <c r="H258" s="64"/>
      <c r="I258" s="64"/>
      <c r="J258" s="64"/>
      <c r="K258" s="64"/>
      <c r="L258" s="64"/>
      <c r="M258" s="64"/>
      <c r="N258" s="64"/>
      <c r="O258" s="64"/>
      <c r="P258" s="64"/>
      <c r="Q258" s="64"/>
      <c r="R258" s="64"/>
      <c r="S258" s="64"/>
      <c r="T258" s="64"/>
      <c r="U258" s="64"/>
      <c r="V258" s="64"/>
      <c r="W258" s="64"/>
    </row>
    <row r="259" spans="1:23" ht="15.75" customHeight="1">
      <c r="A259" s="137"/>
      <c r="B259" s="64"/>
      <c r="C259" s="140"/>
      <c r="D259" s="64"/>
      <c r="E259" s="64"/>
      <c r="F259" s="64"/>
      <c r="G259" s="64"/>
      <c r="H259" s="64"/>
      <c r="I259" s="64"/>
      <c r="J259" s="64"/>
      <c r="K259" s="64"/>
      <c r="L259" s="64"/>
      <c r="M259" s="64"/>
      <c r="N259" s="64"/>
      <c r="O259" s="64"/>
      <c r="P259" s="64"/>
      <c r="Q259" s="64"/>
      <c r="R259" s="64"/>
      <c r="S259" s="64"/>
      <c r="T259" s="64"/>
      <c r="U259" s="64"/>
      <c r="V259" s="64"/>
      <c r="W259" s="64"/>
    </row>
    <row r="260" spans="1:23" ht="15.75" customHeight="1">
      <c r="A260" s="137"/>
      <c r="B260" s="64"/>
      <c r="C260" s="140"/>
      <c r="D260" s="64"/>
      <c r="E260" s="64"/>
      <c r="F260" s="64"/>
      <c r="G260" s="64"/>
      <c r="H260" s="64"/>
      <c r="I260" s="64"/>
      <c r="J260" s="64"/>
      <c r="K260" s="64"/>
      <c r="L260" s="64"/>
      <c r="M260" s="64"/>
      <c r="N260" s="64"/>
      <c r="O260" s="64"/>
      <c r="P260" s="64"/>
      <c r="Q260" s="64"/>
      <c r="R260" s="64"/>
      <c r="S260" s="64"/>
      <c r="T260" s="64"/>
      <c r="U260" s="64"/>
      <c r="V260" s="64"/>
      <c r="W260" s="64"/>
    </row>
    <row r="261" spans="1:23" ht="15.75" customHeight="1">
      <c r="A261" s="137"/>
      <c r="B261" s="64"/>
      <c r="C261" s="140"/>
      <c r="D261" s="64"/>
      <c r="E261" s="64"/>
      <c r="F261" s="64"/>
      <c r="G261" s="64"/>
      <c r="H261" s="64"/>
      <c r="I261" s="64"/>
      <c r="J261" s="64"/>
      <c r="K261" s="64"/>
      <c r="L261" s="64"/>
      <c r="M261" s="64"/>
      <c r="N261" s="64"/>
      <c r="O261" s="64"/>
      <c r="P261" s="64"/>
      <c r="Q261" s="64"/>
      <c r="R261" s="64"/>
      <c r="S261" s="64"/>
      <c r="T261" s="64"/>
      <c r="U261" s="64"/>
      <c r="V261" s="64"/>
      <c r="W261" s="64"/>
    </row>
    <row r="262" spans="1:23" ht="15.75" customHeight="1">
      <c r="A262" s="137"/>
      <c r="B262" s="64"/>
      <c r="C262" s="140"/>
      <c r="D262" s="64"/>
      <c r="E262" s="64"/>
      <c r="F262" s="64"/>
      <c r="G262" s="64"/>
      <c r="H262" s="64"/>
      <c r="I262" s="64"/>
      <c r="J262" s="64"/>
      <c r="K262" s="64"/>
      <c r="L262" s="64"/>
      <c r="M262" s="64"/>
      <c r="N262" s="64"/>
      <c r="O262" s="64"/>
      <c r="P262" s="64"/>
      <c r="Q262" s="64"/>
      <c r="R262" s="64"/>
      <c r="S262" s="64"/>
      <c r="T262" s="64"/>
      <c r="U262" s="64"/>
      <c r="V262" s="64"/>
      <c r="W262" s="64"/>
    </row>
    <row r="263" spans="1:23" ht="15.75" customHeight="1">
      <c r="A263" s="137"/>
      <c r="B263" s="64"/>
      <c r="C263" s="140"/>
      <c r="D263" s="64"/>
      <c r="E263" s="64"/>
      <c r="F263" s="64"/>
      <c r="G263" s="64"/>
      <c r="H263" s="64"/>
      <c r="I263" s="64"/>
      <c r="J263" s="64"/>
      <c r="K263" s="64"/>
      <c r="L263" s="64"/>
      <c r="M263" s="64"/>
      <c r="N263" s="64"/>
      <c r="O263" s="64"/>
      <c r="P263" s="64"/>
      <c r="Q263" s="64"/>
      <c r="R263" s="64"/>
      <c r="S263" s="64"/>
      <c r="T263" s="64"/>
      <c r="U263" s="64"/>
      <c r="V263" s="64"/>
      <c r="W263" s="64"/>
    </row>
    <row r="264" spans="1:23" ht="15.75" customHeight="1">
      <c r="A264" s="137"/>
      <c r="B264" s="64"/>
      <c r="C264" s="140"/>
      <c r="D264" s="64"/>
      <c r="E264" s="64"/>
      <c r="F264" s="64"/>
      <c r="G264" s="64"/>
      <c r="H264" s="64"/>
      <c r="I264" s="64"/>
      <c r="J264" s="64"/>
      <c r="K264" s="64"/>
      <c r="L264" s="64"/>
      <c r="M264" s="64"/>
      <c r="N264" s="64"/>
      <c r="O264" s="64"/>
      <c r="P264" s="64"/>
      <c r="Q264" s="64"/>
      <c r="R264" s="64"/>
      <c r="S264" s="64"/>
      <c r="T264" s="64"/>
      <c r="U264" s="64"/>
      <c r="V264" s="64"/>
      <c r="W264" s="64"/>
    </row>
    <row r="265" spans="1:23" ht="15.75" customHeight="1">
      <c r="A265" s="137"/>
      <c r="B265" s="64"/>
      <c r="C265" s="140"/>
      <c r="D265" s="64"/>
      <c r="E265" s="64"/>
      <c r="F265" s="64"/>
      <c r="G265" s="64"/>
      <c r="H265" s="64"/>
      <c r="I265" s="64"/>
      <c r="J265" s="64"/>
      <c r="K265" s="64"/>
      <c r="L265" s="64"/>
      <c r="M265" s="64"/>
      <c r="N265" s="64"/>
      <c r="O265" s="64"/>
      <c r="P265" s="64"/>
      <c r="Q265" s="64"/>
      <c r="R265" s="64"/>
      <c r="S265" s="64"/>
      <c r="T265" s="64"/>
      <c r="U265" s="64"/>
      <c r="V265" s="64"/>
      <c r="W265" s="64"/>
    </row>
    <row r="266" spans="1:23" ht="15.75" customHeight="1">
      <c r="A266" s="137"/>
      <c r="B266" s="64"/>
      <c r="C266" s="140"/>
      <c r="D266" s="64"/>
      <c r="E266" s="64"/>
      <c r="F266" s="64"/>
      <c r="G266" s="64"/>
      <c r="H266" s="64"/>
      <c r="I266" s="64"/>
      <c r="J266" s="64"/>
      <c r="K266" s="64"/>
      <c r="L266" s="64"/>
      <c r="M266" s="64"/>
      <c r="N266" s="64"/>
      <c r="O266" s="64"/>
      <c r="P266" s="64"/>
      <c r="Q266" s="64"/>
      <c r="R266" s="64"/>
      <c r="S266" s="64"/>
      <c r="T266" s="64"/>
      <c r="U266" s="64"/>
      <c r="V266" s="64"/>
      <c r="W266" s="64"/>
    </row>
    <row r="267" spans="1:23" ht="15.75" customHeight="1">
      <c r="A267" s="137"/>
      <c r="B267" s="64"/>
      <c r="C267" s="140"/>
      <c r="D267" s="64"/>
      <c r="E267" s="64"/>
      <c r="F267" s="64"/>
      <c r="G267" s="64"/>
      <c r="H267" s="64"/>
      <c r="I267" s="64"/>
      <c r="J267" s="64"/>
      <c r="K267" s="64"/>
      <c r="L267" s="64"/>
      <c r="M267" s="64"/>
      <c r="N267" s="64"/>
      <c r="O267" s="64"/>
      <c r="P267" s="64"/>
      <c r="Q267" s="64"/>
      <c r="R267" s="64"/>
      <c r="S267" s="64"/>
      <c r="T267" s="64"/>
      <c r="U267" s="64"/>
      <c r="V267" s="64"/>
      <c r="W267" s="64"/>
    </row>
    <row r="268" spans="1:23" ht="15.75" customHeight="1">
      <c r="A268" s="137"/>
      <c r="B268" s="64"/>
      <c r="C268" s="140"/>
      <c r="D268" s="64"/>
      <c r="E268" s="64"/>
      <c r="F268" s="64"/>
      <c r="G268" s="64"/>
      <c r="H268" s="64"/>
      <c r="I268" s="64"/>
      <c r="J268" s="64"/>
      <c r="K268" s="64"/>
      <c r="L268" s="64"/>
      <c r="M268" s="64"/>
      <c r="N268" s="64"/>
      <c r="O268" s="64"/>
      <c r="P268" s="64"/>
      <c r="Q268" s="64"/>
      <c r="R268" s="64"/>
      <c r="S268" s="64"/>
      <c r="T268" s="64"/>
      <c r="U268" s="64"/>
      <c r="V268" s="64"/>
      <c r="W268" s="64"/>
    </row>
    <row r="269" spans="1:23" ht="15.75" customHeight="1">
      <c r="A269" s="137"/>
      <c r="B269" s="64"/>
      <c r="C269" s="140"/>
      <c r="D269" s="64"/>
      <c r="E269" s="64"/>
      <c r="F269" s="64"/>
      <c r="G269" s="64"/>
      <c r="H269" s="64"/>
      <c r="I269" s="64"/>
      <c r="J269" s="64"/>
      <c r="K269" s="64"/>
      <c r="L269" s="64"/>
      <c r="M269" s="64"/>
      <c r="N269" s="64"/>
      <c r="O269" s="64"/>
      <c r="P269" s="64"/>
      <c r="Q269" s="64"/>
      <c r="R269" s="64"/>
      <c r="S269" s="64"/>
      <c r="T269" s="64"/>
      <c r="U269" s="64"/>
      <c r="V269" s="64"/>
      <c r="W269" s="64"/>
    </row>
    <row r="270" spans="1:23" ht="15.75" customHeight="1">
      <c r="A270" s="137"/>
      <c r="B270" s="64"/>
      <c r="C270" s="140"/>
      <c r="D270" s="64"/>
      <c r="E270" s="64"/>
      <c r="F270" s="64"/>
      <c r="G270" s="64"/>
      <c r="H270" s="64"/>
      <c r="I270" s="64"/>
      <c r="J270" s="64"/>
      <c r="K270" s="64"/>
      <c r="L270" s="64"/>
      <c r="M270" s="64"/>
      <c r="N270" s="64"/>
      <c r="O270" s="64"/>
      <c r="P270" s="64"/>
      <c r="Q270" s="64"/>
      <c r="R270" s="64"/>
      <c r="S270" s="64"/>
      <c r="T270" s="64"/>
      <c r="U270" s="64"/>
      <c r="V270" s="64"/>
      <c r="W270" s="64"/>
    </row>
    <row r="271" spans="1:23" ht="15.75" customHeight="1">
      <c r="A271" s="137"/>
      <c r="B271" s="64"/>
      <c r="C271" s="140"/>
      <c r="D271" s="64"/>
      <c r="E271" s="64"/>
      <c r="F271" s="64"/>
      <c r="G271" s="64"/>
      <c r="H271" s="64"/>
      <c r="I271" s="64"/>
      <c r="J271" s="64"/>
      <c r="K271" s="64"/>
      <c r="L271" s="64"/>
      <c r="M271" s="64"/>
      <c r="N271" s="64"/>
      <c r="O271" s="64"/>
      <c r="P271" s="64"/>
      <c r="Q271" s="64"/>
      <c r="R271" s="64"/>
      <c r="S271" s="64"/>
      <c r="T271" s="64"/>
      <c r="U271" s="64"/>
      <c r="V271" s="64"/>
      <c r="W271" s="64"/>
    </row>
    <row r="272" spans="1:23" ht="15.75" customHeight="1">
      <c r="A272" s="137"/>
      <c r="B272" s="64"/>
      <c r="C272" s="140"/>
      <c r="D272" s="64"/>
      <c r="E272" s="64"/>
      <c r="F272" s="64"/>
      <c r="G272" s="64"/>
      <c r="H272" s="64"/>
      <c r="I272" s="64"/>
      <c r="J272" s="64"/>
      <c r="K272" s="64"/>
      <c r="L272" s="64"/>
      <c r="M272" s="64"/>
      <c r="N272" s="64"/>
      <c r="O272" s="64"/>
      <c r="P272" s="64"/>
      <c r="Q272" s="64"/>
      <c r="R272" s="64"/>
      <c r="S272" s="64"/>
      <c r="T272" s="64"/>
      <c r="U272" s="64"/>
      <c r="V272" s="64"/>
      <c r="W272" s="64"/>
    </row>
    <row r="273" spans="1:23" ht="15.75" customHeight="1">
      <c r="A273" s="137"/>
      <c r="B273" s="64"/>
      <c r="C273" s="140"/>
      <c r="D273" s="64"/>
      <c r="E273" s="64"/>
      <c r="F273" s="64"/>
      <c r="G273" s="64"/>
      <c r="H273" s="64"/>
      <c r="I273" s="64"/>
      <c r="J273" s="64"/>
      <c r="K273" s="64"/>
      <c r="L273" s="64"/>
      <c r="M273" s="64"/>
      <c r="N273" s="64"/>
      <c r="O273" s="64"/>
      <c r="P273" s="64"/>
      <c r="Q273" s="64"/>
      <c r="R273" s="64"/>
      <c r="S273" s="64"/>
      <c r="T273" s="64"/>
      <c r="U273" s="64"/>
      <c r="V273" s="64"/>
      <c r="W273" s="64"/>
    </row>
    <row r="274" spans="1:23" ht="15.75" customHeight="1">
      <c r="A274" s="137"/>
      <c r="B274" s="64"/>
      <c r="C274" s="140"/>
      <c r="D274" s="64"/>
      <c r="E274" s="64"/>
      <c r="F274" s="64"/>
      <c r="G274" s="64"/>
      <c r="H274" s="64"/>
      <c r="I274" s="64"/>
      <c r="J274" s="64"/>
      <c r="K274" s="64"/>
      <c r="L274" s="64"/>
      <c r="M274" s="64"/>
      <c r="N274" s="64"/>
      <c r="O274" s="64"/>
      <c r="P274" s="64"/>
      <c r="Q274" s="64"/>
      <c r="R274" s="64"/>
      <c r="S274" s="64"/>
      <c r="T274" s="64"/>
      <c r="U274" s="64"/>
      <c r="V274" s="64"/>
      <c r="W274" s="64"/>
    </row>
    <row r="275" spans="1:23" ht="15.75" customHeight="1">
      <c r="A275" s="137"/>
      <c r="B275" s="64"/>
      <c r="C275" s="140"/>
      <c r="D275" s="64"/>
      <c r="E275" s="64"/>
      <c r="F275" s="64"/>
      <c r="G275" s="64"/>
      <c r="H275" s="64"/>
      <c r="I275" s="64"/>
      <c r="J275" s="64"/>
      <c r="K275" s="64"/>
      <c r="L275" s="64"/>
      <c r="M275" s="64"/>
      <c r="N275" s="64"/>
      <c r="O275" s="64"/>
      <c r="P275" s="64"/>
      <c r="Q275" s="64"/>
      <c r="R275" s="64"/>
      <c r="S275" s="64"/>
      <c r="T275" s="64"/>
      <c r="U275" s="64"/>
      <c r="V275" s="64"/>
      <c r="W275" s="64"/>
    </row>
    <row r="276" spans="1:23" ht="15.75" customHeight="1">
      <c r="A276" s="137"/>
      <c r="B276" s="64"/>
      <c r="C276" s="140"/>
      <c r="D276" s="64"/>
      <c r="E276" s="64"/>
      <c r="F276" s="64"/>
      <c r="G276" s="64"/>
      <c r="H276" s="64"/>
      <c r="I276" s="64"/>
      <c r="J276" s="64"/>
      <c r="K276" s="64"/>
      <c r="L276" s="64"/>
      <c r="M276" s="64"/>
      <c r="N276" s="64"/>
      <c r="O276" s="64"/>
      <c r="P276" s="64"/>
      <c r="Q276" s="64"/>
      <c r="R276" s="64"/>
      <c r="S276" s="64"/>
      <c r="T276" s="64"/>
      <c r="U276" s="64"/>
      <c r="V276" s="64"/>
      <c r="W276" s="64"/>
    </row>
    <row r="277" spans="1:23" ht="15.75" customHeight="1">
      <c r="A277" s="137"/>
      <c r="B277" s="64"/>
      <c r="C277" s="140"/>
      <c r="D277" s="64"/>
      <c r="E277" s="64"/>
      <c r="F277" s="64"/>
      <c r="G277" s="64"/>
      <c r="H277" s="64"/>
      <c r="I277" s="64"/>
      <c r="J277" s="64"/>
      <c r="K277" s="64"/>
      <c r="L277" s="64"/>
      <c r="M277" s="64"/>
      <c r="N277" s="64"/>
      <c r="O277" s="64"/>
      <c r="P277" s="64"/>
      <c r="Q277" s="64"/>
      <c r="R277" s="64"/>
      <c r="S277" s="64"/>
      <c r="T277" s="64"/>
      <c r="U277" s="64"/>
      <c r="V277" s="64"/>
      <c r="W277" s="64"/>
    </row>
    <row r="278" spans="1:23" ht="15.75" customHeight="1">
      <c r="A278" s="137"/>
      <c r="B278" s="64"/>
      <c r="C278" s="140"/>
      <c r="D278" s="64"/>
      <c r="E278" s="64"/>
      <c r="F278" s="64"/>
      <c r="G278" s="64"/>
      <c r="H278" s="64"/>
      <c r="I278" s="64"/>
      <c r="J278" s="64"/>
      <c r="K278" s="64"/>
      <c r="L278" s="64"/>
      <c r="M278" s="64"/>
      <c r="N278" s="64"/>
      <c r="O278" s="64"/>
      <c r="P278" s="64"/>
      <c r="Q278" s="64"/>
      <c r="R278" s="64"/>
      <c r="S278" s="64"/>
      <c r="T278" s="64"/>
      <c r="U278" s="64"/>
      <c r="V278" s="64"/>
      <c r="W278" s="64"/>
    </row>
    <row r="279" spans="1:23" ht="15.75" customHeight="1">
      <c r="A279" s="137"/>
      <c r="B279" s="64"/>
      <c r="C279" s="140"/>
      <c r="D279" s="64"/>
      <c r="E279" s="64"/>
      <c r="F279" s="64"/>
      <c r="G279" s="64"/>
      <c r="H279" s="64"/>
      <c r="I279" s="64"/>
      <c r="J279" s="64"/>
      <c r="K279" s="64"/>
      <c r="L279" s="64"/>
      <c r="M279" s="64"/>
      <c r="N279" s="64"/>
      <c r="O279" s="64"/>
      <c r="P279" s="64"/>
      <c r="Q279" s="64"/>
      <c r="R279" s="64"/>
      <c r="S279" s="64"/>
      <c r="T279" s="64"/>
      <c r="U279" s="64"/>
      <c r="V279" s="64"/>
      <c r="W279" s="64"/>
    </row>
    <row r="280" spans="1:23" ht="15.75" customHeight="1">
      <c r="A280" s="137"/>
      <c r="B280" s="64"/>
      <c r="C280" s="140"/>
      <c r="D280" s="64"/>
      <c r="E280" s="64"/>
      <c r="F280" s="64"/>
      <c r="G280" s="64"/>
      <c r="H280" s="64"/>
      <c r="I280" s="64"/>
      <c r="J280" s="64"/>
      <c r="K280" s="64"/>
      <c r="L280" s="64"/>
      <c r="M280" s="64"/>
      <c r="N280" s="64"/>
      <c r="O280" s="64"/>
      <c r="P280" s="64"/>
      <c r="Q280" s="64"/>
      <c r="R280" s="64"/>
      <c r="S280" s="64"/>
      <c r="T280" s="64"/>
      <c r="U280" s="64"/>
      <c r="V280" s="64"/>
      <c r="W280" s="64"/>
    </row>
    <row r="281" spans="1:23" ht="15.75" customHeight="1">
      <c r="A281" s="137"/>
      <c r="B281" s="64"/>
      <c r="C281" s="140"/>
      <c r="D281" s="64"/>
      <c r="E281" s="64"/>
      <c r="F281" s="64"/>
      <c r="G281" s="64"/>
      <c r="H281" s="64"/>
      <c r="I281" s="64"/>
      <c r="J281" s="64"/>
      <c r="K281" s="64"/>
      <c r="L281" s="64"/>
      <c r="M281" s="64"/>
      <c r="N281" s="64"/>
      <c r="O281" s="64"/>
      <c r="P281" s="64"/>
      <c r="Q281" s="64"/>
      <c r="R281" s="64"/>
      <c r="S281" s="64"/>
      <c r="T281" s="64"/>
      <c r="U281" s="64"/>
      <c r="V281" s="64"/>
      <c r="W281" s="64"/>
    </row>
    <row r="282" spans="1:23" ht="15.75" customHeight="1">
      <c r="A282" s="137"/>
      <c r="B282" s="64"/>
      <c r="C282" s="140"/>
      <c r="D282" s="64"/>
      <c r="E282" s="64"/>
      <c r="F282" s="64"/>
      <c r="G282" s="64"/>
      <c r="H282" s="64"/>
      <c r="I282" s="64"/>
      <c r="J282" s="64"/>
      <c r="K282" s="64"/>
      <c r="L282" s="64"/>
      <c r="M282" s="64"/>
      <c r="N282" s="64"/>
      <c r="O282" s="64"/>
      <c r="P282" s="64"/>
      <c r="Q282" s="64"/>
      <c r="R282" s="64"/>
      <c r="S282" s="64"/>
      <c r="T282" s="64"/>
      <c r="U282" s="64"/>
      <c r="V282" s="64"/>
      <c r="W282" s="64"/>
    </row>
    <row r="283" spans="1:23" ht="15.75" customHeight="1">
      <c r="A283" s="137"/>
      <c r="B283" s="64"/>
      <c r="C283" s="140"/>
      <c r="D283" s="64"/>
      <c r="E283" s="64"/>
      <c r="F283" s="64"/>
      <c r="G283" s="64"/>
      <c r="H283" s="64"/>
      <c r="I283" s="64"/>
      <c r="J283" s="64"/>
      <c r="K283" s="64"/>
      <c r="L283" s="64"/>
      <c r="M283" s="64"/>
      <c r="N283" s="64"/>
      <c r="O283" s="64"/>
      <c r="P283" s="64"/>
      <c r="Q283" s="64"/>
      <c r="R283" s="64"/>
      <c r="S283" s="64"/>
      <c r="T283" s="64"/>
      <c r="U283" s="64"/>
      <c r="V283" s="64"/>
      <c r="W283" s="64"/>
    </row>
    <row r="284" spans="1:23" ht="15.75" customHeight="1">
      <c r="A284" s="137"/>
      <c r="B284" s="64"/>
      <c r="C284" s="140"/>
      <c r="D284" s="64"/>
      <c r="E284" s="64"/>
      <c r="F284" s="64"/>
      <c r="G284" s="64"/>
      <c r="H284" s="64"/>
      <c r="I284" s="64"/>
      <c r="J284" s="64"/>
      <c r="K284" s="64"/>
      <c r="L284" s="64"/>
      <c r="M284" s="64"/>
      <c r="N284" s="64"/>
      <c r="O284" s="64"/>
      <c r="P284" s="64"/>
      <c r="Q284" s="64"/>
      <c r="R284" s="64"/>
      <c r="S284" s="64"/>
      <c r="T284" s="64"/>
      <c r="U284" s="64"/>
      <c r="V284" s="64"/>
      <c r="W284" s="64"/>
    </row>
    <row r="285" spans="1:23" ht="15.75" customHeight="1">
      <c r="A285" s="137"/>
      <c r="B285" s="64"/>
      <c r="C285" s="140"/>
      <c r="D285" s="64"/>
      <c r="E285" s="64"/>
      <c r="F285" s="64"/>
      <c r="G285" s="64"/>
      <c r="H285" s="64"/>
      <c r="I285" s="64"/>
      <c r="J285" s="64"/>
      <c r="K285" s="64"/>
      <c r="L285" s="64"/>
      <c r="M285" s="64"/>
      <c r="N285" s="64"/>
      <c r="O285" s="64"/>
      <c r="P285" s="64"/>
      <c r="Q285" s="64"/>
      <c r="R285" s="64"/>
      <c r="S285" s="64"/>
      <c r="T285" s="64"/>
      <c r="U285" s="64"/>
      <c r="V285" s="64"/>
      <c r="W285" s="64"/>
    </row>
    <row r="286" spans="1:23" ht="15.75" customHeight="1">
      <c r="A286" s="137"/>
      <c r="B286" s="64"/>
      <c r="C286" s="140"/>
      <c r="D286" s="64"/>
      <c r="E286" s="64"/>
      <c r="F286" s="64"/>
      <c r="G286" s="64"/>
      <c r="H286" s="64"/>
      <c r="I286" s="64"/>
      <c r="J286" s="64"/>
      <c r="K286" s="64"/>
      <c r="L286" s="64"/>
      <c r="M286" s="64"/>
      <c r="N286" s="64"/>
      <c r="O286" s="64"/>
      <c r="P286" s="64"/>
      <c r="Q286" s="64"/>
      <c r="R286" s="64"/>
      <c r="S286" s="64"/>
      <c r="T286" s="64"/>
      <c r="U286" s="64"/>
      <c r="V286" s="64"/>
      <c r="W286" s="64"/>
    </row>
    <row r="287" spans="1:23" ht="15.75" customHeight="1">
      <c r="A287" s="137"/>
      <c r="B287" s="64"/>
      <c r="C287" s="140"/>
      <c r="D287" s="64"/>
      <c r="E287" s="64"/>
      <c r="F287" s="64"/>
      <c r="G287" s="64"/>
      <c r="H287" s="64"/>
      <c r="I287" s="64"/>
      <c r="J287" s="64"/>
      <c r="K287" s="64"/>
      <c r="L287" s="64"/>
      <c r="M287" s="64"/>
      <c r="N287" s="64"/>
      <c r="O287" s="64"/>
      <c r="P287" s="64"/>
      <c r="Q287" s="64"/>
      <c r="R287" s="64"/>
      <c r="S287" s="64"/>
      <c r="T287" s="64"/>
      <c r="U287" s="64"/>
      <c r="V287" s="64"/>
      <c r="W287" s="64"/>
    </row>
    <row r="288" spans="1:23" ht="15.75" customHeight="1">
      <c r="A288" s="137"/>
      <c r="B288" s="64"/>
      <c r="C288" s="140"/>
      <c r="D288" s="64"/>
      <c r="E288" s="64"/>
      <c r="F288" s="64"/>
      <c r="G288" s="64"/>
      <c r="H288" s="64"/>
      <c r="I288" s="64"/>
      <c r="J288" s="64"/>
      <c r="K288" s="64"/>
      <c r="L288" s="64"/>
      <c r="M288" s="64"/>
      <c r="N288" s="64"/>
      <c r="O288" s="64"/>
      <c r="P288" s="64"/>
      <c r="Q288" s="64"/>
      <c r="R288" s="64"/>
      <c r="S288" s="64"/>
      <c r="T288" s="64"/>
      <c r="U288" s="64"/>
      <c r="V288" s="64"/>
      <c r="W288" s="64"/>
    </row>
    <row r="289" spans="1:23" ht="15.75" customHeight="1">
      <c r="A289" s="137"/>
      <c r="B289" s="64"/>
      <c r="C289" s="140"/>
      <c r="D289" s="64"/>
      <c r="E289" s="64"/>
      <c r="F289" s="64"/>
      <c r="G289" s="64"/>
      <c r="H289" s="64"/>
      <c r="I289" s="64"/>
      <c r="J289" s="64"/>
      <c r="K289" s="64"/>
      <c r="L289" s="64"/>
      <c r="M289" s="64"/>
      <c r="N289" s="64"/>
      <c r="O289" s="64"/>
      <c r="P289" s="64"/>
      <c r="Q289" s="64"/>
      <c r="R289" s="64"/>
      <c r="S289" s="64"/>
      <c r="T289" s="64"/>
      <c r="U289" s="64"/>
      <c r="V289" s="64"/>
      <c r="W289" s="64"/>
    </row>
    <row r="290" spans="1:23" ht="15.75" customHeight="1">
      <c r="A290" s="137"/>
      <c r="B290" s="64"/>
      <c r="C290" s="140"/>
      <c r="D290" s="64"/>
      <c r="E290" s="64"/>
      <c r="F290" s="64"/>
      <c r="G290" s="64"/>
      <c r="H290" s="64"/>
      <c r="I290" s="64"/>
      <c r="J290" s="64"/>
      <c r="K290" s="64"/>
      <c r="L290" s="64"/>
      <c r="M290" s="64"/>
      <c r="N290" s="64"/>
      <c r="O290" s="64"/>
      <c r="P290" s="64"/>
      <c r="Q290" s="64"/>
      <c r="R290" s="64"/>
      <c r="S290" s="64"/>
      <c r="T290" s="64"/>
      <c r="U290" s="64"/>
      <c r="V290" s="64"/>
      <c r="W290" s="64"/>
    </row>
    <row r="291" spans="1:23" ht="15.75" customHeight="1">
      <c r="A291" s="137"/>
      <c r="B291" s="64"/>
      <c r="C291" s="140"/>
      <c r="D291" s="64"/>
      <c r="E291" s="64"/>
      <c r="F291" s="64"/>
      <c r="G291" s="64"/>
      <c r="H291" s="64"/>
      <c r="I291" s="64"/>
      <c r="J291" s="64"/>
      <c r="K291" s="64"/>
      <c r="L291" s="64"/>
      <c r="M291" s="64"/>
      <c r="N291" s="64"/>
      <c r="O291" s="64"/>
      <c r="P291" s="64"/>
      <c r="Q291" s="64"/>
      <c r="R291" s="64"/>
      <c r="S291" s="64"/>
      <c r="T291" s="64"/>
      <c r="U291" s="64"/>
      <c r="V291" s="64"/>
      <c r="W291" s="64"/>
    </row>
    <row r="292" spans="1:23" ht="15.75" customHeight="1">
      <c r="A292" s="137"/>
      <c r="B292" s="64"/>
      <c r="C292" s="140"/>
      <c r="D292" s="64"/>
      <c r="E292" s="64"/>
      <c r="F292" s="64"/>
      <c r="G292" s="64"/>
      <c r="H292" s="64"/>
      <c r="I292" s="64"/>
      <c r="J292" s="64"/>
      <c r="K292" s="64"/>
      <c r="L292" s="64"/>
      <c r="M292" s="64"/>
      <c r="N292" s="64"/>
      <c r="O292" s="64"/>
      <c r="P292" s="64"/>
      <c r="Q292" s="64"/>
      <c r="R292" s="64"/>
      <c r="S292" s="64"/>
      <c r="T292" s="64"/>
      <c r="U292" s="64"/>
      <c r="V292" s="64"/>
      <c r="W292" s="64"/>
    </row>
    <row r="293" spans="1:23" ht="15.75" customHeight="1">
      <c r="A293" s="137"/>
      <c r="B293" s="64"/>
      <c r="C293" s="140"/>
      <c r="D293" s="64"/>
      <c r="E293" s="64"/>
      <c r="F293" s="64"/>
      <c r="G293" s="64"/>
      <c r="H293" s="64"/>
      <c r="I293" s="64"/>
      <c r="J293" s="64"/>
      <c r="K293" s="64"/>
      <c r="L293" s="64"/>
      <c r="M293" s="64"/>
      <c r="N293" s="64"/>
      <c r="O293" s="64"/>
      <c r="P293" s="64"/>
      <c r="Q293" s="64"/>
      <c r="R293" s="64"/>
      <c r="S293" s="64"/>
      <c r="T293" s="64"/>
      <c r="U293" s="64"/>
      <c r="V293" s="64"/>
      <c r="W293" s="64"/>
    </row>
    <row r="294" spans="1:23" ht="15.75" customHeight="1">
      <c r="A294" s="137"/>
      <c r="B294" s="64"/>
      <c r="C294" s="140"/>
      <c r="D294" s="64"/>
      <c r="E294" s="64"/>
      <c r="F294" s="64"/>
      <c r="G294" s="64"/>
      <c r="H294" s="64"/>
      <c r="I294" s="64"/>
      <c r="J294" s="64"/>
      <c r="K294" s="64"/>
      <c r="L294" s="64"/>
      <c r="M294" s="64"/>
      <c r="N294" s="64"/>
      <c r="O294" s="64"/>
      <c r="P294" s="64"/>
      <c r="Q294" s="64"/>
      <c r="R294" s="64"/>
      <c r="S294" s="64"/>
      <c r="T294" s="64"/>
      <c r="U294" s="64"/>
      <c r="V294" s="64"/>
      <c r="W294" s="64"/>
    </row>
    <row r="295" spans="1:23" ht="15.75" customHeight="1">
      <c r="A295" s="137"/>
      <c r="B295" s="64"/>
      <c r="C295" s="140"/>
      <c r="D295" s="64"/>
      <c r="E295" s="64"/>
      <c r="F295" s="64"/>
      <c r="G295" s="64"/>
      <c r="H295" s="64"/>
      <c r="I295" s="64"/>
      <c r="J295" s="64"/>
      <c r="K295" s="64"/>
      <c r="L295" s="64"/>
      <c r="M295" s="64"/>
      <c r="N295" s="64"/>
      <c r="O295" s="64"/>
      <c r="P295" s="64"/>
      <c r="Q295" s="64"/>
      <c r="R295" s="64"/>
      <c r="S295" s="64"/>
      <c r="T295" s="64"/>
      <c r="U295" s="64"/>
      <c r="V295" s="64"/>
      <c r="W295" s="64"/>
    </row>
    <row r="296" spans="1:23" ht="15.75" customHeight="1">
      <c r="A296" s="137"/>
      <c r="B296" s="64"/>
      <c r="C296" s="140"/>
      <c r="D296" s="64"/>
      <c r="E296" s="64"/>
      <c r="F296" s="64"/>
      <c r="G296" s="64"/>
      <c r="H296" s="64"/>
      <c r="I296" s="64"/>
      <c r="J296" s="64"/>
      <c r="K296" s="64"/>
      <c r="L296" s="64"/>
      <c r="M296" s="64"/>
      <c r="N296" s="64"/>
      <c r="O296" s="64"/>
      <c r="P296" s="64"/>
      <c r="Q296" s="64"/>
      <c r="R296" s="64"/>
      <c r="S296" s="64"/>
      <c r="T296" s="64"/>
      <c r="U296" s="64"/>
      <c r="V296" s="64"/>
      <c r="W296" s="64"/>
    </row>
    <row r="297" spans="1:23" ht="15.75" customHeight="1">
      <c r="A297" s="137"/>
      <c r="B297" s="64"/>
      <c r="C297" s="140"/>
      <c r="D297" s="64"/>
      <c r="E297" s="64"/>
      <c r="F297" s="64"/>
      <c r="G297" s="64"/>
      <c r="H297" s="64"/>
      <c r="I297" s="64"/>
      <c r="J297" s="64"/>
      <c r="K297" s="64"/>
      <c r="L297" s="64"/>
      <c r="M297" s="64"/>
      <c r="N297" s="64"/>
      <c r="O297" s="64"/>
      <c r="P297" s="64"/>
      <c r="Q297" s="64"/>
      <c r="R297" s="64"/>
      <c r="S297" s="64"/>
      <c r="T297" s="64"/>
      <c r="U297" s="64"/>
      <c r="V297" s="64"/>
      <c r="W297" s="64"/>
    </row>
    <row r="298" spans="1:23" ht="15.75" customHeight="1">
      <c r="A298" s="137"/>
      <c r="B298" s="64"/>
      <c r="C298" s="140"/>
      <c r="D298" s="64"/>
      <c r="E298" s="64"/>
      <c r="F298" s="64"/>
      <c r="G298" s="64"/>
      <c r="H298" s="64"/>
      <c r="I298" s="64"/>
      <c r="J298" s="64"/>
      <c r="K298" s="64"/>
      <c r="L298" s="64"/>
      <c r="M298" s="64"/>
      <c r="N298" s="64"/>
      <c r="O298" s="64"/>
      <c r="P298" s="64"/>
      <c r="Q298" s="64"/>
      <c r="R298" s="64"/>
      <c r="S298" s="64"/>
      <c r="T298" s="64"/>
      <c r="U298" s="64"/>
      <c r="V298" s="64"/>
      <c r="W298" s="64"/>
    </row>
    <row r="299" spans="1:23" ht="15.75" customHeight="1">
      <c r="A299" s="137"/>
      <c r="B299" s="64"/>
      <c r="C299" s="140"/>
      <c r="D299" s="64"/>
      <c r="E299" s="64"/>
      <c r="F299" s="64"/>
      <c r="G299" s="64"/>
      <c r="H299" s="64"/>
      <c r="I299" s="64"/>
      <c r="J299" s="64"/>
      <c r="K299" s="64"/>
      <c r="L299" s="64"/>
      <c r="M299" s="64"/>
      <c r="N299" s="64"/>
      <c r="O299" s="64"/>
      <c r="P299" s="64"/>
      <c r="Q299" s="64"/>
      <c r="R299" s="64"/>
      <c r="S299" s="64"/>
      <c r="T299" s="64"/>
      <c r="U299" s="64"/>
      <c r="V299" s="64"/>
      <c r="W299" s="64"/>
    </row>
    <row r="300" spans="1:23" ht="15.75" customHeight="1">
      <c r="A300" s="137"/>
      <c r="B300" s="64"/>
      <c r="C300" s="140"/>
      <c r="D300" s="64"/>
      <c r="E300" s="64"/>
      <c r="F300" s="64"/>
      <c r="G300" s="64"/>
      <c r="H300" s="64"/>
      <c r="I300" s="64"/>
      <c r="J300" s="64"/>
      <c r="K300" s="64"/>
      <c r="L300" s="64"/>
      <c r="M300" s="64"/>
      <c r="N300" s="64"/>
      <c r="O300" s="64"/>
      <c r="P300" s="64"/>
      <c r="Q300" s="64"/>
      <c r="R300" s="64"/>
      <c r="S300" s="64"/>
      <c r="T300" s="64"/>
      <c r="U300" s="64"/>
      <c r="V300" s="64"/>
      <c r="W300" s="64"/>
    </row>
    <row r="301" spans="1:23" ht="15.75" customHeight="1">
      <c r="A301" s="137"/>
      <c r="B301" s="64"/>
      <c r="C301" s="140"/>
      <c r="D301" s="64"/>
      <c r="E301" s="64"/>
      <c r="F301" s="64"/>
      <c r="G301" s="64"/>
      <c r="H301" s="64"/>
      <c r="I301" s="64"/>
      <c r="J301" s="64"/>
      <c r="K301" s="64"/>
      <c r="L301" s="64"/>
      <c r="M301" s="64"/>
      <c r="N301" s="64"/>
      <c r="O301" s="64"/>
      <c r="P301" s="64"/>
      <c r="Q301" s="64"/>
      <c r="R301" s="64"/>
      <c r="S301" s="64"/>
      <c r="T301" s="64"/>
      <c r="U301" s="64"/>
      <c r="V301" s="64"/>
      <c r="W301" s="64"/>
    </row>
    <row r="302" spans="1:23" ht="15.75" customHeight="1">
      <c r="A302" s="137"/>
      <c r="B302" s="64"/>
      <c r="C302" s="140"/>
      <c r="D302" s="64"/>
      <c r="E302" s="64"/>
      <c r="F302" s="64"/>
      <c r="G302" s="64"/>
      <c r="H302" s="64"/>
      <c r="I302" s="64"/>
      <c r="J302" s="64"/>
      <c r="K302" s="64"/>
      <c r="L302" s="64"/>
      <c r="M302" s="64"/>
      <c r="N302" s="64"/>
      <c r="O302" s="64"/>
      <c r="P302" s="64"/>
      <c r="Q302" s="64"/>
      <c r="R302" s="64"/>
      <c r="S302" s="64"/>
      <c r="T302" s="64"/>
      <c r="U302" s="64"/>
      <c r="V302" s="64"/>
      <c r="W302" s="64"/>
    </row>
    <row r="303" spans="1:23" ht="15.75" customHeight="1">
      <c r="A303" s="137"/>
      <c r="B303" s="64"/>
      <c r="C303" s="140"/>
      <c r="D303" s="64"/>
      <c r="E303" s="64"/>
      <c r="F303" s="64"/>
      <c r="G303" s="64"/>
      <c r="H303" s="64"/>
      <c r="I303" s="64"/>
      <c r="J303" s="64"/>
      <c r="K303" s="64"/>
      <c r="L303" s="64"/>
      <c r="M303" s="64"/>
      <c r="N303" s="64"/>
      <c r="O303" s="64"/>
      <c r="P303" s="64"/>
      <c r="Q303" s="64"/>
      <c r="R303" s="64"/>
      <c r="S303" s="64"/>
      <c r="T303" s="64"/>
      <c r="U303" s="64"/>
      <c r="V303" s="64"/>
      <c r="W303" s="64"/>
    </row>
    <row r="304" spans="1:23" ht="15.75" customHeight="1">
      <c r="A304" s="137"/>
      <c r="B304" s="64"/>
      <c r="C304" s="140"/>
      <c r="D304" s="64"/>
      <c r="E304" s="64"/>
      <c r="F304" s="64"/>
      <c r="G304" s="64"/>
      <c r="H304" s="64"/>
      <c r="I304" s="64"/>
      <c r="J304" s="64"/>
      <c r="K304" s="64"/>
      <c r="L304" s="64"/>
      <c r="M304" s="64"/>
      <c r="N304" s="64"/>
      <c r="O304" s="64"/>
      <c r="P304" s="64"/>
      <c r="Q304" s="64"/>
      <c r="R304" s="64"/>
      <c r="S304" s="64"/>
      <c r="T304" s="64"/>
      <c r="U304" s="64"/>
      <c r="V304" s="64"/>
      <c r="W304" s="64"/>
    </row>
    <row r="305" spans="1:23" ht="15.75" customHeight="1">
      <c r="A305" s="137"/>
      <c r="B305" s="64"/>
      <c r="C305" s="140"/>
      <c r="D305" s="64"/>
      <c r="E305" s="64"/>
      <c r="F305" s="64"/>
      <c r="G305" s="64"/>
      <c r="H305" s="64"/>
      <c r="I305" s="64"/>
      <c r="J305" s="64"/>
      <c r="K305" s="64"/>
      <c r="L305" s="64"/>
      <c r="M305" s="64"/>
      <c r="N305" s="64"/>
      <c r="O305" s="64"/>
      <c r="P305" s="64"/>
      <c r="Q305" s="64"/>
      <c r="R305" s="64"/>
      <c r="S305" s="64"/>
      <c r="T305" s="64"/>
      <c r="U305" s="64"/>
      <c r="V305" s="64"/>
      <c r="W305" s="64"/>
    </row>
    <row r="306" spans="1:23" ht="15.75" customHeight="1">
      <c r="A306" s="137"/>
      <c r="B306" s="64"/>
      <c r="C306" s="140"/>
      <c r="D306" s="64"/>
      <c r="E306" s="64"/>
      <c r="F306" s="64"/>
      <c r="G306" s="64"/>
      <c r="H306" s="64"/>
      <c r="I306" s="64"/>
      <c r="J306" s="64"/>
      <c r="K306" s="64"/>
      <c r="L306" s="64"/>
      <c r="M306" s="64"/>
      <c r="N306" s="64"/>
      <c r="O306" s="64"/>
      <c r="P306" s="64"/>
      <c r="Q306" s="64"/>
      <c r="R306" s="64"/>
      <c r="S306" s="64"/>
      <c r="T306" s="64"/>
      <c r="U306" s="64"/>
      <c r="V306" s="64"/>
      <c r="W306" s="64"/>
    </row>
    <row r="307" spans="1:23" ht="15.75" customHeight="1">
      <c r="A307" s="137"/>
      <c r="B307" s="64"/>
      <c r="C307" s="140"/>
      <c r="D307" s="64"/>
      <c r="E307" s="64"/>
      <c r="F307" s="64"/>
      <c r="G307" s="64"/>
      <c r="H307" s="64"/>
      <c r="I307" s="64"/>
      <c r="J307" s="64"/>
      <c r="K307" s="64"/>
      <c r="L307" s="64"/>
      <c r="M307" s="64"/>
      <c r="N307" s="64"/>
      <c r="O307" s="64"/>
      <c r="P307" s="64"/>
      <c r="Q307" s="64"/>
      <c r="R307" s="64"/>
      <c r="S307" s="64"/>
      <c r="T307" s="64"/>
      <c r="U307" s="64"/>
      <c r="V307" s="64"/>
      <c r="W307" s="64"/>
    </row>
    <row r="308" spans="1:23" ht="15.75" customHeight="1">
      <c r="A308" s="137"/>
      <c r="B308" s="64"/>
      <c r="C308" s="140"/>
      <c r="D308" s="64"/>
      <c r="E308" s="64"/>
      <c r="F308" s="64"/>
      <c r="G308" s="64"/>
      <c r="H308" s="64"/>
      <c r="I308" s="64"/>
      <c r="J308" s="64"/>
      <c r="K308" s="64"/>
      <c r="L308" s="64"/>
      <c r="M308" s="64"/>
      <c r="N308" s="64"/>
      <c r="O308" s="64"/>
      <c r="P308" s="64"/>
      <c r="Q308" s="64"/>
      <c r="R308" s="64"/>
      <c r="S308" s="64"/>
      <c r="T308" s="64"/>
      <c r="U308" s="64"/>
      <c r="V308" s="64"/>
      <c r="W308" s="64"/>
    </row>
    <row r="309" spans="1:23" ht="15.75" customHeight="1">
      <c r="A309" s="137"/>
      <c r="B309" s="64"/>
      <c r="C309" s="140"/>
      <c r="D309" s="64"/>
      <c r="E309" s="64"/>
      <c r="F309" s="64"/>
      <c r="G309" s="64"/>
      <c r="H309" s="64"/>
      <c r="I309" s="64"/>
      <c r="J309" s="64"/>
      <c r="K309" s="64"/>
      <c r="L309" s="64"/>
      <c r="M309" s="64"/>
      <c r="N309" s="64"/>
      <c r="O309" s="64"/>
      <c r="P309" s="64"/>
      <c r="Q309" s="64"/>
      <c r="R309" s="64"/>
      <c r="S309" s="64"/>
      <c r="T309" s="64"/>
      <c r="U309" s="64"/>
      <c r="V309" s="64"/>
      <c r="W309" s="64"/>
    </row>
    <row r="310" spans="1:23" ht="15.75" customHeight="1">
      <c r="A310" s="137"/>
      <c r="B310" s="64"/>
      <c r="C310" s="140"/>
      <c r="D310" s="64"/>
      <c r="E310" s="64"/>
      <c r="F310" s="64"/>
      <c r="G310" s="64"/>
      <c r="H310" s="64"/>
      <c r="I310" s="64"/>
      <c r="J310" s="64"/>
      <c r="K310" s="64"/>
      <c r="L310" s="64"/>
      <c r="M310" s="64"/>
      <c r="N310" s="64"/>
      <c r="O310" s="64"/>
      <c r="P310" s="64"/>
      <c r="Q310" s="64"/>
      <c r="R310" s="64"/>
      <c r="S310" s="64"/>
      <c r="T310" s="64"/>
      <c r="U310" s="64"/>
      <c r="V310" s="64"/>
      <c r="W310" s="64"/>
    </row>
    <row r="311" spans="1:23" ht="15.75" customHeight="1">
      <c r="A311" s="137"/>
      <c r="B311" s="64"/>
      <c r="C311" s="140"/>
      <c r="D311" s="64"/>
      <c r="E311" s="64"/>
      <c r="F311" s="64"/>
      <c r="G311" s="64"/>
      <c r="H311" s="64"/>
      <c r="I311" s="64"/>
      <c r="J311" s="64"/>
      <c r="K311" s="64"/>
      <c r="L311" s="64"/>
      <c r="M311" s="64"/>
      <c r="N311" s="64"/>
      <c r="O311" s="64"/>
      <c r="P311" s="64"/>
      <c r="Q311" s="64"/>
      <c r="R311" s="64"/>
      <c r="S311" s="64"/>
      <c r="T311" s="64"/>
      <c r="U311" s="64"/>
      <c r="V311" s="64"/>
      <c r="W311" s="64"/>
    </row>
    <row r="312" spans="1:23" ht="15.75" customHeight="1">
      <c r="A312" s="137"/>
      <c r="B312" s="64"/>
      <c r="C312" s="140"/>
      <c r="D312" s="64"/>
      <c r="E312" s="64"/>
      <c r="F312" s="64"/>
      <c r="G312" s="64"/>
      <c r="H312" s="64"/>
      <c r="I312" s="64"/>
      <c r="J312" s="64"/>
      <c r="K312" s="64"/>
      <c r="L312" s="64"/>
      <c r="M312" s="64"/>
      <c r="N312" s="64"/>
      <c r="O312" s="64"/>
      <c r="P312" s="64"/>
      <c r="Q312" s="64"/>
      <c r="R312" s="64"/>
      <c r="S312" s="64"/>
      <c r="T312" s="64"/>
      <c r="U312" s="64"/>
      <c r="V312" s="64"/>
      <c r="W312" s="64"/>
    </row>
    <row r="313" spans="1:23" ht="15.75" customHeight="1">
      <c r="A313" s="137"/>
      <c r="B313" s="64"/>
      <c r="C313" s="140"/>
      <c r="D313" s="64"/>
      <c r="E313" s="64"/>
      <c r="F313" s="64"/>
      <c r="G313" s="64"/>
      <c r="H313" s="64"/>
      <c r="I313" s="64"/>
      <c r="J313" s="64"/>
      <c r="K313" s="64"/>
      <c r="L313" s="64"/>
      <c r="M313" s="64"/>
      <c r="N313" s="64"/>
      <c r="O313" s="64"/>
      <c r="P313" s="64"/>
      <c r="Q313" s="64"/>
      <c r="R313" s="64"/>
      <c r="S313" s="64"/>
      <c r="T313" s="64"/>
      <c r="U313" s="64"/>
      <c r="V313" s="64"/>
      <c r="W313" s="64"/>
    </row>
    <row r="314" spans="1:23" ht="15.75" customHeight="1">
      <c r="A314" s="137"/>
      <c r="B314" s="64"/>
      <c r="C314" s="140"/>
      <c r="D314" s="64"/>
      <c r="E314" s="64"/>
      <c r="F314" s="64"/>
      <c r="G314" s="64"/>
      <c r="H314" s="64"/>
      <c r="I314" s="64"/>
      <c r="J314" s="64"/>
      <c r="K314" s="64"/>
      <c r="L314" s="64"/>
      <c r="M314" s="64"/>
      <c r="N314" s="64"/>
      <c r="O314" s="64"/>
      <c r="P314" s="64"/>
      <c r="Q314" s="64"/>
      <c r="R314" s="64"/>
      <c r="S314" s="64"/>
      <c r="T314" s="64"/>
      <c r="U314" s="64"/>
      <c r="V314" s="64"/>
      <c r="W314" s="64"/>
    </row>
    <row r="315" spans="1:23" ht="15.75" customHeight="1">
      <c r="A315" s="137"/>
      <c r="B315" s="64"/>
      <c r="C315" s="140"/>
      <c r="D315" s="64"/>
      <c r="E315" s="64"/>
      <c r="F315" s="64"/>
      <c r="G315" s="64"/>
      <c r="H315" s="64"/>
      <c r="I315" s="64"/>
      <c r="J315" s="64"/>
      <c r="K315" s="64"/>
      <c r="L315" s="64"/>
      <c r="M315" s="64"/>
      <c r="N315" s="64"/>
      <c r="O315" s="64"/>
      <c r="P315" s="64"/>
      <c r="Q315" s="64"/>
      <c r="R315" s="64"/>
      <c r="S315" s="64"/>
      <c r="T315" s="64"/>
      <c r="U315" s="64"/>
      <c r="V315" s="64"/>
      <c r="W315" s="64"/>
    </row>
    <row r="316" spans="1:23" ht="15.75" customHeight="1">
      <c r="A316" s="137"/>
      <c r="B316" s="64"/>
      <c r="C316" s="140"/>
      <c r="D316" s="64"/>
      <c r="E316" s="64"/>
      <c r="F316" s="64"/>
      <c r="G316" s="64"/>
      <c r="H316" s="64"/>
      <c r="I316" s="64"/>
      <c r="J316" s="64"/>
      <c r="K316" s="64"/>
      <c r="L316" s="64"/>
      <c r="M316" s="64"/>
      <c r="N316" s="64"/>
      <c r="O316" s="64"/>
      <c r="P316" s="64"/>
      <c r="Q316" s="64"/>
      <c r="R316" s="64"/>
      <c r="S316" s="64"/>
      <c r="T316" s="64"/>
      <c r="U316" s="64"/>
      <c r="V316" s="64"/>
      <c r="W316" s="64"/>
    </row>
    <row r="317" spans="1:23" ht="15.75" customHeight="1">
      <c r="A317" s="137"/>
      <c r="B317" s="64"/>
      <c r="C317" s="140"/>
      <c r="D317" s="64"/>
      <c r="E317" s="64"/>
      <c r="F317" s="64"/>
      <c r="G317" s="64"/>
      <c r="H317" s="64"/>
      <c r="I317" s="64"/>
      <c r="J317" s="64"/>
      <c r="K317" s="64"/>
      <c r="L317" s="64"/>
      <c r="M317" s="64"/>
      <c r="N317" s="64"/>
      <c r="O317" s="64"/>
      <c r="P317" s="64"/>
      <c r="Q317" s="64"/>
      <c r="R317" s="64"/>
      <c r="S317" s="64"/>
      <c r="T317" s="64"/>
      <c r="U317" s="64"/>
      <c r="V317" s="64"/>
      <c r="W317" s="64"/>
    </row>
    <row r="318" spans="1:23" ht="15.75" customHeight="1">
      <c r="A318" s="137"/>
      <c r="B318" s="64"/>
      <c r="C318" s="140"/>
      <c r="D318" s="64"/>
      <c r="E318" s="64"/>
      <c r="F318" s="64"/>
      <c r="G318" s="64"/>
      <c r="H318" s="64"/>
      <c r="I318" s="64"/>
      <c r="J318" s="64"/>
      <c r="K318" s="64"/>
      <c r="L318" s="64"/>
      <c r="M318" s="64"/>
      <c r="N318" s="64"/>
      <c r="O318" s="64"/>
      <c r="P318" s="64"/>
      <c r="Q318" s="64"/>
      <c r="R318" s="64"/>
      <c r="S318" s="64"/>
      <c r="T318" s="64"/>
      <c r="U318" s="64"/>
      <c r="V318" s="64"/>
      <c r="W318" s="64"/>
    </row>
    <row r="319" spans="1:23" ht="15.75" customHeight="1">
      <c r="A319" s="137"/>
      <c r="B319" s="64"/>
      <c r="C319" s="140"/>
      <c r="D319" s="64"/>
      <c r="E319" s="64"/>
      <c r="F319" s="64"/>
      <c r="G319" s="64"/>
      <c r="H319" s="64"/>
      <c r="I319" s="64"/>
      <c r="J319" s="64"/>
      <c r="K319" s="64"/>
      <c r="L319" s="64"/>
      <c r="M319" s="64"/>
      <c r="N319" s="64"/>
      <c r="O319" s="64"/>
      <c r="P319" s="64"/>
      <c r="Q319" s="64"/>
      <c r="R319" s="64"/>
      <c r="S319" s="64"/>
      <c r="T319" s="64"/>
      <c r="U319" s="64"/>
      <c r="V319" s="64"/>
      <c r="W319" s="64"/>
    </row>
    <row r="320" spans="1:23" ht="15.75" customHeight="1">
      <c r="A320" s="137"/>
      <c r="B320" s="64"/>
      <c r="C320" s="140"/>
      <c r="D320" s="64"/>
      <c r="E320" s="64"/>
      <c r="F320" s="64"/>
      <c r="G320" s="64"/>
      <c r="H320" s="64"/>
      <c r="I320" s="64"/>
      <c r="J320" s="64"/>
      <c r="K320" s="64"/>
      <c r="L320" s="64"/>
      <c r="M320" s="64"/>
      <c r="N320" s="64"/>
      <c r="O320" s="64"/>
      <c r="P320" s="64"/>
      <c r="Q320" s="64"/>
      <c r="R320" s="64"/>
      <c r="S320" s="64"/>
      <c r="T320" s="64"/>
      <c r="U320" s="64"/>
      <c r="V320" s="64"/>
      <c r="W320" s="64"/>
    </row>
    <row r="321" spans="1:23" ht="15.75" customHeight="1">
      <c r="A321" s="137"/>
      <c r="B321" s="64"/>
      <c r="C321" s="140"/>
      <c r="D321" s="64"/>
      <c r="E321" s="64"/>
      <c r="F321" s="64"/>
      <c r="G321" s="64"/>
      <c r="H321" s="64"/>
      <c r="I321" s="64"/>
      <c r="J321" s="64"/>
      <c r="K321" s="64"/>
      <c r="L321" s="64"/>
      <c r="M321" s="64"/>
      <c r="N321" s="64"/>
      <c r="O321" s="64"/>
      <c r="P321" s="64"/>
      <c r="Q321" s="64"/>
      <c r="R321" s="64"/>
      <c r="S321" s="64"/>
      <c r="T321" s="64"/>
      <c r="U321" s="64"/>
      <c r="V321" s="64"/>
      <c r="W321" s="64"/>
    </row>
    <row r="322" spans="1:23" ht="15.75" customHeight="1">
      <c r="A322" s="137"/>
      <c r="B322" s="64"/>
      <c r="C322" s="140"/>
      <c r="D322" s="64"/>
      <c r="E322" s="64"/>
      <c r="F322" s="64"/>
      <c r="G322" s="64"/>
      <c r="H322" s="64"/>
      <c r="I322" s="64"/>
      <c r="J322" s="64"/>
      <c r="K322" s="64"/>
      <c r="L322" s="64"/>
      <c r="M322" s="64"/>
      <c r="N322" s="64"/>
      <c r="O322" s="64"/>
      <c r="P322" s="64"/>
      <c r="Q322" s="64"/>
      <c r="R322" s="64"/>
      <c r="S322" s="64"/>
      <c r="T322" s="64"/>
      <c r="U322" s="64"/>
      <c r="V322" s="64"/>
      <c r="W322" s="64"/>
    </row>
    <row r="323" spans="1:23" ht="15.75" customHeight="1">
      <c r="A323" s="137"/>
      <c r="B323" s="64"/>
      <c r="C323" s="140"/>
      <c r="D323" s="64"/>
      <c r="E323" s="64"/>
      <c r="F323" s="64"/>
      <c r="G323" s="64"/>
      <c r="H323" s="64"/>
      <c r="I323" s="64"/>
      <c r="J323" s="64"/>
      <c r="K323" s="64"/>
      <c r="L323" s="64"/>
      <c r="M323" s="64"/>
      <c r="N323" s="64"/>
      <c r="O323" s="64"/>
      <c r="P323" s="64"/>
      <c r="Q323" s="64"/>
      <c r="R323" s="64"/>
      <c r="S323" s="64"/>
      <c r="T323" s="64"/>
      <c r="U323" s="64"/>
      <c r="V323" s="64"/>
      <c r="W323" s="64"/>
    </row>
    <row r="324" spans="1:23" ht="15.75" customHeight="1">
      <c r="A324" s="137"/>
      <c r="B324" s="64"/>
      <c r="C324" s="140"/>
      <c r="D324" s="64"/>
      <c r="E324" s="64"/>
      <c r="F324" s="64"/>
      <c r="G324" s="64"/>
      <c r="H324" s="64"/>
      <c r="I324" s="64"/>
      <c r="J324" s="64"/>
      <c r="K324" s="64"/>
      <c r="L324" s="64"/>
      <c r="M324" s="64"/>
      <c r="N324" s="64"/>
      <c r="O324" s="64"/>
      <c r="P324" s="64"/>
      <c r="Q324" s="64"/>
      <c r="R324" s="64"/>
      <c r="S324" s="64"/>
      <c r="T324" s="64"/>
      <c r="U324" s="64"/>
      <c r="V324" s="64"/>
      <c r="W324" s="64"/>
    </row>
    <row r="325" spans="1:23" ht="15.75" customHeight="1">
      <c r="A325" s="137"/>
      <c r="B325" s="64"/>
      <c r="C325" s="140"/>
      <c r="D325" s="64"/>
      <c r="E325" s="64"/>
      <c r="F325" s="64"/>
      <c r="G325" s="64"/>
      <c r="H325" s="64"/>
      <c r="I325" s="64"/>
      <c r="J325" s="64"/>
      <c r="K325" s="64"/>
      <c r="L325" s="64"/>
      <c r="M325" s="64"/>
      <c r="N325" s="64"/>
      <c r="O325" s="64"/>
      <c r="P325" s="64"/>
      <c r="Q325" s="64"/>
      <c r="R325" s="64"/>
      <c r="S325" s="64"/>
      <c r="T325" s="64"/>
      <c r="U325" s="64"/>
      <c r="V325" s="64"/>
      <c r="W325" s="64"/>
    </row>
    <row r="326" spans="1:23" ht="15.75" customHeight="1">
      <c r="A326" s="137"/>
      <c r="B326" s="64"/>
      <c r="C326" s="140"/>
      <c r="D326" s="64"/>
      <c r="E326" s="64"/>
      <c r="F326" s="64"/>
      <c r="G326" s="64"/>
      <c r="H326" s="64"/>
      <c r="I326" s="64"/>
      <c r="J326" s="64"/>
      <c r="K326" s="64"/>
      <c r="L326" s="64"/>
      <c r="M326" s="64"/>
      <c r="N326" s="64"/>
      <c r="O326" s="64"/>
      <c r="P326" s="64"/>
      <c r="Q326" s="64"/>
      <c r="R326" s="64"/>
      <c r="S326" s="64"/>
      <c r="T326" s="64"/>
      <c r="U326" s="64"/>
      <c r="V326" s="64"/>
      <c r="W326" s="64"/>
    </row>
    <row r="327" spans="1:23" ht="15.75" customHeight="1">
      <c r="A327" s="137"/>
      <c r="B327" s="64"/>
      <c r="C327" s="140"/>
      <c r="D327" s="64"/>
      <c r="E327" s="64"/>
      <c r="F327" s="64"/>
      <c r="G327" s="64"/>
      <c r="H327" s="64"/>
      <c r="I327" s="64"/>
      <c r="J327" s="64"/>
      <c r="K327" s="64"/>
      <c r="L327" s="64"/>
      <c r="M327" s="64"/>
      <c r="N327" s="64"/>
      <c r="O327" s="64"/>
      <c r="P327" s="64"/>
      <c r="Q327" s="64"/>
      <c r="R327" s="64"/>
      <c r="S327" s="64"/>
      <c r="T327" s="64"/>
      <c r="U327" s="64"/>
      <c r="V327" s="64"/>
      <c r="W327" s="64"/>
    </row>
    <row r="328" spans="1:23" ht="15.75" customHeight="1">
      <c r="A328" s="137"/>
      <c r="B328" s="64"/>
      <c r="C328" s="140"/>
      <c r="D328" s="64"/>
      <c r="E328" s="64"/>
      <c r="F328" s="64"/>
      <c r="G328" s="64"/>
      <c r="H328" s="64"/>
      <c r="I328" s="64"/>
      <c r="J328" s="64"/>
      <c r="K328" s="64"/>
      <c r="L328" s="64"/>
      <c r="M328" s="64"/>
      <c r="N328" s="64"/>
      <c r="O328" s="64"/>
      <c r="P328" s="64"/>
      <c r="Q328" s="64"/>
      <c r="R328" s="64"/>
      <c r="S328" s="64"/>
      <c r="T328" s="64"/>
      <c r="U328" s="64"/>
      <c r="V328" s="64"/>
      <c r="W328" s="64"/>
    </row>
    <row r="329" spans="1:23" ht="15.75" customHeight="1">
      <c r="A329" s="137"/>
      <c r="B329" s="64"/>
      <c r="C329" s="140"/>
      <c r="D329" s="64"/>
      <c r="E329" s="64"/>
      <c r="F329" s="64"/>
      <c r="G329" s="64"/>
      <c r="H329" s="64"/>
      <c r="I329" s="64"/>
      <c r="J329" s="64"/>
      <c r="K329" s="64"/>
      <c r="L329" s="64"/>
      <c r="M329" s="64"/>
      <c r="N329" s="64"/>
      <c r="O329" s="64"/>
      <c r="P329" s="64"/>
      <c r="Q329" s="64"/>
      <c r="R329" s="64"/>
      <c r="S329" s="64"/>
      <c r="T329" s="64"/>
      <c r="U329" s="64"/>
      <c r="V329" s="64"/>
      <c r="W329" s="64"/>
    </row>
    <row r="330" spans="1:23" ht="15.75" customHeight="1">
      <c r="A330" s="137"/>
      <c r="B330" s="64"/>
      <c r="C330" s="140"/>
      <c r="D330" s="64"/>
      <c r="E330" s="64"/>
      <c r="F330" s="64"/>
      <c r="G330" s="64"/>
      <c r="H330" s="64"/>
      <c r="I330" s="64"/>
      <c r="J330" s="64"/>
      <c r="K330" s="64"/>
      <c r="L330" s="64"/>
      <c r="M330" s="64"/>
      <c r="N330" s="64"/>
      <c r="O330" s="64"/>
      <c r="P330" s="64"/>
      <c r="Q330" s="64"/>
      <c r="R330" s="64"/>
      <c r="S330" s="64"/>
      <c r="T330" s="64"/>
      <c r="U330" s="64"/>
      <c r="V330" s="64"/>
      <c r="W330" s="64"/>
    </row>
    <row r="331" spans="1:23" ht="15.75" customHeight="1">
      <c r="A331" s="137"/>
      <c r="B331" s="64"/>
      <c r="C331" s="140"/>
      <c r="D331" s="64"/>
      <c r="E331" s="64"/>
      <c r="F331" s="64"/>
      <c r="G331" s="64"/>
      <c r="H331" s="64"/>
      <c r="I331" s="64"/>
      <c r="J331" s="64"/>
      <c r="K331" s="64"/>
      <c r="L331" s="64"/>
      <c r="M331" s="64"/>
      <c r="N331" s="64"/>
      <c r="O331" s="64"/>
      <c r="P331" s="64"/>
      <c r="Q331" s="64"/>
      <c r="R331" s="64"/>
      <c r="S331" s="64"/>
      <c r="T331" s="64"/>
      <c r="U331" s="64"/>
      <c r="V331" s="64"/>
      <c r="W331" s="64"/>
    </row>
    <row r="332" spans="1:23" ht="15.75" customHeight="1">
      <c r="A332" s="137"/>
      <c r="B332" s="64"/>
      <c r="C332" s="140"/>
      <c r="D332" s="64"/>
      <c r="E332" s="64"/>
      <c r="F332" s="64"/>
      <c r="G332" s="64"/>
      <c r="H332" s="64"/>
      <c r="I332" s="64"/>
      <c r="J332" s="64"/>
      <c r="K332" s="64"/>
      <c r="L332" s="64"/>
      <c r="M332" s="64"/>
      <c r="N332" s="64"/>
      <c r="O332" s="64"/>
      <c r="P332" s="64"/>
      <c r="Q332" s="64"/>
      <c r="R332" s="64"/>
      <c r="S332" s="64"/>
      <c r="T332" s="64"/>
      <c r="U332" s="64"/>
      <c r="V332" s="64"/>
      <c r="W332" s="64"/>
    </row>
    <row r="333" spans="1:23" ht="15.75" customHeight="1">
      <c r="A333" s="137"/>
      <c r="B333" s="64"/>
      <c r="C333" s="140"/>
      <c r="D333" s="64"/>
      <c r="E333" s="64"/>
      <c r="F333" s="64"/>
      <c r="G333" s="64"/>
      <c r="H333" s="64"/>
      <c r="I333" s="64"/>
      <c r="J333" s="64"/>
      <c r="K333" s="64"/>
      <c r="L333" s="64"/>
      <c r="M333" s="64"/>
      <c r="N333" s="64"/>
      <c r="O333" s="64"/>
      <c r="P333" s="64"/>
      <c r="Q333" s="64"/>
      <c r="R333" s="64"/>
      <c r="S333" s="64"/>
      <c r="T333" s="64"/>
      <c r="U333" s="64"/>
      <c r="V333" s="64"/>
      <c r="W333" s="64"/>
    </row>
    <row r="334" spans="1:23" ht="15.75" customHeight="1">
      <c r="A334" s="137"/>
      <c r="B334" s="64"/>
      <c r="C334" s="140"/>
      <c r="D334" s="64"/>
      <c r="E334" s="64"/>
      <c r="F334" s="64"/>
      <c r="G334" s="64"/>
      <c r="H334" s="64"/>
      <c r="I334" s="64"/>
      <c r="J334" s="64"/>
      <c r="K334" s="64"/>
      <c r="L334" s="64"/>
      <c r="M334" s="64"/>
      <c r="N334" s="64"/>
      <c r="O334" s="64"/>
      <c r="P334" s="64"/>
      <c r="Q334" s="64"/>
      <c r="R334" s="64"/>
      <c r="S334" s="64"/>
      <c r="T334" s="64"/>
      <c r="U334" s="64"/>
      <c r="V334" s="64"/>
      <c r="W334" s="64"/>
    </row>
    <row r="335" spans="1:23" ht="15.75" customHeight="1">
      <c r="A335" s="137"/>
      <c r="B335" s="64"/>
      <c r="C335" s="140"/>
      <c r="D335" s="64"/>
      <c r="E335" s="64"/>
      <c r="F335" s="64"/>
      <c r="G335" s="64"/>
      <c r="H335" s="64"/>
      <c r="I335" s="64"/>
      <c r="J335" s="64"/>
      <c r="K335" s="64"/>
      <c r="L335" s="64"/>
      <c r="M335" s="64"/>
      <c r="N335" s="64"/>
      <c r="O335" s="64"/>
      <c r="P335" s="64"/>
      <c r="Q335" s="64"/>
      <c r="R335" s="64"/>
      <c r="S335" s="64"/>
      <c r="T335" s="64"/>
      <c r="U335" s="64"/>
      <c r="V335" s="64"/>
      <c r="W335" s="64"/>
    </row>
    <row r="336" spans="1:23" ht="15.75" customHeight="1">
      <c r="A336" s="137"/>
      <c r="B336" s="64"/>
      <c r="C336" s="140"/>
      <c r="D336" s="64"/>
      <c r="E336" s="64"/>
      <c r="F336" s="64"/>
      <c r="G336" s="64"/>
      <c r="H336" s="64"/>
      <c r="I336" s="64"/>
      <c r="J336" s="64"/>
      <c r="K336" s="64"/>
      <c r="L336" s="64"/>
      <c r="M336" s="64"/>
      <c r="N336" s="64"/>
      <c r="O336" s="64"/>
      <c r="P336" s="64"/>
      <c r="Q336" s="64"/>
      <c r="R336" s="64"/>
      <c r="S336" s="64"/>
      <c r="T336" s="64"/>
      <c r="U336" s="64"/>
      <c r="V336" s="64"/>
      <c r="W336" s="64"/>
    </row>
    <row r="337" spans="1:23" ht="15.75" customHeight="1">
      <c r="A337" s="137"/>
      <c r="B337" s="64"/>
      <c r="C337" s="140"/>
      <c r="D337" s="64"/>
      <c r="E337" s="64"/>
      <c r="F337" s="64"/>
      <c r="G337" s="64"/>
      <c r="H337" s="64"/>
      <c r="I337" s="64"/>
      <c r="J337" s="64"/>
      <c r="K337" s="64"/>
      <c r="L337" s="64"/>
      <c r="M337" s="64"/>
      <c r="N337" s="64"/>
      <c r="O337" s="64"/>
      <c r="P337" s="64"/>
      <c r="Q337" s="64"/>
      <c r="R337" s="64"/>
      <c r="S337" s="64"/>
      <c r="T337" s="64"/>
      <c r="U337" s="64"/>
      <c r="V337" s="64"/>
      <c r="W337" s="64"/>
    </row>
    <row r="338" spans="1:23" ht="15.75" customHeight="1">
      <c r="A338" s="137"/>
      <c r="B338" s="64"/>
      <c r="C338" s="140"/>
      <c r="D338" s="64"/>
      <c r="E338" s="64"/>
      <c r="F338" s="64"/>
      <c r="G338" s="64"/>
      <c r="H338" s="64"/>
      <c r="I338" s="64"/>
      <c r="J338" s="64"/>
      <c r="K338" s="64"/>
      <c r="L338" s="64"/>
      <c r="M338" s="64"/>
      <c r="N338" s="64"/>
      <c r="O338" s="64"/>
      <c r="P338" s="64"/>
      <c r="Q338" s="64"/>
      <c r="R338" s="64"/>
      <c r="S338" s="64"/>
      <c r="T338" s="64"/>
      <c r="U338" s="64"/>
      <c r="V338" s="64"/>
      <c r="W338" s="64"/>
    </row>
    <row r="339" spans="1:23" ht="15.75" customHeight="1">
      <c r="A339" s="137"/>
      <c r="B339" s="64"/>
      <c r="C339" s="140"/>
      <c r="D339" s="64"/>
      <c r="E339" s="64"/>
      <c r="F339" s="64"/>
      <c r="G339" s="64"/>
      <c r="H339" s="64"/>
      <c r="I339" s="64"/>
      <c r="J339" s="64"/>
      <c r="K339" s="64"/>
      <c r="L339" s="64"/>
      <c r="M339" s="64"/>
      <c r="N339" s="64"/>
      <c r="O339" s="64"/>
      <c r="P339" s="64"/>
      <c r="Q339" s="64"/>
      <c r="R339" s="64"/>
      <c r="S339" s="64"/>
      <c r="T339" s="64"/>
      <c r="U339" s="64"/>
      <c r="V339" s="64"/>
      <c r="W339" s="64"/>
    </row>
    <row r="340" spans="1:23" ht="15.75" customHeight="1">
      <c r="A340" s="137"/>
      <c r="B340" s="64"/>
      <c r="C340" s="140"/>
      <c r="D340" s="64"/>
      <c r="E340" s="64"/>
      <c r="F340" s="64"/>
      <c r="G340" s="64"/>
      <c r="H340" s="64"/>
      <c r="I340" s="64"/>
      <c r="J340" s="64"/>
      <c r="K340" s="64"/>
      <c r="L340" s="64"/>
      <c r="M340" s="64"/>
      <c r="N340" s="64"/>
      <c r="O340" s="64"/>
      <c r="P340" s="64"/>
      <c r="Q340" s="64"/>
      <c r="R340" s="64"/>
      <c r="S340" s="64"/>
      <c r="T340" s="64"/>
      <c r="U340" s="64"/>
      <c r="V340" s="64"/>
      <c r="W340" s="64"/>
    </row>
    <row r="341" spans="1:23" ht="15.75" customHeight="1">
      <c r="A341" s="137"/>
      <c r="B341" s="64"/>
      <c r="C341" s="140"/>
      <c r="D341" s="64"/>
      <c r="E341" s="64"/>
      <c r="F341" s="64"/>
      <c r="G341" s="64"/>
      <c r="H341" s="64"/>
      <c r="I341" s="64"/>
      <c r="J341" s="64"/>
      <c r="K341" s="64"/>
      <c r="L341" s="64"/>
      <c r="M341" s="64"/>
      <c r="N341" s="64"/>
      <c r="O341" s="64"/>
      <c r="P341" s="64"/>
      <c r="Q341" s="64"/>
      <c r="R341" s="64"/>
      <c r="S341" s="64"/>
      <c r="T341" s="64"/>
      <c r="U341" s="64"/>
      <c r="V341" s="64"/>
      <c r="W341" s="64"/>
    </row>
    <row r="342" spans="1:23" ht="15.75" customHeight="1">
      <c r="A342" s="137"/>
      <c r="B342" s="64"/>
      <c r="C342" s="140"/>
      <c r="D342" s="64"/>
      <c r="E342" s="64"/>
      <c r="F342" s="64"/>
      <c r="G342" s="64"/>
      <c r="H342" s="64"/>
      <c r="I342" s="64"/>
      <c r="J342" s="64"/>
      <c r="K342" s="64"/>
      <c r="L342" s="64"/>
      <c r="M342" s="64"/>
      <c r="N342" s="64"/>
      <c r="O342" s="64"/>
      <c r="P342" s="64"/>
      <c r="Q342" s="64"/>
      <c r="R342" s="64"/>
      <c r="S342" s="64"/>
      <c r="T342" s="64"/>
      <c r="U342" s="64"/>
      <c r="V342" s="64"/>
      <c r="W342" s="64"/>
    </row>
    <row r="343" spans="1:23" ht="15.75" customHeight="1">
      <c r="A343" s="137"/>
      <c r="B343" s="64"/>
      <c r="C343" s="140"/>
      <c r="D343" s="64"/>
      <c r="E343" s="64"/>
      <c r="F343" s="64"/>
      <c r="G343" s="64"/>
      <c r="H343" s="64"/>
      <c r="I343" s="64"/>
      <c r="J343" s="64"/>
      <c r="K343" s="64"/>
      <c r="L343" s="64"/>
      <c r="M343" s="64"/>
      <c r="N343" s="64"/>
      <c r="O343" s="64"/>
      <c r="P343" s="64"/>
      <c r="Q343" s="64"/>
      <c r="R343" s="64"/>
      <c r="S343" s="64"/>
      <c r="T343" s="64"/>
      <c r="U343" s="64"/>
      <c r="V343" s="64"/>
      <c r="W343" s="64"/>
    </row>
    <row r="344" spans="1:23" ht="15.75" customHeight="1">
      <c r="A344" s="137"/>
      <c r="B344" s="64"/>
      <c r="C344" s="140"/>
      <c r="D344" s="64"/>
      <c r="E344" s="64"/>
      <c r="F344" s="64"/>
      <c r="G344" s="64"/>
      <c r="H344" s="64"/>
      <c r="I344" s="64"/>
      <c r="J344" s="64"/>
      <c r="K344" s="64"/>
      <c r="L344" s="64"/>
      <c r="M344" s="64"/>
      <c r="N344" s="64"/>
      <c r="O344" s="64"/>
      <c r="P344" s="64"/>
      <c r="Q344" s="64"/>
      <c r="R344" s="64"/>
      <c r="S344" s="64"/>
      <c r="T344" s="64"/>
      <c r="U344" s="64"/>
      <c r="V344" s="64"/>
      <c r="W344" s="64"/>
    </row>
    <row r="345" spans="1:23" ht="15.75" customHeight="1">
      <c r="A345" s="137"/>
      <c r="B345" s="64"/>
      <c r="C345" s="140"/>
      <c r="D345" s="64"/>
      <c r="E345" s="64"/>
      <c r="F345" s="64"/>
      <c r="G345" s="64"/>
      <c r="H345" s="64"/>
      <c r="I345" s="64"/>
      <c r="J345" s="64"/>
      <c r="K345" s="64"/>
      <c r="L345" s="64"/>
      <c r="M345" s="64"/>
      <c r="N345" s="64"/>
      <c r="O345" s="64"/>
      <c r="P345" s="64"/>
      <c r="Q345" s="64"/>
      <c r="R345" s="64"/>
      <c r="S345" s="64"/>
      <c r="T345" s="64"/>
      <c r="U345" s="64"/>
      <c r="V345" s="64"/>
      <c r="W345" s="64"/>
    </row>
    <row r="346" spans="1:23" ht="15.75" customHeight="1">
      <c r="A346" s="137"/>
      <c r="B346" s="64"/>
      <c r="C346" s="140"/>
      <c r="D346" s="64"/>
      <c r="E346" s="64"/>
      <c r="F346" s="64"/>
      <c r="G346" s="64"/>
      <c r="H346" s="64"/>
      <c r="I346" s="64"/>
      <c r="J346" s="64"/>
      <c r="K346" s="64"/>
      <c r="L346" s="64"/>
      <c r="M346" s="64"/>
      <c r="N346" s="64"/>
      <c r="O346" s="64"/>
      <c r="P346" s="64"/>
      <c r="Q346" s="64"/>
      <c r="R346" s="64"/>
      <c r="S346" s="64"/>
      <c r="T346" s="64"/>
      <c r="U346" s="64"/>
      <c r="V346" s="64"/>
      <c r="W346" s="64"/>
    </row>
    <row r="347" spans="1:23" ht="15.75" customHeight="1">
      <c r="A347" s="137"/>
      <c r="B347" s="64"/>
      <c r="C347" s="140"/>
      <c r="D347" s="64"/>
      <c r="E347" s="64"/>
      <c r="F347" s="64"/>
      <c r="G347" s="64"/>
      <c r="H347" s="64"/>
      <c r="I347" s="64"/>
      <c r="J347" s="64"/>
      <c r="K347" s="64"/>
      <c r="L347" s="64"/>
      <c r="M347" s="64"/>
      <c r="N347" s="64"/>
      <c r="O347" s="64"/>
      <c r="P347" s="64"/>
      <c r="Q347" s="64"/>
      <c r="R347" s="64"/>
      <c r="S347" s="64"/>
      <c r="T347" s="64"/>
      <c r="U347" s="64"/>
      <c r="V347" s="64"/>
      <c r="W347" s="64"/>
    </row>
    <row r="348" spans="1:23" ht="15.75" customHeight="1">
      <c r="A348" s="137"/>
      <c r="B348" s="64"/>
      <c r="C348" s="140"/>
      <c r="D348" s="64"/>
      <c r="E348" s="64"/>
      <c r="F348" s="64"/>
      <c r="G348" s="64"/>
      <c r="H348" s="64"/>
      <c r="I348" s="64"/>
      <c r="J348" s="64"/>
      <c r="K348" s="64"/>
      <c r="L348" s="64"/>
      <c r="M348" s="64"/>
      <c r="N348" s="64"/>
      <c r="O348" s="64"/>
      <c r="P348" s="64"/>
      <c r="Q348" s="64"/>
      <c r="R348" s="64"/>
      <c r="S348" s="64"/>
      <c r="T348" s="64"/>
      <c r="U348" s="64"/>
      <c r="V348" s="64"/>
      <c r="W348" s="64"/>
    </row>
    <row r="349" spans="1:23" ht="15.75" customHeight="1">
      <c r="A349" s="137"/>
      <c r="B349" s="64"/>
      <c r="C349" s="140"/>
      <c r="D349" s="64"/>
      <c r="E349" s="64"/>
      <c r="F349" s="64"/>
      <c r="G349" s="64"/>
      <c r="H349" s="64"/>
      <c r="I349" s="64"/>
      <c r="J349" s="64"/>
      <c r="K349" s="64"/>
      <c r="L349" s="64"/>
      <c r="M349" s="64"/>
      <c r="N349" s="64"/>
      <c r="O349" s="64"/>
      <c r="P349" s="64"/>
      <c r="Q349" s="64"/>
      <c r="R349" s="64"/>
      <c r="S349" s="64"/>
      <c r="T349" s="64"/>
      <c r="U349" s="64"/>
      <c r="V349" s="64"/>
      <c r="W349" s="64"/>
    </row>
    <row r="350" spans="1:23" ht="15.75" customHeight="1">
      <c r="A350" s="137"/>
      <c r="B350" s="64"/>
      <c r="C350" s="140"/>
      <c r="D350" s="64"/>
      <c r="E350" s="64"/>
      <c r="F350" s="64"/>
      <c r="G350" s="64"/>
      <c r="H350" s="64"/>
      <c r="I350" s="64"/>
      <c r="J350" s="64"/>
      <c r="K350" s="64"/>
      <c r="L350" s="64"/>
      <c r="M350" s="64"/>
      <c r="N350" s="64"/>
      <c r="O350" s="64"/>
      <c r="P350" s="64"/>
      <c r="Q350" s="64"/>
      <c r="R350" s="64"/>
      <c r="S350" s="64"/>
      <c r="T350" s="64"/>
      <c r="U350" s="64"/>
      <c r="V350" s="64"/>
      <c r="W350" s="64"/>
    </row>
    <row r="351" spans="1:23" ht="15.75" customHeight="1">
      <c r="A351" s="137"/>
      <c r="B351" s="64"/>
      <c r="C351" s="140"/>
      <c r="D351" s="64"/>
      <c r="E351" s="64"/>
      <c r="F351" s="64"/>
      <c r="G351" s="64"/>
      <c r="H351" s="64"/>
      <c r="I351" s="64"/>
      <c r="J351" s="64"/>
      <c r="K351" s="64"/>
      <c r="L351" s="64"/>
      <c r="M351" s="64"/>
      <c r="N351" s="64"/>
      <c r="O351" s="64"/>
      <c r="P351" s="64"/>
      <c r="Q351" s="64"/>
      <c r="R351" s="64"/>
      <c r="S351" s="64"/>
      <c r="T351" s="64"/>
      <c r="U351" s="64"/>
      <c r="V351" s="64"/>
      <c r="W351" s="64"/>
    </row>
    <row r="352" spans="1:23" ht="15.75" customHeight="1">
      <c r="A352" s="137"/>
      <c r="B352" s="64"/>
      <c r="C352" s="140"/>
      <c r="D352" s="64"/>
      <c r="E352" s="64"/>
      <c r="F352" s="64"/>
      <c r="G352" s="64"/>
      <c r="H352" s="64"/>
      <c r="I352" s="64"/>
      <c r="J352" s="64"/>
      <c r="K352" s="64"/>
      <c r="L352" s="64"/>
      <c r="M352" s="64"/>
      <c r="N352" s="64"/>
      <c r="O352" s="64"/>
      <c r="P352" s="64"/>
      <c r="Q352" s="64"/>
      <c r="R352" s="64"/>
      <c r="S352" s="64"/>
      <c r="T352" s="64"/>
      <c r="U352" s="64"/>
      <c r="V352" s="64"/>
      <c r="W352" s="64"/>
    </row>
    <row r="353" spans="1:23" ht="15.75" customHeight="1">
      <c r="A353" s="137"/>
      <c r="B353" s="64"/>
      <c r="C353" s="140"/>
      <c r="D353" s="64"/>
      <c r="E353" s="64"/>
      <c r="F353" s="64"/>
      <c r="G353" s="64"/>
      <c r="H353" s="64"/>
      <c r="I353" s="64"/>
      <c r="J353" s="64"/>
      <c r="K353" s="64"/>
      <c r="L353" s="64"/>
      <c r="M353" s="64"/>
      <c r="N353" s="64"/>
      <c r="O353" s="64"/>
      <c r="P353" s="64"/>
      <c r="Q353" s="64"/>
      <c r="R353" s="64"/>
      <c r="S353" s="64"/>
      <c r="T353" s="64"/>
      <c r="U353" s="64"/>
      <c r="V353" s="64"/>
      <c r="W353" s="64"/>
    </row>
    <row r="354" spans="1:23" ht="15.75" customHeight="1">
      <c r="A354" s="137"/>
      <c r="B354" s="64"/>
      <c r="C354" s="140"/>
      <c r="D354" s="64"/>
      <c r="E354" s="64"/>
      <c r="F354" s="64"/>
      <c r="G354" s="64"/>
      <c r="H354" s="64"/>
      <c r="I354" s="64"/>
      <c r="J354" s="64"/>
      <c r="K354" s="64"/>
      <c r="L354" s="64"/>
      <c r="M354" s="64"/>
      <c r="N354" s="64"/>
      <c r="O354" s="64"/>
      <c r="P354" s="64"/>
      <c r="Q354" s="64"/>
      <c r="R354" s="64"/>
      <c r="S354" s="64"/>
      <c r="T354" s="64"/>
      <c r="U354" s="64"/>
      <c r="V354" s="64"/>
      <c r="W354" s="64"/>
    </row>
    <row r="355" spans="1:23" ht="15.75" customHeight="1">
      <c r="A355" s="137"/>
      <c r="B355" s="64"/>
      <c r="C355" s="140"/>
      <c r="D355" s="64"/>
      <c r="E355" s="64"/>
      <c r="F355" s="64"/>
      <c r="G355" s="64"/>
      <c r="H355" s="64"/>
      <c r="I355" s="64"/>
      <c r="J355" s="64"/>
      <c r="K355" s="64"/>
      <c r="L355" s="64"/>
      <c r="M355" s="64"/>
      <c r="N355" s="64"/>
      <c r="O355" s="64"/>
      <c r="P355" s="64"/>
      <c r="Q355" s="64"/>
      <c r="R355" s="64"/>
      <c r="S355" s="64"/>
      <c r="T355" s="64"/>
      <c r="U355" s="64"/>
      <c r="V355" s="64"/>
      <c r="W355" s="64"/>
    </row>
    <row r="356" spans="1:23" ht="15.75" customHeight="1">
      <c r="A356" s="137"/>
      <c r="B356" s="64"/>
      <c r="C356" s="140"/>
      <c r="D356" s="64"/>
      <c r="E356" s="64"/>
      <c r="F356" s="64"/>
      <c r="G356" s="64"/>
      <c r="H356" s="64"/>
      <c r="I356" s="64"/>
      <c r="J356" s="64"/>
      <c r="K356" s="64"/>
      <c r="L356" s="64"/>
      <c r="M356" s="64"/>
      <c r="N356" s="64"/>
      <c r="O356" s="64"/>
      <c r="P356" s="64"/>
      <c r="Q356" s="64"/>
      <c r="R356" s="64"/>
      <c r="S356" s="64"/>
      <c r="T356" s="64"/>
      <c r="U356" s="64"/>
      <c r="V356" s="64"/>
      <c r="W356" s="64"/>
    </row>
    <row r="357" spans="1:23" ht="15.75" customHeight="1">
      <c r="A357" s="137"/>
      <c r="B357" s="64"/>
      <c r="C357" s="140"/>
      <c r="D357" s="64"/>
      <c r="E357" s="64"/>
      <c r="F357" s="64"/>
      <c r="G357" s="64"/>
      <c r="H357" s="64"/>
      <c r="I357" s="64"/>
      <c r="J357" s="64"/>
      <c r="K357" s="64"/>
      <c r="L357" s="64"/>
      <c r="M357" s="64"/>
      <c r="N357" s="64"/>
      <c r="O357" s="64"/>
      <c r="P357" s="64"/>
      <c r="Q357" s="64"/>
      <c r="R357" s="64"/>
      <c r="S357" s="64"/>
      <c r="T357" s="64"/>
      <c r="U357" s="64"/>
      <c r="V357" s="64"/>
      <c r="W357" s="64"/>
    </row>
    <row r="358" spans="1:23" ht="15.75" customHeight="1">
      <c r="A358" s="137"/>
      <c r="B358" s="64"/>
      <c r="C358" s="140"/>
      <c r="D358" s="64"/>
      <c r="E358" s="64"/>
      <c r="F358" s="64"/>
      <c r="G358" s="64"/>
      <c r="H358" s="64"/>
      <c r="I358" s="64"/>
      <c r="J358" s="64"/>
      <c r="K358" s="64"/>
      <c r="L358" s="64"/>
      <c r="M358" s="64"/>
      <c r="N358" s="64"/>
      <c r="O358" s="64"/>
      <c r="P358" s="64"/>
      <c r="Q358" s="64"/>
      <c r="R358" s="64"/>
      <c r="S358" s="64"/>
      <c r="T358" s="64"/>
      <c r="U358" s="64"/>
      <c r="V358" s="64"/>
      <c r="W358" s="64"/>
    </row>
    <row r="359" spans="1:23" ht="15.75" customHeight="1">
      <c r="A359" s="137"/>
      <c r="B359" s="64"/>
      <c r="C359" s="140"/>
      <c r="D359" s="64"/>
      <c r="E359" s="64"/>
      <c r="F359" s="64"/>
      <c r="G359" s="64"/>
      <c r="H359" s="64"/>
      <c r="I359" s="64"/>
      <c r="J359" s="64"/>
      <c r="K359" s="64"/>
      <c r="L359" s="64"/>
      <c r="M359" s="64"/>
      <c r="N359" s="64"/>
      <c r="O359" s="64"/>
      <c r="P359" s="64"/>
      <c r="Q359" s="64"/>
      <c r="R359" s="64"/>
      <c r="S359" s="64"/>
      <c r="T359" s="64"/>
      <c r="U359" s="64"/>
      <c r="V359" s="64"/>
      <c r="W359" s="64"/>
    </row>
    <row r="360" spans="1:23" ht="15.75" customHeight="1">
      <c r="A360" s="137"/>
      <c r="B360" s="64"/>
      <c r="C360" s="140"/>
      <c r="D360" s="64"/>
      <c r="E360" s="64"/>
      <c r="F360" s="64"/>
      <c r="G360" s="64"/>
      <c r="H360" s="64"/>
      <c r="I360" s="64"/>
      <c r="J360" s="64"/>
      <c r="K360" s="64"/>
      <c r="L360" s="64"/>
      <c r="M360" s="64"/>
      <c r="N360" s="64"/>
      <c r="O360" s="64"/>
      <c r="P360" s="64"/>
      <c r="Q360" s="64"/>
      <c r="R360" s="64"/>
      <c r="S360" s="64"/>
      <c r="T360" s="64"/>
      <c r="U360" s="64"/>
      <c r="V360" s="64"/>
      <c r="W360" s="64"/>
    </row>
    <row r="361" spans="1:23" ht="15.75" customHeight="1">
      <c r="A361" s="137"/>
      <c r="B361" s="64"/>
      <c r="C361" s="140"/>
      <c r="D361" s="64"/>
      <c r="E361" s="64"/>
      <c r="F361" s="64"/>
      <c r="G361" s="64"/>
      <c r="H361" s="64"/>
      <c r="I361" s="64"/>
      <c r="J361" s="64"/>
      <c r="K361" s="64"/>
      <c r="L361" s="64"/>
      <c r="M361" s="64"/>
      <c r="N361" s="64"/>
      <c r="O361" s="64"/>
      <c r="P361" s="64"/>
      <c r="Q361" s="64"/>
      <c r="R361" s="64"/>
      <c r="S361" s="64"/>
      <c r="T361" s="64"/>
      <c r="U361" s="64"/>
      <c r="V361" s="64"/>
      <c r="W361" s="64"/>
    </row>
    <row r="362" spans="1:23" ht="15.75" customHeight="1">
      <c r="A362" s="137"/>
      <c r="B362" s="64"/>
      <c r="C362" s="140"/>
      <c r="D362" s="64"/>
      <c r="E362" s="64"/>
      <c r="F362" s="64"/>
      <c r="G362" s="64"/>
      <c r="H362" s="64"/>
      <c r="I362" s="64"/>
      <c r="J362" s="64"/>
      <c r="K362" s="64"/>
      <c r="L362" s="64"/>
      <c r="M362" s="64"/>
      <c r="N362" s="64"/>
      <c r="O362" s="64"/>
      <c r="P362" s="64"/>
      <c r="Q362" s="64"/>
      <c r="R362" s="64"/>
      <c r="S362" s="64"/>
      <c r="T362" s="64"/>
      <c r="U362" s="64"/>
      <c r="V362" s="64"/>
      <c r="W362" s="64"/>
    </row>
    <row r="363" spans="1:23" ht="15.75" customHeight="1">
      <c r="A363" s="137"/>
      <c r="B363" s="64"/>
      <c r="C363" s="140"/>
      <c r="D363" s="64"/>
      <c r="E363" s="64"/>
      <c r="F363" s="64"/>
      <c r="G363" s="64"/>
      <c r="H363" s="64"/>
      <c r="I363" s="64"/>
      <c r="J363" s="64"/>
      <c r="K363" s="64"/>
      <c r="L363" s="64"/>
      <c r="M363" s="64"/>
      <c r="N363" s="64"/>
      <c r="O363" s="64"/>
      <c r="P363" s="64"/>
      <c r="Q363" s="64"/>
      <c r="R363" s="64"/>
      <c r="S363" s="64"/>
      <c r="T363" s="64"/>
      <c r="U363" s="64"/>
      <c r="V363" s="64"/>
      <c r="W363" s="64"/>
    </row>
    <row r="364" spans="1:23" ht="15.75" customHeight="1">
      <c r="A364" s="137"/>
      <c r="B364" s="64"/>
      <c r="C364" s="140"/>
      <c r="D364" s="64"/>
      <c r="E364" s="64"/>
      <c r="F364" s="64"/>
      <c r="G364" s="64"/>
      <c r="H364" s="64"/>
      <c r="I364" s="64"/>
      <c r="J364" s="64"/>
      <c r="K364" s="64"/>
      <c r="L364" s="64"/>
      <c r="M364" s="64"/>
      <c r="N364" s="64"/>
      <c r="O364" s="64"/>
      <c r="P364" s="64"/>
      <c r="Q364" s="64"/>
      <c r="R364" s="64"/>
      <c r="S364" s="64"/>
      <c r="T364" s="64"/>
      <c r="U364" s="64"/>
      <c r="V364" s="64"/>
      <c r="W364" s="64"/>
    </row>
    <row r="365" spans="1:23" ht="15.75" customHeight="1">
      <c r="A365" s="137"/>
      <c r="B365" s="64"/>
      <c r="C365" s="140"/>
      <c r="D365" s="64"/>
      <c r="E365" s="64"/>
      <c r="F365" s="64"/>
      <c r="G365" s="64"/>
      <c r="H365" s="64"/>
      <c r="I365" s="64"/>
      <c r="J365" s="64"/>
      <c r="K365" s="64"/>
      <c r="L365" s="64"/>
      <c r="M365" s="64"/>
      <c r="N365" s="64"/>
      <c r="O365" s="64"/>
      <c r="P365" s="64"/>
      <c r="Q365" s="64"/>
      <c r="R365" s="64"/>
      <c r="S365" s="64"/>
      <c r="T365" s="64"/>
      <c r="U365" s="64"/>
      <c r="V365" s="64"/>
      <c r="W365" s="64"/>
    </row>
    <row r="366" spans="1:23" ht="15.75" customHeight="1">
      <c r="A366" s="137"/>
      <c r="B366" s="64"/>
      <c r="C366" s="140"/>
      <c r="D366" s="64"/>
      <c r="E366" s="64"/>
      <c r="F366" s="64"/>
      <c r="G366" s="64"/>
      <c r="H366" s="64"/>
      <c r="I366" s="64"/>
      <c r="J366" s="64"/>
      <c r="K366" s="64"/>
      <c r="L366" s="64"/>
      <c r="M366" s="64"/>
      <c r="N366" s="64"/>
      <c r="O366" s="64"/>
      <c r="P366" s="64"/>
      <c r="Q366" s="64"/>
      <c r="R366" s="64"/>
      <c r="S366" s="64"/>
      <c r="T366" s="64"/>
      <c r="U366" s="64"/>
      <c r="V366" s="64"/>
      <c r="W366" s="64"/>
    </row>
    <row r="367" spans="1:23" ht="15.75" customHeight="1">
      <c r="A367" s="137"/>
      <c r="B367" s="64"/>
      <c r="C367" s="140"/>
      <c r="D367" s="64"/>
      <c r="E367" s="64"/>
      <c r="F367" s="64"/>
      <c r="G367" s="64"/>
      <c r="H367" s="64"/>
      <c r="I367" s="64"/>
      <c r="J367" s="64"/>
      <c r="K367" s="64"/>
      <c r="L367" s="64"/>
      <c r="M367" s="64"/>
      <c r="N367" s="64"/>
      <c r="O367" s="64"/>
      <c r="P367" s="64"/>
      <c r="Q367" s="64"/>
      <c r="R367" s="64"/>
      <c r="S367" s="64"/>
      <c r="T367" s="64"/>
      <c r="U367" s="64"/>
      <c r="V367" s="64"/>
      <c r="W367" s="64"/>
    </row>
    <row r="368" spans="1:23" ht="15.75" customHeight="1">
      <c r="A368" s="137"/>
      <c r="B368" s="64"/>
      <c r="C368" s="140"/>
      <c r="D368" s="64"/>
      <c r="E368" s="64"/>
      <c r="F368" s="64"/>
      <c r="G368" s="64"/>
      <c r="H368" s="64"/>
      <c r="I368" s="64"/>
      <c r="J368" s="64"/>
      <c r="K368" s="64"/>
      <c r="L368" s="64"/>
      <c r="M368" s="64"/>
      <c r="N368" s="64"/>
      <c r="O368" s="64"/>
      <c r="P368" s="64"/>
      <c r="Q368" s="64"/>
      <c r="R368" s="64"/>
      <c r="S368" s="64"/>
      <c r="T368" s="64"/>
      <c r="U368" s="64"/>
      <c r="V368" s="64"/>
      <c r="W368" s="64"/>
    </row>
    <row r="369" spans="1:23" ht="15.75" customHeight="1">
      <c r="A369" s="137"/>
      <c r="B369" s="64"/>
      <c r="C369" s="140"/>
      <c r="D369" s="64"/>
      <c r="E369" s="64"/>
      <c r="F369" s="64"/>
      <c r="G369" s="64"/>
      <c r="H369" s="64"/>
      <c r="I369" s="64"/>
      <c r="J369" s="64"/>
      <c r="K369" s="64"/>
      <c r="L369" s="64"/>
      <c r="M369" s="64"/>
      <c r="N369" s="64"/>
      <c r="O369" s="64"/>
      <c r="P369" s="64"/>
      <c r="Q369" s="64"/>
      <c r="R369" s="64"/>
      <c r="S369" s="64"/>
      <c r="T369" s="64"/>
      <c r="U369" s="64"/>
      <c r="V369" s="64"/>
      <c r="W369" s="64"/>
    </row>
    <row r="370" spans="1:23" ht="15.75" customHeight="1">
      <c r="A370" s="137"/>
      <c r="B370" s="64"/>
      <c r="C370" s="140"/>
      <c r="D370" s="64"/>
      <c r="E370" s="64"/>
      <c r="F370" s="64"/>
      <c r="G370" s="64"/>
      <c r="H370" s="64"/>
      <c r="I370" s="64"/>
      <c r="J370" s="64"/>
      <c r="K370" s="64"/>
      <c r="L370" s="64"/>
      <c r="M370" s="64"/>
      <c r="N370" s="64"/>
      <c r="O370" s="64"/>
      <c r="P370" s="64"/>
      <c r="Q370" s="64"/>
      <c r="R370" s="64"/>
      <c r="S370" s="64"/>
      <c r="T370" s="64"/>
      <c r="U370" s="64"/>
      <c r="V370" s="64"/>
      <c r="W370" s="64"/>
    </row>
    <row r="371" spans="1:23" ht="15.75" customHeight="1">
      <c r="A371" s="137"/>
      <c r="B371" s="64"/>
      <c r="C371" s="140"/>
      <c r="D371" s="64"/>
      <c r="E371" s="64"/>
      <c r="F371" s="64"/>
      <c r="G371" s="64"/>
      <c r="H371" s="64"/>
      <c r="I371" s="64"/>
      <c r="J371" s="64"/>
      <c r="K371" s="64"/>
      <c r="L371" s="64"/>
      <c r="M371" s="64"/>
      <c r="N371" s="64"/>
      <c r="O371" s="64"/>
      <c r="P371" s="64"/>
      <c r="Q371" s="64"/>
      <c r="R371" s="64"/>
      <c r="S371" s="64"/>
      <c r="T371" s="64"/>
      <c r="U371" s="64"/>
      <c r="V371" s="64"/>
      <c r="W371" s="64"/>
    </row>
    <row r="372" spans="1:23" ht="15.75" customHeight="1">
      <c r="A372" s="137"/>
      <c r="B372" s="64"/>
      <c r="C372" s="140"/>
      <c r="D372" s="64"/>
      <c r="E372" s="64"/>
      <c r="F372" s="64"/>
      <c r="G372" s="64"/>
      <c r="H372" s="64"/>
      <c r="I372" s="64"/>
      <c r="J372" s="64"/>
      <c r="K372" s="64"/>
      <c r="L372" s="64"/>
      <c r="M372" s="64"/>
      <c r="N372" s="64"/>
      <c r="O372" s="64"/>
      <c r="P372" s="64"/>
      <c r="Q372" s="64"/>
      <c r="R372" s="64"/>
      <c r="S372" s="64"/>
      <c r="T372" s="64"/>
      <c r="U372" s="64"/>
      <c r="V372" s="64"/>
      <c r="W372" s="64"/>
    </row>
    <row r="373" spans="1:23" ht="15.75" customHeight="1">
      <c r="A373" s="137"/>
      <c r="B373" s="64"/>
      <c r="C373" s="140"/>
      <c r="D373" s="64"/>
      <c r="E373" s="64"/>
      <c r="F373" s="64"/>
      <c r="G373" s="64"/>
      <c r="H373" s="64"/>
      <c r="I373" s="64"/>
      <c r="J373" s="64"/>
      <c r="K373" s="64"/>
      <c r="L373" s="64"/>
      <c r="M373" s="64"/>
      <c r="N373" s="64"/>
      <c r="O373" s="64"/>
      <c r="P373" s="64"/>
      <c r="Q373" s="64"/>
      <c r="R373" s="64"/>
      <c r="S373" s="64"/>
      <c r="T373" s="64"/>
      <c r="U373" s="64"/>
      <c r="V373" s="64"/>
      <c r="W373" s="64"/>
    </row>
    <row r="374" spans="1:23" ht="15.75" customHeight="1">
      <c r="A374" s="137"/>
      <c r="B374" s="64"/>
      <c r="C374" s="140"/>
      <c r="D374" s="64"/>
      <c r="E374" s="64"/>
      <c r="F374" s="64"/>
      <c r="G374" s="64"/>
      <c r="H374" s="64"/>
      <c r="I374" s="64"/>
      <c r="J374" s="64"/>
      <c r="K374" s="64"/>
      <c r="L374" s="64"/>
      <c r="M374" s="64"/>
      <c r="N374" s="64"/>
      <c r="O374" s="64"/>
      <c r="P374" s="64"/>
      <c r="Q374" s="64"/>
      <c r="R374" s="64"/>
      <c r="S374" s="64"/>
      <c r="T374" s="64"/>
      <c r="U374" s="64"/>
      <c r="V374" s="64"/>
      <c r="W374" s="64"/>
    </row>
    <row r="375" spans="1:23" ht="15.75" customHeight="1">
      <c r="A375" s="137"/>
      <c r="B375" s="64"/>
      <c r="C375" s="140"/>
      <c r="D375" s="64"/>
      <c r="E375" s="64"/>
      <c r="F375" s="64"/>
      <c r="G375" s="64"/>
      <c r="H375" s="64"/>
      <c r="I375" s="64"/>
      <c r="J375" s="64"/>
      <c r="K375" s="64"/>
      <c r="L375" s="64"/>
      <c r="M375" s="64"/>
      <c r="N375" s="64"/>
      <c r="O375" s="64"/>
      <c r="P375" s="64"/>
      <c r="Q375" s="64"/>
      <c r="R375" s="64"/>
      <c r="S375" s="64"/>
      <c r="T375" s="64"/>
      <c r="U375" s="64"/>
      <c r="V375" s="64"/>
      <c r="W375" s="64"/>
    </row>
    <row r="376" spans="1:23" ht="15.75" customHeight="1">
      <c r="A376" s="137"/>
      <c r="B376" s="64"/>
      <c r="C376" s="140"/>
      <c r="D376" s="64"/>
      <c r="E376" s="64"/>
      <c r="F376" s="64"/>
      <c r="G376" s="64"/>
      <c r="H376" s="64"/>
      <c r="I376" s="64"/>
      <c r="J376" s="64"/>
      <c r="K376" s="64"/>
      <c r="L376" s="64"/>
      <c r="M376" s="64"/>
      <c r="N376" s="64"/>
      <c r="O376" s="64"/>
      <c r="P376" s="64"/>
      <c r="Q376" s="64"/>
      <c r="R376" s="64"/>
      <c r="S376" s="64"/>
      <c r="T376" s="64"/>
      <c r="U376" s="64"/>
      <c r="V376" s="64"/>
      <c r="W376" s="64"/>
    </row>
    <row r="377" spans="1:23" ht="15.75" customHeight="1">
      <c r="A377" s="137"/>
      <c r="B377" s="64"/>
      <c r="C377" s="140"/>
      <c r="D377" s="64"/>
      <c r="E377" s="64"/>
      <c r="F377" s="64"/>
      <c r="G377" s="64"/>
      <c r="H377" s="64"/>
      <c r="I377" s="64"/>
      <c r="J377" s="64"/>
      <c r="K377" s="64"/>
      <c r="L377" s="64"/>
      <c r="M377" s="64"/>
      <c r="N377" s="64"/>
      <c r="O377" s="64"/>
      <c r="P377" s="64"/>
      <c r="Q377" s="64"/>
      <c r="R377" s="64"/>
      <c r="S377" s="64"/>
      <c r="T377" s="64"/>
      <c r="U377" s="64"/>
      <c r="V377" s="64"/>
      <c r="W377" s="64"/>
    </row>
    <row r="378" spans="1:23" ht="15.75" customHeight="1">
      <c r="A378" s="137"/>
      <c r="B378" s="64"/>
      <c r="C378" s="140"/>
      <c r="D378" s="64"/>
      <c r="E378" s="64"/>
      <c r="F378" s="64"/>
      <c r="G378" s="64"/>
      <c r="H378" s="64"/>
      <c r="I378" s="64"/>
      <c r="J378" s="64"/>
      <c r="K378" s="64"/>
      <c r="L378" s="64"/>
      <c r="M378" s="64"/>
      <c r="N378" s="64"/>
      <c r="O378" s="64"/>
      <c r="P378" s="64"/>
      <c r="Q378" s="64"/>
      <c r="R378" s="64"/>
      <c r="S378" s="64"/>
      <c r="T378" s="64"/>
      <c r="U378" s="64"/>
      <c r="V378" s="64"/>
      <c r="W378" s="64"/>
    </row>
    <row r="379" spans="1:23" ht="15.75" customHeight="1">
      <c r="A379" s="137"/>
      <c r="B379" s="64"/>
      <c r="C379" s="140"/>
      <c r="D379" s="64"/>
      <c r="E379" s="64"/>
      <c r="F379" s="64"/>
      <c r="G379" s="64"/>
      <c r="H379" s="64"/>
      <c r="I379" s="64"/>
      <c r="J379" s="64"/>
      <c r="K379" s="64"/>
      <c r="L379" s="64"/>
      <c r="M379" s="64"/>
      <c r="N379" s="64"/>
      <c r="O379" s="64"/>
      <c r="P379" s="64"/>
      <c r="Q379" s="64"/>
      <c r="R379" s="64"/>
      <c r="S379" s="64"/>
      <c r="T379" s="64"/>
      <c r="U379" s="64"/>
      <c r="V379" s="64"/>
      <c r="W379" s="64"/>
    </row>
    <row r="380" spans="1:23" ht="15.75" customHeight="1">
      <c r="A380" s="137"/>
      <c r="B380" s="64"/>
      <c r="C380" s="140"/>
      <c r="D380" s="64"/>
      <c r="E380" s="64"/>
      <c r="F380" s="64"/>
      <c r="G380" s="64"/>
      <c r="H380" s="64"/>
      <c r="I380" s="64"/>
      <c r="J380" s="64"/>
      <c r="K380" s="64"/>
      <c r="L380" s="64"/>
      <c r="M380" s="64"/>
      <c r="N380" s="64"/>
      <c r="O380" s="64"/>
      <c r="P380" s="64"/>
      <c r="Q380" s="64"/>
      <c r="R380" s="64"/>
      <c r="S380" s="64"/>
      <c r="T380" s="64"/>
      <c r="U380" s="64"/>
      <c r="V380" s="64"/>
      <c r="W380" s="64"/>
    </row>
    <row r="381" spans="1:23" ht="15.75" customHeight="1">
      <c r="A381" s="137"/>
      <c r="B381" s="64"/>
      <c r="C381" s="140"/>
      <c r="D381" s="64"/>
      <c r="E381" s="64"/>
      <c r="F381" s="64"/>
      <c r="G381" s="64"/>
      <c r="H381" s="64"/>
      <c r="I381" s="64"/>
      <c r="J381" s="64"/>
      <c r="K381" s="64"/>
      <c r="L381" s="64"/>
      <c r="M381" s="64"/>
      <c r="N381" s="64"/>
      <c r="O381" s="64"/>
      <c r="P381" s="64"/>
      <c r="Q381" s="64"/>
      <c r="R381" s="64"/>
      <c r="S381" s="64"/>
      <c r="T381" s="64"/>
      <c r="U381" s="64"/>
      <c r="V381" s="64"/>
      <c r="W381" s="64"/>
    </row>
    <row r="382" spans="1:23" ht="15.75" customHeight="1">
      <c r="A382" s="137"/>
      <c r="B382" s="64"/>
      <c r="C382" s="140"/>
      <c r="D382" s="64"/>
      <c r="E382" s="64"/>
      <c r="F382" s="64"/>
      <c r="G382" s="64"/>
      <c r="H382" s="64"/>
      <c r="I382" s="64"/>
      <c r="J382" s="64"/>
      <c r="K382" s="64"/>
      <c r="L382" s="64"/>
      <c r="M382" s="64"/>
      <c r="N382" s="64"/>
      <c r="O382" s="64"/>
      <c r="P382" s="64"/>
      <c r="Q382" s="64"/>
      <c r="R382" s="64"/>
      <c r="S382" s="64"/>
      <c r="T382" s="64"/>
      <c r="U382" s="64"/>
      <c r="V382" s="64"/>
      <c r="W382" s="64"/>
    </row>
    <row r="383" spans="1:23" ht="15.75" customHeight="1">
      <c r="A383" s="137"/>
      <c r="B383" s="64"/>
      <c r="C383" s="140"/>
      <c r="D383" s="64"/>
      <c r="E383" s="64"/>
      <c r="F383" s="64"/>
      <c r="G383" s="64"/>
      <c r="H383" s="64"/>
      <c r="I383" s="64"/>
      <c r="J383" s="64"/>
      <c r="K383" s="64"/>
      <c r="L383" s="64"/>
      <c r="M383" s="64"/>
      <c r="N383" s="64"/>
      <c r="O383" s="64"/>
      <c r="P383" s="64"/>
      <c r="Q383" s="64"/>
      <c r="R383" s="64"/>
      <c r="S383" s="64"/>
      <c r="T383" s="64"/>
      <c r="U383" s="64"/>
      <c r="V383" s="64"/>
      <c r="W383" s="64"/>
    </row>
    <row r="384" spans="1:23" ht="15.75" customHeight="1">
      <c r="A384" s="137"/>
      <c r="B384" s="64"/>
      <c r="C384" s="140"/>
      <c r="D384" s="64"/>
      <c r="E384" s="64"/>
      <c r="F384" s="64"/>
      <c r="G384" s="64"/>
      <c r="H384" s="64"/>
      <c r="I384" s="64"/>
      <c r="J384" s="64"/>
      <c r="K384" s="64"/>
      <c r="L384" s="64"/>
      <c r="M384" s="64"/>
      <c r="N384" s="64"/>
      <c r="O384" s="64"/>
      <c r="P384" s="64"/>
      <c r="Q384" s="64"/>
      <c r="R384" s="64"/>
      <c r="S384" s="64"/>
      <c r="T384" s="64"/>
      <c r="U384" s="64"/>
      <c r="V384" s="64"/>
      <c r="W384" s="64"/>
    </row>
    <row r="385" spans="1:23" ht="15.75" customHeight="1">
      <c r="A385" s="137"/>
      <c r="B385" s="64"/>
      <c r="C385" s="140"/>
      <c r="D385" s="64"/>
      <c r="E385" s="64"/>
      <c r="F385" s="64"/>
      <c r="G385" s="64"/>
      <c r="H385" s="64"/>
      <c r="I385" s="64"/>
      <c r="J385" s="64"/>
      <c r="K385" s="64"/>
      <c r="L385" s="64"/>
      <c r="M385" s="64"/>
      <c r="N385" s="64"/>
      <c r="O385" s="64"/>
      <c r="P385" s="64"/>
      <c r="Q385" s="64"/>
      <c r="R385" s="64"/>
      <c r="S385" s="64"/>
      <c r="T385" s="64"/>
      <c r="U385" s="64"/>
      <c r="V385" s="64"/>
      <c r="W385" s="64"/>
    </row>
    <row r="386" spans="1:23" ht="15.75" customHeight="1">
      <c r="A386" s="137"/>
      <c r="B386" s="64"/>
      <c r="C386" s="140"/>
      <c r="D386" s="64"/>
      <c r="E386" s="64"/>
      <c r="F386" s="64"/>
      <c r="G386" s="64"/>
      <c r="H386" s="64"/>
      <c r="I386" s="64"/>
      <c r="J386" s="64"/>
      <c r="K386" s="64"/>
      <c r="L386" s="64"/>
      <c r="M386" s="64"/>
      <c r="N386" s="64"/>
      <c r="O386" s="64"/>
      <c r="P386" s="64"/>
      <c r="Q386" s="64"/>
      <c r="R386" s="64"/>
      <c r="S386" s="64"/>
      <c r="T386" s="64"/>
      <c r="U386" s="64"/>
      <c r="V386" s="64"/>
      <c r="W386" s="64"/>
    </row>
    <row r="387" spans="1:23" ht="15.75" customHeight="1">
      <c r="A387" s="137"/>
      <c r="B387" s="64"/>
      <c r="C387" s="140"/>
      <c r="D387" s="64"/>
      <c r="E387" s="64"/>
      <c r="F387" s="64"/>
      <c r="G387" s="64"/>
      <c r="H387" s="64"/>
      <c r="I387" s="64"/>
      <c r="J387" s="64"/>
      <c r="K387" s="64"/>
      <c r="L387" s="64"/>
      <c r="M387" s="64"/>
      <c r="N387" s="64"/>
      <c r="O387" s="64"/>
      <c r="P387" s="64"/>
      <c r="Q387" s="64"/>
      <c r="R387" s="64"/>
      <c r="S387" s="64"/>
      <c r="T387" s="64"/>
      <c r="U387" s="64"/>
      <c r="V387" s="64"/>
      <c r="W387" s="64"/>
    </row>
    <row r="388" spans="1:23" ht="15.75" customHeight="1">
      <c r="A388" s="137"/>
      <c r="B388" s="64"/>
      <c r="C388" s="140"/>
      <c r="D388" s="64"/>
      <c r="E388" s="64"/>
      <c r="F388" s="64"/>
      <c r="G388" s="64"/>
      <c r="H388" s="64"/>
      <c r="I388" s="64"/>
      <c r="J388" s="64"/>
      <c r="K388" s="64"/>
      <c r="L388" s="64"/>
      <c r="M388" s="64"/>
      <c r="N388" s="64"/>
      <c r="O388" s="64"/>
      <c r="P388" s="64"/>
      <c r="Q388" s="64"/>
      <c r="R388" s="64"/>
      <c r="S388" s="64"/>
      <c r="T388" s="64"/>
      <c r="U388" s="64"/>
      <c r="V388" s="64"/>
      <c r="W388" s="64"/>
    </row>
    <row r="389" spans="1:23" ht="15.75" customHeight="1">
      <c r="A389" s="137"/>
      <c r="B389" s="64"/>
      <c r="C389" s="140"/>
      <c r="D389" s="64"/>
      <c r="E389" s="64"/>
      <c r="F389" s="64"/>
      <c r="G389" s="64"/>
      <c r="H389" s="64"/>
      <c r="I389" s="64"/>
      <c r="J389" s="64"/>
      <c r="K389" s="64"/>
      <c r="L389" s="64"/>
      <c r="M389" s="64"/>
      <c r="N389" s="64"/>
      <c r="O389" s="64"/>
      <c r="P389" s="64"/>
      <c r="Q389" s="64"/>
      <c r="R389" s="64"/>
      <c r="S389" s="64"/>
      <c r="T389" s="64"/>
      <c r="U389" s="64"/>
      <c r="V389" s="64"/>
      <c r="W389" s="64"/>
    </row>
    <row r="390" spans="1:23" ht="15.75" customHeight="1">
      <c r="A390" s="137"/>
      <c r="B390" s="64"/>
      <c r="C390" s="140"/>
      <c r="D390" s="64"/>
      <c r="E390" s="64"/>
      <c r="F390" s="64"/>
      <c r="G390" s="64"/>
      <c r="H390" s="64"/>
      <c r="I390" s="64"/>
      <c r="J390" s="64"/>
      <c r="K390" s="64"/>
      <c r="L390" s="64"/>
      <c r="M390" s="64"/>
      <c r="N390" s="64"/>
      <c r="O390" s="64"/>
      <c r="P390" s="64"/>
      <c r="Q390" s="64"/>
      <c r="R390" s="64"/>
      <c r="S390" s="64"/>
      <c r="T390" s="64"/>
      <c r="U390" s="64"/>
      <c r="V390" s="64"/>
      <c r="W390" s="64"/>
    </row>
    <row r="391" spans="1:23" ht="15.75" customHeight="1">
      <c r="A391" s="137"/>
      <c r="B391" s="64"/>
      <c r="C391" s="140"/>
      <c r="D391" s="64"/>
      <c r="E391" s="64"/>
      <c r="F391" s="64"/>
      <c r="G391" s="64"/>
      <c r="H391" s="64"/>
      <c r="I391" s="64"/>
      <c r="J391" s="64"/>
      <c r="K391" s="64"/>
      <c r="L391" s="64"/>
      <c r="M391" s="64"/>
      <c r="N391" s="64"/>
      <c r="O391" s="64"/>
      <c r="P391" s="64"/>
      <c r="Q391" s="64"/>
      <c r="R391" s="64"/>
      <c r="S391" s="64"/>
      <c r="T391" s="64"/>
      <c r="U391" s="64"/>
      <c r="V391" s="64"/>
      <c r="W391" s="64"/>
    </row>
    <row r="392" spans="1:23" ht="15.75" customHeight="1">
      <c r="A392" s="137"/>
      <c r="B392" s="64"/>
      <c r="C392" s="140"/>
      <c r="D392" s="64"/>
      <c r="E392" s="64"/>
      <c r="F392" s="64"/>
      <c r="G392" s="64"/>
      <c r="H392" s="64"/>
      <c r="I392" s="64"/>
      <c r="J392" s="64"/>
      <c r="K392" s="64"/>
      <c r="L392" s="64"/>
      <c r="M392" s="64"/>
      <c r="N392" s="64"/>
      <c r="O392" s="64"/>
      <c r="P392" s="64"/>
      <c r="Q392" s="64"/>
      <c r="R392" s="64"/>
      <c r="S392" s="64"/>
      <c r="T392" s="64"/>
      <c r="U392" s="64"/>
      <c r="V392" s="64"/>
      <c r="W392" s="64"/>
    </row>
    <row r="393" spans="1:23" ht="15.75" customHeight="1">
      <c r="A393" s="137"/>
      <c r="B393" s="64"/>
      <c r="C393" s="140"/>
      <c r="D393" s="64"/>
      <c r="E393" s="64"/>
      <c r="F393" s="64"/>
      <c r="G393" s="64"/>
      <c r="H393" s="64"/>
      <c r="I393" s="64"/>
      <c r="J393" s="64"/>
      <c r="K393" s="64"/>
      <c r="L393" s="64"/>
      <c r="M393" s="64"/>
      <c r="N393" s="64"/>
      <c r="O393" s="64"/>
      <c r="P393" s="64"/>
      <c r="Q393" s="64"/>
      <c r="R393" s="64"/>
      <c r="S393" s="64"/>
      <c r="T393" s="64"/>
      <c r="U393" s="64"/>
      <c r="V393" s="64"/>
      <c r="W393" s="64"/>
    </row>
    <row r="394" spans="1:23" ht="15.75" customHeight="1">
      <c r="A394" s="137"/>
      <c r="B394" s="64"/>
      <c r="C394" s="140"/>
      <c r="D394" s="64"/>
      <c r="E394" s="64"/>
      <c r="F394" s="64"/>
      <c r="G394" s="64"/>
      <c r="H394" s="64"/>
      <c r="I394" s="64"/>
      <c r="J394" s="64"/>
      <c r="K394" s="64"/>
      <c r="L394" s="64"/>
      <c r="M394" s="64"/>
      <c r="N394" s="64"/>
      <c r="O394" s="64"/>
      <c r="P394" s="64"/>
      <c r="Q394" s="64"/>
      <c r="R394" s="64"/>
      <c r="S394" s="64"/>
      <c r="T394" s="64"/>
      <c r="U394" s="64"/>
      <c r="V394" s="64"/>
      <c r="W394" s="64"/>
    </row>
    <row r="395" spans="1:23" ht="15.75" customHeight="1">
      <c r="A395" s="137"/>
      <c r="B395" s="64"/>
      <c r="C395" s="140"/>
      <c r="D395" s="64"/>
      <c r="E395" s="64"/>
      <c r="F395" s="64"/>
      <c r="G395" s="64"/>
      <c r="H395" s="64"/>
      <c r="I395" s="64"/>
      <c r="J395" s="64"/>
      <c r="K395" s="64"/>
      <c r="L395" s="64"/>
      <c r="M395" s="64"/>
      <c r="N395" s="64"/>
      <c r="O395" s="64"/>
      <c r="P395" s="64"/>
      <c r="Q395" s="64"/>
      <c r="R395" s="64"/>
      <c r="S395" s="64"/>
      <c r="T395" s="64"/>
      <c r="U395" s="64"/>
      <c r="V395" s="64"/>
      <c r="W395" s="64"/>
    </row>
    <row r="396" spans="1:23" ht="15.75" customHeight="1">
      <c r="A396" s="137"/>
      <c r="B396" s="64"/>
      <c r="C396" s="140"/>
      <c r="D396" s="64"/>
      <c r="E396" s="64"/>
      <c r="F396" s="64"/>
      <c r="G396" s="64"/>
      <c r="H396" s="64"/>
      <c r="I396" s="64"/>
      <c r="J396" s="64"/>
      <c r="K396" s="64"/>
      <c r="L396" s="64"/>
      <c r="M396" s="64"/>
      <c r="N396" s="64"/>
      <c r="O396" s="64"/>
      <c r="P396" s="64"/>
      <c r="Q396" s="64"/>
      <c r="R396" s="64"/>
      <c r="S396" s="64"/>
      <c r="T396" s="64"/>
      <c r="U396" s="64"/>
      <c r="V396" s="64"/>
      <c r="W396" s="64"/>
    </row>
    <row r="397" spans="1:23" ht="15.75" customHeight="1">
      <c r="A397" s="137"/>
      <c r="B397" s="64"/>
      <c r="C397" s="140"/>
      <c r="D397" s="64"/>
      <c r="E397" s="64"/>
      <c r="F397" s="64"/>
      <c r="G397" s="64"/>
      <c r="H397" s="64"/>
      <c r="I397" s="64"/>
      <c r="J397" s="64"/>
      <c r="K397" s="64"/>
      <c r="L397" s="64"/>
      <c r="M397" s="64"/>
      <c r="N397" s="64"/>
      <c r="O397" s="64"/>
      <c r="P397" s="64"/>
      <c r="Q397" s="64"/>
      <c r="R397" s="64"/>
      <c r="S397" s="64"/>
      <c r="T397" s="64"/>
      <c r="U397" s="64"/>
      <c r="V397" s="64"/>
      <c r="W397" s="64"/>
    </row>
    <row r="398" spans="1:23" ht="15.75" customHeight="1">
      <c r="A398" s="137"/>
      <c r="B398" s="64"/>
      <c r="C398" s="140"/>
      <c r="D398" s="64"/>
      <c r="E398" s="64"/>
      <c r="F398" s="64"/>
      <c r="G398" s="64"/>
      <c r="H398" s="64"/>
      <c r="I398" s="64"/>
      <c r="J398" s="64"/>
      <c r="K398" s="64"/>
      <c r="L398" s="64"/>
      <c r="M398" s="64"/>
      <c r="N398" s="64"/>
      <c r="O398" s="64"/>
      <c r="P398" s="64"/>
      <c r="Q398" s="64"/>
      <c r="R398" s="64"/>
      <c r="S398" s="64"/>
      <c r="T398" s="64"/>
      <c r="U398" s="64"/>
      <c r="V398" s="64"/>
      <c r="W398" s="64"/>
    </row>
    <row r="399" spans="1:23" ht="15.75" customHeight="1">
      <c r="A399" s="137"/>
      <c r="B399" s="64"/>
      <c r="C399" s="140"/>
      <c r="D399" s="64"/>
      <c r="E399" s="64"/>
      <c r="F399" s="64"/>
      <c r="G399" s="64"/>
      <c r="H399" s="64"/>
      <c r="I399" s="64"/>
      <c r="J399" s="64"/>
      <c r="K399" s="64"/>
      <c r="L399" s="64"/>
      <c r="M399" s="64"/>
      <c r="N399" s="64"/>
      <c r="O399" s="64"/>
      <c r="P399" s="64"/>
      <c r="Q399" s="64"/>
      <c r="R399" s="64"/>
      <c r="S399" s="64"/>
      <c r="T399" s="64"/>
      <c r="U399" s="64"/>
      <c r="V399" s="64"/>
      <c r="W399" s="64"/>
    </row>
    <row r="400" spans="1:23" ht="15.75" customHeight="1">
      <c r="A400" s="137"/>
      <c r="B400" s="64"/>
      <c r="C400" s="140"/>
      <c r="D400" s="64"/>
      <c r="E400" s="64"/>
      <c r="F400" s="64"/>
      <c r="G400" s="64"/>
      <c r="H400" s="64"/>
      <c r="I400" s="64"/>
      <c r="J400" s="64"/>
      <c r="K400" s="64"/>
      <c r="L400" s="64"/>
      <c r="M400" s="64"/>
      <c r="N400" s="64"/>
      <c r="O400" s="64"/>
      <c r="P400" s="64"/>
      <c r="Q400" s="64"/>
      <c r="R400" s="64"/>
      <c r="S400" s="64"/>
      <c r="T400" s="64"/>
      <c r="U400" s="64"/>
      <c r="V400" s="64"/>
      <c r="W400" s="64"/>
    </row>
    <row r="401" spans="1:23" ht="15.75" customHeight="1">
      <c r="A401" s="137"/>
      <c r="B401" s="64"/>
      <c r="C401" s="140"/>
      <c r="D401" s="64"/>
      <c r="E401" s="64"/>
      <c r="F401" s="64"/>
      <c r="G401" s="64"/>
      <c r="H401" s="64"/>
      <c r="I401" s="64"/>
      <c r="J401" s="64"/>
      <c r="K401" s="64"/>
      <c r="L401" s="64"/>
      <c r="M401" s="64"/>
      <c r="N401" s="64"/>
      <c r="O401" s="64"/>
      <c r="P401" s="64"/>
      <c r="Q401" s="64"/>
      <c r="R401" s="64"/>
      <c r="S401" s="64"/>
      <c r="T401" s="64"/>
      <c r="U401" s="64"/>
      <c r="V401" s="64"/>
      <c r="W401" s="64"/>
    </row>
    <row r="402" spans="1:23" ht="15.75" customHeight="1">
      <c r="A402" s="137"/>
      <c r="B402" s="64"/>
      <c r="C402" s="140"/>
      <c r="D402" s="64"/>
      <c r="E402" s="64"/>
      <c r="F402" s="64"/>
      <c r="G402" s="64"/>
      <c r="H402" s="64"/>
      <c r="I402" s="64"/>
      <c r="J402" s="64"/>
      <c r="K402" s="64"/>
      <c r="L402" s="64"/>
      <c r="M402" s="64"/>
      <c r="N402" s="64"/>
      <c r="O402" s="64"/>
      <c r="P402" s="64"/>
      <c r="Q402" s="64"/>
      <c r="R402" s="64"/>
      <c r="S402" s="64"/>
      <c r="T402" s="64"/>
      <c r="U402" s="64"/>
      <c r="V402" s="64"/>
      <c r="W402" s="64"/>
    </row>
    <row r="403" spans="1:23" ht="15.75" customHeight="1">
      <c r="A403" s="137"/>
      <c r="B403" s="64"/>
      <c r="C403" s="140"/>
      <c r="D403" s="64"/>
      <c r="E403" s="64"/>
      <c r="F403" s="64"/>
      <c r="G403" s="64"/>
      <c r="H403" s="64"/>
      <c r="I403" s="64"/>
      <c r="J403" s="64"/>
      <c r="K403" s="64"/>
      <c r="L403" s="64"/>
      <c r="M403" s="64"/>
      <c r="N403" s="64"/>
      <c r="O403" s="64"/>
      <c r="P403" s="64"/>
      <c r="Q403" s="64"/>
      <c r="R403" s="64"/>
      <c r="S403" s="64"/>
      <c r="T403" s="64"/>
      <c r="U403" s="64"/>
      <c r="V403" s="64"/>
      <c r="W403" s="64"/>
    </row>
    <row r="404" spans="1:23" ht="15.75" customHeight="1">
      <c r="A404" s="137"/>
      <c r="B404" s="64"/>
      <c r="C404" s="140"/>
      <c r="D404" s="64"/>
      <c r="E404" s="64"/>
      <c r="F404" s="64"/>
      <c r="G404" s="64"/>
      <c r="H404" s="64"/>
      <c r="I404" s="64"/>
      <c r="J404" s="64"/>
      <c r="K404" s="64"/>
      <c r="L404" s="64"/>
      <c r="M404" s="64"/>
      <c r="N404" s="64"/>
      <c r="O404" s="64"/>
      <c r="P404" s="64"/>
      <c r="Q404" s="64"/>
      <c r="R404" s="64"/>
      <c r="S404" s="64"/>
      <c r="T404" s="64"/>
      <c r="U404" s="64"/>
      <c r="V404" s="64"/>
      <c r="W404" s="64"/>
    </row>
    <row r="405" spans="1:23" ht="15.75" customHeight="1">
      <c r="A405" s="137"/>
      <c r="B405" s="64"/>
      <c r="C405" s="140"/>
      <c r="D405" s="64"/>
      <c r="E405" s="64"/>
      <c r="F405" s="64"/>
      <c r="G405" s="64"/>
      <c r="H405" s="64"/>
      <c r="I405" s="64"/>
      <c r="J405" s="64"/>
      <c r="K405" s="64"/>
      <c r="L405" s="64"/>
      <c r="M405" s="64"/>
      <c r="N405" s="64"/>
      <c r="O405" s="64"/>
      <c r="P405" s="64"/>
      <c r="Q405" s="64"/>
      <c r="R405" s="64"/>
      <c r="S405" s="64"/>
      <c r="T405" s="64"/>
      <c r="U405" s="64"/>
      <c r="V405" s="64"/>
      <c r="W405" s="64"/>
    </row>
    <row r="406" spans="1:23" ht="15.75" customHeight="1">
      <c r="A406" s="137"/>
      <c r="B406" s="64"/>
      <c r="C406" s="140"/>
      <c r="D406" s="64"/>
      <c r="E406" s="64"/>
      <c r="F406" s="64"/>
      <c r="G406" s="64"/>
      <c r="H406" s="64"/>
      <c r="I406" s="64"/>
      <c r="J406" s="64"/>
      <c r="K406" s="64"/>
      <c r="L406" s="64"/>
      <c r="M406" s="64"/>
      <c r="N406" s="64"/>
      <c r="O406" s="64"/>
      <c r="P406" s="64"/>
      <c r="Q406" s="64"/>
      <c r="R406" s="64"/>
      <c r="S406" s="64"/>
      <c r="T406" s="64"/>
      <c r="U406" s="64"/>
      <c r="V406" s="64"/>
      <c r="W406" s="64"/>
    </row>
    <row r="407" spans="1:23" ht="15.75" customHeight="1">
      <c r="A407" s="137"/>
      <c r="B407" s="64"/>
      <c r="C407" s="140"/>
      <c r="D407" s="64"/>
      <c r="E407" s="64"/>
      <c r="F407" s="64"/>
      <c r="G407" s="64"/>
      <c r="H407" s="64"/>
      <c r="I407" s="64"/>
      <c r="J407" s="64"/>
      <c r="K407" s="64"/>
      <c r="L407" s="64"/>
      <c r="M407" s="64"/>
      <c r="N407" s="64"/>
      <c r="O407" s="64"/>
      <c r="P407" s="64"/>
      <c r="Q407" s="64"/>
      <c r="R407" s="64"/>
      <c r="S407" s="64"/>
      <c r="T407" s="64"/>
      <c r="U407" s="64"/>
      <c r="V407" s="64"/>
      <c r="W407" s="64"/>
    </row>
    <row r="408" spans="1:23" ht="15.75" customHeight="1">
      <c r="A408" s="137"/>
      <c r="B408" s="64"/>
      <c r="C408" s="140"/>
      <c r="D408" s="64"/>
      <c r="E408" s="64"/>
      <c r="F408" s="64"/>
      <c r="G408" s="64"/>
      <c r="H408" s="64"/>
      <c r="I408" s="64"/>
      <c r="J408" s="64"/>
      <c r="K408" s="64"/>
      <c r="L408" s="64"/>
      <c r="M408" s="64"/>
      <c r="N408" s="64"/>
      <c r="O408" s="64"/>
      <c r="P408" s="64"/>
      <c r="Q408" s="64"/>
      <c r="R408" s="64"/>
      <c r="S408" s="64"/>
      <c r="T408" s="64"/>
      <c r="U408" s="64"/>
      <c r="V408" s="64"/>
      <c r="W408" s="64"/>
    </row>
    <row r="409" spans="1:23" ht="15.75" customHeight="1">
      <c r="A409" s="137"/>
      <c r="B409" s="64"/>
      <c r="C409" s="140"/>
      <c r="D409" s="64"/>
      <c r="E409" s="64"/>
      <c r="F409" s="64"/>
      <c r="G409" s="64"/>
      <c r="H409" s="64"/>
      <c r="I409" s="64"/>
      <c r="J409" s="64"/>
      <c r="K409" s="64"/>
      <c r="L409" s="64"/>
      <c r="M409" s="64"/>
      <c r="N409" s="64"/>
      <c r="O409" s="64"/>
      <c r="P409" s="64"/>
      <c r="Q409" s="64"/>
      <c r="R409" s="64"/>
      <c r="S409" s="64"/>
      <c r="T409" s="64"/>
      <c r="U409" s="64"/>
      <c r="V409" s="64"/>
      <c r="W409" s="64"/>
    </row>
    <row r="410" spans="1:23" ht="15.75" customHeight="1">
      <c r="A410" s="137"/>
      <c r="B410" s="64"/>
      <c r="C410" s="140"/>
      <c r="D410" s="64"/>
      <c r="E410" s="64"/>
      <c r="F410" s="64"/>
      <c r="G410" s="64"/>
      <c r="H410" s="64"/>
      <c r="I410" s="64"/>
      <c r="J410" s="64"/>
      <c r="K410" s="64"/>
      <c r="L410" s="64"/>
      <c r="M410" s="64"/>
      <c r="N410" s="64"/>
      <c r="O410" s="64"/>
      <c r="P410" s="64"/>
      <c r="Q410" s="64"/>
      <c r="R410" s="64"/>
      <c r="S410" s="64"/>
      <c r="T410" s="64"/>
      <c r="U410" s="64"/>
      <c r="V410" s="64"/>
      <c r="W410" s="64"/>
    </row>
    <row r="411" spans="1:23" ht="15.75" customHeight="1">
      <c r="A411" s="137"/>
      <c r="B411" s="64"/>
      <c r="C411" s="140"/>
      <c r="D411" s="64"/>
      <c r="E411" s="64"/>
      <c r="F411" s="64"/>
      <c r="G411" s="64"/>
      <c r="H411" s="64"/>
      <c r="I411" s="64"/>
      <c r="J411" s="64"/>
      <c r="K411" s="64"/>
      <c r="L411" s="64"/>
      <c r="M411" s="64"/>
      <c r="N411" s="64"/>
      <c r="O411" s="64"/>
      <c r="P411" s="64"/>
      <c r="Q411" s="64"/>
      <c r="R411" s="64"/>
      <c r="S411" s="64"/>
      <c r="T411" s="64"/>
      <c r="U411" s="64"/>
      <c r="V411" s="64"/>
      <c r="W411" s="64"/>
    </row>
    <row r="412" spans="1:23" ht="15.75" customHeight="1">
      <c r="A412" s="137"/>
      <c r="B412" s="64"/>
      <c r="C412" s="140"/>
      <c r="D412" s="64"/>
      <c r="E412" s="64"/>
      <c r="F412" s="64"/>
      <c r="G412" s="64"/>
      <c r="H412" s="64"/>
      <c r="I412" s="64"/>
      <c r="J412" s="64"/>
      <c r="K412" s="64"/>
      <c r="L412" s="64"/>
      <c r="M412" s="64"/>
      <c r="N412" s="64"/>
      <c r="O412" s="64"/>
      <c r="P412" s="64"/>
      <c r="Q412" s="64"/>
      <c r="R412" s="64"/>
      <c r="S412" s="64"/>
      <c r="T412" s="64"/>
      <c r="U412" s="64"/>
      <c r="V412" s="64"/>
      <c r="W412" s="64"/>
    </row>
    <row r="413" spans="1:23" ht="15.75" customHeight="1">
      <c r="A413" s="137"/>
      <c r="B413" s="64"/>
      <c r="C413" s="140"/>
      <c r="D413" s="64"/>
      <c r="E413" s="64"/>
      <c r="F413" s="64"/>
      <c r="G413" s="64"/>
      <c r="H413" s="64"/>
      <c r="I413" s="64"/>
      <c r="J413" s="64"/>
      <c r="K413" s="64"/>
      <c r="L413" s="64"/>
      <c r="M413" s="64"/>
      <c r="N413" s="64"/>
      <c r="O413" s="64"/>
      <c r="P413" s="64"/>
      <c r="Q413" s="64"/>
      <c r="R413" s="64"/>
      <c r="S413" s="64"/>
      <c r="T413" s="64"/>
      <c r="U413" s="64"/>
      <c r="V413" s="64"/>
      <c r="W413" s="64"/>
    </row>
    <row r="414" spans="1:23" ht="15.75" customHeight="1">
      <c r="A414" s="137"/>
      <c r="B414" s="64"/>
      <c r="C414" s="140"/>
      <c r="D414" s="64"/>
      <c r="E414" s="64"/>
      <c r="F414" s="64"/>
      <c r="G414" s="64"/>
      <c r="H414" s="64"/>
      <c r="I414" s="64"/>
      <c r="J414" s="64"/>
      <c r="K414" s="64"/>
      <c r="L414" s="64"/>
      <c r="M414" s="64"/>
      <c r="N414" s="64"/>
      <c r="O414" s="64"/>
      <c r="P414" s="64"/>
      <c r="Q414" s="64"/>
      <c r="R414" s="64"/>
      <c r="S414" s="64"/>
      <c r="T414" s="64"/>
      <c r="U414" s="64"/>
      <c r="V414" s="64"/>
      <c r="W414" s="64"/>
    </row>
    <row r="415" spans="1:23" ht="15.75" customHeight="1">
      <c r="A415" s="137"/>
      <c r="B415" s="64"/>
      <c r="C415" s="140"/>
      <c r="D415" s="64"/>
      <c r="E415" s="64"/>
      <c r="F415" s="64"/>
      <c r="G415" s="64"/>
      <c r="H415" s="64"/>
      <c r="I415" s="64"/>
      <c r="J415" s="64"/>
      <c r="K415" s="64"/>
      <c r="L415" s="64"/>
      <c r="M415" s="64"/>
      <c r="N415" s="64"/>
      <c r="O415" s="64"/>
      <c r="P415" s="64"/>
      <c r="Q415" s="64"/>
      <c r="R415" s="64"/>
      <c r="S415" s="64"/>
      <c r="T415" s="64"/>
      <c r="U415" s="64"/>
      <c r="V415" s="64"/>
      <c r="W415" s="64"/>
    </row>
    <row r="416" spans="1:23" ht="15.75" customHeight="1">
      <c r="A416" s="137"/>
      <c r="B416" s="64"/>
      <c r="C416" s="140"/>
      <c r="D416" s="64"/>
      <c r="E416" s="64"/>
      <c r="F416" s="64"/>
      <c r="G416" s="64"/>
      <c r="H416" s="64"/>
      <c r="I416" s="64"/>
      <c r="J416" s="64"/>
      <c r="K416" s="64"/>
      <c r="L416" s="64"/>
      <c r="M416" s="64"/>
      <c r="N416" s="64"/>
      <c r="O416" s="64"/>
      <c r="P416" s="64"/>
      <c r="Q416" s="64"/>
      <c r="R416" s="64"/>
      <c r="S416" s="64"/>
      <c r="T416" s="64"/>
      <c r="U416" s="64"/>
      <c r="V416" s="64"/>
      <c r="W416" s="64"/>
    </row>
    <row r="417" spans="1:23" ht="15.75" customHeight="1">
      <c r="A417" s="137"/>
      <c r="B417" s="64"/>
      <c r="C417" s="140"/>
      <c r="D417" s="64"/>
      <c r="E417" s="64"/>
      <c r="F417" s="64"/>
      <c r="G417" s="64"/>
      <c r="H417" s="64"/>
      <c r="I417" s="64"/>
      <c r="J417" s="64"/>
      <c r="K417" s="64"/>
      <c r="L417" s="64"/>
      <c r="M417" s="64"/>
      <c r="N417" s="64"/>
      <c r="O417" s="64"/>
      <c r="P417" s="64"/>
      <c r="Q417" s="64"/>
      <c r="R417" s="64"/>
      <c r="S417" s="64"/>
      <c r="T417" s="64"/>
      <c r="U417" s="64"/>
      <c r="V417" s="64"/>
      <c r="W417" s="64"/>
    </row>
    <row r="418" spans="1:23" ht="15.75" customHeight="1">
      <c r="A418" s="137"/>
      <c r="B418" s="64"/>
      <c r="C418" s="140"/>
      <c r="D418" s="64"/>
      <c r="E418" s="64"/>
      <c r="F418" s="64"/>
      <c r="G418" s="64"/>
      <c r="H418" s="64"/>
      <c r="I418" s="64"/>
      <c r="J418" s="64"/>
      <c r="K418" s="64"/>
      <c r="L418" s="64"/>
      <c r="M418" s="64"/>
      <c r="N418" s="64"/>
      <c r="O418" s="64"/>
      <c r="P418" s="64"/>
      <c r="Q418" s="64"/>
      <c r="R418" s="64"/>
      <c r="S418" s="64"/>
      <c r="T418" s="64"/>
      <c r="U418" s="64"/>
      <c r="V418" s="64"/>
      <c r="W418" s="64"/>
    </row>
    <row r="419" spans="1:23" ht="15.75" customHeight="1">
      <c r="A419" s="137"/>
      <c r="B419" s="64"/>
      <c r="C419" s="140"/>
      <c r="D419" s="64"/>
      <c r="E419" s="64"/>
      <c r="F419" s="64"/>
      <c r="G419" s="64"/>
      <c r="H419" s="64"/>
      <c r="I419" s="64"/>
      <c r="J419" s="64"/>
      <c r="K419" s="64"/>
      <c r="L419" s="64"/>
      <c r="M419" s="64"/>
      <c r="N419" s="64"/>
      <c r="O419" s="64"/>
      <c r="P419" s="64"/>
      <c r="Q419" s="64"/>
      <c r="R419" s="64"/>
      <c r="S419" s="64"/>
      <c r="T419" s="64"/>
      <c r="U419" s="64"/>
      <c r="V419" s="64"/>
      <c r="W419" s="64"/>
    </row>
    <row r="420" spans="1:23" ht="15.75" customHeight="1">
      <c r="A420" s="137"/>
      <c r="B420" s="64"/>
      <c r="C420" s="140"/>
      <c r="D420" s="64"/>
      <c r="E420" s="64"/>
      <c r="F420" s="64"/>
      <c r="G420" s="64"/>
      <c r="H420" s="64"/>
      <c r="I420" s="64"/>
      <c r="J420" s="64"/>
      <c r="K420" s="64"/>
      <c r="L420" s="64"/>
      <c r="M420" s="64"/>
      <c r="N420" s="64"/>
      <c r="O420" s="64"/>
      <c r="P420" s="64"/>
      <c r="Q420" s="64"/>
      <c r="R420" s="64"/>
      <c r="S420" s="64"/>
      <c r="T420" s="64"/>
      <c r="U420" s="64"/>
      <c r="V420" s="64"/>
      <c r="W420" s="64"/>
    </row>
    <row r="421" spans="1:23" ht="15.75" customHeight="1">
      <c r="A421" s="137"/>
      <c r="B421" s="64"/>
      <c r="C421" s="140"/>
      <c r="D421" s="64"/>
      <c r="E421" s="64"/>
      <c r="F421" s="64"/>
      <c r="G421" s="64"/>
      <c r="H421" s="64"/>
      <c r="I421" s="64"/>
      <c r="J421" s="64"/>
      <c r="K421" s="64"/>
      <c r="L421" s="64"/>
      <c r="M421" s="64"/>
      <c r="N421" s="64"/>
      <c r="O421" s="64"/>
      <c r="P421" s="64"/>
      <c r="Q421" s="64"/>
      <c r="R421" s="64"/>
      <c r="S421" s="64"/>
      <c r="T421" s="64"/>
      <c r="U421" s="64"/>
      <c r="V421" s="64"/>
      <c r="W421" s="64"/>
    </row>
    <row r="422" spans="1:23" ht="15.75" customHeight="1">
      <c r="A422" s="137"/>
      <c r="B422" s="64"/>
      <c r="C422" s="140"/>
      <c r="D422" s="64"/>
      <c r="E422" s="64"/>
      <c r="F422" s="64"/>
      <c r="G422" s="64"/>
      <c r="H422" s="64"/>
      <c r="I422" s="64"/>
      <c r="J422" s="64"/>
      <c r="K422" s="64"/>
      <c r="L422" s="64"/>
      <c r="M422" s="64"/>
      <c r="N422" s="64"/>
      <c r="O422" s="64"/>
      <c r="P422" s="64"/>
      <c r="Q422" s="64"/>
      <c r="R422" s="64"/>
      <c r="S422" s="64"/>
      <c r="T422" s="64"/>
      <c r="U422" s="64"/>
      <c r="V422" s="64"/>
      <c r="W422" s="64"/>
    </row>
    <row r="423" spans="1:23" ht="15.75" customHeight="1">
      <c r="A423" s="137"/>
      <c r="B423" s="64"/>
      <c r="C423" s="140"/>
      <c r="D423" s="64"/>
      <c r="E423" s="64"/>
      <c r="F423" s="64"/>
      <c r="G423" s="64"/>
      <c r="H423" s="64"/>
      <c r="I423" s="64"/>
      <c r="J423" s="64"/>
      <c r="K423" s="64"/>
      <c r="L423" s="64"/>
      <c r="M423" s="64"/>
      <c r="N423" s="64"/>
      <c r="O423" s="64"/>
      <c r="P423" s="64"/>
      <c r="Q423" s="64"/>
      <c r="R423" s="64"/>
      <c r="S423" s="64"/>
      <c r="T423" s="64"/>
      <c r="U423" s="64"/>
      <c r="V423" s="64"/>
      <c r="W423" s="64"/>
    </row>
    <row r="424" spans="1:23" ht="15.75" customHeight="1">
      <c r="A424" s="137"/>
      <c r="B424" s="64"/>
      <c r="C424" s="140"/>
      <c r="D424" s="64"/>
      <c r="E424" s="64"/>
      <c r="F424" s="64"/>
      <c r="G424" s="64"/>
      <c r="H424" s="64"/>
      <c r="I424" s="64"/>
      <c r="J424" s="64"/>
      <c r="K424" s="64"/>
      <c r="L424" s="64"/>
      <c r="M424" s="64"/>
      <c r="N424" s="64"/>
      <c r="O424" s="64"/>
      <c r="P424" s="64"/>
      <c r="Q424" s="64"/>
      <c r="R424" s="64"/>
      <c r="S424" s="64"/>
      <c r="T424" s="64"/>
      <c r="U424" s="64"/>
      <c r="V424" s="64"/>
      <c r="W424" s="64"/>
    </row>
    <row r="425" spans="1:23" ht="15.75" customHeight="1">
      <c r="A425" s="137"/>
      <c r="B425" s="64"/>
      <c r="C425" s="140"/>
      <c r="D425" s="64"/>
      <c r="E425" s="64"/>
      <c r="F425" s="64"/>
      <c r="G425" s="64"/>
      <c r="H425" s="64"/>
      <c r="I425" s="64"/>
      <c r="J425" s="64"/>
      <c r="K425" s="64"/>
      <c r="L425" s="64"/>
      <c r="M425" s="64"/>
      <c r="N425" s="64"/>
      <c r="O425" s="64"/>
      <c r="P425" s="64"/>
      <c r="Q425" s="64"/>
      <c r="R425" s="64"/>
      <c r="S425" s="64"/>
      <c r="T425" s="64"/>
      <c r="U425" s="64"/>
      <c r="V425" s="64"/>
      <c r="W425" s="64"/>
    </row>
    <row r="426" spans="1:23" ht="15.75" customHeight="1">
      <c r="A426" s="137"/>
      <c r="B426" s="64"/>
      <c r="C426" s="140"/>
      <c r="D426" s="64"/>
      <c r="E426" s="64"/>
      <c r="F426" s="64"/>
      <c r="G426" s="64"/>
      <c r="H426" s="64"/>
      <c r="I426" s="64"/>
      <c r="J426" s="64"/>
      <c r="K426" s="64"/>
      <c r="L426" s="64"/>
      <c r="M426" s="64"/>
      <c r="N426" s="64"/>
      <c r="O426" s="64"/>
      <c r="P426" s="64"/>
      <c r="Q426" s="64"/>
      <c r="R426" s="64"/>
      <c r="S426" s="64"/>
      <c r="T426" s="64"/>
      <c r="U426" s="64"/>
      <c r="V426" s="64"/>
      <c r="W426" s="64"/>
    </row>
    <row r="427" spans="1:23" ht="15.75" customHeight="1">
      <c r="A427" s="137"/>
      <c r="B427" s="64"/>
      <c r="C427" s="140"/>
      <c r="D427" s="64"/>
      <c r="E427" s="64"/>
      <c r="F427" s="64"/>
      <c r="G427" s="64"/>
      <c r="H427" s="64"/>
      <c r="I427" s="64"/>
      <c r="J427" s="64"/>
      <c r="K427" s="64"/>
      <c r="L427" s="64"/>
      <c r="M427" s="64"/>
      <c r="N427" s="64"/>
      <c r="O427" s="64"/>
      <c r="P427" s="64"/>
      <c r="Q427" s="64"/>
      <c r="R427" s="64"/>
      <c r="S427" s="64"/>
      <c r="T427" s="64"/>
      <c r="U427" s="64"/>
      <c r="V427" s="64"/>
      <c r="W427" s="64"/>
    </row>
    <row r="428" spans="1:23" ht="15.75" customHeight="1">
      <c r="A428" s="137"/>
      <c r="B428" s="64"/>
      <c r="C428" s="140"/>
      <c r="D428" s="64"/>
      <c r="E428" s="64"/>
      <c r="F428" s="64"/>
      <c r="G428" s="64"/>
      <c r="H428" s="64"/>
      <c r="I428" s="64"/>
      <c r="J428" s="64"/>
      <c r="K428" s="64"/>
      <c r="L428" s="64"/>
      <c r="M428" s="64"/>
      <c r="N428" s="64"/>
      <c r="O428" s="64"/>
      <c r="P428" s="64"/>
      <c r="Q428" s="64"/>
      <c r="R428" s="64"/>
      <c r="S428" s="64"/>
      <c r="T428" s="64"/>
      <c r="U428" s="64"/>
      <c r="V428" s="64"/>
      <c r="W428" s="64"/>
    </row>
    <row r="429" spans="1:23" ht="15.75" customHeight="1">
      <c r="A429" s="137"/>
      <c r="B429" s="64"/>
      <c r="C429" s="140"/>
      <c r="D429" s="64"/>
      <c r="E429" s="64"/>
      <c r="F429" s="64"/>
      <c r="G429" s="64"/>
      <c r="H429" s="64"/>
      <c r="I429" s="64"/>
      <c r="J429" s="64"/>
      <c r="K429" s="64"/>
      <c r="L429" s="64"/>
      <c r="M429" s="64"/>
      <c r="N429" s="64"/>
      <c r="O429" s="64"/>
      <c r="P429" s="64"/>
      <c r="Q429" s="64"/>
      <c r="R429" s="64"/>
      <c r="S429" s="64"/>
      <c r="T429" s="64"/>
      <c r="U429" s="64"/>
      <c r="V429" s="64"/>
      <c r="W429" s="64"/>
    </row>
    <row r="430" spans="1:23" ht="15.75" customHeight="1">
      <c r="A430" s="137"/>
      <c r="B430" s="64"/>
      <c r="C430" s="140"/>
      <c r="D430" s="64"/>
      <c r="E430" s="64"/>
      <c r="F430" s="64"/>
      <c r="G430" s="64"/>
      <c r="H430" s="64"/>
      <c r="I430" s="64"/>
      <c r="J430" s="64"/>
      <c r="K430" s="64"/>
      <c r="L430" s="64"/>
      <c r="M430" s="64"/>
      <c r="N430" s="64"/>
      <c r="O430" s="64"/>
      <c r="P430" s="64"/>
      <c r="Q430" s="64"/>
      <c r="R430" s="64"/>
      <c r="S430" s="64"/>
      <c r="T430" s="64"/>
      <c r="U430" s="64"/>
      <c r="V430" s="64"/>
      <c r="W430" s="64"/>
    </row>
    <row r="431" spans="1:23" ht="15.75" customHeight="1">
      <c r="A431" s="137"/>
      <c r="B431" s="64"/>
      <c r="C431" s="140"/>
      <c r="D431" s="64"/>
      <c r="E431" s="64"/>
      <c r="F431" s="64"/>
      <c r="G431" s="64"/>
      <c r="H431" s="64"/>
      <c r="I431" s="64"/>
      <c r="J431" s="64"/>
      <c r="K431" s="64"/>
      <c r="L431" s="64"/>
      <c r="M431" s="64"/>
      <c r="N431" s="64"/>
      <c r="O431" s="64"/>
      <c r="P431" s="64"/>
      <c r="Q431" s="64"/>
      <c r="R431" s="64"/>
      <c r="S431" s="64"/>
      <c r="T431" s="64"/>
      <c r="U431" s="64"/>
      <c r="V431" s="64"/>
      <c r="W431" s="64"/>
    </row>
    <row r="432" spans="1:23" ht="15.75" customHeight="1">
      <c r="A432" s="137"/>
      <c r="B432" s="64"/>
      <c r="C432" s="140"/>
      <c r="D432" s="64"/>
      <c r="E432" s="64"/>
      <c r="F432" s="64"/>
      <c r="G432" s="64"/>
      <c r="H432" s="64"/>
      <c r="I432" s="64"/>
      <c r="J432" s="64"/>
      <c r="K432" s="64"/>
      <c r="L432" s="64"/>
      <c r="M432" s="64"/>
      <c r="N432" s="64"/>
      <c r="O432" s="64"/>
      <c r="P432" s="64"/>
      <c r="Q432" s="64"/>
      <c r="R432" s="64"/>
      <c r="S432" s="64"/>
      <c r="T432" s="64"/>
      <c r="U432" s="64"/>
      <c r="V432" s="64"/>
      <c r="W432" s="64"/>
    </row>
    <row r="433" spans="1:23" ht="15.75" customHeight="1">
      <c r="A433" s="137"/>
      <c r="B433" s="64"/>
      <c r="C433" s="140"/>
      <c r="D433" s="64"/>
      <c r="E433" s="64"/>
      <c r="F433" s="64"/>
      <c r="G433" s="64"/>
      <c r="H433" s="64"/>
      <c r="I433" s="64"/>
      <c r="J433" s="64"/>
      <c r="K433" s="64"/>
      <c r="L433" s="64"/>
      <c r="M433" s="64"/>
      <c r="N433" s="64"/>
      <c r="O433" s="64"/>
      <c r="P433" s="64"/>
      <c r="Q433" s="64"/>
      <c r="R433" s="64"/>
      <c r="S433" s="64"/>
      <c r="T433" s="64"/>
      <c r="U433" s="64"/>
      <c r="V433" s="64"/>
      <c r="W433" s="64"/>
    </row>
    <row r="434" spans="1:23" ht="15.75" customHeight="1">
      <c r="A434" s="137"/>
      <c r="B434" s="64"/>
      <c r="C434" s="140"/>
      <c r="D434" s="64"/>
      <c r="E434" s="64"/>
      <c r="F434" s="64"/>
      <c r="G434" s="64"/>
      <c r="H434" s="64"/>
      <c r="I434" s="64"/>
      <c r="J434" s="64"/>
      <c r="K434" s="64"/>
      <c r="L434" s="64"/>
      <c r="M434" s="64"/>
      <c r="N434" s="64"/>
      <c r="O434" s="64"/>
      <c r="P434" s="64"/>
      <c r="Q434" s="64"/>
      <c r="R434" s="64"/>
      <c r="S434" s="64"/>
      <c r="T434" s="64"/>
      <c r="U434" s="64"/>
      <c r="V434" s="64"/>
      <c r="W434" s="64"/>
    </row>
    <row r="435" spans="1:23" ht="15.75" customHeight="1">
      <c r="A435" s="137"/>
      <c r="B435" s="64"/>
      <c r="C435" s="140"/>
      <c r="D435" s="64"/>
      <c r="E435" s="64"/>
      <c r="F435" s="64"/>
      <c r="G435" s="64"/>
      <c r="H435" s="64"/>
      <c r="I435" s="64"/>
      <c r="J435" s="64"/>
      <c r="K435" s="64"/>
      <c r="L435" s="64"/>
      <c r="M435" s="64"/>
      <c r="N435" s="64"/>
      <c r="O435" s="64"/>
      <c r="P435" s="64"/>
      <c r="Q435" s="64"/>
      <c r="R435" s="64"/>
      <c r="S435" s="64"/>
      <c r="T435" s="64"/>
      <c r="U435" s="64"/>
      <c r="V435" s="64"/>
      <c r="W435" s="64"/>
    </row>
    <row r="436" spans="1:23" ht="15.75" customHeight="1">
      <c r="A436" s="137"/>
      <c r="B436" s="64"/>
      <c r="C436" s="140"/>
      <c r="D436" s="64"/>
      <c r="E436" s="64"/>
      <c r="F436" s="64"/>
      <c r="G436" s="64"/>
      <c r="H436" s="64"/>
      <c r="I436" s="64"/>
      <c r="J436" s="64"/>
      <c r="K436" s="64"/>
      <c r="L436" s="64"/>
      <c r="M436" s="64"/>
      <c r="N436" s="64"/>
      <c r="O436" s="64"/>
      <c r="P436" s="64"/>
      <c r="Q436" s="64"/>
      <c r="R436" s="64"/>
      <c r="S436" s="64"/>
      <c r="T436" s="64"/>
      <c r="U436" s="64"/>
      <c r="V436" s="64"/>
      <c r="W436" s="64"/>
    </row>
    <row r="437" spans="1:23" ht="15.75" customHeight="1">
      <c r="A437" s="137"/>
      <c r="B437" s="64"/>
      <c r="C437" s="140"/>
      <c r="D437" s="64"/>
      <c r="E437" s="64"/>
      <c r="F437" s="64"/>
      <c r="G437" s="64"/>
      <c r="H437" s="64"/>
      <c r="I437" s="64"/>
      <c r="J437" s="64"/>
      <c r="K437" s="64"/>
      <c r="L437" s="64"/>
      <c r="M437" s="64"/>
      <c r="N437" s="64"/>
      <c r="O437" s="64"/>
      <c r="P437" s="64"/>
      <c r="Q437" s="64"/>
      <c r="R437" s="64"/>
      <c r="S437" s="64"/>
      <c r="T437" s="64"/>
      <c r="U437" s="64"/>
      <c r="V437" s="64"/>
      <c r="W437" s="64"/>
    </row>
    <row r="438" spans="1:23" ht="15.75" customHeight="1">
      <c r="A438" s="137"/>
      <c r="B438" s="64"/>
      <c r="C438" s="140"/>
      <c r="D438" s="64"/>
      <c r="E438" s="64"/>
      <c r="F438" s="64"/>
      <c r="G438" s="64"/>
      <c r="H438" s="64"/>
      <c r="I438" s="64"/>
      <c r="J438" s="64"/>
      <c r="K438" s="64"/>
      <c r="L438" s="64"/>
      <c r="M438" s="64"/>
      <c r="N438" s="64"/>
      <c r="O438" s="64"/>
      <c r="P438" s="64"/>
      <c r="Q438" s="64"/>
      <c r="R438" s="64"/>
      <c r="S438" s="64"/>
      <c r="T438" s="64"/>
      <c r="U438" s="64"/>
      <c r="V438" s="64"/>
      <c r="W438" s="64"/>
    </row>
    <row r="439" spans="1:23" ht="15.75" customHeight="1">
      <c r="A439" s="137"/>
      <c r="B439" s="64"/>
      <c r="C439" s="140"/>
      <c r="D439" s="64"/>
      <c r="E439" s="64"/>
      <c r="F439" s="64"/>
      <c r="G439" s="64"/>
      <c r="H439" s="64"/>
      <c r="I439" s="64"/>
      <c r="J439" s="64"/>
      <c r="K439" s="64"/>
      <c r="L439" s="64"/>
      <c r="M439" s="64"/>
      <c r="N439" s="64"/>
      <c r="O439" s="64"/>
      <c r="P439" s="64"/>
      <c r="Q439" s="64"/>
      <c r="R439" s="64"/>
      <c r="S439" s="64"/>
      <c r="T439" s="64"/>
      <c r="U439" s="64"/>
      <c r="V439" s="64"/>
      <c r="W439" s="64"/>
    </row>
    <row r="440" spans="1:23" ht="15.75" customHeight="1">
      <c r="A440" s="137"/>
      <c r="B440" s="64"/>
      <c r="C440" s="140"/>
      <c r="D440" s="64"/>
      <c r="E440" s="64"/>
      <c r="F440" s="64"/>
      <c r="G440" s="64"/>
      <c r="H440" s="64"/>
      <c r="I440" s="64"/>
      <c r="J440" s="64"/>
      <c r="K440" s="64"/>
      <c r="L440" s="64"/>
      <c r="M440" s="64"/>
      <c r="N440" s="64"/>
      <c r="O440" s="64"/>
      <c r="P440" s="64"/>
      <c r="Q440" s="64"/>
      <c r="R440" s="64"/>
      <c r="S440" s="64"/>
      <c r="T440" s="64"/>
      <c r="U440" s="64"/>
      <c r="V440" s="64"/>
      <c r="W440" s="64"/>
    </row>
    <row r="441" spans="1:23" ht="15.75" customHeight="1">
      <c r="A441" s="137"/>
      <c r="B441" s="64"/>
      <c r="C441" s="140"/>
      <c r="D441" s="64"/>
      <c r="E441" s="64"/>
      <c r="F441" s="64"/>
      <c r="G441" s="64"/>
      <c r="H441" s="64"/>
      <c r="I441" s="64"/>
      <c r="J441" s="64"/>
      <c r="K441" s="64"/>
      <c r="L441" s="64"/>
      <c r="M441" s="64"/>
      <c r="N441" s="64"/>
      <c r="O441" s="64"/>
      <c r="P441" s="64"/>
      <c r="Q441" s="64"/>
      <c r="R441" s="64"/>
      <c r="S441" s="64"/>
      <c r="T441" s="64"/>
      <c r="U441" s="64"/>
      <c r="V441" s="64"/>
      <c r="W441" s="64"/>
    </row>
    <row r="442" spans="1:23" ht="15.75" customHeight="1">
      <c r="A442" s="137"/>
      <c r="B442" s="64"/>
      <c r="C442" s="140"/>
      <c r="D442" s="64"/>
      <c r="E442" s="64"/>
      <c r="F442" s="64"/>
      <c r="G442" s="64"/>
      <c r="H442" s="64"/>
      <c r="I442" s="64"/>
      <c r="J442" s="64"/>
      <c r="K442" s="64"/>
      <c r="L442" s="64"/>
      <c r="M442" s="64"/>
      <c r="N442" s="64"/>
      <c r="O442" s="64"/>
      <c r="P442" s="64"/>
      <c r="Q442" s="64"/>
      <c r="R442" s="64"/>
      <c r="S442" s="64"/>
      <c r="T442" s="64"/>
      <c r="U442" s="64"/>
      <c r="V442" s="64"/>
      <c r="W442" s="64"/>
    </row>
    <row r="443" spans="1:23" ht="15.75" customHeight="1">
      <c r="A443" s="137"/>
      <c r="B443" s="64"/>
      <c r="C443" s="140"/>
      <c r="D443" s="64"/>
      <c r="E443" s="64"/>
      <c r="F443" s="64"/>
      <c r="G443" s="64"/>
      <c r="H443" s="64"/>
      <c r="I443" s="64"/>
      <c r="J443" s="64"/>
      <c r="K443" s="64"/>
      <c r="L443" s="64"/>
      <c r="M443" s="64"/>
      <c r="N443" s="64"/>
      <c r="O443" s="64"/>
      <c r="P443" s="64"/>
      <c r="Q443" s="64"/>
      <c r="R443" s="64"/>
      <c r="S443" s="64"/>
      <c r="T443" s="64"/>
      <c r="U443" s="64"/>
      <c r="V443" s="64"/>
      <c r="W443" s="64"/>
    </row>
    <row r="444" spans="1:23" ht="15.75" customHeight="1">
      <c r="A444" s="137"/>
      <c r="B444" s="64"/>
      <c r="C444" s="140"/>
      <c r="D444" s="64"/>
      <c r="E444" s="64"/>
      <c r="F444" s="64"/>
      <c r="G444" s="64"/>
      <c r="H444" s="64"/>
      <c r="I444" s="64"/>
      <c r="J444" s="64"/>
      <c r="K444" s="64"/>
      <c r="L444" s="64"/>
      <c r="M444" s="64"/>
      <c r="N444" s="64"/>
      <c r="O444" s="64"/>
      <c r="P444" s="64"/>
      <c r="Q444" s="64"/>
      <c r="R444" s="64"/>
      <c r="S444" s="64"/>
      <c r="T444" s="64"/>
      <c r="U444" s="64"/>
      <c r="V444" s="64"/>
      <c r="W444" s="64"/>
    </row>
    <row r="445" spans="1:23" ht="15.75" customHeight="1">
      <c r="A445" s="137"/>
      <c r="B445" s="64"/>
      <c r="C445" s="140"/>
      <c r="D445" s="64"/>
      <c r="E445" s="64"/>
      <c r="F445" s="64"/>
      <c r="G445" s="64"/>
      <c r="H445" s="64"/>
      <c r="I445" s="64"/>
      <c r="J445" s="64"/>
      <c r="K445" s="64"/>
      <c r="L445" s="64"/>
      <c r="M445" s="64"/>
      <c r="N445" s="64"/>
      <c r="O445" s="64"/>
      <c r="P445" s="64"/>
      <c r="Q445" s="64"/>
      <c r="R445" s="64"/>
      <c r="S445" s="64"/>
      <c r="T445" s="64"/>
      <c r="U445" s="64"/>
      <c r="V445" s="64"/>
      <c r="W445" s="64"/>
    </row>
    <row r="446" spans="1:23" ht="15.75" customHeight="1">
      <c r="A446" s="137"/>
      <c r="B446" s="64"/>
      <c r="C446" s="140"/>
      <c r="D446" s="64"/>
      <c r="E446" s="64"/>
      <c r="F446" s="64"/>
      <c r="G446" s="64"/>
      <c r="H446" s="64"/>
      <c r="I446" s="64"/>
      <c r="J446" s="64"/>
      <c r="K446" s="64"/>
      <c r="L446" s="64"/>
      <c r="M446" s="64"/>
      <c r="N446" s="64"/>
      <c r="O446" s="64"/>
      <c r="P446" s="64"/>
      <c r="Q446" s="64"/>
      <c r="R446" s="64"/>
      <c r="S446" s="64"/>
      <c r="T446" s="64"/>
      <c r="U446" s="64"/>
      <c r="V446" s="64"/>
      <c r="W446" s="64"/>
    </row>
    <row r="447" spans="1:23" ht="15.75" customHeight="1">
      <c r="A447" s="137"/>
      <c r="B447" s="64"/>
      <c r="C447" s="140"/>
      <c r="D447" s="64"/>
      <c r="E447" s="64"/>
      <c r="F447" s="64"/>
      <c r="G447" s="64"/>
      <c r="H447" s="64"/>
      <c r="I447" s="64"/>
      <c r="J447" s="64"/>
      <c r="K447" s="64"/>
      <c r="L447" s="64"/>
      <c r="M447" s="64"/>
      <c r="N447" s="64"/>
      <c r="O447" s="64"/>
      <c r="P447" s="64"/>
      <c r="Q447" s="64"/>
      <c r="R447" s="64"/>
      <c r="S447" s="64"/>
      <c r="T447" s="64"/>
      <c r="U447" s="64"/>
      <c r="V447" s="64"/>
      <c r="W447" s="64"/>
    </row>
    <row r="448" spans="1:23" ht="15.75" customHeight="1">
      <c r="A448" s="137"/>
      <c r="B448" s="64"/>
      <c r="C448" s="140"/>
      <c r="D448" s="64"/>
      <c r="E448" s="64"/>
      <c r="F448" s="64"/>
      <c r="G448" s="64"/>
      <c r="H448" s="64"/>
      <c r="I448" s="64"/>
      <c r="J448" s="64"/>
      <c r="K448" s="64"/>
      <c r="L448" s="64"/>
      <c r="M448" s="64"/>
      <c r="N448" s="64"/>
      <c r="O448" s="64"/>
      <c r="P448" s="64"/>
      <c r="Q448" s="64"/>
      <c r="R448" s="64"/>
      <c r="S448" s="64"/>
      <c r="T448" s="64"/>
      <c r="U448" s="64"/>
      <c r="V448" s="64"/>
      <c r="W448" s="64"/>
    </row>
    <row r="449" spans="1:23" ht="15.75" customHeight="1">
      <c r="A449" s="137"/>
      <c r="B449" s="64"/>
      <c r="C449" s="140"/>
      <c r="D449" s="64"/>
      <c r="E449" s="64"/>
      <c r="F449" s="64"/>
      <c r="G449" s="64"/>
      <c r="H449" s="64"/>
      <c r="I449" s="64"/>
      <c r="J449" s="64"/>
      <c r="K449" s="64"/>
      <c r="L449" s="64"/>
      <c r="M449" s="64"/>
      <c r="N449" s="64"/>
      <c r="O449" s="64"/>
      <c r="P449" s="64"/>
      <c r="Q449" s="64"/>
      <c r="R449" s="64"/>
      <c r="S449" s="64"/>
      <c r="T449" s="64"/>
      <c r="U449" s="64"/>
      <c r="V449" s="64"/>
      <c r="W449" s="64"/>
    </row>
    <row r="450" spans="1:23" ht="15.75" customHeight="1">
      <c r="A450" s="137"/>
      <c r="B450" s="64"/>
      <c r="C450" s="140"/>
      <c r="D450" s="64"/>
      <c r="E450" s="64"/>
      <c r="F450" s="64"/>
      <c r="G450" s="64"/>
      <c r="H450" s="64"/>
      <c r="I450" s="64"/>
      <c r="J450" s="64"/>
      <c r="K450" s="64"/>
      <c r="L450" s="64"/>
      <c r="M450" s="64"/>
      <c r="N450" s="64"/>
      <c r="O450" s="64"/>
      <c r="P450" s="64"/>
      <c r="Q450" s="64"/>
      <c r="R450" s="64"/>
      <c r="S450" s="64"/>
      <c r="T450" s="64"/>
      <c r="U450" s="64"/>
      <c r="V450" s="64"/>
      <c r="W450" s="64"/>
    </row>
    <row r="451" spans="1:23" ht="15.75" customHeight="1">
      <c r="A451" s="137"/>
      <c r="B451" s="64"/>
      <c r="C451" s="140"/>
      <c r="D451" s="64"/>
      <c r="E451" s="64"/>
      <c r="F451" s="64"/>
      <c r="G451" s="64"/>
      <c r="H451" s="64"/>
      <c r="I451" s="64"/>
      <c r="J451" s="64"/>
      <c r="K451" s="64"/>
      <c r="L451" s="64"/>
      <c r="M451" s="64"/>
      <c r="N451" s="64"/>
      <c r="O451" s="64"/>
      <c r="P451" s="64"/>
      <c r="Q451" s="64"/>
      <c r="R451" s="64"/>
      <c r="S451" s="64"/>
      <c r="T451" s="64"/>
      <c r="U451" s="64"/>
      <c r="V451" s="64"/>
      <c r="W451" s="64"/>
    </row>
    <row r="452" spans="1:23" ht="15.75" customHeight="1">
      <c r="A452" s="137"/>
      <c r="B452" s="64"/>
      <c r="C452" s="140"/>
      <c r="D452" s="64"/>
      <c r="E452" s="64"/>
      <c r="F452" s="64"/>
      <c r="G452" s="64"/>
      <c r="H452" s="64"/>
      <c r="I452" s="64"/>
      <c r="J452" s="64"/>
      <c r="K452" s="64"/>
      <c r="L452" s="64"/>
      <c r="M452" s="64"/>
      <c r="N452" s="64"/>
      <c r="O452" s="64"/>
      <c r="P452" s="64"/>
      <c r="Q452" s="64"/>
      <c r="R452" s="64"/>
      <c r="S452" s="64"/>
      <c r="T452" s="64"/>
      <c r="U452" s="64"/>
      <c r="V452" s="64"/>
      <c r="W452" s="64"/>
    </row>
    <row r="453" spans="1:23" ht="15.75" customHeight="1">
      <c r="A453" s="137"/>
      <c r="B453" s="64"/>
      <c r="C453" s="140"/>
      <c r="D453" s="64"/>
      <c r="E453" s="64"/>
      <c r="F453" s="64"/>
      <c r="G453" s="64"/>
      <c r="H453" s="64"/>
      <c r="I453" s="64"/>
      <c r="J453" s="64"/>
      <c r="K453" s="64"/>
      <c r="L453" s="64"/>
      <c r="M453" s="64"/>
      <c r="N453" s="64"/>
      <c r="O453" s="64"/>
      <c r="P453" s="64"/>
      <c r="Q453" s="64"/>
      <c r="R453" s="64"/>
      <c r="S453" s="64"/>
      <c r="T453" s="64"/>
      <c r="U453" s="64"/>
      <c r="V453" s="64"/>
      <c r="W453" s="64"/>
    </row>
    <row r="454" spans="1:23" ht="15.75" customHeight="1">
      <c r="A454" s="137"/>
      <c r="B454" s="64"/>
      <c r="C454" s="140"/>
      <c r="D454" s="64"/>
      <c r="E454" s="64"/>
      <c r="F454" s="64"/>
      <c r="G454" s="64"/>
      <c r="H454" s="64"/>
      <c r="I454" s="64"/>
      <c r="J454" s="64"/>
      <c r="K454" s="64"/>
      <c r="L454" s="64"/>
      <c r="M454" s="64"/>
      <c r="N454" s="64"/>
      <c r="O454" s="64"/>
      <c r="P454" s="64"/>
      <c r="Q454" s="64"/>
      <c r="R454" s="64"/>
      <c r="S454" s="64"/>
      <c r="T454" s="64"/>
      <c r="U454" s="64"/>
      <c r="V454" s="64"/>
      <c r="W454" s="64"/>
    </row>
    <row r="455" spans="1:23" ht="15.75" customHeight="1">
      <c r="A455" s="137"/>
      <c r="B455" s="64"/>
      <c r="C455" s="140"/>
      <c r="D455" s="64"/>
      <c r="E455" s="64"/>
      <c r="F455" s="64"/>
      <c r="G455" s="64"/>
      <c r="H455" s="64"/>
      <c r="I455" s="64"/>
      <c r="J455" s="64"/>
      <c r="K455" s="64"/>
      <c r="L455" s="64"/>
      <c r="M455" s="64"/>
      <c r="N455" s="64"/>
      <c r="O455" s="64"/>
      <c r="P455" s="64"/>
      <c r="Q455" s="64"/>
      <c r="R455" s="64"/>
      <c r="S455" s="64"/>
      <c r="T455" s="64"/>
      <c r="U455" s="64"/>
      <c r="V455" s="64"/>
      <c r="W455" s="64"/>
    </row>
    <row r="456" spans="1:23" ht="15.75" customHeight="1">
      <c r="A456" s="137"/>
      <c r="B456" s="64"/>
      <c r="C456" s="140"/>
      <c r="D456" s="64"/>
      <c r="E456" s="64"/>
      <c r="F456" s="64"/>
      <c r="G456" s="64"/>
      <c r="H456" s="64"/>
      <c r="I456" s="64"/>
      <c r="J456" s="64"/>
      <c r="K456" s="64"/>
      <c r="L456" s="64"/>
      <c r="M456" s="64"/>
      <c r="N456" s="64"/>
      <c r="O456" s="64"/>
      <c r="P456" s="64"/>
      <c r="Q456" s="64"/>
      <c r="R456" s="64"/>
      <c r="S456" s="64"/>
      <c r="T456" s="64"/>
      <c r="U456" s="64"/>
      <c r="V456" s="64"/>
      <c r="W456" s="64"/>
    </row>
    <row r="457" spans="1:23" ht="15.75" customHeight="1">
      <c r="A457" s="137"/>
      <c r="B457" s="64"/>
      <c r="C457" s="140"/>
      <c r="D457" s="64"/>
      <c r="E457" s="64"/>
      <c r="F457" s="64"/>
      <c r="G457" s="64"/>
      <c r="H457" s="64"/>
      <c r="I457" s="64"/>
      <c r="J457" s="64"/>
      <c r="K457" s="64"/>
      <c r="L457" s="64"/>
      <c r="M457" s="64"/>
      <c r="N457" s="64"/>
      <c r="O457" s="64"/>
      <c r="P457" s="64"/>
      <c r="Q457" s="64"/>
      <c r="R457" s="64"/>
      <c r="S457" s="64"/>
      <c r="T457" s="64"/>
      <c r="U457" s="64"/>
      <c r="V457" s="64"/>
      <c r="W457" s="64"/>
    </row>
    <row r="458" spans="1:23" ht="15.75" customHeight="1">
      <c r="A458" s="137"/>
      <c r="B458" s="64"/>
      <c r="C458" s="140"/>
      <c r="D458" s="64"/>
      <c r="E458" s="64"/>
      <c r="F458" s="64"/>
      <c r="G458" s="64"/>
      <c r="H458" s="64"/>
      <c r="I458" s="64"/>
      <c r="J458" s="64"/>
      <c r="K458" s="64"/>
      <c r="L458" s="64"/>
      <c r="M458" s="64"/>
      <c r="N458" s="64"/>
      <c r="O458" s="64"/>
      <c r="P458" s="64"/>
      <c r="Q458" s="64"/>
      <c r="R458" s="64"/>
      <c r="S458" s="64"/>
      <c r="T458" s="64"/>
      <c r="U458" s="64"/>
      <c r="V458" s="64"/>
      <c r="W458" s="64"/>
    </row>
    <row r="459" spans="1:23" ht="15.75" customHeight="1">
      <c r="A459" s="137"/>
      <c r="B459" s="64"/>
      <c r="C459" s="140"/>
      <c r="D459" s="64"/>
      <c r="E459" s="64"/>
      <c r="F459" s="64"/>
      <c r="G459" s="64"/>
      <c r="H459" s="64"/>
      <c r="I459" s="64"/>
      <c r="J459" s="64"/>
      <c r="K459" s="64"/>
      <c r="L459" s="64"/>
      <c r="M459" s="64"/>
      <c r="N459" s="64"/>
      <c r="O459" s="64"/>
      <c r="P459" s="64"/>
      <c r="Q459" s="64"/>
      <c r="R459" s="64"/>
      <c r="S459" s="64"/>
      <c r="T459" s="64"/>
      <c r="U459" s="64"/>
      <c r="V459" s="64"/>
      <c r="W459" s="64"/>
    </row>
    <row r="460" spans="1:23" ht="15.75" customHeight="1">
      <c r="A460" s="137"/>
      <c r="B460" s="64"/>
      <c r="C460" s="140"/>
      <c r="D460" s="64"/>
      <c r="E460" s="64"/>
      <c r="F460" s="64"/>
      <c r="G460" s="64"/>
      <c r="H460" s="64"/>
      <c r="I460" s="64"/>
      <c r="J460" s="64"/>
      <c r="K460" s="64"/>
      <c r="L460" s="64"/>
      <c r="M460" s="64"/>
      <c r="N460" s="64"/>
      <c r="O460" s="64"/>
      <c r="P460" s="64"/>
      <c r="Q460" s="64"/>
      <c r="R460" s="64"/>
      <c r="S460" s="64"/>
      <c r="T460" s="64"/>
      <c r="U460" s="64"/>
      <c r="V460" s="64"/>
      <c r="W460" s="64"/>
    </row>
    <row r="461" spans="1:23" ht="15.75" customHeight="1">
      <c r="A461" s="137"/>
      <c r="B461" s="64"/>
      <c r="C461" s="140"/>
      <c r="D461" s="64"/>
      <c r="E461" s="64"/>
      <c r="F461" s="64"/>
      <c r="G461" s="64"/>
      <c r="H461" s="64"/>
      <c r="I461" s="64"/>
      <c r="J461" s="64"/>
      <c r="K461" s="64"/>
      <c r="L461" s="64"/>
      <c r="M461" s="64"/>
      <c r="N461" s="64"/>
      <c r="O461" s="64"/>
      <c r="P461" s="64"/>
      <c r="Q461" s="64"/>
      <c r="R461" s="64"/>
      <c r="S461" s="64"/>
      <c r="T461" s="64"/>
      <c r="U461" s="64"/>
      <c r="V461" s="64"/>
      <c r="W461" s="64"/>
    </row>
    <row r="462" spans="1:23" ht="15.75" customHeight="1">
      <c r="A462" s="137"/>
      <c r="B462" s="64"/>
      <c r="C462" s="140"/>
      <c r="D462" s="64"/>
      <c r="E462" s="64"/>
      <c r="F462" s="64"/>
      <c r="G462" s="64"/>
      <c r="H462" s="64"/>
      <c r="I462" s="64"/>
      <c r="J462" s="64"/>
      <c r="K462" s="64"/>
      <c r="L462" s="64"/>
      <c r="M462" s="64"/>
      <c r="N462" s="64"/>
      <c r="O462" s="64"/>
      <c r="P462" s="64"/>
      <c r="Q462" s="64"/>
      <c r="R462" s="64"/>
      <c r="S462" s="64"/>
      <c r="T462" s="64"/>
      <c r="U462" s="64"/>
      <c r="V462" s="64"/>
      <c r="W462" s="64"/>
    </row>
    <row r="463" spans="1:23" ht="15.75" customHeight="1">
      <c r="A463" s="137"/>
      <c r="B463" s="64"/>
      <c r="C463" s="140"/>
      <c r="D463" s="64"/>
      <c r="E463" s="64"/>
      <c r="F463" s="64"/>
      <c r="G463" s="64"/>
      <c r="H463" s="64"/>
      <c r="I463" s="64"/>
      <c r="J463" s="64"/>
      <c r="K463" s="64"/>
      <c r="L463" s="64"/>
      <c r="M463" s="64"/>
      <c r="N463" s="64"/>
      <c r="O463" s="64"/>
      <c r="P463" s="64"/>
      <c r="Q463" s="64"/>
      <c r="R463" s="64"/>
      <c r="S463" s="64"/>
      <c r="T463" s="64"/>
      <c r="U463" s="64"/>
      <c r="V463" s="64"/>
      <c r="W463" s="64"/>
    </row>
    <row r="464" spans="1:23" ht="15.75" customHeight="1">
      <c r="A464" s="137"/>
      <c r="B464" s="64"/>
      <c r="C464" s="140"/>
      <c r="D464" s="64"/>
      <c r="E464" s="64"/>
      <c r="F464" s="64"/>
      <c r="G464" s="64"/>
      <c r="H464" s="64"/>
      <c r="I464" s="64"/>
      <c r="J464" s="64"/>
      <c r="K464" s="64"/>
      <c r="L464" s="64"/>
      <c r="M464" s="64"/>
      <c r="N464" s="64"/>
      <c r="O464" s="64"/>
      <c r="P464" s="64"/>
      <c r="Q464" s="64"/>
      <c r="R464" s="64"/>
      <c r="S464" s="64"/>
      <c r="T464" s="64"/>
      <c r="U464" s="64"/>
      <c r="V464" s="64"/>
      <c r="W464" s="64"/>
    </row>
    <row r="465" spans="1:23" ht="15.75" customHeight="1">
      <c r="A465" s="137"/>
      <c r="B465" s="64"/>
      <c r="C465" s="140"/>
      <c r="D465" s="64"/>
      <c r="E465" s="64"/>
      <c r="F465" s="64"/>
      <c r="G465" s="64"/>
      <c r="H465" s="64"/>
      <c r="I465" s="64"/>
      <c r="J465" s="64"/>
      <c r="K465" s="64"/>
      <c r="L465" s="64"/>
      <c r="M465" s="64"/>
      <c r="N465" s="64"/>
      <c r="O465" s="64"/>
      <c r="P465" s="64"/>
      <c r="Q465" s="64"/>
      <c r="R465" s="64"/>
      <c r="S465" s="64"/>
      <c r="T465" s="64"/>
      <c r="U465" s="64"/>
      <c r="V465" s="64"/>
      <c r="W465" s="64"/>
    </row>
    <row r="466" spans="1:23" ht="15.75" customHeight="1">
      <c r="A466" s="137"/>
      <c r="B466" s="64"/>
      <c r="C466" s="140"/>
      <c r="D466" s="64"/>
      <c r="E466" s="64"/>
      <c r="F466" s="64"/>
      <c r="G466" s="64"/>
      <c r="H466" s="64"/>
      <c r="I466" s="64"/>
      <c r="J466" s="64"/>
      <c r="K466" s="64"/>
      <c r="L466" s="64"/>
      <c r="M466" s="64"/>
      <c r="N466" s="64"/>
      <c r="O466" s="64"/>
      <c r="P466" s="64"/>
      <c r="Q466" s="64"/>
      <c r="R466" s="64"/>
      <c r="S466" s="64"/>
      <c r="T466" s="64"/>
      <c r="U466" s="64"/>
      <c r="V466" s="64"/>
      <c r="W466" s="64"/>
    </row>
    <row r="467" spans="1:23" ht="15.75" customHeight="1">
      <c r="A467" s="137"/>
      <c r="B467" s="64"/>
      <c r="C467" s="140"/>
      <c r="D467" s="64"/>
      <c r="E467" s="64"/>
      <c r="F467" s="64"/>
      <c r="G467" s="64"/>
      <c r="H467" s="64"/>
      <c r="I467" s="64"/>
      <c r="J467" s="64"/>
      <c r="K467" s="64"/>
      <c r="L467" s="64"/>
      <c r="M467" s="64"/>
      <c r="N467" s="64"/>
      <c r="O467" s="64"/>
      <c r="P467" s="64"/>
      <c r="Q467" s="64"/>
      <c r="R467" s="64"/>
      <c r="S467" s="64"/>
      <c r="T467" s="64"/>
      <c r="U467" s="64"/>
      <c r="V467" s="64"/>
      <c r="W467" s="64"/>
    </row>
    <row r="468" spans="1:23" ht="15.75" customHeight="1">
      <c r="A468" s="137"/>
      <c r="B468" s="64"/>
      <c r="C468" s="140"/>
      <c r="D468" s="64"/>
      <c r="E468" s="64"/>
      <c r="F468" s="64"/>
      <c r="G468" s="64"/>
      <c r="H468" s="64"/>
      <c r="I468" s="64"/>
      <c r="J468" s="64"/>
      <c r="K468" s="64"/>
      <c r="L468" s="64"/>
      <c r="M468" s="64"/>
      <c r="N468" s="64"/>
      <c r="O468" s="64"/>
      <c r="P468" s="64"/>
      <c r="Q468" s="64"/>
      <c r="R468" s="64"/>
      <c r="S468" s="64"/>
      <c r="T468" s="64"/>
      <c r="U468" s="64"/>
      <c r="V468" s="64"/>
      <c r="W468" s="64"/>
    </row>
    <row r="469" spans="1:23" ht="15.75" customHeight="1">
      <c r="A469" s="137"/>
      <c r="B469" s="64"/>
      <c r="C469" s="140"/>
      <c r="D469" s="64"/>
      <c r="E469" s="64"/>
      <c r="F469" s="64"/>
      <c r="G469" s="64"/>
      <c r="H469" s="64"/>
      <c r="I469" s="64"/>
      <c r="J469" s="64"/>
      <c r="K469" s="64"/>
      <c r="L469" s="64"/>
      <c r="M469" s="64"/>
      <c r="N469" s="64"/>
      <c r="O469" s="64"/>
      <c r="P469" s="64"/>
      <c r="Q469" s="64"/>
      <c r="R469" s="64"/>
      <c r="S469" s="64"/>
      <c r="T469" s="64"/>
      <c r="U469" s="64"/>
      <c r="V469" s="64"/>
      <c r="W469" s="64"/>
    </row>
    <row r="470" spans="1:23" ht="15.75" customHeight="1">
      <c r="A470" s="137"/>
      <c r="B470" s="64"/>
      <c r="C470" s="140"/>
      <c r="D470" s="64"/>
      <c r="E470" s="64"/>
      <c r="F470" s="64"/>
      <c r="G470" s="64"/>
      <c r="H470" s="64"/>
      <c r="I470" s="64"/>
      <c r="J470" s="64"/>
      <c r="K470" s="64"/>
      <c r="L470" s="64"/>
      <c r="M470" s="64"/>
      <c r="N470" s="64"/>
      <c r="O470" s="64"/>
      <c r="P470" s="64"/>
      <c r="Q470" s="64"/>
      <c r="R470" s="64"/>
      <c r="S470" s="64"/>
      <c r="T470" s="64"/>
      <c r="U470" s="64"/>
      <c r="V470" s="64"/>
      <c r="W470" s="64"/>
    </row>
    <row r="471" spans="1:23" ht="15.75" customHeight="1">
      <c r="A471" s="137"/>
      <c r="B471" s="64"/>
      <c r="C471" s="140"/>
      <c r="D471" s="64"/>
      <c r="E471" s="64"/>
      <c r="F471" s="64"/>
      <c r="G471" s="64"/>
      <c r="H471" s="64"/>
      <c r="I471" s="64"/>
      <c r="J471" s="64"/>
      <c r="K471" s="64"/>
      <c r="L471" s="64"/>
      <c r="M471" s="64"/>
      <c r="N471" s="64"/>
      <c r="O471" s="64"/>
      <c r="P471" s="64"/>
      <c r="Q471" s="64"/>
      <c r="R471" s="64"/>
      <c r="S471" s="64"/>
      <c r="T471" s="64"/>
      <c r="U471" s="64"/>
      <c r="V471" s="64"/>
      <c r="W471" s="64"/>
    </row>
    <row r="472" spans="1:23" ht="15.75" customHeight="1">
      <c r="A472" s="137"/>
      <c r="B472" s="64"/>
      <c r="C472" s="140"/>
      <c r="D472" s="64"/>
      <c r="E472" s="64"/>
      <c r="F472" s="64"/>
      <c r="G472" s="64"/>
      <c r="H472" s="64"/>
      <c r="I472" s="64"/>
      <c r="J472" s="64"/>
      <c r="K472" s="64"/>
      <c r="L472" s="64"/>
      <c r="M472" s="64"/>
      <c r="N472" s="64"/>
      <c r="O472" s="64"/>
      <c r="P472" s="64"/>
      <c r="Q472" s="64"/>
      <c r="R472" s="64"/>
      <c r="S472" s="64"/>
      <c r="T472" s="64"/>
      <c r="U472" s="64"/>
      <c r="V472" s="64"/>
      <c r="W472" s="64"/>
    </row>
    <row r="473" spans="1:23" ht="15.75" customHeight="1">
      <c r="A473" s="137"/>
      <c r="B473" s="64"/>
      <c r="C473" s="140"/>
      <c r="D473" s="64"/>
      <c r="E473" s="64"/>
      <c r="F473" s="64"/>
      <c r="G473" s="64"/>
      <c r="H473" s="64"/>
      <c r="I473" s="64"/>
      <c r="J473" s="64"/>
      <c r="K473" s="64"/>
      <c r="L473" s="64"/>
      <c r="M473" s="64"/>
      <c r="N473" s="64"/>
      <c r="O473" s="64"/>
      <c r="P473" s="64"/>
      <c r="Q473" s="64"/>
      <c r="R473" s="64"/>
      <c r="S473" s="64"/>
      <c r="T473" s="64"/>
      <c r="U473" s="64"/>
      <c r="V473" s="64"/>
      <c r="W473" s="64"/>
    </row>
    <row r="474" spans="1:23" ht="15.75" customHeight="1">
      <c r="A474" s="137"/>
      <c r="B474" s="64"/>
      <c r="C474" s="140"/>
      <c r="D474" s="64"/>
      <c r="E474" s="64"/>
      <c r="F474" s="64"/>
      <c r="G474" s="64"/>
      <c r="H474" s="64"/>
      <c r="I474" s="64"/>
      <c r="J474" s="64"/>
      <c r="K474" s="64"/>
      <c r="L474" s="64"/>
      <c r="M474" s="64"/>
      <c r="N474" s="64"/>
      <c r="O474" s="64"/>
      <c r="P474" s="64"/>
      <c r="Q474" s="64"/>
      <c r="R474" s="64"/>
      <c r="S474" s="64"/>
      <c r="T474" s="64"/>
      <c r="U474" s="64"/>
      <c r="V474" s="64"/>
      <c r="W474" s="64"/>
    </row>
    <row r="475" spans="1:23" ht="15.75" customHeight="1">
      <c r="A475" s="137"/>
      <c r="B475" s="64"/>
      <c r="C475" s="140"/>
      <c r="D475" s="64"/>
      <c r="E475" s="64"/>
      <c r="F475" s="64"/>
      <c r="G475" s="64"/>
      <c r="H475" s="64"/>
      <c r="I475" s="64"/>
      <c r="J475" s="64"/>
      <c r="K475" s="64"/>
      <c r="L475" s="64"/>
      <c r="M475" s="64"/>
      <c r="N475" s="64"/>
      <c r="O475" s="64"/>
      <c r="P475" s="64"/>
      <c r="Q475" s="64"/>
      <c r="R475" s="64"/>
      <c r="S475" s="64"/>
      <c r="T475" s="64"/>
      <c r="U475" s="64"/>
      <c r="V475" s="64"/>
      <c r="W475" s="64"/>
    </row>
    <row r="476" spans="1:23" ht="15.75" customHeight="1">
      <c r="A476" s="137"/>
      <c r="B476" s="64"/>
      <c r="C476" s="140"/>
      <c r="D476" s="64"/>
      <c r="E476" s="64"/>
      <c r="F476" s="64"/>
      <c r="G476" s="64"/>
      <c r="H476" s="64"/>
      <c r="I476" s="64"/>
      <c r="J476" s="64"/>
      <c r="K476" s="64"/>
      <c r="L476" s="64"/>
      <c r="M476" s="64"/>
      <c r="N476" s="64"/>
      <c r="O476" s="64"/>
      <c r="P476" s="64"/>
      <c r="Q476" s="64"/>
      <c r="R476" s="64"/>
      <c r="S476" s="64"/>
      <c r="T476" s="64"/>
      <c r="U476" s="64"/>
      <c r="V476" s="64"/>
      <c r="W476" s="64"/>
    </row>
    <row r="477" spans="1:23" ht="15.75" customHeight="1">
      <c r="A477" s="137"/>
      <c r="B477" s="64"/>
      <c r="C477" s="140"/>
      <c r="D477" s="64"/>
      <c r="E477" s="64"/>
      <c r="F477" s="64"/>
      <c r="G477" s="64"/>
      <c r="H477" s="64"/>
      <c r="I477" s="64"/>
      <c r="J477" s="64"/>
      <c r="K477" s="64"/>
      <c r="L477" s="64"/>
      <c r="M477" s="64"/>
      <c r="N477" s="64"/>
      <c r="O477" s="64"/>
      <c r="P477" s="64"/>
      <c r="Q477" s="64"/>
      <c r="R477" s="64"/>
      <c r="S477" s="64"/>
      <c r="T477" s="64"/>
      <c r="U477" s="64"/>
      <c r="V477" s="64"/>
      <c r="W477" s="64"/>
    </row>
    <row r="478" spans="1:23" ht="15.75" customHeight="1">
      <c r="A478" s="137"/>
      <c r="B478" s="64"/>
      <c r="C478" s="140"/>
      <c r="D478" s="64"/>
      <c r="E478" s="64"/>
      <c r="F478" s="64"/>
      <c r="G478" s="64"/>
      <c r="H478" s="64"/>
      <c r="I478" s="64"/>
      <c r="J478" s="64"/>
      <c r="K478" s="64"/>
      <c r="L478" s="64"/>
      <c r="M478" s="64"/>
      <c r="N478" s="64"/>
      <c r="O478" s="64"/>
      <c r="P478" s="64"/>
      <c r="Q478" s="64"/>
      <c r="R478" s="64"/>
      <c r="S478" s="64"/>
      <c r="T478" s="64"/>
      <c r="U478" s="64"/>
      <c r="V478" s="64"/>
      <c r="W478" s="64"/>
    </row>
    <row r="479" spans="1:23" ht="15.75" customHeight="1">
      <c r="A479" s="137"/>
      <c r="B479" s="64"/>
      <c r="C479" s="140"/>
      <c r="D479" s="64"/>
      <c r="E479" s="64"/>
      <c r="F479" s="64"/>
      <c r="G479" s="64"/>
      <c r="H479" s="64"/>
      <c r="I479" s="64"/>
      <c r="J479" s="64"/>
      <c r="K479" s="64"/>
      <c r="L479" s="64"/>
      <c r="M479" s="64"/>
      <c r="N479" s="64"/>
      <c r="O479" s="64"/>
      <c r="P479" s="64"/>
      <c r="Q479" s="64"/>
      <c r="R479" s="64"/>
      <c r="S479" s="64"/>
      <c r="T479" s="64"/>
      <c r="U479" s="64"/>
      <c r="V479" s="64"/>
      <c r="W479" s="64"/>
    </row>
    <row r="480" spans="1:23" ht="15.75" customHeight="1">
      <c r="A480" s="137"/>
      <c r="B480" s="64"/>
      <c r="C480" s="140"/>
      <c r="D480" s="64"/>
      <c r="E480" s="64"/>
      <c r="F480" s="64"/>
      <c r="G480" s="64"/>
      <c r="H480" s="64"/>
      <c r="I480" s="64"/>
      <c r="J480" s="64"/>
      <c r="K480" s="64"/>
      <c r="L480" s="64"/>
      <c r="M480" s="64"/>
      <c r="N480" s="64"/>
      <c r="O480" s="64"/>
      <c r="P480" s="64"/>
      <c r="Q480" s="64"/>
      <c r="R480" s="64"/>
      <c r="S480" s="64"/>
      <c r="T480" s="64"/>
      <c r="U480" s="64"/>
      <c r="V480" s="64"/>
      <c r="W480" s="64"/>
    </row>
    <row r="481" spans="1:23" ht="15.75" customHeight="1">
      <c r="A481" s="137"/>
      <c r="B481" s="64"/>
      <c r="C481" s="140"/>
      <c r="D481" s="64"/>
      <c r="E481" s="64"/>
      <c r="F481" s="64"/>
      <c r="G481" s="64"/>
      <c r="H481" s="64"/>
      <c r="I481" s="64"/>
      <c r="J481" s="64"/>
      <c r="K481" s="64"/>
      <c r="L481" s="64"/>
      <c r="M481" s="64"/>
      <c r="N481" s="64"/>
      <c r="O481" s="64"/>
      <c r="P481" s="64"/>
      <c r="Q481" s="64"/>
      <c r="R481" s="64"/>
      <c r="S481" s="64"/>
      <c r="T481" s="64"/>
      <c r="U481" s="64"/>
      <c r="V481" s="64"/>
      <c r="W481" s="64"/>
    </row>
    <row r="482" spans="1:23" ht="15.75" customHeight="1">
      <c r="A482" s="137"/>
      <c r="B482" s="64"/>
      <c r="C482" s="140"/>
      <c r="D482" s="64"/>
      <c r="E482" s="64"/>
      <c r="F482" s="64"/>
      <c r="G482" s="64"/>
      <c r="H482" s="64"/>
      <c r="I482" s="64"/>
      <c r="J482" s="64"/>
      <c r="K482" s="64"/>
      <c r="L482" s="64"/>
      <c r="M482" s="64"/>
      <c r="N482" s="64"/>
      <c r="O482" s="64"/>
      <c r="P482" s="64"/>
      <c r="Q482" s="64"/>
      <c r="R482" s="64"/>
      <c r="S482" s="64"/>
      <c r="T482" s="64"/>
      <c r="U482" s="64"/>
      <c r="V482" s="64"/>
      <c r="W482" s="64"/>
    </row>
    <row r="483" spans="1:23" ht="15.75" customHeight="1">
      <c r="A483" s="137"/>
      <c r="B483" s="64"/>
      <c r="C483" s="140"/>
      <c r="D483" s="64"/>
      <c r="E483" s="64"/>
      <c r="F483" s="64"/>
      <c r="G483" s="64"/>
      <c r="H483" s="64"/>
      <c r="I483" s="64"/>
      <c r="J483" s="64"/>
      <c r="K483" s="64"/>
      <c r="L483" s="64"/>
      <c r="M483" s="64"/>
      <c r="N483" s="64"/>
      <c r="O483" s="64"/>
      <c r="P483" s="64"/>
      <c r="Q483" s="64"/>
      <c r="R483" s="64"/>
      <c r="S483" s="64"/>
      <c r="T483" s="64"/>
      <c r="U483" s="64"/>
      <c r="V483" s="64"/>
      <c r="W483" s="64"/>
    </row>
    <row r="484" spans="1:23" ht="15.75" customHeight="1">
      <c r="A484" s="137"/>
      <c r="B484" s="64"/>
      <c r="C484" s="140"/>
      <c r="D484" s="64"/>
      <c r="E484" s="64"/>
      <c r="F484" s="64"/>
      <c r="G484" s="64"/>
      <c r="H484" s="64"/>
      <c r="I484" s="64"/>
      <c r="J484" s="64"/>
      <c r="K484" s="64"/>
      <c r="L484" s="64"/>
      <c r="M484" s="64"/>
      <c r="N484" s="64"/>
      <c r="O484" s="64"/>
      <c r="P484" s="64"/>
      <c r="Q484" s="64"/>
      <c r="R484" s="64"/>
      <c r="S484" s="64"/>
      <c r="T484" s="64"/>
      <c r="U484" s="64"/>
      <c r="V484" s="64"/>
      <c r="W484" s="64"/>
    </row>
    <row r="485" spans="1:23" ht="15.75" customHeight="1">
      <c r="A485" s="137"/>
      <c r="B485" s="64"/>
      <c r="C485" s="140"/>
      <c r="D485" s="64"/>
      <c r="E485" s="64"/>
      <c r="F485" s="64"/>
      <c r="G485" s="64"/>
      <c r="H485" s="64"/>
      <c r="I485" s="64"/>
      <c r="J485" s="64"/>
      <c r="K485" s="64"/>
      <c r="L485" s="64"/>
      <c r="M485" s="64"/>
      <c r="N485" s="64"/>
      <c r="O485" s="64"/>
      <c r="P485" s="64"/>
      <c r="Q485" s="64"/>
      <c r="R485" s="64"/>
      <c r="S485" s="64"/>
      <c r="T485" s="64"/>
      <c r="U485" s="64"/>
      <c r="V485" s="64"/>
      <c r="W485" s="64"/>
    </row>
    <row r="486" spans="1:23" ht="15.75" customHeight="1">
      <c r="A486" s="137"/>
      <c r="B486" s="64"/>
      <c r="C486" s="140"/>
      <c r="D486" s="64"/>
      <c r="E486" s="64"/>
      <c r="F486" s="64"/>
      <c r="G486" s="64"/>
      <c r="H486" s="64"/>
      <c r="I486" s="64"/>
      <c r="J486" s="64"/>
      <c r="K486" s="64"/>
      <c r="L486" s="64"/>
      <c r="M486" s="64"/>
      <c r="N486" s="64"/>
      <c r="O486" s="64"/>
      <c r="P486" s="64"/>
      <c r="Q486" s="64"/>
      <c r="R486" s="64"/>
      <c r="S486" s="64"/>
      <c r="T486" s="64"/>
      <c r="U486" s="64"/>
      <c r="V486" s="64"/>
      <c r="W486" s="64"/>
    </row>
    <row r="487" spans="1:23" ht="15.75" customHeight="1">
      <c r="A487" s="137"/>
      <c r="B487" s="64"/>
      <c r="C487" s="140"/>
      <c r="D487" s="64"/>
      <c r="E487" s="64"/>
      <c r="F487" s="64"/>
      <c r="G487" s="64"/>
      <c r="H487" s="64"/>
      <c r="I487" s="64"/>
      <c r="J487" s="64"/>
      <c r="K487" s="64"/>
      <c r="L487" s="64"/>
      <c r="M487" s="64"/>
      <c r="N487" s="64"/>
      <c r="O487" s="64"/>
      <c r="P487" s="64"/>
      <c r="Q487" s="64"/>
      <c r="R487" s="64"/>
      <c r="S487" s="64"/>
      <c r="T487" s="64"/>
      <c r="U487" s="64"/>
      <c r="V487" s="64"/>
      <c r="W487" s="64"/>
    </row>
    <row r="488" spans="1:23" ht="15.75" customHeight="1">
      <c r="A488" s="137"/>
      <c r="B488" s="64"/>
      <c r="C488" s="140"/>
      <c r="D488" s="64"/>
      <c r="E488" s="64"/>
      <c r="F488" s="64"/>
      <c r="G488" s="64"/>
      <c r="H488" s="64"/>
      <c r="I488" s="64"/>
      <c r="J488" s="64"/>
      <c r="K488" s="64"/>
      <c r="L488" s="64"/>
      <c r="M488" s="64"/>
      <c r="N488" s="64"/>
      <c r="O488" s="64"/>
      <c r="P488" s="64"/>
      <c r="Q488" s="64"/>
      <c r="R488" s="64"/>
      <c r="S488" s="64"/>
      <c r="T488" s="64"/>
      <c r="U488" s="64"/>
      <c r="V488" s="64"/>
      <c r="W488" s="64"/>
    </row>
    <row r="489" spans="1:23" ht="15.75" customHeight="1">
      <c r="A489" s="137"/>
      <c r="B489" s="64"/>
      <c r="C489" s="140"/>
      <c r="D489" s="64"/>
      <c r="E489" s="64"/>
      <c r="F489" s="64"/>
      <c r="G489" s="64"/>
      <c r="H489" s="64"/>
      <c r="I489" s="64"/>
      <c r="J489" s="64"/>
      <c r="K489" s="64"/>
      <c r="L489" s="64"/>
      <c r="M489" s="64"/>
      <c r="N489" s="64"/>
      <c r="O489" s="64"/>
      <c r="P489" s="64"/>
      <c r="Q489" s="64"/>
      <c r="R489" s="64"/>
      <c r="S489" s="64"/>
      <c r="T489" s="64"/>
      <c r="U489" s="64"/>
      <c r="V489" s="64"/>
      <c r="W489" s="64"/>
    </row>
    <row r="490" spans="1:23" ht="15.75" customHeight="1">
      <c r="A490" s="137"/>
      <c r="B490" s="64"/>
      <c r="C490" s="140"/>
      <c r="D490" s="64"/>
      <c r="E490" s="64"/>
      <c r="F490" s="64"/>
      <c r="G490" s="64"/>
      <c r="H490" s="64"/>
      <c r="I490" s="64"/>
      <c r="J490" s="64"/>
      <c r="K490" s="64"/>
      <c r="L490" s="64"/>
      <c r="M490" s="64"/>
      <c r="N490" s="64"/>
      <c r="O490" s="64"/>
      <c r="P490" s="64"/>
      <c r="Q490" s="64"/>
      <c r="R490" s="64"/>
      <c r="S490" s="64"/>
      <c r="T490" s="64"/>
      <c r="U490" s="64"/>
      <c r="V490" s="64"/>
      <c r="W490" s="64"/>
    </row>
    <row r="491" spans="1:23" ht="15.75" customHeight="1">
      <c r="A491" s="137"/>
      <c r="B491" s="64"/>
      <c r="C491" s="140"/>
      <c r="D491" s="64"/>
      <c r="E491" s="64"/>
      <c r="F491" s="64"/>
      <c r="G491" s="64"/>
      <c r="H491" s="64"/>
      <c r="I491" s="64"/>
      <c r="J491" s="64"/>
      <c r="K491" s="64"/>
      <c r="L491" s="64"/>
      <c r="M491" s="64"/>
      <c r="N491" s="64"/>
      <c r="O491" s="64"/>
      <c r="P491" s="64"/>
      <c r="Q491" s="64"/>
      <c r="R491" s="64"/>
      <c r="S491" s="64"/>
      <c r="T491" s="64"/>
      <c r="U491" s="64"/>
      <c r="V491" s="64"/>
      <c r="W491" s="64"/>
    </row>
    <row r="492" spans="1:23" ht="15.75" customHeight="1">
      <c r="A492" s="137"/>
      <c r="B492" s="64"/>
      <c r="C492" s="140"/>
      <c r="D492" s="64"/>
      <c r="E492" s="64"/>
      <c r="F492" s="64"/>
      <c r="G492" s="64"/>
      <c r="H492" s="64"/>
      <c r="I492" s="64"/>
      <c r="J492" s="64"/>
      <c r="K492" s="64"/>
      <c r="L492" s="64"/>
      <c r="M492" s="64"/>
      <c r="N492" s="64"/>
      <c r="O492" s="64"/>
      <c r="P492" s="64"/>
      <c r="Q492" s="64"/>
      <c r="R492" s="64"/>
      <c r="S492" s="64"/>
      <c r="T492" s="64"/>
      <c r="U492" s="64"/>
      <c r="V492" s="64"/>
      <c r="W492" s="64"/>
    </row>
    <row r="493" spans="1:23" ht="15.75" customHeight="1">
      <c r="A493" s="137"/>
      <c r="B493" s="64"/>
      <c r="C493" s="140"/>
      <c r="D493" s="64"/>
      <c r="E493" s="64"/>
      <c r="F493" s="64"/>
      <c r="G493" s="64"/>
      <c r="H493" s="64"/>
      <c r="I493" s="64"/>
      <c r="J493" s="64"/>
      <c r="K493" s="64"/>
      <c r="L493" s="64"/>
      <c r="M493" s="64"/>
      <c r="N493" s="64"/>
      <c r="O493" s="64"/>
      <c r="P493" s="64"/>
      <c r="Q493" s="64"/>
      <c r="R493" s="64"/>
      <c r="S493" s="64"/>
      <c r="T493" s="64"/>
      <c r="U493" s="64"/>
      <c r="V493" s="64"/>
      <c r="W493" s="64"/>
    </row>
    <row r="494" spans="1:23" ht="15.75" customHeight="1">
      <c r="A494" s="137"/>
      <c r="B494" s="64"/>
      <c r="C494" s="140"/>
      <c r="D494" s="64"/>
      <c r="E494" s="64"/>
      <c r="F494" s="64"/>
      <c r="G494" s="64"/>
      <c r="H494" s="64"/>
      <c r="I494" s="64"/>
      <c r="J494" s="64"/>
      <c r="K494" s="64"/>
      <c r="L494" s="64"/>
      <c r="M494" s="64"/>
      <c r="N494" s="64"/>
      <c r="O494" s="64"/>
      <c r="P494" s="64"/>
      <c r="Q494" s="64"/>
      <c r="R494" s="64"/>
      <c r="S494" s="64"/>
      <c r="T494" s="64"/>
      <c r="U494" s="64"/>
      <c r="V494" s="64"/>
      <c r="W494" s="64"/>
    </row>
    <row r="495" spans="1:23" ht="15.75" customHeight="1">
      <c r="A495" s="137"/>
      <c r="B495" s="64"/>
      <c r="C495" s="140"/>
      <c r="D495" s="64"/>
      <c r="E495" s="64"/>
      <c r="F495" s="64"/>
      <c r="G495" s="64"/>
      <c r="H495" s="64"/>
      <c r="I495" s="64"/>
      <c r="J495" s="64"/>
      <c r="K495" s="64"/>
      <c r="L495" s="64"/>
      <c r="M495" s="64"/>
      <c r="N495" s="64"/>
      <c r="O495" s="64"/>
      <c r="P495" s="64"/>
      <c r="Q495" s="64"/>
      <c r="R495" s="64"/>
      <c r="S495" s="64"/>
      <c r="T495" s="64"/>
      <c r="U495" s="64"/>
      <c r="V495" s="64"/>
      <c r="W495" s="64"/>
    </row>
    <row r="496" spans="1:23" ht="15.75" customHeight="1">
      <c r="A496" s="137"/>
      <c r="B496" s="64"/>
      <c r="C496" s="140"/>
      <c r="D496" s="64"/>
      <c r="E496" s="64"/>
      <c r="F496" s="64"/>
      <c r="G496" s="64"/>
      <c r="H496" s="64"/>
      <c r="I496" s="64"/>
      <c r="J496" s="64"/>
      <c r="K496" s="64"/>
      <c r="L496" s="64"/>
      <c r="M496" s="64"/>
      <c r="N496" s="64"/>
      <c r="O496" s="64"/>
      <c r="P496" s="64"/>
      <c r="Q496" s="64"/>
      <c r="R496" s="64"/>
      <c r="S496" s="64"/>
      <c r="T496" s="64"/>
      <c r="U496" s="64"/>
      <c r="V496" s="64"/>
      <c r="W496" s="64"/>
    </row>
    <row r="497" spans="1:23" ht="15.75" customHeight="1">
      <c r="A497" s="137"/>
      <c r="B497" s="64"/>
      <c r="C497" s="140"/>
      <c r="D497" s="64"/>
      <c r="E497" s="64"/>
      <c r="F497" s="64"/>
      <c r="G497" s="64"/>
      <c r="H497" s="64"/>
      <c r="I497" s="64"/>
      <c r="J497" s="64"/>
      <c r="K497" s="64"/>
      <c r="L497" s="64"/>
      <c r="M497" s="64"/>
      <c r="N497" s="64"/>
      <c r="O497" s="64"/>
      <c r="P497" s="64"/>
      <c r="Q497" s="64"/>
      <c r="R497" s="64"/>
      <c r="S497" s="64"/>
      <c r="T497" s="64"/>
      <c r="U497" s="64"/>
      <c r="V497" s="64"/>
      <c r="W497" s="64"/>
    </row>
    <row r="498" spans="1:23" ht="15.75" customHeight="1">
      <c r="A498" s="137"/>
      <c r="B498" s="64"/>
      <c r="C498" s="140"/>
      <c r="D498" s="64"/>
      <c r="E498" s="64"/>
      <c r="F498" s="64"/>
      <c r="G498" s="64"/>
      <c r="H498" s="64"/>
      <c r="I498" s="64"/>
      <c r="J498" s="64"/>
      <c r="K498" s="64"/>
      <c r="L498" s="64"/>
      <c r="M498" s="64"/>
      <c r="N498" s="64"/>
      <c r="O498" s="64"/>
      <c r="P498" s="64"/>
      <c r="Q498" s="64"/>
      <c r="R498" s="64"/>
      <c r="S498" s="64"/>
      <c r="T498" s="64"/>
      <c r="U498" s="64"/>
      <c r="V498" s="64"/>
      <c r="W498" s="64"/>
    </row>
    <row r="499" spans="1:23" ht="15.75" customHeight="1">
      <c r="A499" s="137"/>
      <c r="B499" s="64"/>
      <c r="C499" s="140"/>
      <c r="D499" s="64"/>
      <c r="E499" s="64"/>
      <c r="F499" s="64"/>
      <c r="G499" s="64"/>
      <c r="H499" s="64"/>
      <c r="I499" s="64"/>
      <c r="J499" s="64"/>
      <c r="K499" s="64"/>
      <c r="L499" s="64"/>
      <c r="M499" s="64"/>
      <c r="N499" s="64"/>
      <c r="O499" s="64"/>
      <c r="P499" s="64"/>
      <c r="Q499" s="64"/>
      <c r="R499" s="64"/>
      <c r="S499" s="64"/>
      <c r="T499" s="64"/>
      <c r="U499" s="64"/>
      <c r="V499" s="64"/>
      <c r="W499" s="64"/>
    </row>
    <row r="500" spans="1:23" ht="15.75" customHeight="1">
      <c r="A500" s="137"/>
      <c r="B500" s="64"/>
      <c r="C500" s="140"/>
      <c r="D500" s="64"/>
      <c r="E500" s="64"/>
      <c r="F500" s="64"/>
      <c r="G500" s="64"/>
      <c r="H500" s="64"/>
      <c r="I500" s="64"/>
      <c r="J500" s="64"/>
      <c r="K500" s="64"/>
      <c r="L500" s="64"/>
      <c r="M500" s="64"/>
      <c r="N500" s="64"/>
      <c r="O500" s="64"/>
      <c r="P500" s="64"/>
      <c r="Q500" s="64"/>
      <c r="R500" s="64"/>
      <c r="S500" s="64"/>
      <c r="T500" s="64"/>
      <c r="U500" s="64"/>
      <c r="V500" s="64"/>
      <c r="W500" s="64"/>
    </row>
    <row r="501" spans="1:23" ht="15.75" customHeight="1">
      <c r="A501" s="137"/>
      <c r="B501" s="64"/>
      <c r="C501" s="140"/>
      <c r="D501" s="64"/>
      <c r="E501" s="64"/>
      <c r="F501" s="64"/>
      <c r="G501" s="64"/>
      <c r="H501" s="64"/>
      <c r="I501" s="64"/>
      <c r="J501" s="64"/>
      <c r="K501" s="64"/>
      <c r="L501" s="64"/>
      <c r="M501" s="64"/>
      <c r="N501" s="64"/>
      <c r="O501" s="64"/>
      <c r="P501" s="64"/>
      <c r="Q501" s="64"/>
      <c r="R501" s="64"/>
      <c r="S501" s="64"/>
      <c r="T501" s="64"/>
      <c r="U501" s="64"/>
      <c r="V501" s="64"/>
      <c r="W501" s="64"/>
    </row>
    <row r="502" spans="1:23" ht="15.75" customHeight="1">
      <c r="A502" s="137"/>
      <c r="B502" s="64"/>
      <c r="C502" s="140"/>
      <c r="D502" s="64"/>
      <c r="E502" s="64"/>
      <c r="F502" s="64"/>
      <c r="G502" s="64"/>
      <c r="H502" s="64"/>
      <c r="I502" s="64"/>
      <c r="J502" s="64"/>
      <c r="K502" s="64"/>
      <c r="L502" s="64"/>
      <c r="M502" s="64"/>
      <c r="N502" s="64"/>
      <c r="O502" s="64"/>
      <c r="P502" s="64"/>
      <c r="Q502" s="64"/>
      <c r="R502" s="64"/>
      <c r="S502" s="64"/>
      <c r="T502" s="64"/>
      <c r="U502" s="64"/>
      <c r="V502" s="64"/>
      <c r="W502" s="64"/>
    </row>
    <row r="503" spans="1:23" ht="15.75" customHeight="1">
      <c r="A503" s="137"/>
      <c r="B503" s="64"/>
      <c r="C503" s="140"/>
      <c r="D503" s="64"/>
      <c r="E503" s="64"/>
      <c r="F503" s="64"/>
      <c r="G503" s="64"/>
      <c r="H503" s="64"/>
      <c r="I503" s="64"/>
      <c r="J503" s="64"/>
      <c r="K503" s="64"/>
      <c r="L503" s="64"/>
      <c r="M503" s="64"/>
      <c r="N503" s="64"/>
      <c r="O503" s="64"/>
      <c r="P503" s="64"/>
      <c r="Q503" s="64"/>
      <c r="R503" s="64"/>
      <c r="S503" s="64"/>
      <c r="T503" s="64"/>
      <c r="U503" s="64"/>
      <c r="V503" s="64"/>
      <c r="W503" s="64"/>
    </row>
    <row r="504" spans="1:23" ht="15.75" customHeight="1">
      <c r="A504" s="137"/>
      <c r="B504" s="64"/>
      <c r="C504" s="140"/>
      <c r="D504" s="64"/>
      <c r="E504" s="64"/>
      <c r="F504" s="64"/>
      <c r="G504" s="64"/>
      <c r="H504" s="64"/>
      <c r="I504" s="64"/>
      <c r="J504" s="64"/>
      <c r="K504" s="64"/>
      <c r="L504" s="64"/>
      <c r="M504" s="64"/>
      <c r="N504" s="64"/>
      <c r="O504" s="64"/>
      <c r="P504" s="64"/>
      <c r="Q504" s="64"/>
      <c r="R504" s="64"/>
      <c r="S504" s="64"/>
      <c r="T504" s="64"/>
      <c r="U504" s="64"/>
      <c r="V504" s="64"/>
      <c r="W504" s="64"/>
    </row>
    <row r="505" spans="1:23" ht="15.75" customHeight="1">
      <c r="A505" s="137"/>
      <c r="B505" s="64"/>
      <c r="C505" s="140"/>
      <c r="D505" s="64"/>
      <c r="E505" s="64"/>
      <c r="F505" s="64"/>
      <c r="G505" s="64"/>
      <c r="H505" s="64"/>
      <c r="I505" s="64"/>
      <c r="J505" s="64"/>
      <c r="K505" s="64"/>
      <c r="L505" s="64"/>
      <c r="M505" s="64"/>
      <c r="N505" s="64"/>
      <c r="O505" s="64"/>
      <c r="P505" s="64"/>
      <c r="Q505" s="64"/>
      <c r="R505" s="64"/>
      <c r="S505" s="64"/>
      <c r="T505" s="64"/>
      <c r="U505" s="64"/>
      <c r="V505" s="64"/>
      <c r="W505" s="64"/>
    </row>
    <row r="506" spans="1:23" ht="15.75" customHeight="1">
      <c r="A506" s="137"/>
      <c r="B506" s="64"/>
      <c r="C506" s="140"/>
      <c r="D506" s="64"/>
      <c r="E506" s="64"/>
      <c r="F506" s="64"/>
      <c r="G506" s="64"/>
      <c r="H506" s="64"/>
      <c r="I506" s="64"/>
      <c r="J506" s="64"/>
      <c r="K506" s="64"/>
      <c r="L506" s="64"/>
      <c r="M506" s="64"/>
      <c r="N506" s="64"/>
      <c r="O506" s="64"/>
      <c r="P506" s="64"/>
      <c r="Q506" s="64"/>
      <c r="R506" s="64"/>
      <c r="S506" s="64"/>
      <c r="T506" s="64"/>
      <c r="U506" s="64"/>
      <c r="V506" s="64"/>
      <c r="W506" s="64"/>
    </row>
    <row r="507" spans="1:23" ht="15.75" customHeight="1">
      <c r="A507" s="137"/>
      <c r="B507" s="64"/>
      <c r="C507" s="140"/>
      <c r="D507" s="64"/>
      <c r="E507" s="64"/>
      <c r="F507" s="64"/>
      <c r="G507" s="64"/>
      <c r="H507" s="64"/>
      <c r="I507" s="64"/>
      <c r="J507" s="64"/>
      <c r="K507" s="64"/>
      <c r="L507" s="64"/>
      <c r="M507" s="64"/>
      <c r="N507" s="64"/>
      <c r="O507" s="64"/>
      <c r="P507" s="64"/>
      <c r="Q507" s="64"/>
      <c r="R507" s="64"/>
      <c r="S507" s="64"/>
      <c r="T507" s="64"/>
      <c r="U507" s="64"/>
      <c r="V507" s="64"/>
      <c r="W507" s="64"/>
    </row>
    <row r="508" spans="1:23" ht="15.75" customHeight="1">
      <c r="A508" s="137"/>
      <c r="B508" s="64"/>
      <c r="C508" s="140"/>
      <c r="D508" s="64"/>
      <c r="E508" s="64"/>
      <c r="F508" s="64"/>
      <c r="G508" s="64"/>
      <c r="H508" s="64"/>
      <c r="I508" s="64"/>
      <c r="J508" s="64"/>
      <c r="K508" s="64"/>
      <c r="L508" s="64"/>
      <c r="M508" s="64"/>
      <c r="N508" s="64"/>
      <c r="O508" s="64"/>
      <c r="P508" s="64"/>
      <c r="Q508" s="64"/>
      <c r="R508" s="64"/>
      <c r="S508" s="64"/>
      <c r="T508" s="64"/>
      <c r="U508" s="64"/>
      <c r="V508" s="64"/>
      <c r="W508" s="64"/>
    </row>
    <row r="509" spans="1:23" ht="15.75" customHeight="1">
      <c r="A509" s="137"/>
      <c r="B509" s="64"/>
      <c r="C509" s="140"/>
      <c r="D509" s="64"/>
      <c r="E509" s="64"/>
      <c r="F509" s="64"/>
      <c r="G509" s="64"/>
      <c r="H509" s="64"/>
      <c r="I509" s="64"/>
      <c r="J509" s="64"/>
      <c r="K509" s="64"/>
      <c r="L509" s="64"/>
      <c r="M509" s="64"/>
      <c r="N509" s="64"/>
      <c r="O509" s="64"/>
      <c r="P509" s="64"/>
      <c r="Q509" s="64"/>
      <c r="R509" s="64"/>
      <c r="S509" s="64"/>
      <c r="T509" s="64"/>
      <c r="U509" s="64"/>
      <c r="V509" s="64"/>
      <c r="W509" s="64"/>
    </row>
    <row r="510" spans="1:23" ht="15.75" customHeight="1">
      <c r="A510" s="137"/>
      <c r="B510" s="64"/>
      <c r="C510" s="140"/>
      <c r="D510" s="64"/>
      <c r="E510" s="64"/>
      <c r="F510" s="64"/>
      <c r="G510" s="64"/>
      <c r="H510" s="64"/>
      <c r="I510" s="64"/>
      <c r="J510" s="64"/>
      <c r="K510" s="64"/>
      <c r="L510" s="64"/>
      <c r="M510" s="64"/>
      <c r="N510" s="64"/>
      <c r="O510" s="64"/>
      <c r="P510" s="64"/>
      <c r="Q510" s="64"/>
      <c r="R510" s="64"/>
      <c r="S510" s="64"/>
      <c r="T510" s="64"/>
      <c r="U510" s="64"/>
      <c r="V510" s="64"/>
      <c r="W510" s="64"/>
    </row>
    <row r="511" spans="1:23" ht="15.75" customHeight="1">
      <c r="A511" s="137"/>
      <c r="B511" s="64"/>
      <c r="C511" s="140"/>
      <c r="D511" s="64"/>
      <c r="E511" s="64"/>
      <c r="F511" s="64"/>
      <c r="G511" s="64"/>
      <c r="H511" s="64"/>
      <c r="I511" s="64"/>
      <c r="J511" s="64"/>
      <c r="K511" s="64"/>
      <c r="L511" s="64"/>
      <c r="M511" s="64"/>
      <c r="N511" s="64"/>
      <c r="O511" s="64"/>
      <c r="P511" s="64"/>
      <c r="Q511" s="64"/>
      <c r="R511" s="64"/>
      <c r="S511" s="64"/>
      <c r="T511" s="64"/>
      <c r="U511" s="64"/>
      <c r="V511" s="64"/>
      <c r="W511" s="64"/>
    </row>
    <row r="512" spans="1:23" ht="15.75" customHeight="1">
      <c r="A512" s="137"/>
      <c r="B512" s="64"/>
      <c r="C512" s="140"/>
      <c r="D512" s="64"/>
      <c r="E512" s="64"/>
      <c r="F512" s="64"/>
      <c r="G512" s="64"/>
      <c r="H512" s="64"/>
      <c r="I512" s="64"/>
      <c r="J512" s="64"/>
      <c r="K512" s="64"/>
      <c r="L512" s="64"/>
      <c r="M512" s="64"/>
      <c r="N512" s="64"/>
      <c r="O512" s="64"/>
      <c r="P512" s="64"/>
      <c r="Q512" s="64"/>
      <c r="R512" s="64"/>
      <c r="S512" s="64"/>
      <c r="T512" s="64"/>
      <c r="U512" s="64"/>
      <c r="V512" s="64"/>
      <c r="W512" s="64"/>
    </row>
    <row r="513" spans="1:23" ht="15.75" customHeight="1">
      <c r="A513" s="137"/>
      <c r="B513" s="64"/>
      <c r="C513" s="140"/>
      <c r="D513" s="64"/>
      <c r="E513" s="64"/>
      <c r="F513" s="64"/>
      <c r="G513" s="64"/>
      <c r="H513" s="64"/>
      <c r="I513" s="64"/>
      <c r="J513" s="64"/>
      <c r="K513" s="64"/>
      <c r="L513" s="64"/>
      <c r="M513" s="64"/>
      <c r="N513" s="64"/>
      <c r="O513" s="64"/>
      <c r="P513" s="64"/>
      <c r="Q513" s="64"/>
      <c r="R513" s="64"/>
      <c r="S513" s="64"/>
      <c r="T513" s="64"/>
      <c r="U513" s="64"/>
      <c r="V513" s="64"/>
      <c r="W513" s="64"/>
    </row>
    <row r="514" spans="1:23" ht="15.75" customHeight="1">
      <c r="A514" s="137"/>
      <c r="B514" s="64"/>
      <c r="C514" s="140"/>
      <c r="D514" s="64"/>
      <c r="E514" s="64"/>
      <c r="F514" s="64"/>
      <c r="G514" s="64"/>
      <c r="H514" s="64"/>
      <c r="I514" s="64"/>
      <c r="J514" s="64"/>
      <c r="K514" s="64"/>
      <c r="L514" s="64"/>
      <c r="M514" s="64"/>
      <c r="N514" s="64"/>
      <c r="O514" s="64"/>
      <c r="P514" s="64"/>
      <c r="Q514" s="64"/>
      <c r="R514" s="64"/>
      <c r="S514" s="64"/>
      <c r="T514" s="64"/>
      <c r="U514" s="64"/>
      <c r="V514" s="64"/>
      <c r="W514" s="64"/>
    </row>
    <row r="515" spans="1:23" ht="15.75" customHeight="1">
      <c r="A515" s="137"/>
      <c r="B515" s="64"/>
      <c r="C515" s="140"/>
      <c r="D515" s="64"/>
      <c r="E515" s="64"/>
      <c r="F515" s="64"/>
      <c r="G515" s="64"/>
      <c r="H515" s="64"/>
      <c r="I515" s="64"/>
      <c r="J515" s="64"/>
      <c r="K515" s="64"/>
      <c r="L515" s="64"/>
      <c r="M515" s="64"/>
      <c r="N515" s="64"/>
      <c r="O515" s="64"/>
      <c r="P515" s="64"/>
      <c r="Q515" s="64"/>
      <c r="R515" s="64"/>
      <c r="S515" s="64"/>
      <c r="T515" s="64"/>
      <c r="U515" s="64"/>
      <c r="V515" s="64"/>
      <c r="W515" s="64"/>
    </row>
    <row r="516" spans="1:23" ht="15.75" customHeight="1">
      <c r="A516" s="137"/>
      <c r="B516" s="64"/>
      <c r="C516" s="140"/>
      <c r="D516" s="64"/>
      <c r="E516" s="64"/>
      <c r="F516" s="64"/>
      <c r="G516" s="64"/>
      <c r="H516" s="64"/>
      <c r="I516" s="64"/>
      <c r="J516" s="64"/>
      <c r="K516" s="64"/>
      <c r="L516" s="64"/>
      <c r="M516" s="64"/>
      <c r="N516" s="64"/>
      <c r="O516" s="64"/>
      <c r="P516" s="64"/>
      <c r="Q516" s="64"/>
      <c r="R516" s="64"/>
      <c r="S516" s="64"/>
      <c r="T516" s="64"/>
      <c r="U516" s="64"/>
      <c r="V516" s="64"/>
      <c r="W516" s="64"/>
    </row>
    <row r="517" spans="1:23" ht="15.75" customHeight="1">
      <c r="A517" s="137"/>
      <c r="B517" s="64"/>
      <c r="C517" s="140"/>
      <c r="D517" s="64"/>
      <c r="E517" s="64"/>
      <c r="F517" s="64"/>
      <c r="G517" s="64"/>
      <c r="H517" s="64"/>
      <c r="I517" s="64"/>
      <c r="J517" s="64"/>
      <c r="K517" s="64"/>
      <c r="L517" s="64"/>
      <c r="M517" s="64"/>
      <c r="N517" s="64"/>
      <c r="O517" s="64"/>
      <c r="P517" s="64"/>
      <c r="Q517" s="64"/>
      <c r="R517" s="64"/>
      <c r="S517" s="64"/>
      <c r="T517" s="64"/>
      <c r="U517" s="64"/>
      <c r="V517" s="64"/>
      <c r="W517" s="64"/>
    </row>
    <row r="518" spans="1:23" ht="15.75" customHeight="1">
      <c r="A518" s="137"/>
      <c r="B518" s="64"/>
      <c r="C518" s="140"/>
      <c r="D518" s="64"/>
      <c r="E518" s="64"/>
      <c r="F518" s="64"/>
      <c r="G518" s="64"/>
      <c r="H518" s="64"/>
      <c r="I518" s="64"/>
      <c r="J518" s="64"/>
      <c r="K518" s="64"/>
      <c r="L518" s="64"/>
      <c r="M518" s="64"/>
      <c r="N518" s="64"/>
      <c r="O518" s="64"/>
      <c r="P518" s="64"/>
      <c r="Q518" s="64"/>
      <c r="R518" s="64"/>
      <c r="S518" s="64"/>
      <c r="T518" s="64"/>
      <c r="U518" s="64"/>
      <c r="V518" s="64"/>
      <c r="W518" s="64"/>
    </row>
    <row r="519" spans="1:23" ht="15.75" customHeight="1">
      <c r="A519" s="137"/>
      <c r="B519" s="64"/>
      <c r="C519" s="140"/>
      <c r="D519" s="64"/>
      <c r="E519" s="64"/>
      <c r="F519" s="64"/>
      <c r="G519" s="64"/>
      <c r="H519" s="64"/>
      <c r="I519" s="64"/>
      <c r="J519" s="64"/>
      <c r="K519" s="64"/>
      <c r="L519" s="64"/>
      <c r="M519" s="64"/>
      <c r="N519" s="64"/>
      <c r="O519" s="64"/>
      <c r="P519" s="64"/>
      <c r="Q519" s="64"/>
      <c r="R519" s="64"/>
      <c r="S519" s="64"/>
      <c r="T519" s="64"/>
      <c r="U519" s="64"/>
      <c r="V519" s="64"/>
      <c r="W519" s="64"/>
    </row>
    <row r="520" spans="1:23" ht="15.75" customHeight="1">
      <c r="A520" s="137"/>
      <c r="B520" s="64"/>
      <c r="C520" s="140"/>
      <c r="D520" s="64"/>
      <c r="E520" s="64"/>
      <c r="F520" s="64"/>
      <c r="G520" s="64"/>
      <c r="H520" s="64"/>
      <c r="I520" s="64"/>
      <c r="J520" s="64"/>
      <c r="K520" s="64"/>
      <c r="L520" s="64"/>
      <c r="M520" s="64"/>
      <c r="N520" s="64"/>
      <c r="O520" s="64"/>
      <c r="P520" s="64"/>
      <c r="Q520" s="64"/>
      <c r="R520" s="64"/>
      <c r="S520" s="64"/>
      <c r="T520" s="64"/>
      <c r="U520" s="64"/>
      <c r="V520" s="64"/>
      <c r="W520" s="64"/>
    </row>
    <row r="521" spans="1:23" ht="15.75" customHeight="1">
      <c r="A521" s="137"/>
      <c r="B521" s="64"/>
      <c r="C521" s="140"/>
      <c r="D521" s="64"/>
      <c r="E521" s="64"/>
      <c r="F521" s="64"/>
      <c r="G521" s="64"/>
      <c r="H521" s="64"/>
      <c r="I521" s="64"/>
      <c r="J521" s="64"/>
      <c r="K521" s="64"/>
      <c r="L521" s="64"/>
      <c r="M521" s="64"/>
      <c r="N521" s="64"/>
      <c r="O521" s="64"/>
      <c r="P521" s="64"/>
      <c r="Q521" s="64"/>
      <c r="R521" s="64"/>
      <c r="S521" s="64"/>
      <c r="T521" s="64"/>
      <c r="U521" s="64"/>
      <c r="V521" s="64"/>
      <c r="W521" s="64"/>
    </row>
    <row r="522" spans="1:23" ht="15.75" customHeight="1">
      <c r="A522" s="137"/>
      <c r="B522" s="64"/>
      <c r="C522" s="140"/>
      <c r="D522" s="64"/>
      <c r="E522" s="64"/>
      <c r="F522" s="64"/>
      <c r="G522" s="64"/>
      <c r="H522" s="64"/>
      <c r="I522" s="64"/>
      <c r="J522" s="64"/>
      <c r="K522" s="64"/>
      <c r="L522" s="64"/>
      <c r="M522" s="64"/>
      <c r="N522" s="64"/>
      <c r="O522" s="64"/>
      <c r="P522" s="64"/>
      <c r="Q522" s="64"/>
      <c r="R522" s="64"/>
      <c r="S522" s="64"/>
      <c r="T522" s="64"/>
      <c r="U522" s="64"/>
      <c r="V522" s="64"/>
      <c r="W522" s="64"/>
    </row>
    <row r="523" spans="1:23" ht="15.75" customHeight="1">
      <c r="A523" s="137"/>
      <c r="B523" s="64"/>
      <c r="C523" s="140"/>
      <c r="D523" s="64"/>
      <c r="E523" s="64"/>
      <c r="F523" s="64"/>
      <c r="G523" s="64"/>
      <c r="H523" s="64"/>
      <c r="I523" s="64"/>
      <c r="J523" s="64"/>
      <c r="K523" s="64"/>
      <c r="L523" s="64"/>
      <c r="M523" s="64"/>
      <c r="N523" s="64"/>
      <c r="O523" s="64"/>
      <c r="P523" s="64"/>
      <c r="Q523" s="64"/>
      <c r="R523" s="64"/>
      <c r="S523" s="64"/>
      <c r="T523" s="64"/>
      <c r="U523" s="64"/>
      <c r="V523" s="64"/>
      <c r="W523" s="64"/>
    </row>
    <row r="524" spans="1:23" ht="15.75" customHeight="1">
      <c r="A524" s="137"/>
      <c r="B524" s="64"/>
      <c r="C524" s="140"/>
      <c r="D524" s="64"/>
      <c r="E524" s="64"/>
      <c r="F524" s="64"/>
      <c r="G524" s="64"/>
      <c r="H524" s="64"/>
      <c r="I524" s="64"/>
      <c r="J524" s="64"/>
      <c r="K524" s="64"/>
      <c r="L524" s="64"/>
      <c r="M524" s="64"/>
      <c r="N524" s="64"/>
      <c r="O524" s="64"/>
      <c r="P524" s="64"/>
      <c r="Q524" s="64"/>
      <c r="R524" s="64"/>
      <c r="S524" s="64"/>
      <c r="T524" s="64"/>
      <c r="U524" s="64"/>
      <c r="V524" s="64"/>
      <c r="W524" s="64"/>
    </row>
    <row r="525" spans="1:23" ht="15.75" customHeight="1">
      <c r="A525" s="137"/>
      <c r="B525" s="64"/>
      <c r="C525" s="140"/>
      <c r="D525" s="64"/>
      <c r="E525" s="64"/>
      <c r="F525" s="64"/>
      <c r="G525" s="64"/>
      <c r="H525" s="64"/>
      <c r="I525" s="64"/>
      <c r="J525" s="64"/>
      <c r="K525" s="64"/>
      <c r="L525" s="64"/>
      <c r="M525" s="64"/>
      <c r="N525" s="64"/>
      <c r="O525" s="64"/>
      <c r="P525" s="64"/>
      <c r="Q525" s="64"/>
      <c r="R525" s="64"/>
      <c r="S525" s="64"/>
      <c r="T525" s="64"/>
      <c r="U525" s="64"/>
      <c r="V525" s="64"/>
      <c r="W525" s="64"/>
    </row>
    <row r="526" spans="1:23" ht="15.75" customHeight="1">
      <c r="A526" s="137"/>
      <c r="B526" s="64"/>
      <c r="C526" s="140"/>
      <c r="D526" s="64"/>
      <c r="E526" s="64"/>
      <c r="F526" s="64"/>
      <c r="G526" s="64"/>
      <c r="H526" s="64"/>
      <c r="I526" s="64"/>
      <c r="J526" s="64"/>
      <c r="K526" s="64"/>
      <c r="L526" s="64"/>
      <c r="M526" s="64"/>
      <c r="N526" s="64"/>
      <c r="O526" s="64"/>
      <c r="P526" s="64"/>
      <c r="Q526" s="64"/>
      <c r="R526" s="64"/>
      <c r="S526" s="64"/>
      <c r="T526" s="64"/>
      <c r="U526" s="64"/>
      <c r="V526" s="64"/>
      <c r="W526" s="64"/>
    </row>
    <row r="527" spans="1:23" ht="15.75" customHeight="1">
      <c r="A527" s="137"/>
      <c r="B527" s="64"/>
      <c r="C527" s="140"/>
      <c r="D527" s="64"/>
      <c r="E527" s="64"/>
      <c r="F527" s="64"/>
      <c r="G527" s="64"/>
      <c r="H527" s="64"/>
      <c r="I527" s="64"/>
      <c r="J527" s="64"/>
      <c r="K527" s="64"/>
      <c r="L527" s="64"/>
      <c r="M527" s="64"/>
      <c r="N527" s="64"/>
      <c r="O527" s="64"/>
      <c r="P527" s="64"/>
      <c r="Q527" s="64"/>
      <c r="R527" s="64"/>
      <c r="S527" s="64"/>
      <c r="T527" s="64"/>
      <c r="U527" s="64"/>
      <c r="V527" s="64"/>
      <c r="W527" s="64"/>
    </row>
    <row r="528" spans="1:23" ht="15.75" customHeight="1">
      <c r="A528" s="137"/>
      <c r="B528" s="64"/>
      <c r="C528" s="140"/>
      <c r="D528" s="64"/>
      <c r="E528" s="64"/>
      <c r="F528" s="64"/>
      <c r="G528" s="64"/>
      <c r="H528" s="64"/>
      <c r="I528" s="64"/>
      <c r="J528" s="64"/>
      <c r="K528" s="64"/>
      <c r="L528" s="64"/>
      <c r="M528" s="64"/>
      <c r="N528" s="64"/>
      <c r="O528" s="64"/>
      <c r="P528" s="64"/>
      <c r="Q528" s="64"/>
      <c r="R528" s="64"/>
      <c r="S528" s="64"/>
      <c r="T528" s="64"/>
      <c r="U528" s="64"/>
      <c r="V528" s="64"/>
      <c r="W528" s="64"/>
    </row>
    <row r="529" spans="1:23" ht="15.75" customHeight="1">
      <c r="A529" s="137"/>
      <c r="B529" s="64"/>
      <c r="C529" s="140"/>
      <c r="D529" s="64"/>
      <c r="E529" s="64"/>
      <c r="F529" s="64"/>
      <c r="G529" s="64"/>
      <c r="H529" s="64"/>
      <c r="I529" s="64"/>
      <c r="J529" s="64"/>
      <c r="K529" s="64"/>
      <c r="L529" s="64"/>
      <c r="M529" s="64"/>
      <c r="N529" s="64"/>
      <c r="O529" s="64"/>
      <c r="P529" s="64"/>
      <c r="Q529" s="64"/>
      <c r="R529" s="64"/>
      <c r="S529" s="64"/>
      <c r="T529" s="64"/>
      <c r="U529" s="64"/>
      <c r="V529" s="64"/>
      <c r="W529" s="64"/>
    </row>
    <row r="530" spans="1:23" ht="15.75" customHeight="1">
      <c r="A530" s="137"/>
      <c r="B530" s="64"/>
      <c r="C530" s="140"/>
      <c r="D530" s="64"/>
      <c r="E530" s="64"/>
      <c r="F530" s="64"/>
      <c r="G530" s="64"/>
      <c r="H530" s="64"/>
      <c r="I530" s="64"/>
      <c r="J530" s="64"/>
      <c r="K530" s="64"/>
      <c r="L530" s="64"/>
      <c r="M530" s="64"/>
      <c r="N530" s="64"/>
      <c r="O530" s="64"/>
      <c r="P530" s="64"/>
      <c r="Q530" s="64"/>
      <c r="R530" s="64"/>
      <c r="S530" s="64"/>
      <c r="T530" s="64"/>
      <c r="U530" s="64"/>
      <c r="V530" s="64"/>
      <c r="W530" s="64"/>
    </row>
    <row r="531" spans="1:23" ht="15.75" customHeight="1">
      <c r="A531" s="137"/>
      <c r="B531" s="64"/>
      <c r="C531" s="140"/>
      <c r="D531" s="64"/>
      <c r="E531" s="64"/>
      <c r="F531" s="64"/>
      <c r="G531" s="64"/>
      <c r="H531" s="64"/>
      <c r="I531" s="64"/>
      <c r="J531" s="64"/>
      <c r="K531" s="64"/>
      <c r="L531" s="64"/>
      <c r="M531" s="64"/>
      <c r="N531" s="64"/>
      <c r="O531" s="64"/>
      <c r="P531" s="64"/>
      <c r="Q531" s="64"/>
      <c r="R531" s="64"/>
      <c r="S531" s="64"/>
      <c r="T531" s="64"/>
      <c r="U531" s="64"/>
      <c r="V531" s="64"/>
      <c r="W531" s="64"/>
    </row>
    <row r="532" spans="1:23" ht="15.75" customHeight="1">
      <c r="A532" s="137"/>
      <c r="B532" s="64"/>
      <c r="C532" s="140"/>
      <c r="D532" s="64"/>
      <c r="E532" s="64"/>
      <c r="F532" s="64"/>
      <c r="G532" s="64"/>
      <c r="H532" s="64"/>
      <c r="I532" s="64"/>
      <c r="J532" s="64"/>
      <c r="K532" s="64"/>
      <c r="L532" s="64"/>
      <c r="M532" s="64"/>
      <c r="N532" s="64"/>
      <c r="O532" s="64"/>
      <c r="P532" s="64"/>
      <c r="Q532" s="64"/>
      <c r="R532" s="64"/>
      <c r="S532" s="64"/>
      <c r="T532" s="64"/>
      <c r="U532" s="64"/>
      <c r="V532" s="64"/>
      <c r="W532" s="64"/>
    </row>
    <row r="533" spans="1:23" ht="15.75" customHeight="1">
      <c r="A533" s="137"/>
      <c r="B533" s="64"/>
      <c r="C533" s="140"/>
      <c r="D533" s="64"/>
      <c r="E533" s="64"/>
      <c r="F533" s="64"/>
      <c r="G533" s="64"/>
      <c r="H533" s="64"/>
      <c r="I533" s="64"/>
      <c r="J533" s="64"/>
      <c r="K533" s="64"/>
      <c r="L533" s="64"/>
      <c r="M533" s="64"/>
      <c r="N533" s="64"/>
      <c r="O533" s="64"/>
      <c r="P533" s="64"/>
      <c r="Q533" s="64"/>
      <c r="R533" s="64"/>
      <c r="S533" s="64"/>
      <c r="T533" s="64"/>
      <c r="U533" s="64"/>
      <c r="V533" s="64"/>
      <c r="W533" s="64"/>
    </row>
    <row r="534" spans="1:23" ht="15.75" customHeight="1">
      <c r="A534" s="137"/>
      <c r="B534" s="64"/>
      <c r="C534" s="140"/>
      <c r="D534" s="64"/>
      <c r="E534" s="64"/>
      <c r="F534" s="64"/>
      <c r="G534" s="64"/>
      <c r="H534" s="64"/>
      <c r="I534" s="64"/>
      <c r="J534" s="64"/>
      <c r="K534" s="64"/>
      <c r="L534" s="64"/>
      <c r="M534" s="64"/>
      <c r="N534" s="64"/>
      <c r="O534" s="64"/>
      <c r="P534" s="64"/>
      <c r="Q534" s="64"/>
      <c r="R534" s="64"/>
      <c r="S534" s="64"/>
      <c r="T534" s="64"/>
      <c r="U534" s="64"/>
      <c r="V534" s="64"/>
      <c r="W534" s="64"/>
    </row>
    <row r="535" spans="1:23" ht="15.75" customHeight="1">
      <c r="A535" s="137"/>
      <c r="B535" s="64"/>
      <c r="C535" s="140"/>
      <c r="D535" s="64"/>
      <c r="E535" s="64"/>
      <c r="F535" s="64"/>
      <c r="G535" s="64"/>
      <c r="H535" s="64"/>
      <c r="I535" s="64"/>
      <c r="J535" s="64"/>
      <c r="K535" s="64"/>
      <c r="L535" s="64"/>
      <c r="M535" s="64"/>
      <c r="N535" s="64"/>
      <c r="O535" s="64"/>
      <c r="P535" s="64"/>
      <c r="Q535" s="64"/>
      <c r="R535" s="64"/>
      <c r="S535" s="64"/>
      <c r="T535" s="64"/>
      <c r="U535" s="64"/>
      <c r="V535" s="64"/>
      <c r="W535" s="64"/>
    </row>
    <row r="536" spans="1:23" ht="15.75" customHeight="1">
      <c r="A536" s="137"/>
      <c r="B536" s="64"/>
      <c r="C536" s="140"/>
      <c r="D536" s="64"/>
      <c r="E536" s="64"/>
      <c r="F536" s="64"/>
      <c r="G536" s="64"/>
      <c r="H536" s="64"/>
      <c r="I536" s="64"/>
      <c r="J536" s="64"/>
      <c r="K536" s="64"/>
      <c r="L536" s="64"/>
      <c r="M536" s="64"/>
      <c r="N536" s="64"/>
      <c r="O536" s="64"/>
      <c r="P536" s="64"/>
      <c r="Q536" s="64"/>
      <c r="R536" s="64"/>
      <c r="S536" s="64"/>
      <c r="T536" s="64"/>
      <c r="U536" s="64"/>
      <c r="V536" s="64"/>
      <c r="W536" s="64"/>
    </row>
    <row r="537" spans="1:23" ht="15.75" customHeight="1">
      <c r="A537" s="137"/>
      <c r="B537" s="64"/>
      <c r="C537" s="140"/>
      <c r="D537" s="64"/>
      <c r="E537" s="64"/>
      <c r="F537" s="64"/>
      <c r="G537" s="64"/>
      <c r="H537" s="64"/>
      <c r="I537" s="64"/>
      <c r="J537" s="64"/>
      <c r="K537" s="64"/>
      <c r="L537" s="64"/>
      <c r="M537" s="64"/>
      <c r="N537" s="64"/>
      <c r="O537" s="64"/>
      <c r="P537" s="64"/>
      <c r="Q537" s="64"/>
      <c r="R537" s="64"/>
      <c r="S537" s="64"/>
      <c r="T537" s="64"/>
      <c r="U537" s="64"/>
      <c r="V537" s="64"/>
      <c r="W537" s="64"/>
    </row>
    <row r="538" spans="1:23" ht="15.75" customHeight="1">
      <c r="A538" s="137"/>
      <c r="B538" s="64"/>
      <c r="C538" s="140"/>
      <c r="D538" s="64"/>
      <c r="E538" s="64"/>
      <c r="F538" s="64"/>
      <c r="G538" s="64"/>
      <c r="H538" s="64"/>
      <c r="I538" s="64"/>
      <c r="J538" s="64"/>
      <c r="K538" s="64"/>
      <c r="L538" s="64"/>
      <c r="M538" s="64"/>
      <c r="N538" s="64"/>
      <c r="O538" s="64"/>
      <c r="P538" s="64"/>
      <c r="Q538" s="64"/>
      <c r="R538" s="64"/>
      <c r="S538" s="64"/>
      <c r="T538" s="64"/>
      <c r="U538" s="64"/>
      <c r="V538" s="64"/>
      <c r="W538" s="64"/>
    </row>
    <row r="539" spans="1:23" ht="15.75" customHeight="1">
      <c r="A539" s="137"/>
      <c r="B539" s="64"/>
      <c r="C539" s="140"/>
      <c r="D539" s="64"/>
      <c r="E539" s="64"/>
      <c r="F539" s="64"/>
      <c r="G539" s="64"/>
      <c r="H539" s="64"/>
      <c r="I539" s="64"/>
      <c r="J539" s="64"/>
      <c r="K539" s="64"/>
      <c r="L539" s="64"/>
      <c r="M539" s="64"/>
      <c r="N539" s="64"/>
      <c r="O539" s="64"/>
      <c r="P539" s="64"/>
      <c r="Q539" s="64"/>
      <c r="R539" s="64"/>
      <c r="S539" s="64"/>
      <c r="T539" s="64"/>
      <c r="U539" s="64"/>
      <c r="V539" s="64"/>
      <c r="W539" s="64"/>
    </row>
    <row r="540" spans="1:23" ht="15.75" customHeight="1">
      <c r="A540" s="137"/>
      <c r="B540" s="64"/>
      <c r="C540" s="140"/>
      <c r="D540" s="64"/>
      <c r="E540" s="64"/>
      <c r="F540" s="64"/>
      <c r="G540" s="64"/>
      <c r="H540" s="64"/>
      <c r="I540" s="64"/>
      <c r="J540" s="64"/>
      <c r="K540" s="64"/>
      <c r="L540" s="64"/>
      <c r="M540" s="64"/>
      <c r="N540" s="64"/>
      <c r="O540" s="64"/>
      <c r="P540" s="64"/>
      <c r="Q540" s="64"/>
      <c r="R540" s="64"/>
      <c r="S540" s="64"/>
      <c r="T540" s="64"/>
      <c r="U540" s="64"/>
      <c r="V540" s="64"/>
      <c r="W540" s="64"/>
    </row>
    <row r="541" spans="1:23" ht="15.75" customHeight="1">
      <c r="A541" s="137"/>
      <c r="B541" s="64"/>
      <c r="C541" s="140"/>
      <c r="D541" s="64"/>
      <c r="E541" s="64"/>
      <c r="F541" s="64"/>
      <c r="G541" s="64"/>
      <c r="H541" s="64"/>
      <c r="I541" s="64"/>
      <c r="J541" s="64"/>
      <c r="K541" s="64"/>
      <c r="L541" s="64"/>
      <c r="M541" s="64"/>
      <c r="N541" s="64"/>
      <c r="O541" s="64"/>
      <c r="P541" s="64"/>
      <c r="Q541" s="64"/>
      <c r="R541" s="64"/>
      <c r="S541" s="64"/>
      <c r="T541" s="64"/>
      <c r="U541" s="64"/>
      <c r="V541" s="64"/>
      <c r="W541" s="64"/>
    </row>
    <row r="542" spans="1:23" ht="15.75" customHeight="1">
      <c r="A542" s="137"/>
      <c r="B542" s="64"/>
      <c r="C542" s="140"/>
      <c r="D542" s="64"/>
      <c r="E542" s="64"/>
      <c r="F542" s="64"/>
      <c r="G542" s="64"/>
      <c r="H542" s="64"/>
      <c r="I542" s="64"/>
      <c r="J542" s="64"/>
      <c r="K542" s="64"/>
      <c r="L542" s="64"/>
      <c r="M542" s="64"/>
      <c r="N542" s="64"/>
      <c r="O542" s="64"/>
      <c r="P542" s="64"/>
      <c r="Q542" s="64"/>
      <c r="R542" s="64"/>
      <c r="S542" s="64"/>
      <c r="T542" s="64"/>
      <c r="U542" s="64"/>
      <c r="V542" s="64"/>
      <c r="W542" s="64"/>
    </row>
    <row r="543" spans="1:23" ht="15.75" customHeight="1">
      <c r="A543" s="137"/>
      <c r="B543" s="64"/>
      <c r="C543" s="140"/>
      <c r="D543" s="64"/>
      <c r="E543" s="64"/>
      <c r="F543" s="64"/>
      <c r="G543" s="64"/>
      <c r="H543" s="64"/>
      <c r="I543" s="64"/>
      <c r="J543" s="64"/>
      <c r="K543" s="64"/>
      <c r="L543" s="64"/>
      <c r="M543" s="64"/>
      <c r="N543" s="64"/>
      <c r="O543" s="64"/>
      <c r="P543" s="64"/>
      <c r="Q543" s="64"/>
      <c r="R543" s="64"/>
      <c r="S543" s="64"/>
      <c r="T543" s="64"/>
      <c r="U543" s="64"/>
      <c r="V543" s="64"/>
      <c r="W543" s="64"/>
    </row>
    <row r="544" spans="1:23" ht="15.75" customHeight="1">
      <c r="A544" s="137"/>
      <c r="B544" s="64"/>
      <c r="C544" s="140"/>
      <c r="D544" s="64"/>
      <c r="E544" s="64"/>
      <c r="F544" s="64"/>
      <c r="G544" s="64"/>
      <c r="H544" s="64"/>
      <c r="I544" s="64"/>
      <c r="J544" s="64"/>
      <c r="K544" s="64"/>
      <c r="L544" s="64"/>
      <c r="M544" s="64"/>
      <c r="N544" s="64"/>
      <c r="O544" s="64"/>
      <c r="P544" s="64"/>
      <c r="Q544" s="64"/>
      <c r="R544" s="64"/>
      <c r="S544" s="64"/>
      <c r="T544" s="64"/>
      <c r="U544" s="64"/>
      <c r="V544" s="64"/>
      <c r="W544" s="64"/>
    </row>
    <row r="545" spans="1:23" ht="15.75" customHeight="1">
      <c r="A545" s="137"/>
      <c r="B545" s="64"/>
      <c r="C545" s="140"/>
      <c r="D545" s="64"/>
      <c r="E545" s="64"/>
      <c r="F545" s="64"/>
      <c r="G545" s="64"/>
      <c r="H545" s="64"/>
      <c r="I545" s="64"/>
      <c r="J545" s="64"/>
      <c r="K545" s="64"/>
      <c r="L545" s="64"/>
      <c r="M545" s="64"/>
      <c r="N545" s="64"/>
      <c r="O545" s="64"/>
      <c r="P545" s="64"/>
      <c r="Q545" s="64"/>
      <c r="R545" s="64"/>
      <c r="S545" s="64"/>
      <c r="T545" s="64"/>
      <c r="U545" s="64"/>
      <c r="V545" s="64"/>
      <c r="W545" s="64"/>
    </row>
    <row r="546" spans="1:23" ht="15.75" customHeight="1">
      <c r="A546" s="137"/>
      <c r="B546" s="64"/>
      <c r="C546" s="140"/>
      <c r="D546" s="64"/>
      <c r="E546" s="64"/>
      <c r="F546" s="64"/>
      <c r="G546" s="64"/>
      <c r="H546" s="64"/>
      <c r="I546" s="64"/>
      <c r="J546" s="64"/>
      <c r="K546" s="64"/>
      <c r="L546" s="64"/>
      <c r="M546" s="64"/>
      <c r="N546" s="64"/>
      <c r="O546" s="64"/>
      <c r="P546" s="64"/>
      <c r="Q546" s="64"/>
      <c r="R546" s="64"/>
      <c r="S546" s="64"/>
      <c r="T546" s="64"/>
      <c r="U546" s="64"/>
      <c r="V546" s="64"/>
      <c r="W546" s="64"/>
    </row>
    <row r="547" spans="1:23" ht="15.75" customHeight="1">
      <c r="A547" s="137"/>
      <c r="B547" s="64"/>
      <c r="C547" s="140"/>
      <c r="D547" s="64"/>
      <c r="E547" s="64"/>
      <c r="F547" s="64"/>
      <c r="G547" s="64"/>
      <c r="H547" s="64"/>
      <c r="I547" s="64"/>
      <c r="J547" s="64"/>
      <c r="K547" s="64"/>
      <c r="L547" s="64"/>
      <c r="M547" s="64"/>
      <c r="N547" s="64"/>
      <c r="O547" s="64"/>
      <c r="P547" s="64"/>
      <c r="Q547" s="64"/>
      <c r="R547" s="64"/>
      <c r="S547" s="64"/>
      <c r="T547" s="64"/>
      <c r="U547" s="64"/>
      <c r="V547" s="64"/>
      <c r="W547" s="64"/>
    </row>
    <row r="548" spans="1:23" ht="15.75" customHeight="1">
      <c r="A548" s="137"/>
      <c r="B548" s="64"/>
      <c r="C548" s="140"/>
      <c r="D548" s="64"/>
      <c r="E548" s="64"/>
      <c r="F548" s="64"/>
      <c r="G548" s="64"/>
      <c r="H548" s="64"/>
      <c r="I548" s="64"/>
      <c r="J548" s="64"/>
      <c r="K548" s="64"/>
      <c r="L548" s="64"/>
      <c r="M548" s="64"/>
      <c r="N548" s="64"/>
      <c r="O548" s="64"/>
      <c r="P548" s="64"/>
      <c r="Q548" s="64"/>
      <c r="R548" s="64"/>
      <c r="S548" s="64"/>
      <c r="T548" s="64"/>
      <c r="U548" s="64"/>
      <c r="V548" s="64"/>
      <c r="W548" s="64"/>
    </row>
    <row r="549" spans="1:23" ht="15.75" customHeight="1">
      <c r="A549" s="137"/>
      <c r="B549" s="64"/>
      <c r="C549" s="140"/>
      <c r="D549" s="64"/>
      <c r="E549" s="64"/>
      <c r="F549" s="64"/>
      <c r="G549" s="64"/>
      <c r="H549" s="64"/>
      <c r="I549" s="64"/>
      <c r="J549" s="64"/>
      <c r="K549" s="64"/>
      <c r="L549" s="64"/>
      <c r="M549" s="64"/>
      <c r="N549" s="64"/>
      <c r="O549" s="64"/>
      <c r="P549" s="64"/>
      <c r="Q549" s="64"/>
      <c r="R549" s="64"/>
      <c r="S549" s="64"/>
      <c r="T549" s="64"/>
      <c r="U549" s="64"/>
      <c r="V549" s="64"/>
      <c r="W549" s="64"/>
    </row>
    <row r="550" spans="1:23" ht="15.75" customHeight="1">
      <c r="A550" s="137"/>
      <c r="B550" s="64"/>
      <c r="C550" s="140"/>
      <c r="D550" s="64"/>
      <c r="E550" s="64"/>
      <c r="F550" s="64"/>
      <c r="G550" s="64"/>
      <c r="H550" s="64"/>
      <c r="I550" s="64"/>
      <c r="J550" s="64"/>
      <c r="K550" s="64"/>
      <c r="L550" s="64"/>
      <c r="M550" s="64"/>
      <c r="N550" s="64"/>
      <c r="O550" s="64"/>
      <c r="P550" s="64"/>
      <c r="Q550" s="64"/>
      <c r="R550" s="64"/>
      <c r="S550" s="64"/>
      <c r="T550" s="64"/>
      <c r="U550" s="64"/>
      <c r="V550" s="64"/>
      <c r="W550" s="64"/>
    </row>
    <row r="551" spans="1:23" ht="15.75" customHeight="1">
      <c r="A551" s="137"/>
      <c r="B551" s="64"/>
      <c r="C551" s="140"/>
      <c r="D551" s="64"/>
      <c r="E551" s="64"/>
      <c r="F551" s="64"/>
      <c r="G551" s="64"/>
      <c r="H551" s="64"/>
      <c r="I551" s="64"/>
      <c r="J551" s="64"/>
      <c r="K551" s="64"/>
      <c r="L551" s="64"/>
      <c r="M551" s="64"/>
      <c r="N551" s="64"/>
      <c r="O551" s="64"/>
      <c r="P551" s="64"/>
      <c r="Q551" s="64"/>
      <c r="R551" s="64"/>
      <c r="S551" s="64"/>
      <c r="T551" s="64"/>
      <c r="U551" s="64"/>
      <c r="V551" s="64"/>
      <c r="W551" s="64"/>
    </row>
    <row r="552" spans="1:23" ht="15.75" customHeight="1">
      <c r="A552" s="137"/>
      <c r="B552" s="64"/>
      <c r="C552" s="140"/>
      <c r="D552" s="64"/>
      <c r="E552" s="64"/>
      <c r="F552" s="64"/>
      <c r="G552" s="64"/>
      <c r="H552" s="64"/>
      <c r="I552" s="64"/>
      <c r="J552" s="64"/>
      <c r="K552" s="64"/>
      <c r="L552" s="64"/>
      <c r="M552" s="64"/>
      <c r="N552" s="64"/>
      <c r="O552" s="64"/>
      <c r="P552" s="64"/>
      <c r="Q552" s="64"/>
      <c r="R552" s="64"/>
      <c r="S552" s="64"/>
      <c r="T552" s="64"/>
      <c r="U552" s="64"/>
      <c r="V552" s="64"/>
      <c r="W552" s="64"/>
    </row>
    <row r="553" spans="1:23" ht="15.75" customHeight="1">
      <c r="A553" s="137"/>
      <c r="B553" s="64"/>
      <c r="C553" s="140"/>
      <c r="D553" s="64"/>
      <c r="E553" s="64"/>
      <c r="F553" s="64"/>
      <c r="G553" s="64"/>
      <c r="H553" s="64"/>
      <c r="I553" s="64"/>
      <c r="J553" s="64"/>
      <c r="K553" s="64"/>
      <c r="L553" s="64"/>
      <c r="M553" s="64"/>
      <c r="N553" s="64"/>
      <c r="O553" s="64"/>
      <c r="P553" s="64"/>
      <c r="Q553" s="64"/>
      <c r="R553" s="64"/>
      <c r="S553" s="64"/>
      <c r="T553" s="64"/>
      <c r="U553" s="64"/>
      <c r="V553" s="64"/>
      <c r="W553" s="64"/>
    </row>
    <row r="554" spans="1:23" ht="15.75" customHeight="1">
      <c r="A554" s="137"/>
      <c r="B554" s="64"/>
      <c r="C554" s="140"/>
      <c r="D554" s="64"/>
      <c r="E554" s="64"/>
      <c r="F554" s="64"/>
      <c r="G554" s="64"/>
      <c r="H554" s="64"/>
      <c r="I554" s="64"/>
      <c r="J554" s="64"/>
      <c r="K554" s="64"/>
      <c r="L554" s="64"/>
      <c r="M554" s="64"/>
      <c r="N554" s="64"/>
      <c r="O554" s="64"/>
      <c r="P554" s="64"/>
      <c r="Q554" s="64"/>
      <c r="R554" s="64"/>
      <c r="S554" s="64"/>
      <c r="T554" s="64"/>
      <c r="U554" s="64"/>
      <c r="V554" s="64"/>
      <c r="W554" s="64"/>
    </row>
    <row r="555" spans="1:23" ht="15.75" customHeight="1">
      <c r="A555" s="137"/>
      <c r="B555" s="64"/>
      <c r="C555" s="140"/>
      <c r="D555" s="64"/>
      <c r="E555" s="64"/>
      <c r="F555" s="64"/>
      <c r="G555" s="64"/>
      <c r="H555" s="64"/>
      <c r="I555" s="64"/>
      <c r="J555" s="64"/>
      <c r="K555" s="64"/>
      <c r="L555" s="64"/>
      <c r="M555" s="64"/>
      <c r="N555" s="64"/>
      <c r="O555" s="64"/>
      <c r="P555" s="64"/>
      <c r="Q555" s="64"/>
      <c r="R555" s="64"/>
      <c r="S555" s="64"/>
      <c r="T555" s="64"/>
      <c r="U555" s="64"/>
      <c r="V555" s="64"/>
      <c r="W555" s="64"/>
    </row>
    <row r="556" spans="1:23" ht="15.75" customHeight="1">
      <c r="A556" s="137"/>
      <c r="B556" s="64"/>
      <c r="C556" s="140"/>
      <c r="D556" s="64"/>
      <c r="E556" s="64"/>
      <c r="F556" s="64"/>
      <c r="G556" s="64"/>
      <c r="H556" s="64"/>
      <c r="I556" s="64"/>
      <c r="J556" s="64"/>
      <c r="K556" s="64"/>
      <c r="L556" s="64"/>
      <c r="M556" s="64"/>
      <c r="N556" s="64"/>
      <c r="O556" s="64"/>
      <c r="P556" s="64"/>
      <c r="Q556" s="64"/>
      <c r="R556" s="64"/>
      <c r="S556" s="64"/>
      <c r="T556" s="64"/>
      <c r="U556" s="64"/>
      <c r="V556" s="64"/>
      <c r="W556" s="64"/>
    </row>
    <row r="557" spans="1:23" ht="15.75" customHeight="1">
      <c r="A557" s="137"/>
      <c r="B557" s="64"/>
      <c r="C557" s="140"/>
      <c r="D557" s="64"/>
      <c r="E557" s="64"/>
      <c r="F557" s="64"/>
      <c r="G557" s="64"/>
      <c r="H557" s="64"/>
      <c r="I557" s="64"/>
      <c r="J557" s="64"/>
      <c r="K557" s="64"/>
      <c r="L557" s="64"/>
      <c r="M557" s="64"/>
      <c r="N557" s="64"/>
      <c r="O557" s="64"/>
      <c r="P557" s="64"/>
      <c r="Q557" s="64"/>
      <c r="R557" s="64"/>
      <c r="S557" s="64"/>
      <c r="T557" s="64"/>
      <c r="U557" s="64"/>
      <c r="V557" s="64"/>
      <c r="W557" s="64"/>
    </row>
    <row r="558" spans="1:23" ht="15.75" customHeight="1">
      <c r="A558" s="137"/>
      <c r="B558" s="64"/>
      <c r="C558" s="140"/>
      <c r="D558" s="64"/>
      <c r="E558" s="64"/>
      <c r="F558" s="64"/>
      <c r="G558" s="64"/>
      <c r="H558" s="64"/>
      <c r="I558" s="64"/>
      <c r="J558" s="64"/>
      <c r="K558" s="64"/>
      <c r="L558" s="64"/>
      <c r="M558" s="64"/>
      <c r="N558" s="64"/>
      <c r="O558" s="64"/>
      <c r="P558" s="64"/>
      <c r="Q558" s="64"/>
      <c r="R558" s="64"/>
      <c r="S558" s="64"/>
      <c r="T558" s="64"/>
      <c r="U558" s="64"/>
      <c r="V558" s="64"/>
      <c r="W558" s="64"/>
    </row>
    <row r="559" spans="1:23" ht="15.75" customHeight="1">
      <c r="A559" s="137"/>
      <c r="B559" s="64"/>
      <c r="C559" s="140"/>
      <c r="D559" s="64"/>
      <c r="E559" s="64"/>
      <c r="F559" s="64"/>
      <c r="G559" s="64"/>
      <c r="H559" s="64"/>
      <c r="I559" s="64"/>
      <c r="J559" s="64"/>
      <c r="K559" s="64"/>
      <c r="L559" s="64"/>
      <c r="M559" s="64"/>
      <c r="N559" s="64"/>
      <c r="O559" s="64"/>
      <c r="P559" s="64"/>
      <c r="Q559" s="64"/>
      <c r="R559" s="64"/>
      <c r="S559" s="64"/>
      <c r="T559" s="64"/>
      <c r="U559" s="64"/>
      <c r="V559" s="64"/>
      <c r="W559" s="64"/>
    </row>
    <row r="560" spans="1:23" ht="15.75" customHeight="1">
      <c r="A560" s="137"/>
      <c r="B560" s="64"/>
      <c r="C560" s="140"/>
      <c r="D560" s="64"/>
      <c r="E560" s="64"/>
      <c r="F560" s="64"/>
      <c r="G560" s="64"/>
      <c r="H560" s="64"/>
      <c r="I560" s="64"/>
      <c r="J560" s="64"/>
      <c r="K560" s="64"/>
      <c r="L560" s="64"/>
      <c r="M560" s="64"/>
      <c r="N560" s="64"/>
      <c r="O560" s="64"/>
      <c r="P560" s="64"/>
      <c r="Q560" s="64"/>
      <c r="R560" s="64"/>
      <c r="S560" s="64"/>
      <c r="T560" s="64"/>
      <c r="U560" s="64"/>
      <c r="V560" s="64"/>
      <c r="W560" s="64"/>
    </row>
    <row r="561" spans="1:23" ht="15.75" customHeight="1">
      <c r="A561" s="137"/>
      <c r="B561" s="64"/>
      <c r="C561" s="140"/>
      <c r="D561" s="64"/>
      <c r="E561" s="64"/>
      <c r="F561" s="64"/>
      <c r="G561" s="64"/>
      <c r="H561" s="64"/>
      <c r="I561" s="64"/>
      <c r="J561" s="64"/>
      <c r="K561" s="64"/>
      <c r="L561" s="64"/>
      <c r="M561" s="64"/>
      <c r="N561" s="64"/>
      <c r="O561" s="64"/>
      <c r="P561" s="64"/>
      <c r="Q561" s="64"/>
      <c r="R561" s="64"/>
      <c r="S561" s="64"/>
      <c r="T561" s="64"/>
      <c r="U561" s="64"/>
      <c r="V561" s="64"/>
      <c r="W561" s="64"/>
    </row>
    <row r="562" spans="1:23" ht="15.75" customHeight="1">
      <c r="A562" s="137"/>
      <c r="B562" s="64"/>
      <c r="C562" s="140"/>
      <c r="D562" s="64"/>
      <c r="E562" s="64"/>
      <c r="F562" s="64"/>
      <c r="G562" s="64"/>
      <c r="H562" s="64"/>
      <c r="I562" s="64"/>
      <c r="J562" s="64"/>
      <c r="K562" s="64"/>
      <c r="L562" s="64"/>
      <c r="M562" s="64"/>
      <c r="N562" s="64"/>
      <c r="O562" s="64"/>
      <c r="P562" s="64"/>
      <c r="Q562" s="64"/>
      <c r="R562" s="64"/>
      <c r="S562" s="64"/>
      <c r="T562" s="64"/>
      <c r="U562" s="64"/>
      <c r="V562" s="64"/>
      <c r="W562" s="64"/>
    </row>
    <row r="563" spans="1:23" ht="15.75" customHeight="1">
      <c r="A563" s="137"/>
      <c r="B563" s="64"/>
      <c r="C563" s="140"/>
      <c r="D563" s="64"/>
      <c r="E563" s="64"/>
      <c r="F563" s="64"/>
      <c r="G563" s="64"/>
      <c r="H563" s="64"/>
      <c r="I563" s="64"/>
      <c r="J563" s="64"/>
      <c r="K563" s="64"/>
      <c r="L563" s="64"/>
      <c r="M563" s="64"/>
      <c r="N563" s="64"/>
      <c r="O563" s="64"/>
      <c r="P563" s="64"/>
      <c r="Q563" s="64"/>
      <c r="R563" s="64"/>
      <c r="S563" s="64"/>
      <c r="T563" s="64"/>
      <c r="U563" s="64"/>
      <c r="V563" s="64"/>
      <c r="W563" s="64"/>
    </row>
    <row r="564" spans="1:23" ht="15.75" customHeight="1">
      <c r="A564" s="137"/>
      <c r="B564" s="64"/>
      <c r="C564" s="140"/>
      <c r="D564" s="64"/>
      <c r="E564" s="64"/>
      <c r="F564" s="64"/>
      <c r="G564" s="64"/>
      <c r="H564" s="64"/>
      <c r="I564" s="64"/>
      <c r="J564" s="64"/>
      <c r="K564" s="64"/>
      <c r="L564" s="64"/>
      <c r="M564" s="64"/>
      <c r="N564" s="64"/>
      <c r="O564" s="64"/>
      <c r="P564" s="64"/>
      <c r="Q564" s="64"/>
      <c r="R564" s="64"/>
      <c r="S564" s="64"/>
      <c r="T564" s="64"/>
      <c r="U564" s="64"/>
      <c r="V564" s="64"/>
      <c r="W564" s="64"/>
    </row>
    <row r="565" spans="1:23" ht="15.75" customHeight="1">
      <c r="A565" s="137"/>
      <c r="B565" s="64"/>
      <c r="C565" s="140"/>
      <c r="D565" s="64"/>
      <c r="E565" s="64"/>
      <c r="F565" s="64"/>
      <c r="G565" s="64"/>
      <c r="H565" s="64"/>
      <c r="I565" s="64"/>
      <c r="J565" s="64"/>
      <c r="K565" s="64"/>
      <c r="L565" s="64"/>
      <c r="M565" s="64"/>
      <c r="N565" s="64"/>
      <c r="O565" s="64"/>
      <c r="P565" s="64"/>
      <c r="Q565" s="64"/>
      <c r="R565" s="64"/>
      <c r="S565" s="64"/>
      <c r="T565" s="64"/>
      <c r="U565" s="64"/>
      <c r="V565" s="64"/>
      <c r="W565" s="64"/>
    </row>
    <row r="566" spans="1:23" ht="15.75" customHeight="1">
      <c r="A566" s="137"/>
      <c r="B566" s="64"/>
      <c r="C566" s="140"/>
      <c r="D566" s="64"/>
      <c r="E566" s="64"/>
      <c r="F566" s="64"/>
      <c r="G566" s="64"/>
      <c r="H566" s="64"/>
      <c r="I566" s="64"/>
      <c r="J566" s="64"/>
      <c r="K566" s="64"/>
      <c r="L566" s="64"/>
      <c r="M566" s="64"/>
      <c r="N566" s="64"/>
      <c r="O566" s="64"/>
      <c r="P566" s="64"/>
      <c r="Q566" s="64"/>
      <c r="R566" s="64"/>
      <c r="S566" s="64"/>
      <c r="T566" s="64"/>
      <c r="U566" s="64"/>
      <c r="V566" s="64"/>
      <c r="W566" s="64"/>
    </row>
    <row r="567" spans="1:23" ht="15.75" customHeight="1">
      <c r="A567" s="137"/>
      <c r="B567" s="64"/>
      <c r="C567" s="140"/>
      <c r="D567" s="64"/>
      <c r="E567" s="64"/>
      <c r="F567" s="64"/>
      <c r="G567" s="64"/>
      <c r="H567" s="64"/>
      <c r="I567" s="64"/>
      <c r="J567" s="64"/>
      <c r="K567" s="64"/>
      <c r="L567" s="64"/>
      <c r="M567" s="64"/>
      <c r="N567" s="64"/>
      <c r="O567" s="64"/>
      <c r="P567" s="64"/>
      <c r="Q567" s="64"/>
      <c r="R567" s="64"/>
      <c r="S567" s="64"/>
      <c r="T567" s="64"/>
      <c r="U567" s="64"/>
      <c r="V567" s="64"/>
      <c r="W567" s="64"/>
    </row>
    <row r="568" spans="1:23" ht="15.75" customHeight="1">
      <c r="A568" s="137"/>
      <c r="B568" s="64"/>
      <c r="C568" s="140"/>
      <c r="D568" s="64"/>
      <c r="E568" s="64"/>
      <c r="F568" s="64"/>
      <c r="G568" s="64"/>
      <c r="H568" s="64"/>
      <c r="I568" s="64"/>
      <c r="J568" s="64"/>
      <c r="K568" s="64"/>
      <c r="L568" s="64"/>
      <c r="M568" s="64"/>
      <c r="N568" s="64"/>
      <c r="O568" s="64"/>
      <c r="P568" s="64"/>
      <c r="Q568" s="64"/>
      <c r="R568" s="64"/>
      <c r="S568" s="64"/>
      <c r="T568" s="64"/>
      <c r="U568" s="64"/>
      <c r="V568" s="64"/>
      <c r="W568" s="64"/>
    </row>
    <row r="569" spans="1:23" ht="15.75" customHeight="1">
      <c r="A569" s="137"/>
      <c r="B569" s="64"/>
      <c r="C569" s="140"/>
      <c r="D569" s="64"/>
      <c r="E569" s="64"/>
      <c r="F569" s="64"/>
      <c r="G569" s="64"/>
      <c r="H569" s="64"/>
      <c r="I569" s="64"/>
      <c r="J569" s="64"/>
      <c r="K569" s="64"/>
      <c r="L569" s="64"/>
      <c r="M569" s="64"/>
      <c r="N569" s="64"/>
      <c r="O569" s="64"/>
      <c r="P569" s="64"/>
      <c r="Q569" s="64"/>
      <c r="R569" s="64"/>
      <c r="S569" s="64"/>
      <c r="T569" s="64"/>
      <c r="U569" s="64"/>
      <c r="V569" s="64"/>
      <c r="W569" s="64"/>
    </row>
    <row r="570" spans="1:23" ht="15.75" customHeight="1">
      <c r="A570" s="137"/>
      <c r="B570" s="64"/>
      <c r="C570" s="140"/>
      <c r="D570" s="64"/>
      <c r="E570" s="64"/>
      <c r="F570" s="64"/>
      <c r="G570" s="64"/>
      <c r="H570" s="64"/>
      <c r="I570" s="64"/>
      <c r="J570" s="64"/>
      <c r="K570" s="64"/>
      <c r="L570" s="64"/>
      <c r="M570" s="64"/>
      <c r="N570" s="64"/>
      <c r="O570" s="64"/>
      <c r="P570" s="64"/>
      <c r="Q570" s="64"/>
      <c r="R570" s="64"/>
      <c r="S570" s="64"/>
      <c r="T570" s="64"/>
      <c r="U570" s="64"/>
      <c r="V570" s="64"/>
      <c r="W570" s="64"/>
    </row>
    <row r="571" spans="1:23" ht="15.75" customHeight="1">
      <c r="A571" s="137"/>
      <c r="B571" s="64"/>
      <c r="C571" s="140"/>
      <c r="D571" s="64"/>
      <c r="E571" s="64"/>
      <c r="F571" s="64"/>
      <c r="G571" s="64"/>
      <c r="H571" s="64"/>
      <c r="I571" s="64"/>
      <c r="J571" s="64"/>
      <c r="K571" s="64"/>
      <c r="L571" s="64"/>
      <c r="M571" s="64"/>
      <c r="N571" s="64"/>
      <c r="O571" s="64"/>
      <c r="P571" s="64"/>
      <c r="Q571" s="64"/>
      <c r="R571" s="64"/>
      <c r="S571" s="64"/>
      <c r="T571" s="64"/>
      <c r="U571" s="64"/>
      <c r="V571" s="64"/>
      <c r="W571" s="64"/>
    </row>
    <row r="572" spans="1:23" ht="15.75" customHeight="1">
      <c r="A572" s="137"/>
      <c r="B572" s="64"/>
      <c r="C572" s="140"/>
      <c r="D572" s="64"/>
      <c r="E572" s="64"/>
      <c r="F572" s="64"/>
      <c r="G572" s="64"/>
      <c r="H572" s="64"/>
      <c r="I572" s="64"/>
      <c r="J572" s="64"/>
      <c r="K572" s="64"/>
      <c r="L572" s="64"/>
      <c r="M572" s="64"/>
      <c r="N572" s="64"/>
      <c r="O572" s="64"/>
      <c r="P572" s="64"/>
      <c r="Q572" s="64"/>
      <c r="R572" s="64"/>
      <c r="S572" s="64"/>
      <c r="T572" s="64"/>
      <c r="U572" s="64"/>
      <c r="V572" s="64"/>
      <c r="W572" s="64"/>
    </row>
    <row r="573" spans="1:23" ht="15.75" customHeight="1">
      <c r="A573" s="137"/>
      <c r="B573" s="64"/>
      <c r="C573" s="140"/>
      <c r="D573" s="64"/>
      <c r="E573" s="64"/>
      <c r="F573" s="64"/>
      <c r="G573" s="64"/>
      <c r="H573" s="64"/>
      <c r="I573" s="64"/>
      <c r="J573" s="64"/>
      <c r="K573" s="64"/>
      <c r="L573" s="64"/>
      <c r="M573" s="64"/>
      <c r="N573" s="64"/>
      <c r="O573" s="64"/>
      <c r="P573" s="64"/>
      <c r="Q573" s="64"/>
      <c r="R573" s="64"/>
      <c r="S573" s="64"/>
      <c r="T573" s="64"/>
      <c r="U573" s="64"/>
      <c r="V573" s="64"/>
      <c r="W573" s="64"/>
    </row>
    <row r="574" spans="1:23" ht="15.75" customHeight="1">
      <c r="A574" s="137"/>
      <c r="B574" s="64"/>
      <c r="C574" s="140"/>
      <c r="D574" s="64"/>
      <c r="E574" s="64"/>
      <c r="F574" s="64"/>
      <c r="G574" s="64"/>
      <c r="H574" s="64"/>
      <c r="I574" s="64"/>
      <c r="J574" s="64"/>
      <c r="K574" s="64"/>
      <c r="L574" s="64"/>
      <c r="M574" s="64"/>
      <c r="N574" s="64"/>
      <c r="O574" s="64"/>
      <c r="P574" s="64"/>
      <c r="Q574" s="64"/>
      <c r="R574" s="64"/>
      <c r="S574" s="64"/>
      <c r="T574" s="64"/>
      <c r="U574" s="64"/>
      <c r="V574" s="64"/>
      <c r="W574" s="64"/>
    </row>
    <row r="575" spans="1:23" ht="15.75" customHeight="1">
      <c r="A575" s="137"/>
      <c r="B575" s="64"/>
      <c r="C575" s="140"/>
      <c r="D575" s="64"/>
      <c r="E575" s="64"/>
      <c r="F575" s="64"/>
      <c r="G575" s="64"/>
      <c r="H575" s="64"/>
      <c r="I575" s="64"/>
      <c r="J575" s="64"/>
      <c r="K575" s="64"/>
      <c r="L575" s="64"/>
      <c r="M575" s="64"/>
      <c r="N575" s="64"/>
      <c r="O575" s="64"/>
      <c r="P575" s="64"/>
      <c r="Q575" s="64"/>
      <c r="R575" s="64"/>
      <c r="S575" s="64"/>
      <c r="T575" s="64"/>
      <c r="U575" s="64"/>
      <c r="V575" s="64"/>
      <c r="W575" s="64"/>
    </row>
    <row r="576" spans="1:23" ht="15.75" customHeight="1">
      <c r="A576" s="137"/>
      <c r="B576" s="64"/>
      <c r="C576" s="140"/>
      <c r="D576" s="64"/>
      <c r="E576" s="64"/>
      <c r="F576" s="64"/>
      <c r="G576" s="64"/>
      <c r="H576" s="64"/>
      <c r="I576" s="64"/>
      <c r="J576" s="64"/>
      <c r="K576" s="64"/>
      <c r="L576" s="64"/>
      <c r="M576" s="64"/>
      <c r="N576" s="64"/>
      <c r="O576" s="64"/>
      <c r="P576" s="64"/>
      <c r="Q576" s="64"/>
      <c r="R576" s="64"/>
      <c r="S576" s="64"/>
      <c r="T576" s="64"/>
      <c r="U576" s="64"/>
      <c r="V576" s="64"/>
      <c r="W576" s="64"/>
    </row>
    <row r="577" spans="1:23" ht="15.75" customHeight="1">
      <c r="A577" s="137"/>
      <c r="B577" s="64"/>
      <c r="C577" s="140"/>
      <c r="D577" s="64"/>
      <c r="E577" s="64"/>
      <c r="F577" s="64"/>
      <c r="G577" s="64"/>
      <c r="H577" s="64"/>
      <c r="I577" s="64"/>
      <c r="J577" s="64"/>
      <c r="K577" s="64"/>
      <c r="L577" s="64"/>
      <c r="M577" s="64"/>
      <c r="N577" s="64"/>
      <c r="O577" s="64"/>
      <c r="P577" s="64"/>
      <c r="Q577" s="64"/>
      <c r="R577" s="64"/>
      <c r="S577" s="64"/>
      <c r="T577" s="64"/>
      <c r="U577" s="64"/>
      <c r="V577" s="64"/>
      <c r="W577" s="64"/>
    </row>
    <row r="578" spans="1:23" ht="15.75" customHeight="1">
      <c r="A578" s="137"/>
      <c r="B578" s="64"/>
      <c r="C578" s="140"/>
      <c r="D578" s="64"/>
      <c r="E578" s="64"/>
      <c r="F578" s="64"/>
      <c r="G578" s="64"/>
      <c r="H578" s="64"/>
      <c r="I578" s="64"/>
      <c r="J578" s="64"/>
      <c r="K578" s="64"/>
      <c r="L578" s="64"/>
      <c r="M578" s="64"/>
      <c r="N578" s="64"/>
      <c r="O578" s="64"/>
      <c r="P578" s="64"/>
      <c r="Q578" s="64"/>
      <c r="R578" s="64"/>
      <c r="S578" s="64"/>
      <c r="T578" s="64"/>
      <c r="U578" s="64"/>
      <c r="V578" s="64"/>
      <c r="W578" s="64"/>
    </row>
    <row r="579" spans="1:23" ht="15.75" customHeight="1">
      <c r="A579" s="137"/>
      <c r="B579" s="64"/>
      <c r="C579" s="140"/>
      <c r="D579" s="64"/>
      <c r="E579" s="64"/>
      <c r="F579" s="64"/>
      <c r="G579" s="64"/>
      <c r="H579" s="64"/>
      <c r="I579" s="64"/>
      <c r="J579" s="64"/>
      <c r="K579" s="64"/>
      <c r="L579" s="64"/>
      <c r="M579" s="64"/>
      <c r="N579" s="64"/>
      <c r="O579" s="64"/>
      <c r="P579" s="64"/>
      <c r="Q579" s="64"/>
      <c r="R579" s="64"/>
      <c r="S579" s="64"/>
      <c r="T579" s="64"/>
      <c r="U579" s="64"/>
      <c r="V579" s="64"/>
      <c r="W579" s="64"/>
    </row>
    <row r="580" spans="1:23" ht="15.75" customHeight="1">
      <c r="A580" s="137"/>
      <c r="B580" s="64"/>
      <c r="C580" s="140"/>
      <c r="D580" s="64"/>
      <c r="E580" s="64"/>
      <c r="F580" s="64"/>
      <c r="G580" s="64"/>
      <c r="H580" s="64"/>
      <c r="I580" s="64"/>
      <c r="J580" s="64"/>
      <c r="K580" s="64"/>
      <c r="L580" s="64"/>
      <c r="M580" s="64"/>
      <c r="N580" s="64"/>
      <c r="O580" s="64"/>
      <c r="P580" s="64"/>
      <c r="Q580" s="64"/>
      <c r="R580" s="64"/>
      <c r="S580" s="64"/>
      <c r="T580" s="64"/>
      <c r="U580" s="64"/>
      <c r="V580" s="64"/>
      <c r="W580" s="64"/>
    </row>
    <row r="581" spans="1:23" ht="15.75" customHeight="1">
      <c r="A581" s="137"/>
      <c r="B581" s="64"/>
      <c r="C581" s="140"/>
      <c r="D581" s="64"/>
      <c r="E581" s="64"/>
      <c r="F581" s="64"/>
      <c r="G581" s="64"/>
      <c r="H581" s="64"/>
      <c r="I581" s="64"/>
      <c r="J581" s="64"/>
      <c r="K581" s="64"/>
      <c r="L581" s="64"/>
      <c r="M581" s="64"/>
      <c r="N581" s="64"/>
      <c r="O581" s="64"/>
      <c r="P581" s="64"/>
      <c r="Q581" s="64"/>
      <c r="R581" s="64"/>
      <c r="S581" s="64"/>
      <c r="T581" s="64"/>
      <c r="U581" s="64"/>
      <c r="V581" s="64"/>
      <c r="W581" s="64"/>
    </row>
    <row r="582" spans="1:23" ht="15.75" customHeight="1">
      <c r="A582" s="137"/>
      <c r="B582" s="64"/>
      <c r="C582" s="140"/>
      <c r="D582" s="64"/>
      <c r="E582" s="64"/>
      <c r="F582" s="64"/>
      <c r="G582" s="64"/>
      <c r="H582" s="64"/>
      <c r="I582" s="64"/>
      <c r="J582" s="64"/>
      <c r="K582" s="64"/>
      <c r="L582" s="64"/>
      <c r="M582" s="64"/>
      <c r="N582" s="64"/>
      <c r="O582" s="64"/>
      <c r="P582" s="64"/>
      <c r="Q582" s="64"/>
      <c r="R582" s="64"/>
      <c r="S582" s="64"/>
      <c r="T582" s="64"/>
      <c r="U582" s="64"/>
      <c r="V582" s="64"/>
      <c r="W582" s="64"/>
    </row>
    <row r="583" spans="1:23" ht="15.75" customHeight="1">
      <c r="A583" s="137"/>
      <c r="B583" s="64"/>
      <c r="C583" s="140"/>
      <c r="D583" s="64"/>
      <c r="E583" s="64"/>
      <c r="F583" s="64"/>
      <c r="G583" s="64"/>
      <c r="H583" s="64"/>
      <c r="I583" s="64"/>
      <c r="J583" s="64"/>
      <c r="K583" s="64"/>
      <c r="L583" s="64"/>
      <c r="M583" s="64"/>
      <c r="N583" s="64"/>
      <c r="O583" s="64"/>
      <c r="P583" s="64"/>
      <c r="Q583" s="64"/>
      <c r="R583" s="64"/>
      <c r="S583" s="64"/>
      <c r="T583" s="64"/>
      <c r="U583" s="64"/>
      <c r="V583" s="64"/>
      <c r="W583" s="64"/>
    </row>
    <row r="584" spans="1:23" ht="15.75" customHeight="1">
      <c r="A584" s="137"/>
      <c r="B584" s="64"/>
      <c r="C584" s="140"/>
      <c r="D584" s="64"/>
      <c r="E584" s="64"/>
      <c r="F584" s="64"/>
      <c r="G584" s="64"/>
      <c r="H584" s="64"/>
      <c r="I584" s="64"/>
      <c r="J584" s="64"/>
      <c r="K584" s="64"/>
      <c r="L584" s="64"/>
      <c r="M584" s="64"/>
      <c r="N584" s="64"/>
      <c r="O584" s="64"/>
      <c r="P584" s="64"/>
      <c r="Q584" s="64"/>
      <c r="R584" s="64"/>
      <c r="S584" s="64"/>
      <c r="T584" s="64"/>
      <c r="U584" s="64"/>
      <c r="V584" s="64"/>
      <c r="W584" s="64"/>
    </row>
    <row r="585" spans="1:23" ht="15.75" customHeight="1">
      <c r="A585" s="137"/>
      <c r="B585" s="64"/>
      <c r="C585" s="140"/>
      <c r="D585" s="64"/>
      <c r="E585" s="64"/>
      <c r="F585" s="64"/>
      <c r="G585" s="64"/>
      <c r="H585" s="64"/>
      <c r="I585" s="64"/>
      <c r="J585" s="64"/>
      <c r="K585" s="64"/>
      <c r="L585" s="64"/>
      <c r="M585" s="64"/>
      <c r="N585" s="64"/>
      <c r="O585" s="64"/>
      <c r="P585" s="64"/>
      <c r="Q585" s="64"/>
      <c r="R585" s="64"/>
      <c r="S585" s="64"/>
      <c r="T585" s="64"/>
      <c r="U585" s="64"/>
      <c r="V585" s="64"/>
      <c r="W585" s="64"/>
    </row>
    <row r="586" spans="1:23" ht="15.75" customHeight="1">
      <c r="A586" s="137"/>
      <c r="B586" s="64"/>
      <c r="C586" s="140"/>
      <c r="D586" s="64"/>
      <c r="E586" s="64"/>
      <c r="F586" s="64"/>
      <c r="G586" s="64"/>
      <c r="H586" s="64"/>
      <c r="I586" s="64"/>
      <c r="J586" s="64"/>
      <c r="K586" s="64"/>
      <c r="L586" s="64"/>
      <c r="M586" s="64"/>
      <c r="N586" s="64"/>
      <c r="O586" s="64"/>
      <c r="P586" s="64"/>
      <c r="Q586" s="64"/>
      <c r="R586" s="64"/>
      <c r="S586" s="64"/>
      <c r="T586" s="64"/>
      <c r="U586" s="64"/>
      <c r="V586" s="64"/>
      <c r="W586" s="64"/>
    </row>
    <row r="587" spans="1:23" ht="15.75" customHeight="1">
      <c r="A587" s="137"/>
      <c r="B587" s="64"/>
      <c r="C587" s="140"/>
      <c r="D587" s="64"/>
      <c r="E587" s="64"/>
      <c r="F587" s="64"/>
      <c r="G587" s="64"/>
      <c r="H587" s="64"/>
      <c r="I587" s="64"/>
      <c r="J587" s="64"/>
      <c r="K587" s="64"/>
      <c r="L587" s="64"/>
      <c r="M587" s="64"/>
      <c r="N587" s="64"/>
      <c r="O587" s="64"/>
      <c r="P587" s="64"/>
      <c r="Q587" s="64"/>
      <c r="R587" s="64"/>
      <c r="S587" s="64"/>
      <c r="T587" s="64"/>
      <c r="U587" s="64"/>
      <c r="V587" s="64"/>
      <c r="W587" s="64"/>
    </row>
    <row r="588" spans="1:23" ht="15.75" customHeight="1">
      <c r="A588" s="137"/>
      <c r="B588" s="64"/>
      <c r="C588" s="140"/>
      <c r="D588" s="64"/>
      <c r="E588" s="64"/>
      <c r="F588" s="64"/>
      <c r="G588" s="64"/>
      <c r="H588" s="64"/>
      <c r="I588" s="64"/>
      <c r="J588" s="64"/>
      <c r="K588" s="64"/>
      <c r="L588" s="64"/>
      <c r="M588" s="64"/>
      <c r="N588" s="64"/>
      <c r="O588" s="64"/>
      <c r="P588" s="64"/>
      <c r="Q588" s="64"/>
      <c r="R588" s="64"/>
      <c r="S588" s="64"/>
      <c r="T588" s="64"/>
      <c r="U588" s="64"/>
      <c r="V588" s="64"/>
      <c r="W588" s="64"/>
    </row>
    <row r="589" spans="1:23" ht="15.75" customHeight="1">
      <c r="A589" s="137"/>
      <c r="B589" s="64"/>
      <c r="C589" s="140"/>
      <c r="D589" s="64"/>
      <c r="E589" s="64"/>
      <c r="F589" s="64"/>
      <c r="G589" s="64"/>
      <c r="H589" s="64"/>
      <c r="I589" s="64"/>
      <c r="J589" s="64"/>
      <c r="K589" s="64"/>
      <c r="L589" s="64"/>
      <c r="M589" s="64"/>
      <c r="N589" s="64"/>
      <c r="O589" s="64"/>
      <c r="P589" s="64"/>
      <c r="Q589" s="64"/>
      <c r="R589" s="64"/>
      <c r="S589" s="64"/>
      <c r="T589" s="64"/>
      <c r="U589" s="64"/>
      <c r="V589" s="64"/>
      <c r="W589" s="64"/>
    </row>
    <row r="590" spans="1:23" ht="15.75" customHeight="1">
      <c r="A590" s="137"/>
      <c r="B590" s="64"/>
      <c r="C590" s="140"/>
      <c r="D590" s="64"/>
      <c r="E590" s="64"/>
      <c r="F590" s="64"/>
      <c r="G590" s="64"/>
      <c r="H590" s="64"/>
      <c r="I590" s="64"/>
      <c r="J590" s="64"/>
      <c r="K590" s="64"/>
      <c r="L590" s="64"/>
      <c r="M590" s="64"/>
      <c r="N590" s="64"/>
      <c r="O590" s="64"/>
      <c r="P590" s="64"/>
      <c r="Q590" s="64"/>
      <c r="R590" s="64"/>
      <c r="S590" s="64"/>
      <c r="T590" s="64"/>
      <c r="U590" s="64"/>
      <c r="V590" s="64"/>
      <c r="W590" s="64"/>
    </row>
    <row r="591" spans="1:23" ht="15.75" customHeight="1">
      <c r="A591" s="137"/>
      <c r="B591" s="64"/>
      <c r="C591" s="140"/>
      <c r="D591" s="64"/>
      <c r="E591" s="64"/>
      <c r="F591" s="64"/>
      <c r="G591" s="64"/>
      <c r="H591" s="64"/>
      <c r="I591" s="64"/>
      <c r="J591" s="64"/>
      <c r="K591" s="64"/>
      <c r="L591" s="64"/>
      <c r="M591" s="64"/>
      <c r="N591" s="64"/>
      <c r="O591" s="64"/>
      <c r="P591" s="64"/>
      <c r="Q591" s="64"/>
      <c r="R591" s="64"/>
      <c r="S591" s="64"/>
      <c r="T591" s="64"/>
      <c r="U591" s="64"/>
      <c r="V591" s="64"/>
      <c r="W591" s="64"/>
    </row>
    <row r="592" spans="1:23" ht="15.75" customHeight="1">
      <c r="A592" s="137"/>
      <c r="B592" s="64"/>
      <c r="C592" s="140"/>
      <c r="D592" s="64"/>
      <c r="E592" s="64"/>
      <c r="F592" s="64"/>
      <c r="G592" s="64"/>
      <c r="H592" s="64"/>
      <c r="I592" s="64"/>
      <c r="J592" s="64"/>
      <c r="K592" s="64"/>
      <c r="L592" s="64"/>
      <c r="M592" s="64"/>
      <c r="N592" s="64"/>
      <c r="O592" s="64"/>
      <c r="P592" s="64"/>
      <c r="Q592" s="64"/>
      <c r="R592" s="64"/>
      <c r="S592" s="64"/>
      <c r="T592" s="64"/>
      <c r="U592" s="64"/>
      <c r="V592" s="64"/>
      <c r="W592" s="64"/>
    </row>
    <row r="593" spans="1:23" ht="15.75" customHeight="1">
      <c r="A593" s="137"/>
      <c r="B593" s="64"/>
      <c r="C593" s="140"/>
      <c r="D593" s="64"/>
      <c r="E593" s="64"/>
      <c r="F593" s="64"/>
      <c r="G593" s="64"/>
      <c r="H593" s="64"/>
      <c r="I593" s="64"/>
      <c r="J593" s="64"/>
      <c r="K593" s="64"/>
      <c r="L593" s="64"/>
      <c r="M593" s="64"/>
      <c r="N593" s="64"/>
      <c r="O593" s="64"/>
      <c r="P593" s="64"/>
      <c r="Q593" s="64"/>
      <c r="R593" s="64"/>
      <c r="S593" s="64"/>
      <c r="T593" s="64"/>
      <c r="U593" s="64"/>
      <c r="V593" s="64"/>
      <c r="W593" s="64"/>
    </row>
    <row r="594" spans="1:23" ht="15.75" customHeight="1">
      <c r="A594" s="137"/>
      <c r="B594" s="64"/>
      <c r="C594" s="140"/>
      <c r="D594" s="64"/>
      <c r="E594" s="64"/>
      <c r="F594" s="64"/>
      <c r="G594" s="64"/>
      <c r="H594" s="64"/>
      <c r="I594" s="64"/>
      <c r="J594" s="64"/>
      <c r="K594" s="64"/>
      <c r="L594" s="64"/>
      <c r="M594" s="64"/>
      <c r="N594" s="64"/>
      <c r="O594" s="64"/>
      <c r="P594" s="64"/>
      <c r="Q594" s="64"/>
      <c r="R594" s="64"/>
      <c r="S594" s="64"/>
      <c r="T594" s="64"/>
      <c r="U594" s="64"/>
      <c r="V594" s="64"/>
      <c r="W594" s="64"/>
    </row>
    <row r="595" spans="1:23" ht="15.75" customHeight="1">
      <c r="A595" s="137"/>
      <c r="B595" s="64"/>
      <c r="C595" s="140"/>
      <c r="D595" s="64"/>
      <c r="E595" s="64"/>
      <c r="F595" s="64"/>
      <c r="G595" s="64"/>
      <c r="H595" s="64"/>
      <c r="I595" s="64"/>
      <c r="J595" s="64"/>
      <c r="K595" s="64"/>
      <c r="L595" s="64"/>
      <c r="M595" s="64"/>
      <c r="N595" s="64"/>
      <c r="O595" s="64"/>
      <c r="P595" s="64"/>
      <c r="Q595" s="64"/>
      <c r="R595" s="64"/>
      <c r="S595" s="64"/>
      <c r="T595" s="64"/>
      <c r="U595" s="64"/>
      <c r="V595" s="64"/>
      <c r="W595" s="64"/>
    </row>
    <row r="596" spans="1:23" ht="15.75" customHeight="1">
      <c r="A596" s="137"/>
      <c r="B596" s="64"/>
      <c r="C596" s="140"/>
      <c r="D596" s="64"/>
      <c r="E596" s="64"/>
      <c r="F596" s="64"/>
      <c r="G596" s="64"/>
      <c r="H596" s="64"/>
      <c r="I596" s="64"/>
      <c r="J596" s="64"/>
      <c r="K596" s="64"/>
      <c r="L596" s="64"/>
      <c r="M596" s="64"/>
      <c r="N596" s="64"/>
      <c r="O596" s="64"/>
      <c r="P596" s="64"/>
      <c r="Q596" s="64"/>
      <c r="R596" s="64"/>
      <c r="S596" s="64"/>
      <c r="T596" s="64"/>
      <c r="U596" s="64"/>
      <c r="V596" s="64"/>
      <c r="W596" s="64"/>
    </row>
    <row r="597" spans="1:23" ht="15.75" customHeight="1">
      <c r="A597" s="137"/>
      <c r="B597" s="64"/>
      <c r="C597" s="140"/>
      <c r="D597" s="64"/>
      <c r="E597" s="64"/>
      <c r="F597" s="64"/>
      <c r="G597" s="64"/>
      <c r="H597" s="64"/>
      <c r="I597" s="64"/>
      <c r="J597" s="64"/>
      <c r="K597" s="64"/>
      <c r="L597" s="64"/>
      <c r="M597" s="64"/>
      <c r="N597" s="64"/>
      <c r="O597" s="64"/>
      <c r="P597" s="64"/>
      <c r="Q597" s="64"/>
      <c r="R597" s="64"/>
      <c r="S597" s="64"/>
      <c r="T597" s="64"/>
      <c r="U597" s="64"/>
      <c r="V597" s="64"/>
      <c r="W597" s="64"/>
    </row>
    <row r="598" spans="1:23" ht="15.75" customHeight="1">
      <c r="A598" s="137"/>
      <c r="B598" s="64"/>
      <c r="C598" s="140"/>
      <c r="D598" s="64"/>
      <c r="E598" s="64"/>
      <c r="F598" s="64"/>
      <c r="G598" s="64"/>
      <c r="H598" s="64"/>
      <c r="I598" s="64"/>
      <c r="J598" s="64"/>
      <c r="K598" s="64"/>
      <c r="L598" s="64"/>
      <c r="M598" s="64"/>
      <c r="N598" s="64"/>
      <c r="O598" s="64"/>
      <c r="P598" s="64"/>
      <c r="Q598" s="64"/>
      <c r="R598" s="64"/>
      <c r="S598" s="64"/>
      <c r="T598" s="64"/>
      <c r="U598" s="64"/>
      <c r="V598" s="64"/>
      <c r="W598" s="64"/>
    </row>
    <row r="599" spans="1:23" ht="15.75" customHeight="1">
      <c r="A599" s="137"/>
      <c r="B599" s="64"/>
      <c r="C599" s="140"/>
      <c r="D599" s="64"/>
      <c r="E599" s="64"/>
      <c r="F599" s="64"/>
      <c r="G599" s="64"/>
      <c r="H599" s="64"/>
      <c r="I599" s="64"/>
      <c r="J599" s="64"/>
      <c r="K599" s="64"/>
      <c r="L599" s="64"/>
      <c r="M599" s="64"/>
      <c r="N599" s="64"/>
      <c r="O599" s="64"/>
      <c r="P599" s="64"/>
      <c r="Q599" s="64"/>
      <c r="R599" s="64"/>
      <c r="S599" s="64"/>
      <c r="T599" s="64"/>
      <c r="U599" s="64"/>
      <c r="V599" s="64"/>
      <c r="W599" s="64"/>
    </row>
    <row r="600" spans="1:23" ht="15.75" customHeight="1">
      <c r="A600" s="137"/>
      <c r="B600" s="64"/>
      <c r="C600" s="140"/>
      <c r="D600" s="64"/>
      <c r="E600" s="64"/>
      <c r="F600" s="64"/>
      <c r="G600" s="64"/>
      <c r="H600" s="64"/>
      <c r="I600" s="64"/>
      <c r="J600" s="64"/>
      <c r="K600" s="64"/>
      <c r="L600" s="64"/>
      <c r="M600" s="64"/>
      <c r="N600" s="64"/>
      <c r="O600" s="64"/>
      <c r="P600" s="64"/>
      <c r="Q600" s="64"/>
      <c r="R600" s="64"/>
      <c r="S600" s="64"/>
      <c r="T600" s="64"/>
      <c r="U600" s="64"/>
      <c r="V600" s="64"/>
      <c r="W600" s="64"/>
    </row>
    <row r="601" spans="1:23" ht="15.75" customHeight="1">
      <c r="A601" s="137"/>
      <c r="B601" s="64"/>
      <c r="C601" s="140"/>
      <c r="D601" s="64"/>
      <c r="E601" s="64"/>
      <c r="F601" s="64"/>
      <c r="G601" s="64"/>
      <c r="H601" s="64"/>
      <c r="I601" s="64"/>
      <c r="J601" s="64"/>
      <c r="K601" s="64"/>
      <c r="L601" s="64"/>
      <c r="M601" s="64"/>
      <c r="N601" s="64"/>
      <c r="O601" s="64"/>
      <c r="P601" s="64"/>
      <c r="Q601" s="64"/>
      <c r="R601" s="64"/>
      <c r="S601" s="64"/>
      <c r="T601" s="64"/>
      <c r="U601" s="64"/>
      <c r="V601" s="64"/>
      <c r="W601" s="64"/>
    </row>
    <row r="602" spans="1:23" ht="15.75" customHeight="1">
      <c r="A602" s="137"/>
      <c r="B602" s="64"/>
      <c r="C602" s="140"/>
      <c r="D602" s="64"/>
      <c r="E602" s="64"/>
      <c r="F602" s="64"/>
      <c r="G602" s="64"/>
      <c r="H602" s="64"/>
      <c r="I602" s="64"/>
      <c r="J602" s="64"/>
      <c r="K602" s="64"/>
      <c r="L602" s="64"/>
      <c r="M602" s="64"/>
      <c r="N602" s="64"/>
      <c r="O602" s="64"/>
      <c r="P602" s="64"/>
      <c r="Q602" s="64"/>
      <c r="R602" s="64"/>
      <c r="S602" s="64"/>
      <c r="T602" s="64"/>
      <c r="U602" s="64"/>
      <c r="V602" s="64"/>
      <c r="W602" s="64"/>
    </row>
    <row r="603" spans="1:23" ht="15.75" customHeight="1">
      <c r="A603" s="137"/>
      <c r="B603" s="64"/>
      <c r="C603" s="140"/>
      <c r="D603" s="64"/>
      <c r="E603" s="64"/>
      <c r="F603" s="64"/>
      <c r="G603" s="64"/>
      <c r="H603" s="64"/>
      <c r="I603" s="64"/>
      <c r="J603" s="64"/>
      <c r="K603" s="64"/>
      <c r="L603" s="64"/>
      <c r="M603" s="64"/>
      <c r="N603" s="64"/>
      <c r="O603" s="64"/>
      <c r="P603" s="64"/>
      <c r="Q603" s="64"/>
      <c r="R603" s="64"/>
      <c r="S603" s="64"/>
      <c r="T603" s="64"/>
      <c r="U603" s="64"/>
      <c r="V603" s="64"/>
      <c r="W603" s="64"/>
    </row>
    <row r="604" spans="1:23" ht="15.75" customHeight="1">
      <c r="A604" s="137"/>
      <c r="B604" s="64"/>
      <c r="C604" s="140"/>
      <c r="D604" s="64"/>
      <c r="E604" s="64"/>
      <c r="F604" s="64"/>
      <c r="G604" s="64"/>
      <c r="H604" s="64"/>
      <c r="I604" s="64"/>
      <c r="J604" s="64"/>
      <c r="K604" s="64"/>
      <c r="L604" s="64"/>
      <c r="M604" s="64"/>
      <c r="N604" s="64"/>
      <c r="O604" s="64"/>
      <c r="P604" s="64"/>
      <c r="Q604" s="64"/>
      <c r="R604" s="64"/>
      <c r="S604" s="64"/>
      <c r="T604" s="64"/>
      <c r="U604" s="64"/>
      <c r="V604" s="64"/>
      <c r="W604" s="64"/>
    </row>
    <row r="605" spans="1:23" ht="15.75" customHeight="1">
      <c r="A605" s="137"/>
      <c r="B605" s="64"/>
      <c r="C605" s="140"/>
      <c r="D605" s="64"/>
      <c r="E605" s="64"/>
      <c r="F605" s="64"/>
      <c r="G605" s="64"/>
      <c r="H605" s="64"/>
      <c r="I605" s="64"/>
      <c r="J605" s="64"/>
      <c r="K605" s="64"/>
      <c r="L605" s="64"/>
      <c r="M605" s="64"/>
      <c r="N605" s="64"/>
      <c r="O605" s="64"/>
      <c r="P605" s="64"/>
      <c r="Q605" s="64"/>
      <c r="R605" s="64"/>
      <c r="S605" s="64"/>
      <c r="T605" s="64"/>
      <c r="U605" s="64"/>
      <c r="V605" s="64"/>
      <c r="W605" s="64"/>
    </row>
    <row r="606" spans="1:23" ht="15.75" customHeight="1">
      <c r="A606" s="137"/>
      <c r="B606" s="64"/>
      <c r="C606" s="140"/>
      <c r="D606" s="64"/>
      <c r="E606" s="64"/>
      <c r="F606" s="64"/>
      <c r="G606" s="64"/>
      <c r="H606" s="64"/>
      <c r="I606" s="64"/>
      <c r="J606" s="64"/>
      <c r="K606" s="64"/>
      <c r="L606" s="64"/>
      <c r="M606" s="64"/>
      <c r="N606" s="64"/>
      <c r="O606" s="64"/>
      <c r="P606" s="64"/>
      <c r="Q606" s="64"/>
      <c r="R606" s="64"/>
      <c r="S606" s="64"/>
      <c r="T606" s="64"/>
      <c r="U606" s="64"/>
      <c r="V606" s="64"/>
      <c r="W606" s="64"/>
    </row>
    <row r="607" spans="1:23" ht="15.75" customHeight="1">
      <c r="A607" s="137"/>
      <c r="B607" s="64"/>
      <c r="C607" s="140"/>
      <c r="D607" s="64"/>
      <c r="E607" s="64"/>
      <c r="F607" s="64"/>
      <c r="G607" s="64"/>
      <c r="H607" s="64"/>
      <c r="I607" s="64"/>
      <c r="J607" s="64"/>
      <c r="K607" s="64"/>
      <c r="L607" s="64"/>
      <c r="M607" s="64"/>
      <c r="N607" s="64"/>
      <c r="O607" s="64"/>
      <c r="P607" s="64"/>
      <c r="Q607" s="64"/>
      <c r="R607" s="64"/>
      <c r="S607" s="64"/>
      <c r="T607" s="64"/>
      <c r="U607" s="64"/>
      <c r="V607" s="64"/>
      <c r="W607" s="64"/>
    </row>
    <row r="608" spans="1:23" ht="15.75" customHeight="1">
      <c r="A608" s="137"/>
      <c r="B608" s="64"/>
      <c r="C608" s="140"/>
      <c r="D608" s="64"/>
      <c r="E608" s="64"/>
      <c r="F608" s="64"/>
      <c r="G608" s="64"/>
      <c r="H608" s="64"/>
      <c r="I608" s="64"/>
      <c r="J608" s="64"/>
      <c r="K608" s="64"/>
      <c r="L608" s="64"/>
      <c r="M608" s="64"/>
      <c r="N608" s="64"/>
      <c r="O608" s="64"/>
      <c r="P608" s="64"/>
      <c r="Q608" s="64"/>
      <c r="R608" s="64"/>
      <c r="S608" s="64"/>
      <c r="T608" s="64"/>
      <c r="U608" s="64"/>
      <c r="V608" s="64"/>
      <c r="W608" s="64"/>
    </row>
    <row r="609" spans="1:23" ht="15.75" customHeight="1">
      <c r="A609" s="137"/>
      <c r="B609" s="64"/>
      <c r="C609" s="140"/>
      <c r="D609" s="64"/>
      <c r="E609" s="64"/>
      <c r="F609" s="64"/>
      <c r="G609" s="64"/>
      <c r="H609" s="64"/>
      <c r="I609" s="64"/>
      <c r="J609" s="64"/>
      <c r="K609" s="64"/>
      <c r="L609" s="64"/>
      <c r="M609" s="64"/>
      <c r="N609" s="64"/>
      <c r="O609" s="64"/>
      <c r="P609" s="64"/>
      <c r="Q609" s="64"/>
      <c r="R609" s="64"/>
      <c r="S609" s="64"/>
      <c r="T609" s="64"/>
      <c r="U609" s="64"/>
      <c r="V609" s="64"/>
      <c r="W609" s="64"/>
    </row>
    <row r="610" spans="1:23" ht="15.75" customHeight="1">
      <c r="A610" s="137"/>
      <c r="B610" s="64"/>
      <c r="C610" s="140"/>
      <c r="D610" s="64"/>
      <c r="E610" s="64"/>
      <c r="F610" s="64"/>
      <c r="G610" s="64"/>
      <c r="H610" s="64"/>
      <c r="I610" s="64"/>
      <c r="J610" s="64"/>
      <c r="K610" s="64"/>
      <c r="L610" s="64"/>
      <c r="M610" s="64"/>
      <c r="N610" s="64"/>
      <c r="O610" s="64"/>
      <c r="P610" s="64"/>
      <c r="Q610" s="64"/>
      <c r="R610" s="64"/>
      <c r="S610" s="64"/>
      <c r="T610" s="64"/>
      <c r="U610" s="64"/>
      <c r="V610" s="64"/>
      <c r="W610" s="64"/>
    </row>
    <row r="611" spans="1:23" ht="15.75" customHeight="1">
      <c r="A611" s="137"/>
      <c r="B611" s="64"/>
      <c r="C611" s="140"/>
      <c r="D611" s="64"/>
      <c r="E611" s="64"/>
      <c r="F611" s="64"/>
      <c r="G611" s="64"/>
      <c r="H611" s="64"/>
      <c r="I611" s="64"/>
      <c r="J611" s="64"/>
      <c r="K611" s="64"/>
      <c r="L611" s="64"/>
      <c r="M611" s="64"/>
      <c r="N611" s="64"/>
      <c r="O611" s="64"/>
      <c r="P611" s="64"/>
      <c r="Q611" s="64"/>
      <c r="R611" s="64"/>
      <c r="S611" s="64"/>
      <c r="T611" s="64"/>
      <c r="U611" s="64"/>
      <c r="V611" s="64"/>
      <c r="W611" s="64"/>
    </row>
    <row r="612" spans="1:23" ht="15.75" customHeight="1">
      <c r="A612" s="137"/>
      <c r="B612" s="64"/>
      <c r="C612" s="140"/>
      <c r="D612" s="64"/>
      <c r="E612" s="64"/>
      <c r="F612" s="64"/>
      <c r="G612" s="64"/>
      <c r="H612" s="64"/>
      <c r="I612" s="64"/>
      <c r="J612" s="64"/>
      <c r="K612" s="64"/>
      <c r="L612" s="64"/>
      <c r="M612" s="64"/>
      <c r="N612" s="64"/>
      <c r="O612" s="64"/>
      <c r="P612" s="64"/>
      <c r="Q612" s="64"/>
      <c r="R612" s="64"/>
      <c r="S612" s="64"/>
      <c r="T612" s="64"/>
      <c r="U612" s="64"/>
      <c r="V612" s="64"/>
      <c r="W612" s="64"/>
    </row>
    <row r="613" spans="1:23" ht="15.75" customHeight="1">
      <c r="A613" s="137"/>
      <c r="B613" s="64"/>
      <c r="C613" s="140"/>
      <c r="D613" s="64"/>
      <c r="E613" s="64"/>
      <c r="F613" s="64"/>
      <c r="G613" s="64"/>
      <c r="H613" s="64"/>
      <c r="I613" s="64"/>
      <c r="J613" s="64"/>
      <c r="K613" s="64"/>
      <c r="L613" s="64"/>
      <c r="M613" s="64"/>
      <c r="N613" s="64"/>
      <c r="O613" s="64"/>
      <c r="P613" s="64"/>
      <c r="Q613" s="64"/>
      <c r="R613" s="64"/>
      <c r="S613" s="64"/>
      <c r="T613" s="64"/>
      <c r="U613" s="64"/>
      <c r="V613" s="64"/>
      <c r="W613" s="64"/>
    </row>
    <row r="614" spans="1:23" ht="15.75" customHeight="1">
      <c r="A614" s="137"/>
      <c r="B614" s="64"/>
      <c r="C614" s="140"/>
      <c r="D614" s="64"/>
      <c r="E614" s="64"/>
      <c r="F614" s="64"/>
      <c r="G614" s="64"/>
      <c r="H614" s="64"/>
      <c r="I614" s="64"/>
      <c r="J614" s="64"/>
      <c r="K614" s="64"/>
      <c r="L614" s="64"/>
      <c r="M614" s="64"/>
      <c r="N614" s="64"/>
      <c r="O614" s="64"/>
      <c r="P614" s="64"/>
      <c r="Q614" s="64"/>
      <c r="R614" s="64"/>
      <c r="S614" s="64"/>
      <c r="T614" s="64"/>
      <c r="U614" s="64"/>
      <c r="V614" s="64"/>
      <c r="W614" s="64"/>
    </row>
    <row r="615" spans="1:23" ht="15.75" customHeight="1">
      <c r="A615" s="137"/>
      <c r="B615" s="64"/>
      <c r="C615" s="140"/>
      <c r="D615" s="64"/>
      <c r="E615" s="64"/>
      <c r="F615" s="64"/>
      <c r="G615" s="64"/>
      <c r="H615" s="64"/>
      <c r="I615" s="64"/>
      <c r="J615" s="64"/>
      <c r="K615" s="64"/>
      <c r="L615" s="64"/>
      <c r="M615" s="64"/>
      <c r="N615" s="64"/>
      <c r="O615" s="64"/>
      <c r="P615" s="64"/>
      <c r="Q615" s="64"/>
      <c r="R615" s="64"/>
      <c r="S615" s="64"/>
      <c r="T615" s="64"/>
      <c r="U615" s="64"/>
      <c r="V615" s="64"/>
      <c r="W615" s="64"/>
    </row>
    <row r="616" spans="1:23" ht="15.75" customHeight="1">
      <c r="A616" s="137"/>
      <c r="B616" s="64"/>
      <c r="C616" s="140"/>
      <c r="D616" s="64"/>
      <c r="E616" s="64"/>
      <c r="F616" s="64"/>
      <c r="G616" s="64"/>
      <c r="H616" s="64"/>
      <c r="I616" s="64"/>
      <c r="J616" s="64"/>
      <c r="K616" s="64"/>
      <c r="L616" s="64"/>
      <c r="M616" s="64"/>
      <c r="N616" s="64"/>
      <c r="O616" s="64"/>
      <c r="P616" s="64"/>
      <c r="Q616" s="64"/>
      <c r="R616" s="64"/>
      <c r="S616" s="64"/>
      <c r="T616" s="64"/>
      <c r="U616" s="64"/>
      <c r="V616" s="64"/>
      <c r="W616" s="64"/>
    </row>
    <row r="617" spans="1:23" ht="15.75" customHeight="1">
      <c r="A617" s="137"/>
      <c r="B617" s="64"/>
      <c r="C617" s="140"/>
      <c r="D617" s="64"/>
      <c r="E617" s="64"/>
      <c r="F617" s="64"/>
      <c r="G617" s="64"/>
      <c r="H617" s="64"/>
      <c r="I617" s="64"/>
      <c r="J617" s="64"/>
      <c r="K617" s="64"/>
      <c r="L617" s="64"/>
      <c r="M617" s="64"/>
      <c r="N617" s="64"/>
      <c r="O617" s="64"/>
      <c r="P617" s="64"/>
      <c r="Q617" s="64"/>
      <c r="R617" s="64"/>
      <c r="S617" s="64"/>
      <c r="T617" s="64"/>
      <c r="U617" s="64"/>
      <c r="V617" s="64"/>
      <c r="W617" s="64"/>
    </row>
    <row r="618" spans="1:23" ht="15.75" customHeight="1">
      <c r="A618" s="137"/>
      <c r="B618" s="64"/>
      <c r="C618" s="140"/>
      <c r="D618" s="64"/>
      <c r="E618" s="64"/>
      <c r="F618" s="64"/>
      <c r="G618" s="64"/>
      <c r="H618" s="64"/>
      <c r="I618" s="64"/>
      <c r="J618" s="64"/>
      <c r="K618" s="64"/>
      <c r="L618" s="64"/>
      <c r="M618" s="64"/>
      <c r="N618" s="64"/>
      <c r="O618" s="64"/>
      <c r="P618" s="64"/>
      <c r="Q618" s="64"/>
      <c r="R618" s="64"/>
      <c r="S618" s="64"/>
      <c r="T618" s="64"/>
      <c r="U618" s="64"/>
      <c r="V618" s="64"/>
      <c r="W618" s="64"/>
    </row>
    <row r="619" spans="1:23" ht="15.75" customHeight="1">
      <c r="A619" s="137"/>
      <c r="B619" s="64"/>
      <c r="C619" s="140"/>
      <c r="D619" s="64"/>
      <c r="E619" s="64"/>
      <c r="F619" s="64"/>
      <c r="G619" s="64"/>
      <c r="H619" s="64"/>
      <c r="I619" s="64"/>
      <c r="J619" s="64"/>
      <c r="K619" s="64"/>
      <c r="L619" s="64"/>
      <c r="M619" s="64"/>
      <c r="N619" s="64"/>
      <c r="O619" s="64"/>
      <c r="P619" s="64"/>
      <c r="Q619" s="64"/>
      <c r="R619" s="64"/>
      <c r="S619" s="64"/>
      <c r="T619" s="64"/>
      <c r="U619" s="64"/>
      <c r="V619" s="64"/>
      <c r="W619" s="64"/>
    </row>
    <row r="620" spans="1:23" ht="15.75" customHeight="1">
      <c r="A620" s="137"/>
      <c r="B620" s="64"/>
      <c r="C620" s="140"/>
      <c r="D620" s="64"/>
      <c r="E620" s="64"/>
      <c r="F620" s="64"/>
      <c r="G620" s="64"/>
      <c r="H620" s="64"/>
      <c r="I620" s="64"/>
      <c r="J620" s="64"/>
      <c r="K620" s="64"/>
      <c r="L620" s="64"/>
      <c r="M620" s="64"/>
      <c r="N620" s="64"/>
      <c r="O620" s="64"/>
      <c r="P620" s="64"/>
      <c r="Q620" s="64"/>
      <c r="R620" s="64"/>
      <c r="S620" s="64"/>
      <c r="T620" s="64"/>
      <c r="U620" s="64"/>
      <c r="V620" s="64"/>
      <c r="W620" s="64"/>
    </row>
    <row r="621" spans="1:23" ht="15.75" customHeight="1">
      <c r="A621" s="137"/>
      <c r="B621" s="64"/>
      <c r="C621" s="140"/>
      <c r="D621" s="64"/>
      <c r="E621" s="64"/>
      <c r="F621" s="64"/>
      <c r="G621" s="64"/>
      <c r="H621" s="64"/>
      <c r="I621" s="64"/>
      <c r="J621" s="64"/>
      <c r="K621" s="64"/>
      <c r="L621" s="64"/>
      <c r="M621" s="64"/>
      <c r="N621" s="64"/>
      <c r="O621" s="64"/>
      <c r="P621" s="64"/>
      <c r="Q621" s="64"/>
      <c r="R621" s="64"/>
      <c r="S621" s="64"/>
      <c r="T621" s="64"/>
      <c r="U621" s="64"/>
      <c r="V621" s="64"/>
      <c r="W621" s="64"/>
    </row>
    <row r="622" spans="1:23" ht="15.75" customHeight="1">
      <c r="A622" s="137"/>
      <c r="B622" s="64"/>
      <c r="C622" s="140"/>
      <c r="D622" s="64"/>
      <c r="E622" s="64"/>
      <c r="F622" s="64"/>
      <c r="G622" s="64"/>
      <c r="H622" s="64"/>
      <c r="I622" s="64"/>
      <c r="J622" s="64"/>
      <c r="K622" s="64"/>
      <c r="L622" s="64"/>
      <c r="M622" s="64"/>
      <c r="N622" s="64"/>
      <c r="O622" s="64"/>
      <c r="P622" s="64"/>
      <c r="Q622" s="64"/>
      <c r="R622" s="64"/>
      <c r="S622" s="64"/>
      <c r="T622" s="64"/>
      <c r="U622" s="64"/>
      <c r="V622" s="64"/>
      <c r="W622" s="64"/>
    </row>
    <row r="623" spans="1:23" ht="15.75" customHeight="1">
      <c r="A623" s="137"/>
      <c r="B623" s="64"/>
      <c r="C623" s="140"/>
      <c r="D623" s="64"/>
      <c r="E623" s="64"/>
      <c r="F623" s="64"/>
      <c r="G623" s="64"/>
      <c r="H623" s="64"/>
      <c r="I623" s="64"/>
      <c r="J623" s="64"/>
      <c r="K623" s="64"/>
      <c r="L623" s="64"/>
      <c r="M623" s="64"/>
      <c r="N623" s="64"/>
      <c r="O623" s="64"/>
      <c r="P623" s="64"/>
      <c r="Q623" s="64"/>
      <c r="R623" s="64"/>
      <c r="S623" s="64"/>
      <c r="T623" s="64"/>
      <c r="U623" s="64"/>
      <c r="V623" s="64"/>
      <c r="W623" s="64"/>
    </row>
    <row r="624" spans="1:23" ht="15.75" customHeight="1">
      <c r="A624" s="137"/>
      <c r="B624" s="64"/>
      <c r="C624" s="140"/>
      <c r="D624" s="64"/>
      <c r="E624" s="64"/>
      <c r="F624" s="64"/>
      <c r="G624" s="64"/>
      <c r="H624" s="64"/>
      <c r="I624" s="64"/>
      <c r="J624" s="64"/>
      <c r="K624" s="64"/>
      <c r="L624" s="64"/>
      <c r="M624" s="64"/>
      <c r="N624" s="64"/>
      <c r="O624" s="64"/>
      <c r="P624" s="64"/>
      <c r="Q624" s="64"/>
      <c r="R624" s="64"/>
      <c r="S624" s="64"/>
      <c r="T624" s="64"/>
      <c r="U624" s="64"/>
      <c r="V624" s="64"/>
      <c r="W624" s="64"/>
    </row>
    <row r="625" spans="1:23" ht="15.75" customHeight="1">
      <c r="A625" s="137"/>
      <c r="B625" s="64"/>
      <c r="C625" s="140"/>
      <c r="D625" s="64"/>
      <c r="E625" s="64"/>
      <c r="F625" s="64"/>
      <c r="G625" s="64"/>
      <c r="H625" s="64"/>
      <c r="I625" s="64"/>
      <c r="J625" s="64"/>
      <c r="K625" s="64"/>
      <c r="L625" s="64"/>
      <c r="M625" s="64"/>
      <c r="N625" s="64"/>
      <c r="O625" s="64"/>
      <c r="P625" s="64"/>
      <c r="Q625" s="64"/>
      <c r="R625" s="64"/>
      <c r="S625" s="64"/>
      <c r="T625" s="64"/>
      <c r="U625" s="64"/>
      <c r="V625" s="64"/>
      <c r="W625" s="64"/>
    </row>
    <row r="626" spans="1:23" ht="15.75" customHeight="1">
      <c r="A626" s="137"/>
      <c r="B626" s="64"/>
      <c r="C626" s="140"/>
      <c r="D626" s="64"/>
      <c r="E626" s="64"/>
      <c r="F626" s="64"/>
      <c r="G626" s="64"/>
      <c r="H626" s="64"/>
      <c r="I626" s="64"/>
      <c r="J626" s="64"/>
      <c r="K626" s="64"/>
      <c r="L626" s="64"/>
      <c r="M626" s="64"/>
      <c r="N626" s="64"/>
      <c r="O626" s="64"/>
      <c r="P626" s="64"/>
      <c r="Q626" s="64"/>
      <c r="R626" s="64"/>
      <c r="S626" s="64"/>
      <c r="T626" s="64"/>
      <c r="U626" s="64"/>
      <c r="V626" s="64"/>
      <c r="W626" s="64"/>
    </row>
    <row r="627" spans="1:23" ht="15.75" customHeight="1">
      <c r="A627" s="137"/>
      <c r="B627" s="64"/>
      <c r="C627" s="140"/>
      <c r="D627" s="64"/>
      <c r="E627" s="64"/>
      <c r="F627" s="64"/>
      <c r="G627" s="64"/>
      <c r="H627" s="64"/>
      <c r="I627" s="64"/>
      <c r="J627" s="64"/>
      <c r="K627" s="64"/>
      <c r="L627" s="64"/>
      <c r="M627" s="64"/>
      <c r="N627" s="64"/>
      <c r="O627" s="64"/>
      <c r="P627" s="64"/>
      <c r="Q627" s="64"/>
      <c r="R627" s="64"/>
      <c r="S627" s="64"/>
      <c r="T627" s="64"/>
      <c r="U627" s="64"/>
      <c r="V627" s="64"/>
      <c r="W627" s="64"/>
    </row>
    <row r="628" spans="1:23" ht="15.75" customHeight="1">
      <c r="A628" s="137"/>
      <c r="B628" s="64"/>
      <c r="C628" s="140"/>
      <c r="D628" s="64"/>
      <c r="E628" s="64"/>
      <c r="F628" s="64"/>
      <c r="G628" s="64"/>
      <c r="H628" s="64"/>
      <c r="I628" s="64"/>
      <c r="J628" s="64"/>
      <c r="K628" s="64"/>
      <c r="L628" s="64"/>
      <c r="M628" s="64"/>
      <c r="N628" s="64"/>
      <c r="O628" s="64"/>
      <c r="P628" s="64"/>
      <c r="Q628" s="64"/>
      <c r="R628" s="64"/>
      <c r="S628" s="64"/>
      <c r="T628" s="64"/>
      <c r="U628" s="64"/>
      <c r="V628" s="64"/>
      <c r="W628" s="64"/>
    </row>
    <row r="629" spans="1:23" ht="15.75" customHeight="1">
      <c r="A629" s="137"/>
      <c r="B629" s="64"/>
      <c r="C629" s="140"/>
      <c r="D629" s="64"/>
      <c r="E629" s="64"/>
      <c r="F629" s="64"/>
      <c r="G629" s="64"/>
      <c r="H629" s="64"/>
      <c r="I629" s="64"/>
      <c r="J629" s="64"/>
      <c r="K629" s="64"/>
      <c r="L629" s="64"/>
      <c r="M629" s="64"/>
      <c r="N629" s="64"/>
      <c r="O629" s="64"/>
      <c r="P629" s="64"/>
      <c r="Q629" s="64"/>
      <c r="R629" s="64"/>
      <c r="S629" s="64"/>
      <c r="T629" s="64"/>
      <c r="U629" s="64"/>
      <c r="V629" s="64"/>
      <c r="W629" s="64"/>
    </row>
    <row r="630" spans="1:23" ht="15.75" customHeight="1">
      <c r="A630" s="137"/>
      <c r="B630" s="64"/>
      <c r="C630" s="140"/>
      <c r="D630" s="64"/>
      <c r="E630" s="64"/>
      <c r="F630" s="64"/>
      <c r="G630" s="64"/>
      <c r="H630" s="64"/>
      <c r="I630" s="64"/>
      <c r="J630" s="64"/>
      <c r="K630" s="64"/>
      <c r="L630" s="64"/>
      <c r="M630" s="64"/>
      <c r="N630" s="64"/>
      <c r="O630" s="64"/>
      <c r="P630" s="64"/>
      <c r="Q630" s="64"/>
      <c r="R630" s="64"/>
      <c r="S630" s="64"/>
      <c r="T630" s="64"/>
      <c r="U630" s="64"/>
      <c r="V630" s="64"/>
      <c r="W630" s="64"/>
    </row>
    <row r="631" spans="1:23" ht="15.75" customHeight="1">
      <c r="A631" s="137"/>
      <c r="B631" s="64"/>
      <c r="C631" s="140"/>
      <c r="D631" s="64"/>
      <c r="E631" s="64"/>
      <c r="F631" s="64"/>
      <c r="G631" s="64"/>
      <c r="H631" s="64"/>
      <c r="I631" s="64"/>
      <c r="J631" s="64"/>
      <c r="K631" s="64"/>
      <c r="L631" s="64"/>
      <c r="M631" s="64"/>
      <c r="N631" s="64"/>
      <c r="O631" s="64"/>
      <c r="P631" s="64"/>
      <c r="Q631" s="64"/>
      <c r="R631" s="64"/>
      <c r="S631" s="64"/>
      <c r="T631" s="64"/>
      <c r="U631" s="64"/>
      <c r="V631" s="64"/>
      <c r="W631" s="64"/>
    </row>
    <row r="632" spans="1:23" ht="15.75" customHeight="1">
      <c r="A632" s="137"/>
      <c r="B632" s="64"/>
      <c r="C632" s="140"/>
      <c r="D632" s="64"/>
      <c r="E632" s="64"/>
      <c r="F632" s="64"/>
      <c r="G632" s="64"/>
      <c r="H632" s="64"/>
      <c r="I632" s="64"/>
      <c r="J632" s="64"/>
      <c r="K632" s="64"/>
      <c r="L632" s="64"/>
      <c r="M632" s="64"/>
      <c r="N632" s="64"/>
      <c r="O632" s="64"/>
      <c r="P632" s="64"/>
      <c r="Q632" s="64"/>
      <c r="R632" s="64"/>
      <c r="S632" s="64"/>
      <c r="T632" s="64"/>
      <c r="U632" s="64"/>
      <c r="V632" s="64"/>
      <c r="W632" s="64"/>
    </row>
    <row r="633" spans="1:23" ht="15.75" customHeight="1">
      <c r="A633" s="137"/>
      <c r="B633" s="64"/>
      <c r="C633" s="140"/>
      <c r="D633" s="64"/>
      <c r="E633" s="64"/>
      <c r="F633" s="64"/>
      <c r="G633" s="64"/>
      <c r="H633" s="64"/>
      <c r="I633" s="64"/>
      <c r="J633" s="64"/>
      <c r="K633" s="64"/>
      <c r="L633" s="64"/>
      <c r="M633" s="64"/>
      <c r="N633" s="64"/>
      <c r="O633" s="64"/>
      <c r="P633" s="64"/>
      <c r="Q633" s="64"/>
      <c r="R633" s="64"/>
      <c r="S633" s="64"/>
      <c r="T633" s="64"/>
      <c r="U633" s="64"/>
      <c r="V633" s="64"/>
      <c r="W633" s="64"/>
    </row>
    <row r="634" spans="1:23" ht="15.75" customHeight="1">
      <c r="A634" s="137"/>
      <c r="B634" s="64"/>
      <c r="C634" s="140"/>
      <c r="D634" s="64"/>
      <c r="E634" s="64"/>
      <c r="F634" s="64"/>
      <c r="G634" s="64"/>
      <c r="H634" s="64"/>
      <c r="I634" s="64"/>
      <c r="J634" s="64"/>
      <c r="K634" s="64"/>
      <c r="L634" s="64"/>
      <c r="M634" s="64"/>
      <c r="N634" s="64"/>
      <c r="O634" s="64"/>
      <c r="P634" s="64"/>
      <c r="Q634" s="64"/>
      <c r="R634" s="64"/>
      <c r="S634" s="64"/>
      <c r="T634" s="64"/>
      <c r="U634" s="64"/>
      <c r="V634" s="64"/>
      <c r="W634" s="64"/>
    </row>
    <row r="635" spans="1:23" ht="15.75" customHeight="1">
      <c r="A635" s="137"/>
      <c r="B635" s="64"/>
      <c r="C635" s="140"/>
      <c r="D635" s="64"/>
      <c r="E635" s="64"/>
      <c r="F635" s="64"/>
      <c r="G635" s="64"/>
      <c r="H635" s="64"/>
      <c r="I635" s="64"/>
      <c r="J635" s="64"/>
      <c r="K635" s="64"/>
      <c r="L635" s="64"/>
      <c r="M635" s="64"/>
      <c r="N635" s="64"/>
      <c r="O635" s="64"/>
      <c r="P635" s="64"/>
      <c r="Q635" s="64"/>
      <c r="R635" s="64"/>
      <c r="S635" s="64"/>
      <c r="T635" s="64"/>
      <c r="U635" s="64"/>
      <c r="V635" s="64"/>
      <c r="W635" s="64"/>
    </row>
    <row r="636" spans="1:23" ht="15.75" customHeight="1">
      <c r="A636" s="137"/>
      <c r="B636" s="64"/>
      <c r="C636" s="140"/>
      <c r="D636" s="64"/>
      <c r="E636" s="64"/>
      <c r="F636" s="64"/>
      <c r="G636" s="64"/>
      <c r="H636" s="64"/>
      <c r="I636" s="64"/>
      <c r="J636" s="64"/>
      <c r="K636" s="64"/>
      <c r="L636" s="64"/>
      <c r="M636" s="64"/>
      <c r="N636" s="64"/>
      <c r="O636" s="64"/>
      <c r="P636" s="64"/>
      <c r="Q636" s="64"/>
      <c r="R636" s="64"/>
      <c r="S636" s="64"/>
      <c r="T636" s="64"/>
      <c r="U636" s="64"/>
      <c r="V636" s="64"/>
      <c r="W636" s="64"/>
    </row>
    <row r="637" spans="1:23" ht="15.75" customHeight="1">
      <c r="A637" s="137"/>
      <c r="B637" s="64"/>
      <c r="C637" s="140"/>
      <c r="D637" s="64"/>
      <c r="E637" s="64"/>
      <c r="F637" s="64"/>
      <c r="G637" s="64"/>
      <c r="H637" s="64"/>
      <c r="I637" s="64"/>
      <c r="J637" s="64"/>
      <c r="K637" s="64"/>
      <c r="L637" s="64"/>
      <c r="M637" s="64"/>
      <c r="N637" s="64"/>
      <c r="O637" s="64"/>
      <c r="P637" s="64"/>
      <c r="Q637" s="64"/>
      <c r="R637" s="64"/>
      <c r="S637" s="64"/>
      <c r="T637" s="64"/>
      <c r="U637" s="64"/>
      <c r="V637" s="64"/>
      <c r="W637" s="64"/>
    </row>
    <row r="638" spans="1:23" ht="15.75" customHeight="1">
      <c r="A638" s="137"/>
      <c r="B638" s="64"/>
      <c r="C638" s="140"/>
      <c r="D638" s="64"/>
      <c r="E638" s="64"/>
      <c r="F638" s="64"/>
      <c r="G638" s="64"/>
      <c r="H638" s="64"/>
      <c r="I638" s="64"/>
      <c r="J638" s="64"/>
      <c r="K638" s="64"/>
      <c r="L638" s="64"/>
      <c r="M638" s="64"/>
      <c r="N638" s="64"/>
      <c r="O638" s="64"/>
      <c r="P638" s="64"/>
      <c r="Q638" s="64"/>
      <c r="R638" s="64"/>
      <c r="S638" s="64"/>
      <c r="T638" s="64"/>
      <c r="U638" s="64"/>
      <c r="V638" s="64"/>
      <c r="W638" s="64"/>
    </row>
    <row r="639" spans="1:23" ht="15.75" customHeight="1">
      <c r="A639" s="137"/>
      <c r="B639" s="64"/>
      <c r="C639" s="140"/>
      <c r="D639" s="64"/>
      <c r="E639" s="64"/>
      <c r="F639" s="64"/>
      <c r="G639" s="64"/>
      <c r="H639" s="64"/>
      <c r="I639" s="64"/>
      <c r="J639" s="64"/>
      <c r="K639" s="64"/>
      <c r="L639" s="64"/>
      <c r="M639" s="64"/>
      <c r="N639" s="64"/>
      <c r="O639" s="64"/>
      <c r="P639" s="64"/>
      <c r="Q639" s="64"/>
      <c r="R639" s="64"/>
      <c r="S639" s="64"/>
      <c r="T639" s="64"/>
      <c r="U639" s="64"/>
      <c r="V639" s="64"/>
      <c r="W639" s="64"/>
    </row>
    <row r="640" spans="1:23" ht="15.75" customHeight="1">
      <c r="A640" s="137"/>
      <c r="B640" s="64"/>
      <c r="C640" s="140"/>
      <c r="D640" s="64"/>
      <c r="E640" s="64"/>
      <c r="F640" s="64"/>
      <c r="G640" s="64"/>
      <c r="H640" s="64"/>
      <c r="I640" s="64"/>
      <c r="J640" s="64"/>
      <c r="K640" s="64"/>
      <c r="L640" s="64"/>
      <c r="M640" s="64"/>
      <c r="N640" s="64"/>
      <c r="O640" s="64"/>
      <c r="P640" s="64"/>
      <c r="Q640" s="64"/>
      <c r="R640" s="64"/>
      <c r="S640" s="64"/>
      <c r="T640" s="64"/>
      <c r="U640" s="64"/>
      <c r="V640" s="64"/>
      <c r="W640" s="64"/>
    </row>
    <row r="641" spans="1:23" ht="15.75" customHeight="1">
      <c r="A641" s="137"/>
      <c r="B641" s="64"/>
      <c r="C641" s="140"/>
      <c r="D641" s="64"/>
      <c r="E641" s="64"/>
      <c r="F641" s="64"/>
      <c r="G641" s="64"/>
      <c r="H641" s="64"/>
      <c r="I641" s="64"/>
      <c r="J641" s="64"/>
      <c r="K641" s="64"/>
      <c r="L641" s="64"/>
      <c r="M641" s="64"/>
      <c r="N641" s="64"/>
      <c r="O641" s="64"/>
      <c r="P641" s="64"/>
      <c r="Q641" s="64"/>
      <c r="R641" s="64"/>
      <c r="S641" s="64"/>
      <c r="T641" s="64"/>
      <c r="U641" s="64"/>
      <c r="V641" s="64"/>
      <c r="W641" s="64"/>
    </row>
    <row r="642" spans="1:23" ht="15.75" customHeight="1">
      <c r="A642" s="137"/>
      <c r="B642" s="64"/>
      <c r="C642" s="140"/>
      <c r="D642" s="64"/>
      <c r="E642" s="64"/>
      <c r="F642" s="64"/>
      <c r="G642" s="64"/>
      <c r="H642" s="64"/>
      <c r="I642" s="64"/>
      <c r="J642" s="64"/>
      <c r="K642" s="64"/>
      <c r="L642" s="64"/>
      <c r="M642" s="64"/>
      <c r="N642" s="64"/>
      <c r="O642" s="64"/>
      <c r="P642" s="64"/>
      <c r="Q642" s="64"/>
      <c r="R642" s="64"/>
      <c r="S642" s="64"/>
      <c r="T642" s="64"/>
      <c r="U642" s="64"/>
      <c r="V642" s="64"/>
      <c r="W642" s="64"/>
    </row>
    <row r="643" spans="1:23" ht="15.75" customHeight="1">
      <c r="A643" s="137"/>
      <c r="B643" s="64"/>
      <c r="C643" s="140"/>
      <c r="D643" s="64"/>
      <c r="E643" s="64"/>
      <c r="F643" s="64"/>
      <c r="G643" s="64"/>
      <c r="H643" s="64"/>
      <c r="I643" s="64"/>
      <c r="J643" s="64"/>
      <c r="K643" s="64"/>
      <c r="L643" s="64"/>
      <c r="M643" s="64"/>
      <c r="N643" s="64"/>
      <c r="O643" s="64"/>
      <c r="P643" s="64"/>
      <c r="Q643" s="64"/>
      <c r="R643" s="64"/>
      <c r="S643" s="64"/>
      <c r="T643" s="64"/>
      <c r="U643" s="64"/>
      <c r="V643" s="64"/>
      <c r="W643" s="64"/>
    </row>
    <row r="644" spans="1:23" ht="15.75" customHeight="1">
      <c r="A644" s="137"/>
      <c r="B644" s="64"/>
      <c r="C644" s="140"/>
      <c r="D644" s="64"/>
      <c r="E644" s="64"/>
      <c r="F644" s="64"/>
      <c r="G644" s="64"/>
      <c r="H644" s="64"/>
      <c r="I644" s="64"/>
      <c r="J644" s="64"/>
      <c r="K644" s="64"/>
      <c r="L644" s="64"/>
      <c r="M644" s="64"/>
      <c r="N644" s="64"/>
      <c r="O644" s="64"/>
      <c r="P644" s="64"/>
      <c r="Q644" s="64"/>
      <c r="R644" s="64"/>
      <c r="S644" s="64"/>
      <c r="T644" s="64"/>
      <c r="U644" s="64"/>
      <c r="V644" s="64"/>
      <c r="W644" s="64"/>
    </row>
    <row r="645" spans="1:23" ht="15.75" customHeight="1">
      <c r="A645" s="137"/>
      <c r="B645" s="64"/>
      <c r="C645" s="140"/>
      <c r="D645" s="64"/>
      <c r="E645" s="64"/>
      <c r="F645" s="64"/>
      <c r="G645" s="64"/>
      <c r="H645" s="64"/>
      <c r="I645" s="64"/>
      <c r="J645" s="64"/>
      <c r="K645" s="64"/>
      <c r="L645" s="64"/>
      <c r="M645" s="64"/>
      <c r="N645" s="64"/>
      <c r="O645" s="64"/>
      <c r="P645" s="64"/>
      <c r="Q645" s="64"/>
      <c r="R645" s="64"/>
      <c r="S645" s="64"/>
      <c r="T645" s="64"/>
      <c r="U645" s="64"/>
      <c r="V645" s="64"/>
      <c r="W645" s="64"/>
    </row>
    <row r="646" spans="1:23" ht="15.75" customHeight="1">
      <c r="A646" s="137"/>
      <c r="B646" s="64"/>
      <c r="C646" s="140"/>
      <c r="D646" s="64"/>
      <c r="E646" s="64"/>
      <c r="F646" s="64"/>
      <c r="G646" s="64"/>
      <c r="H646" s="64"/>
      <c r="I646" s="64"/>
      <c r="J646" s="64"/>
      <c r="K646" s="64"/>
      <c r="L646" s="64"/>
      <c r="M646" s="64"/>
      <c r="N646" s="64"/>
      <c r="O646" s="64"/>
      <c r="P646" s="64"/>
      <c r="Q646" s="64"/>
      <c r="R646" s="64"/>
      <c r="S646" s="64"/>
      <c r="T646" s="64"/>
      <c r="U646" s="64"/>
      <c r="V646" s="64"/>
      <c r="W646" s="64"/>
    </row>
    <row r="647" spans="1:23" ht="15.75" customHeight="1">
      <c r="A647" s="137"/>
      <c r="B647" s="64"/>
      <c r="C647" s="140"/>
      <c r="D647" s="64"/>
      <c r="E647" s="64"/>
      <c r="F647" s="64"/>
      <c r="G647" s="64"/>
      <c r="H647" s="64"/>
      <c r="I647" s="64"/>
      <c r="J647" s="64"/>
      <c r="K647" s="64"/>
      <c r="L647" s="64"/>
      <c r="M647" s="64"/>
      <c r="N647" s="64"/>
      <c r="O647" s="64"/>
      <c r="P647" s="64"/>
      <c r="Q647" s="64"/>
      <c r="R647" s="64"/>
      <c r="S647" s="64"/>
      <c r="T647" s="64"/>
      <c r="U647" s="64"/>
      <c r="V647" s="64"/>
      <c r="W647" s="64"/>
    </row>
    <row r="648" spans="1:23" ht="15.75" customHeight="1">
      <c r="A648" s="137"/>
      <c r="B648" s="64"/>
      <c r="C648" s="140"/>
      <c r="D648" s="64"/>
      <c r="E648" s="64"/>
      <c r="F648" s="64"/>
      <c r="G648" s="64"/>
      <c r="H648" s="64"/>
      <c r="I648" s="64"/>
      <c r="J648" s="64"/>
      <c r="K648" s="64"/>
      <c r="L648" s="64"/>
      <c r="M648" s="64"/>
      <c r="N648" s="64"/>
      <c r="O648" s="64"/>
      <c r="P648" s="64"/>
      <c r="Q648" s="64"/>
      <c r="R648" s="64"/>
      <c r="S648" s="64"/>
      <c r="T648" s="64"/>
      <c r="U648" s="64"/>
      <c r="V648" s="64"/>
      <c r="W648" s="64"/>
    </row>
    <row r="649" spans="1:23" ht="15.75" customHeight="1">
      <c r="A649" s="137"/>
      <c r="B649" s="64"/>
      <c r="C649" s="140"/>
      <c r="D649" s="64"/>
      <c r="E649" s="64"/>
      <c r="F649" s="64"/>
      <c r="G649" s="64"/>
      <c r="H649" s="64"/>
      <c r="I649" s="64"/>
      <c r="J649" s="64"/>
      <c r="K649" s="64"/>
      <c r="L649" s="64"/>
      <c r="M649" s="64"/>
      <c r="N649" s="64"/>
      <c r="O649" s="64"/>
      <c r="P649" s="64"/>
      <c r="Q649" s="64"/>
      <c r="R649" s="64"/>
      <c r="S649" s="64"/>
      <c r="T649" s="64"/>
      <c r="U649" s="64"/>
      <c r="V649" s="64"/>
      <c r="W649" s="64"/>
    </row>
    <row r="650" spans="1:23" ht="15.75" customHeight="1">
      <c r="A650" s="137"/>
      <c r="B650" s="64"/>
      <c r="C650" s="140"/>
      <c r="D650" s="64"/>
      <c r="E650" s="64"/>
      <c r="F650" s="64"/>
      <c r="G650" s="64"/>
      <c r="H650" s="64"/>
      <c r="I650" s="64"/>
      <c r="J650" s="64"/>
      <c r="K650" s="64"/>
      <c r="L650" s="64"/>
      <c r="M650" s="64"/>
      <c r="N650" s="64"/>
      <c r="O650" s="64"/>
      <c r="P650" s="64"/>
      <c r="Q650" s="64"/>
      <c r="R650" s="64"/>
      <c r="S650" s="64"/>
      <c r="T650" s="64"/>
      <c r="U650" s="64"/>
      <c r="V650" s="64"/>
      <c r="W650" s="64"/>
    </row>
    <row r="651" spans="1:23" ht="15.75" customHeight="1">
      <c r="A651" s="137"/>
      <c r="B651" s="64"/>
      <c r="C651" s="140"/>
      <c r="D651" s="64"/>
      <c r="E651" s="64"/>
      <c r="F651" s="64"/>
      <c r="G651" s="64"/>
      <c r="H651" s="64"/>
      <c r="I651" s="64"/>
      <c r="J651" s="64"/>
      <c r="K651" s="64"/>
      <c r="L651" s="64"/>
      <c r="M651" s="64"/>
      <c r="N651" s="64"/>
      <c r="O651" s="64"/>
      <c r="P651" s="64"/>
      <c r="Q651" s="64"/>
      <c r="R651" s="64"/>
      <c r="S651" s="64"/>
      <c r="T651" s="64"/>
      <c r="U651" s="64"/>
      <c r="V651" s="64"/>
      <c r="W651" s="64"/>
    </row>
    <row r="652" spans="1:23" ht="15.75" customHeight="1">
      <c r="A652" s="137"/>
      <c r="B652" s="64"/>
      <c r="C652" s="140"/>
      <c r="D652" s="64"/>
      <c r="E652" s="64"/>
      <c r="F652" s="64"/>
      <c r="G652" s="64"/>
      <c r="H652" s="64"/>
      <c r="I652" s="64"/>
      <c r="J652" s="64"/>
      <c r="K652" s="64"/>
      <c r="L652" s="64"/>
      <c r="M652" s="64"/>
      <c r="N652" s="64"/>
      <c r="O652" s="64"/>
      <c r="P652" s="64"/>
      <c r="Q652" s="64"/>
      <c r="R652" s="64"/>
      <c r="S652" s="64"/>
      <c r="T652" s="64"/>
      <c r="U652" s="64"/>
      <c r="V652" s="64"/>
      <c r="W652" s="64"/>
    </row>
    <row r="653" spans="1:23" ht="15.75" customHeight="1">
      <c r="A653" s="137"/>
      <c r="B653" s="64"/>
      <c r="C653" s="140"/>
      <c r="D653" s="64"/>
      <c r="E653" s="64"/>
      <c r="F653" s="64"/>
      <c r="G653" s="64"/>
      <c r="H653" s="64"/>
      <c r="I653" s="64"/>
      <c r="J653" s="64"/>
      <c r="K653" s="64"/>
      <c r="L653" s="64"/>
      <c r="M653" s="64"/>
      <c r="N653" s="64"/>
      <c r="O653" s="64"/>
      <c r="P653" s="64"/>
      <c r="Q653" s="64"/>
      <c r="R653" s="64"/>
      <c r="S653" s="64"/>
      <c r="T653" s="64"/>
      <c r="U653" s="64"/>
      <c r="V653" s="64"/>
      <c r="W653" s="64"/>
    </row>
    <row r="654" spans="1:23" ht="15.75" customHeight="1">
      <c r="A654" s="137"/>
      <c r="B654" s="64"/>
      <c r="C654" s="140"/>
      <c r="D654" s="64"/>
      <c r="E654" s="64"/>
      <c r="F654" s="64"/>
      <c r="G654" s="64"/>
      <c r="H654" s="64"/>
      <c r="I654" s="64"/>
      <c r="J654" s="64"/>
      <c r="K654" s="64"/>
      <c r="L654" s="64"/>
      <c r="M654" s="64"/>
      <c r="N654" s="64"/>
      <c r="O654" s="64"/>
      <c r="P654" s="64"/>
      <c r="Q654" s="64"/>
      <c r="R654" s="64"/>
      <c r="S654" s="64"/>
      <c r="T654" s="64"/>
      <c r="U654" s="64"/>
      <c r="V654" s="64"/>
      <c r="W654" s="64"/>
    </row>
    <row r="655" spans="1:23" ht="15.75" customHeight="1">
      <c r="A655" s="137"/>
      <c r="B655" s="64"/>
      <c r="C655" s="140"/>
      <c r="D655" s="64"/>
      <c r="E655" s="64"/>
      <c r="F655" s="64"/>
      <c r="G655" s="64"/>
      <c r="H655" s="64"/>
      <c r="I655" s="64"/>
      <c r="J655" s="64"/>
      <c r="K655" s="64"/>
      <c r="L655" s="64"/>
      <c r="M655" s="64"/>
      <c r="N655" s="64"/>
      <c r="O655" s="64"/>
      <c r="P655" s="64"/>
      <c r="Q655" s="64"/>
      <c r="R655" s="64"/>
      <c r="S655" s="64"/>
      <c r="T655" s="64"/>
      <c r="U655" s="64"/>
      <c r="V655" s="64"/>
      <c r="W655" s="64"/>
    </row>
    <row r="656" spans="1:23" ht="15.75" customHeight="1">
      <c r="A656" s="137"/>
      <c r="B656" s="64"/>
      <c r="C656" s="140"/>
      <c r="D656" s="64"/>
      <c r="E656" s="64"/>
      <c r="F656" s="64"/>
      <c r="G656" s="64"/>
      <c r="H656" s="64"/>
      <c r="I656" s="64"/>
      <c r="J656" s="64"/>
      <c r="K656" s="64"/>
      <c r="L656" s="64"/>
      <c r="M656" s="64"/>
      <c r="N656" s="64"/>
      <c r="O656" s="64"/>
      <c r="P656" s="64"/>
      <c r="Q656" s="64"/>
      <c r="R656" s="64"/>
      <c r="S656" s="64"/>
      <c r="T656" s="64"/>
      <c r="U656" s="64"/>
      <c r="V656" s="64"/>
      <c r="W656" s="64"/>
    </row>
    <row r="657" spans="1:23" ht="15.75" customHeight="1">
      <c r="A657" s="137"/>
      <c r="B657" s="64"/>
      <c r="C657" s="140"/>
      <c r="D657" s="64"/>
      <c r="E657" s="64"/>
      <c r="F657" s="64"/>
      <c r="G657" s="64"/>
      <c r="H657" s="64"/>
      <c r="I657" s="64"/>
      <c r="J657" s="64"/>
      <c r="K657" s="64"/>
      <c r="L657" s="64"/>
      <c r="M657" s="64"/>
      <c r="N657" s="64"/>
      <c r="O657" s="64"/>
      <c r="P657" s="64"/>
      <c r="Q657" s="64"/>
      <c r="R657" s="64"/>
      <c r="S657" s="64"/>
      <c r="T657" s="64"/>
      <c r="U657" s="64"/>
      <c r="V657" s="64"/>
      <c r="W657" s="64"/>
    </row>
    <row r="658" spans="1:23" ht="15.75" customHeight="1">
      <c r="A658" s="137"/>
      <c r="B658" s="64"/>
      <c r="C658" s="140"/>
      <c r="D658" s="64"/>
      <c r="E658" s="64"/>
      <c r="F658" s="64"/>
      <c r="G658" s="64"/>
      <c r="H658" s="64"/>
      <c r="I658" s="64"/>
      <c r="J658" s="64"/>
      <c r="K658" s="64"/>
      <c r="L658" s="64"/>
      <c r="M658" s="64"/>
      <c r="N658" s="64"/>
      <c r="O658" s="64"/>
      <c r="P658" s="64"/>
      <c r="Q658" s="64"/>
      <c r="R658" s="64"/>
      <c r="S658" s="64"/>
      <c r="T658" s="64"/>
      <c r="U658" s="64"/>
      <c r="V658" s="64"/>
      <c r="W658" s="64"/>
    </row>
    <row r="659" spans="1:23" ht="15.75" customHeight="1">
      <c r="A659" s="137"/>
      <c r="B659" s="64"/>
      <c r="C659" s="140"/>
      <c r="D659" s="64"/>
      <c r="E659" s="64"/>
      <c r="F659" s="64"/>
      <c r="G659" s="64"/>
      <c r="H659" s="64"/>
      <c r="I659" s="64"/>
      <c r="J659" s="64"/>
      <c r="K659" s="64"/>
      <c r="L659" s="64"/>
      <c r="M659" s="64"/>
      <c r="N659" s="64"/>
      <c r="O659" s="64"/>
      <c r="P659" s="64"/>
      <c r="Q659" s="64"/>
      <c r="R659" s="64"/>
      <c r="S659" s="64"/>
      <c r="T659" s="64"/>
      <c r="U659" s="64"/>
      <c r="V659" s="64"/>
      <c r="W659" s="64"/>
    </row>
    <row r="660" spans="1:23" ht="15.75" customHeight="1">
      <c r="A660" s="137"/>
      <c r="B660" s="64"/>
      <c r="C660" s="140"/>
      <c r="D660" s="64"/>
      <c r="E660" s="64"/>
      <c r="F660" s="64"/>
      <c r="G660" s="64"/>
      <c r="H660" s="64"/>
      <c r="I660" s="64"/>
      <c r="J660" s="64"/>
      <c r="K660" s="64"/>
      <c r="L660" s="64"/>
      <c r="M660" s="64"/>
      <c r="N660" s="64"/>
      <c r="O660" s="64"/>
      <c r="P660" s="64"/>
      <c r="Q660" s="64"/>
      <c r="R660" s="64"/>
      <c r="S660" s="64"/>
      <c r="T660" s="64"/>
      <c r="U660" s="64"/>
      <c r="V660" s="64"/>
      <c r="W660" s="64"/>
    </row>
    <row r="661" spans="1:23" ht="15.75" customHeight="1">
      <c r="A661" s="137"/>
      <c r="B661" s="64"/>
      <c r="C661" s="140"/>
      <c r="D661" s="64"/>
      <c r="E661" s="64"/>
      <c r="F661" s="64"/>
      <c r="G661" s="64"/>
      <c r="H661" s="64"/>
      <c r="I661" s="64"/>
      <c r="J661" s="64"/>
      <c r="K661" s="64"/>
      <c r="L661" s="64"/>
      <c r="M661" s="64"/>
      <c r="N661" s="64"/>
      <c r="O661" s="64"/>
      <c r="P661" s="64"/>
      <c r="Q661" s="64"/>
      <c r="R661" s="64"/>
      <c r="S661" s="64"/>
      <c r="T661" s="64"/>
      <c r="U661" s="64"/>
      <c r="V661" s="64"/>
      <c r="W661" s="64"/>
    </row>
    <row r="662" spans="1:23" ht="15.75" customHeight="1">
      <c r="A662" s="137"/>
      <c r="B662" s="64"/>
      <c r="C662" s="140"/>
      <c r="D662" s="64"/>
      <c r="E662" s="64"/>
      <c r="F662" s="64"/>
      <c r="G662" s="64"/>
      <c r="H662" s="64"/>
      <c r="I662" s="64"/>
      <c r="J662" s="64"/>
      <c r="K662" s="64"/>
      <c r="L662" s="64"/>
      <c r="M662" s="64"/>
      <c r="N662" s="64"/>
      <c r="O662" s="64"/>
      <c r="P662" s="64"/>
      <c r="Q662" s="64"/>
      <c r="R662" s="64"/>
      <c r="S662" s="64"/>
      <c r="T662" s="64"/>
      <c r="U662" s="64"/>
      <c r="V662" s="64"/>
      <c r="W662" s="64"/>
    </row>
    <row r="663" spans="1:23" ht="15.75" customHeight="1">
      <c r="A663" s="137"/>
      <c r="B663" s="64"/>
      <c r="C663" s="140"/>
      <c r="D663" s="64"/>
      <c r="E663" s="64"/>
      <c r="F663" s="64"/>
      <c r="G663" s="64"/>
      <c r="H663" s="64"/>
      <c r="I663" s="64"/>
      <c r="J663" s="64"/>
      <c r="K663" s="64"/>
      <c r="L663" s="64"/>
      <c r="M663" s="64"/>
      <c r="N663" s="64"/>
      <c r="O663" s="64"/>
      <c r="P663" s="64"/>
      <c r="Q663" s="64"/>
      <c r="R663" s="64"/>
      <c r="S663" s="64"/>
      <c r="T663" s="64"/>
      <c r="U663" s="64"/>
      <c r="V663" s="64"/>
      <c r="W663" s="64"/>
    </row>
    <row r="664" spans="1:23" ht="15.75" customHeight="1">
      <c r="A664" s="137"/>
      <c r="B664" s="64"/>
      <c r="C664" s="140"/>
      <c r="D664" s="64"/>
      <c r="E664" s="64"/>
      <c r="F664" s="64"/>
      <c r="G664" s="64"/>
      <c r="H664" s="64"/>
      <c r="I664" s="64"/>
      <c r="J664" s="64"/>
      <c r="K664" s="64"/>
      <c r="L664" s="64"/>
      <c r="M664" s="64"/>
      <c r="N664" s="64"/>
      <c r="O664" s="64"/>
      <c r="P664" s="64"/>
      <c r="Q664" s="64"/>
      <c r="R664" s="64"/>
      <c r="S664" s="64"/>
      <c r="T664" s="64"/>
      <c r="U664" s="64"/>
      <c r="V664" s="64"/>
      <c r="W664" s="64"/>
    </row>
    <row r="665" spans="1:23" ht="15.75" customHeight="1">
      <c r="A665" s="137"/>
      <c r="B665" s="64"/>
      <c r="C665" s="140"/>
      <c r="D665" s="64"/>
      <c r="E665" s="64"/>
      <c r="F665" s="64"/>
      <c r="G665" s="64"/>
      <c r="H665" s="64"/>
      <c r="I665" s="64"/>
      <c r="J665" s="64"/>
      <c r="K665" s="64"/>
      <c r="L665" s="64"/>
      <c r="M665" s="64"/>
      <c r="N665" s="64"/>
      <c r="O665" s="64"/>
      <c r="P665" s="64"/>
      <c r="Q665" s="64"/>
      <c r="R665" s="64"/>
      <c r="S665" s="64"/>
      <c r="T665" s="64"/>
      <c r="U665" s="64"/>
      <c r="V665" s="64"/>
      <c r="W665" s="64"/>
    </row>
    <row r="666" spans="1:23" ht="15.75" customHeight="1">
      <c r="A666" s="137"/>
      <c r="B666" s="64"/>
      <c r="C666" s="140"/>
      <c r="D666" s="64"/>
      <c r="E666" s="64"/>
      <c r="F666" s="64"/>
      <c r="G666" s="64"/>
      <c r="H666" s="64"/>
      <c r="I666" s="64"/>
      <c r="J666" s="64"/>
      <c r="K666" s="64"/>
      <c r="L666" s="64"/>
      <c r="M666" s="64"/>
      <c r="N666" s="64"/>
      <c r="O666" s="64"/>
      <c r="P666" s="64"/>
      <c r="Q666" s="64"/>
      <c r="R666" s="64"/>
      <c r="S666" s="64"/>
      <c r="T666" s="64"/>
      <c r="U666" s="64"/>
      <c r="V666" s="64"/>
      <c r="W666" s="64"/>
    </row>
    <row r="667" spans="1:23" ht="15.75" customHeight="1">
      <c r="A667" s="137"/>
      <c r="B667" s="64"/>
      <c r="C667" s="140"/>
      <c r="D667" s="64"/>
      <c r="E667" s="64"/>
      <c r="F667" s="64"/>
      <c r="G667" s="64"/>
      <c r="H667" s="64"/>
      <c r="I667" s="64"/>
      <c r="J667" s="64"/>
      <c r="K667" s="64"/>
      <c r="L667" s="64"/>
      <c r="M667" s="64"/>
      <c r="N667" s="64"/>
      <c r="O667" s="64"/>
      <c r="P667" s="64"/>
      <c r="Q667" s="64"/>
      <c r="R667" s="64"/>
      <c r="S667" s="64"/>
      <c r="T667" s="64"/>
      <c r="U667" s="64"/>
      <c r="V667" s="64"/>
      <c r="W667" s="64"/>
    </row>
    <row r="668" spans="1:23" ht="15.75" customHeight="1">
      <c r="A668" s="137"/>
      <c r="B668" s="64"/>
      <c r="C668" s="140"/>
      <c r="D668" s="64"/>
      <c r="E668" s="64"/>
      <c r="F668" s="64"/>
      <c r="G668" s="64"/>
      <c r="H668" s="64"/>
      <c r="I668" s="64"/>
      <c r="J668" s="64"/>
      <c r="K668" s="64"/>
      <c r="L668" s="64"/>
      <c r="M668" s="64"/>
      <c r="N668" s="64"/>
      <c r="O668" s="64"/>
      <c r="P668" s="64"/>
      <c r="Q668" s="64"/>
      <c r="R668" s="64"/>
      <c r="S668" s="64"/>
      <c r="T668" s="64"/>
      <c r="U668" s="64"/>
      <c r="V668" s="64"/>
      <c r="W668" s="64"/>
    </row>
    <row r="669" spans="1:23" ht="15.75" customHeight="1">
      <c r="A669" s="137"/>
      <c r="B669" s="64"/>
      <c r="C669" s="140"/>
      <c r="D669" s="64"/>
      <c r="E669" s="64"/>
      <c r="F669" s="64"/>
      <c r="G669" s="64"/>
      <c r="H669" s="64"/>
      <c r="I669" s="64"/>
      <c r="J669" s="64"/>
      <c r="K669" s="64"/>
      <c r="L669" s="64"/>
      <c r="M669" s="64"/>
      <c r="N669" s="64"/>
      <c r="O669" s="64"/>
      <c r="P669" s="64"/>
      <c r="Q669" s="64"/>
      <c r="R669" s="64"/>
      <c r="S669" s="64"/>
      <c r="T669" s="64"/>
      <c r="U669" s="64"/>
      <c r="V669" s="64"/>
      <c r="W669" s="64"/>
    </row>
    <row r="670" spans="1:23" ht="15.75" customHeight="1">
      <c r="A670" s="137"/>
      <c r="B670" s="64"/>
      <c r="C670" s="140"/>
      <c r="D670" s="64"/>
      <c r="E670" s="64"/>
      <c r="F670" s="64"/>
      <c r="G670" s="64"/>
      <c r="H670" s="64"/>
      <c r="I670" s="64"/>
      <c r="J670" s="64"/>
      <c r="K670" s="64"/>
      <c r="L670" s="64"/>
      <c r="M670" s="64"/>
      <c r="N670" s="64"/>
      <c r="O670" s="64"/>
      <c r="P670" s="64"/>
      <c r="Q670" s="64"/>
      <c r="R670" s="64"/>
      <c r="S670" s="64"/>
      <c r="T670" s="64"/>
      <c r="U670" s="64"/>
      <c r="V670" s="64"/>
      <c r="W670" s="64"/>
    </row>
    <row r="671" spans="1:23" ht="15.75" customHeight="1">
      <c r="A671" s="137"/>
      <c r="B671" s="64"/>
      <c r="C671" s="140"/>
      <c r="D671" s="64"/>
      <c r="E671" s="64"/>
      <c r="F671" s="64"/>
      <c r="G671" s="64"/>
      <c r="H671" s="64"/>
      <c r="I671" s="64"/>
      <c r="J671" s="64"/>
      <c r="K671" s="64"/>
      <c r="L671" s="64"/>
      <c r="M671" s="64"/>
      <c r="N671" s="64"/>
      <c r="O671" s="64"/>
      <c r="P671" s="64"/>
      <c r="Q671" s="64"/>
      <c r="R671" s="64"/>
      <c r="S671" s="64"/>
      <c r="T671" s="64"/>
      <c r="U671" s="64"/>
      <c r="V671" s="64"/>
      <c r="W671" s="64"/>
    </row>
    <row r="672" spans="1:23" ht="15.75" customHeight="1">
      <c r="A672" s="137"/>
      <c r="B672" s="64"/>
      <c r="C672" s="140"/>
      <c r="D672" s="64"/>
      <c r="E672" s="64"/>
      <c r="F672" s="64"/>
      <c r="G672" s="64"/>
      <c r="H672" s="64"/>
      <c r="I672" s="64"/>
      <c r="J672" s="64"/>
      <c r="K672" s="64"/>
      <c r="L672" s="64"/>
      <c r="M672" s="64"/>
      <c r="N672" s="64"/>
      <c r="O672" s="64"/>
      <c r="P672" s="64"/>
      <c r="Q672" s="64"/>
      <c r="R672" s="64"/>
      <c r="S672" s="64"/>
      <c r="T672" s="64"/>
      <c r="U672" s="64"/>
      <c r="V672" s="64"/>
      <c r="W672" s="64"/>
    </row>
    <row r="673" spans="1:23" ht="15.75" customHeight="1">
      <c r="A673" s="137"/>
      <c r="B673" s="64"/>
      <c r="C673" s="140"/>
      <c r="D673" s="64"/>
      <c r="E673" s="64"/>
      <c r="F673" s="64"/>
      <c r="G673" s="64"/>
      <c r="H673" s="64"/>
      <c r="I673" s="64"/>
      <c r="J673" s="64"/>
      <c r="K673" s="64"/>
      <c r="L673" s="64"/>
      <c r="M673" s="64"/>
      <c r="N673" s="64"/>
      <c r="O673" s="64"/>
      <c r="P673" s="64"/>
      <c r="Q673" s="64"/>
      <c r="R673" s="64"/>
      <c r="S673" s="64"/>
      <c r="T673" s="64"/>
      <c r="U673" s="64"/>
      <c r="V673" s="64"/>
      <c r="W673" s="64"/>
    </row>
    <row r="674" spans="1:23" ht="15.75" customHeight="1">
      <c r="A674" s="137"/>
      <c r="B674" s="64"/>
      <c r="C674" s="140"/>
      <c r="D674" s="64"/>
      <c r="E674" s="64"/>
      <c r="F674" s="64"/>
      <c r="G674" s="64"/>
      <c r="H674" s="64"/>
      <c r="I674" s="64"/>
      <c r="J674" s="64"/>
      <c r="K674" s="64"/>
      <c r="L674" s="64"/>
      <c r="M674" s="64"/>
      <c r="N674" s="64"/>
      <c r="O674" s="64"/>
      <c r="P674" s="64"/>
      <c r="Q674" s="64"/>
      <c r="R674" s="64"/>
      <c r="S674" s="64"/>
      <c r="T674" s="64"/>
      <c r="U674" s="64"/>
      <c r="V674" s="64"/>
      <c r="W674" s="64"/>
    </row>
    <row r="675" spans="1:23" ht="15.75" customHeight="1">
      <c r="A675" s="137"/>
      <c r="B675" s="64"/>
      <c r="C675" s="140"/>
      <c r="D675" s="64"/>
      <c r="E675" s="64"/>
      <c r="F675" s="64"/>
      <c r="G675" s="64"/>
      <c r="H675" s="64"/>
      <c r="I675" s="64"/>
      <c r="J675" s="64"/>
      <c r="K675" s="64"/>
      <c r="L675" s="64"/>
      <c r="M675" s="64"/>
      <c r="N675" s="64"/>
      <c r="O675" s="64"/>
      <c r="P675" s="64"/>
      <c r="Q675" s="64"/>
      <c r="R675" s="64"/>
      <c r="S675" s="64"/>
      <c r="T675" s="64"/>
      <c r="U675" s="64"/>
      <c r="V675" s="64"/>
      <c r="W675" s="64"/>
    </row>
    <row r="676" spans="1:23" ht="15.75" customHeight="1">
      <c r="A676" s="137"/>
      <c r="B676" s="64"/>
      <c r="C676" s="140"/>
      <c r="D676" s="64"/>
      <c r="E676" s="64"/>
      <c r="F676" s="64"/>
      <c r="G676" s="64"/>
      <c r="H676" s="64"/>
      <c r="I676" s="64"/>
      <c r="J676" s="64"/>
      <c r="K676" s="64"/>
      <c r="L676" s="64"/>
      <c r="M676" s="64"/>
      <c r="N676" s="64"/>
      <c r="O676" s="64"/>
      <c r="P676" s="64"/>
      <c r="Q676" s="64"/>
      <c r="R676" s="64"/>
      <c r="S676" s="64"/>
      <c r="T676" s="64"/>
      <c r="U676" s="64"/>
      <c r="V676" s="64"/>
      <c r="W676" s="64"/>
    </row>
    <row r="677" spans="1:23" ht="15.75" customHeight="1">
      <c r="A677" s="137"/>
      <c r="B677" s="64"/>
      <c r="C677" s="140"/>
      <c r="D677" s="64"/>
      <c r="E677" s="64"/>
      <c r="F677" s="64"/>
      <c r="G677" s="64"/>
      <c r="H677" s="64"/>
      <c r="I677" s="64"/>
      <c r="J677" s="64"/>
      <c r="K677" s="64"/>
      <c r="L677" s="64"/>
      <c r="M677" s="64"/>
      <c r="N677" s="64"/>
      <c r="O677" s="64"/>
      <c r="P677" s="64"/>
      <c r="Q677" s="64"/>
      <c r="R677" s="64"/>
      <c r="S677" s="64"/>
      <c r="T677" s="64"/>
      <c r="U677" s="64"/>
      <c r="V677" s="64"/>
      <c r="W677" s="64"/>
    </row>
    <row r="678" spans="1:23" ht="15.75" customHeight="1">
      <c r="A678" s="137"/>
      <c r="B678" s="64"/>
      <c r="C678" s="140"/>
      <c r="D678" s="64"/>
      <c r="E678" s="64"/>
      <c r="F678" s="64"/>
      <c r="G678" s="64"/>
      <c r="H678" s="64"/>
      <c r="I678" s="64"/>
      <c r="J678" s="64"/>
      <c r="K678" s="64"/>
      <c r="L678" s="64"/>
      <c r="M678" s="64"/>
      <c r="N678" s="64"/>
      <c r="O678" s="64"/>
      <c r="P678" s="64"/>
      <c r="Q678" s="64"/>
      <c r="R678" s="64"/>
      <c r="S678" s="64"/>
      <c r="T678" s="64"/>
      <c r="U678" s="64"/>
      <c r="V678" s="64"/>
      <c r="W678" s="64"/>
    </row>
    <row r="679" spans="1:23" ht="15.75" customHeight="1">
      <c r="A679" s="137"/>
      <c r="B679" s="64"/>
      <c r="C679" s="140"/>
      <c r="D679" s="64"/>
      <c r="E679" s="64"/>
      <c r="F679" s="64"/>
      <c r="G679" s="64"/>
      <c r="H679" s="64"/>
      <c r="I679" s="64"/>
      <c r="J679" s="64"/>
      <c r="K679" s="64"/>
      <c r="L679" s="64"/>
      <c r="M679" s="64"/>
      <c r="N679" s="64"/>
      <c r="O679" s="64"/>
      <c r="P679" s="64"/>
      <c r="Q679" s="64"/>
      <c r="R679" s="64"/>
      <c r="S679" s="64"/>
      <c r="T679" s="64"/>
      <c r="U679" s="64"/>
      <c r="V679" s="64"/>
      <c r="W679" s="64"/>
    </row>
    <row r="680" spans="1:23" ht="15.75" customHeight="1">
      <c r="A680" s="137"/>
      <c r="B680" s="64"/>
      <c r="C680" s="140"/>
      <c r="D680" s="64"/>
      <c r="E680" s="64"/>
      <c r="F680" s="64"/>
      <c r="G680" s="64"/>
      <c r="H680" s="64"/>
      <c r="I680" s="64"/>
      <c r="J680" s="64"/>
      <c r="K680" s="64"/>
      <c r="L680" s="64"/>
      <c r="M680" s="64"/>
      <c r="N680" s="64"/>
      <c r="O680" s="64"/>
      <c r="P680" s="64"/>
      <c r="Q680" s="64"/>
      <c r="R680" s="64"/>
      <c r="S680" s="64"/>
      <c r="T680" s="64"/>
      <c r="U680" s="64"/>
      <c r="V680" s="64"/>
      <c r="W680" s="64"/>
    </row>
    <row r="681" spans="1:23" ht="15.75" customHeight="1">
      <c r="A681" s="137"/>
      <c r="B681" s="64"/>
      <c r="C681" s="140"/>
      <c r="D681" s="64"/>
      <c r="E681" s="64"/>
      <c r="F681" s="64"/>
      <c r="G681" s="64"/>
      <c r="H681" s="64"/>
      <c r="I681" s="64"/>
      <c r="J681" s="64"/>
      <c r="K681" s="64"/>
      <c r="L681" s="64"/>
      <c r="M681" s="64"/>
      <c r="N681" s="64"/>
      <c r="O681" s="64"/>
      <c r="P681" s="64"/>
      <c r="Q681" s="64"/>
      <c r="R681" s="64"/>
      <c r="S681" s="64"/>
      <c r="T681" s="64"/>
      <c r="U681" s="64"/>
      <c r="V681" s="64"/>
      <c r="W681" s="64"/>
    </row>
    <row r="682" spans="1:23" ht="15.75" customHeight="1">
      <c r="A682" s="137"/>
      <c r="B682" s="64"/>
      <c r="C682" s="140"/>
      <c r="D682" s="64"/>
      <c r="E682" s="64"/>
      <c r="F682" s="64"/>
      <c r="G682" s="64"/>
      <c r="H682" s="64"/>
      <c r="I682" s="64"/>
      <c r="J682" s="64"/>
      <c r="K682" s="64"/>
      <c r="L682" s="64"/>
      <c r="M682" s="64"/>
      <c r="N682" s="64"/>
      <c r="O682" s="64"/>
      <c r="P682" s="64"/>
      <c r="Q682" s="64"/>
      <c r="R682" s="64"/>
      <c r="S682" s="64"/>
      <c r="T682" s="64"/>
      <c r="U682" s="64"/>
      <c r="V682" s="64"/>
      <c r="W682" s="64"/>
    </row>
    <row r="683" spans="1:23" ht="15.75" customHeight="1">
      <c r="A683" s="137"/>
      <c r="B683" s="64"/>
      <c r="C683" s="140"/>
      <c r="D683" s="64"/>
      <c r="E683" s="64"/>
      <c r="F683" s="64"/>
      <c r="G683" s="64"/>
      <c r="H683" s="64"/>
      <c r="I683" s="64"/>
      <c r="J683" s="64"/>
      <c r="K683" s="64"/>
      <c r="L683" s="64"/>
      <c r="M683" s="64"/>
      <c r="N683" s="64"/>
      <c r="O683" s="64"/>
      <c r="P683" s="64"/>
      <c r="Q683" s="64"/>
      <c r="R683" s="64"/>
      <c r="S683" s="64"/>
      <c r="T683" s="64"/>
      <c r="U683" s="64"/>
      <c r="V683" s="64"/>
      <c r="W683" s="64"/>
    </row>
    <row r="684" spans="1:23" ht="15.75" customHeight="1">
      <c r="A684" s="137"/>
      <c r="B684" s="64"/>
      <c r="C684" s="140"/>
      <c r="D684" s="64"/>
      <c r="E684" s="64"/>
      <c r="F684" s="64"/>
      <c r="G684" s="64"/>
      <c r="H684" s="64"/>
      <c r="I684" s="64"/>
      <c r="J684" s="64"/>
      <c r="K684" s="64"/>
      <c r="L684" s="64"/>
      <c r="M684" s="64"/>
      <c r="N684" s="64"/>
      <c r="O684" s="64"/>
      <c r="P684" s="64"/>
      <c r="Q684" s="64"/>
      <c r="R684" s="64"/>
      <c r="S684" s="64"/>
      <c r="T684" s="64"/>
      <c r="U684" s="64"/>
      <c r="V684" s="64"/>
      <c r="W684" s="64"/>
    </row>
    <row r="685" spans="1:23" ht="15.75" customHeight="1">
      <c r="A685" s="137"/>
      <c r="B685" s="64"/>
      <c r="C685" s="140"/>
      <c r="D685" s="64"/>
      <c r="E685" s="64"/>
      <c r="F685" s="64"/>
      <c r="G685" s="64"/>
      <c r="H685" s="64"/>
      <c r="I685" s="64"/>
      <c r="J685" s="64"/>
      <c r="K685" s="64"/>
      <c r="L685" s="64"/>
      <c r="M685" s="64"/>
      <c r="N685" s="64"/>
      <c r="O685" s="64"/>
      <c r="P685" s="64"/>
      <c r="Q685" s="64"/>
      <c r="R685" s="64"/>
      <c r="S685" s="64"/>
      <c r="T685" s="64"/>
      <c r="U685" s="64"/>
      <c r="V685" s="64"/>
      <c r="W685" s="64"/>
    </row>
    <row r="686" spans="1:23" ht="15.75" customHeight="1">
      <c r="A686" s="137"/>
      <c r="B686" s="64"/>
      <c r="C686" s="140"/>
      <c r="D686" s="64"/>
      <c r="E686" s="64"/>
      <c r="F686" s="64"/>
      <c r="G686" s="64"/>
      <c r="H686" s="64"/>
      <c r="I686" s="64"/>
      <c r="J686" s="64"/>
      <c r="K686" s="64"/>
      <c r="L686" s="64"/>
      <c r="M686" s="64"/>
      <c r="N686" s="64"/>
      <c r="O686" s="64"/>
      <c r="P686" s="64"/>
      <c r="Q686" s="64"/>
      <c r="R686" s="64"/>
      <c r="S686" s="64"/>
      <c r="T686" s="64"/>
      <c r="U686" s="64"/>
      <c r="V686" s="64"/>
      <c r="W686" s="64"/>
    </row>
    <row r="687" spans="1:23" ht="15.75" customHeight="1">
      <c r="A687" s="137"/>
      <c r="B687" s="64"/>
      <c r="C687" s="140"/>
      <c r="D687" s="64"/>
      <c r="E687" s="64"/>
      <c r="F687" s="64"/>
      <c r="G687" s="64"/>
      <c r="H687" s="64"/>
      <c r="I687" s="64"/>
      <c r="J687" s="64"/>
      <c r="K687" s="64"/>
      <c r="L687" s="64"/>
      <c r="M687" s="64"/>
      <c r="N687" s="64"/>
      <c r="O687" s="64"/>
      <c r="P687" s="64"/>
      <c r="Q687" s="64"/>
      <c r="R687" s="64"/>
      <c r="S687" s="64"/>
      <c r="T687" s="64"/>
      <c r="U687" s="64"/>
      <c r="V687" s="64"/>
      <c r="W687" s="64"/>
    </row>
    <row r="688" spans="1:23" ht="15.75" customHeight="1">
      <c r="A688" s="137"/>
      <c r="B688" s="64"/>
      <c r="C688" s="140"/>
      <c r="D688" s="64"/>
      <c r="E688" s="64"/>
      <c r="F688" s="64"/>
      <c r="G688" s="64"/>
      <c r="H688" s="64"/>
      <c r="I688" s="64"/>
      <c r="J688" s="64"/>
      <c r="K688" s="64"/>
      <c r="L688" s="64"/>
      <c r="M688" s="64"/>
      <c r="N688" s="64"/>
      <c r="O688" s="64"/>
      <c r="P688" s="64"/>
      <c r="Q688" s="64"/>
      <c r="R688" s="64"/>
      <c r="S688" s="64"/>
      <c r="T688" s="64"/>
      <c r="U688" s="64"/>
      <c r="V688" s="64"/>
      <c r="W688" s="64"/>
    </row>
    <row r="689" spans="1:23" ht="15.75" customHeight="1">
      <c r="A689" s="137"/>
      <c r="B689" s="64"/>
      <c r="C689" s="140"/>
      <c r="D689" s="64"/>
      <c r="E689" s="64"/>
      <c r="F689" s="64"/>
      <c r="G689" s="64"/>
      <c r="H689" s="64"/>
      <c r="I689" s="64"/>
      <c r="J689" s="64"/>
      <c r="K689" s="64"/>
      <c r="L689" s="64"/>
      <c r="M689" s="64"/>
      <c r="N689" s="64"/>
      <c r="O689" s="64"/>
      <c r="P689" s="64"/>
      <c r="Q689" s="64"/>
      <c r="R689" s="64"/>
      <c r="S689" s="64"/>
      <c r="T689" s="64"/>
      <c r="U689" s="64"/>
      <c r="V689" s="64"/>
      <c r="W689" s="64"/>
    </row>
    <row r="690" spans="1:23" ht="15.75" customHeight="1">
      <c r="A690" s="137"/>
      <c r="B690" s="64"/>
      <c r="C690" s="140"/>
      <c r="D690" s="64"/>
      <c r="E690" s="64"/>
      <c r="F690" s="64"/>
      <c r="G690" s="64"/>
      <c r="H690" s="64"/>
      <c r="I690" s="64"/>
      <c r="J690" s="64"/>
      <c r="K690" s="64"/>
      <c r="L690" s="64"/>
      <c r="M690" s="64"/>
      <c r="N690" s="64"/>
      <c r="O690" s="64"/>
      <c r="P690" s="64"/>
      <c r="Q690" s="64"/>
      <c r="R690" s="64"/>
      <c r="S690" s="64"/>
      <c r="T690" s="64"/>
      <c r="U690" s="64"/>
      <c r="V690" s="64"/>
      <c r="W690" s="64"/>
    </row>
    <row r="691" spans="1:23" ht="15.75" customHeight="1">
      <c r="A691" s="137"/>
      <c r="B691" s="64"/>
      <c r="C691" s="140"/>
      <c r="D691" s="64"/>
      <c r="E691" s="64"/>
      <c r="F691" s="64"/>
      <c r="G691" s="64"/>
      <c r="H691" s="64"/>
      <c r="I691" s="64"/>
      <c r="J691" s="64"/>
      <c r="K691" s="64"/>
      <c r="L691" s="64"/>
      <c r="M691" s="64"/>
      <c r="N691" s="64"/>
      <c r="O691" s="64"/>
      <c r="P691" s="64"/>
      <c r="Q691" s="64"/>
      <c r="R691" s="64"/>
      <c r="S691" s="64"/>
      <c r="T691" s="64"/>
      <c r="U691" s="64"/>
      <c r="V691" s="64"/>
      <c r="W691" s="64"/>
    </row>
    <row r="692" spans="1:23" ht="15.75" customHeight="1">
      <c r="A692" s="137"/>
      <c r="B692" s="64"/>
      <c r="C692" s="140"/>
      <c r="D692" s="64"/>
      <c r="E692" s="64"/>
      <c r="F692" s="64"/>
      <c r="G692" s="64"/>
      <c r="H692" s="64"/>
      <c r="I692" s="64"/>
      <c r="J692" s="64"/>
      <c r="K692" s="64"/>
      <c r="L692" s="64"/>
      <c r="M692" s="64"/>
      <c r="N692" s="64"/>
      <c r="O692" s="64"/>
      <c r="P692" s="64"/>
      <c r="Q692" s="64"/>
      <c r="R692" s="64"/>
      <c r="S692" s="64"/>
      <c r="T692" s="64"/>
      <c r="U692" s="64"/>
      <c r="V692" s="64"/>
      <c r="W692" s="64"/>
    </row>
    <row r="693" spans="1:23" ht="15.75" customHeight="1">
      <c r="A693" s="137"/>
      <c r="B693" s="64"/>
      <c r="C693" s="140"/>
      <c r="D693" s="64"/>
      <c r="E693" s="64"/>
      <c r="F693" s="64"/>
      <c r="G693" s="64"/>
      <c r="H693" s="64"/>
      <c r="I693" s="64"/>
      <c r="J693" s="64"/>
      <c r="K693" s="64"/>
      <c r="L693" s="64"/>
      <c r="M693" s="64"/>
      <c r="N693" s="64"/>
      <c r="O693" s="64"/>
      <c r="P693" s="64"/>
      <c r="Q693" s="64"/>
      <c r="R693" s="64"/>
      <c r="S693" s="64"/>
      <c r="T693" s="64"/>
      <c r="U693" s="64"/>
      <c r="V693" s="64"/>
      <c r="W693" s="64"/>
    </row>
    <row r="694" spans="1:23" ht="15.75" customHeight="1">
      <c r="A694" s="137"/>
      <c r="B694" s="64"/>
      <c r="C694" s="140"/>
      <c r="D694" s="64"/>
      <c r="E694" s="64"/>
      <c r="F694" s="64"/>
      <c r="G694" s="64"/>
      <c r="H694" s="64"/>
      <c r="I694" s="64"/>
      <c r="J694" s="64"/>
      <c r="K694" s="64"/>
      <c r="L694" s="64"/>
      <c r="M694" s="64"/>
      <c r="N694" s="64"/>
      <c r="O694" s="64"/>
      <c r="P694" s="64"/>
      <c r="Q694" s="64"/>
      <c r="R694" s="64"/>
      <c r="S694" s="64"/>
      <c r="T694" s="64"/>
      <c r="U694" s="64"/>
      <c r="V694" s="64"/>
      <c r="W694" s="64"/>
    </row>
    <row r="695" spans="1:23" ht="15.75" customHeight="1">
      <c r="A695" s="137"/>
      <c r="B695" s="64"/>
      <c r="C695" s="140"/>
      <c r="D695" s="64"/>
      <c r="E695" s="64"/>
      <c r="F695" s="64"/>
      <c r="G695" s="64"/>
      <c r="H695" s="64"/>
      <c r="I695" s="64"/>
      <c r="J695" s="64"/>
      <c r="K695" s="64"/>
      <c r="L695" s="64"/>
      <c r="M695" s="64"/>
      <c r="N695" s="64"/>
      <c r="O695" s="64"/>
      <c r="P695" s="64"/>
      <c r="Q695" s="64"/>
      <c r="R695" s="64"/>
      <c r="S695" s="64"/>
      <c r="T695" s="64"/>
      <c r="U695" s="64"/>
      <c r="V695" s="64"/>
      <c r="W695" s="64"/>
    </row>
    <row r="696" spans="1:23" ht="15.75" customHeight="1">
      <c r="A696" s="137"/>
      <c r="B696" s="64"/>
      <c r="C696" s="140"/>
      <c r="D696" s="64"/>
      <c r="E696" s="64"/>
      <c r="F696" s="64"/>
      <c r="G696" s="64"/>
      <c r="H696" s="64"/>
      <c r="I696" s="64"/>
      <c r="J696" s="64"/>
      <c r="K696" s="64"/>
      <c r="L696" s="64"/>
      <c r="M696" s="64"/>
      <c r="N696" s="64"/>
      <c r="O696" s="64"/>
      <c r="P696" s="64"/>
      <c r="Q696" s="64"/>
      <c r="R696" s="64"/>
      <c r="S696" s="64"/>
      <c r="T696" s="64"/>
      <c r="U696" s="64"/>
      <c r="V696" s="64"/>
      <c r="W696" s="64"/>
    </row>
    <row r="697" spans="1:23" ht="15.75" customHeight="1">
      <c r="A697" s="137"/>
      <c r="B697" s="64"/>
      <c r="C697" s="140"/>
      <c r="D697" s="64"/>
      <c r="E697" s="64"/>
      <c r="F697" s="64"/>
      <c r="G697" s="64"/>
      <c r="H697" s="64"/>
      <c r="I697" s="64"/>
      <c r="J697" s="64"/>
      <c r="K697" s="64"/>
      <c r="L697" s="64"/>
      <c r="M697" s="64"/>
      <c r="N697" s="64"/>
      <c r="O697" s="64"/>
      <c r="P697" s="64"/>
      <c r="Q697" s="64"/>
      <c r="R697" s="64"/>
      <c r="S697" s="64"/>
      <c r="T697" s="64"/>
      <c r="U697" s="64"/>
      <c r="V697" s="64"/>
      <c r="W697" s="64"/>
    </row>
    <row r="698" spans="1:23" ht="15.75" customHeight="1">
      <c r="A698" s="137"/>
      <c r="B698" s="64"/>
      <c r="C698" s="140"/>
      <c r="D698" s="64"/>
      <c r="E698" s="64"/>
      <c r="F698" s="64"/>
      <c r="G698" s="64"/>
      <c r="H698" s="64"/>
      <c r="I698" s="64"/>
      <c r="J698" s="64"/>
      <c r="K698" s="64"/>
      <c r="L698" s="64"/>
      <c r="M698" s="64"/>
      <c r="N698" s="64"/>
      <c r="O698" s="64"/>
      <c r="P698" s="64"/>
      <c r="Q698" s="64"/>
      <c r="R698" s="64"/>
      <c r="S698" s="64"/>
      <c r="T698" s="64"/>
      <c r="U698" s="64"/>
      <c r="V698" s="64"/>
      <c r="W698" s="64"/>
    </row>
    <row r="699" spans="1:23" ht="15.75" customHeight="1">
      <c r="A699" s="137"/>
      <c r="B699" s="64"/>
      <c r="C699" s="140"/>
      <c r="D699" s="64"/>
      <c r="E699" s="64"/>
      <c r="F699" s="64"/>
      <c r="G699" s="64"/>
      <c r="H699" s="64"/>
      <c r="I699" s="64"/>
      <c r="J699" s="64"/>
      <c r="K699" s="64"/>
      <c r="L699" s="64"/>
      <c r="M699" s="64"/>
      <c r="N699" s="64"/>
      <c r="O699" s="64"/>
      <c r="P699" s="64"/>
      <c r="Q699" s="64"/>
      <c r="R699" s="64"/>
      <c r="S699" s="64"/>
      <c r="T699" s="64"/>
      <c r="U699" s="64"/>
      <c r="V699" s="64"/>
      <c r="W699" s="64"/>
    </row>
    <row r="700" spans="1:23" ht="15.75" customHeight="1">
      <c r="A700" s="137"/>
      <c r="B700" s="64"/>
      <c r="C700" s="140"/>
      <c r="D700" s="64"/>
      <c r="E700" s="64"/>
      <c r="F700" s="64"/>
      <c r="G700" s="64"/>
      <c r="H700" s="64"/>
      <c r="I700" s="64"/>
      <c r="J700" s="64"/>
      <c r="K700" s="64"/>
      <c r="L700" s="64"/>
      <c r="M700" s="64"/>
      <c r="N700" s="64"/>
      <c r="O700" s="64"/>
      <c r="P700" s="64"/>
      <c r="Q700" s="64"/>
      <c r="R700" s="64"/>
      <c r="S700" s="64"/>
      <c r="T700" s="64"/>
      <c r="U700" s="64"/>
      <c r="V700" s="64"/>
      <c r="W700" s="64"/>
    </row>
    <row r="701" spans="1:23" ht="15.75" customHeight="1">
      <c r="A701" s="137"/>
      <c r="B701" s="64"/>
      <c r="C701" s="140"/>
      <c r="D701" s="64"/>
      <c r="E701" s="64"/>
      <c r="F701" s="64"/>
      <c r="G701" s="64"/>
      <c r="H701" s="64"/>
      <c r="I701" s="64"/>
      <c r="J701" s="64"/>
      <c r="K701" s="64"/>
      <c r="L701" s="64"/>
      <c r="M701" s="64"/>
      <c r="N701" s="64"/>
      <c r="O701" s="64"/>
      <c r="P701" s="64"/>
      <c r="Q701" s="64"/>
      <c r="R701" s="64"/>
      <c r="S701" s="64"/>
      <c r="T701" s="64"/>
      <c r="U701" s="64"/>
      <c r="V701" s="64"/>
      <c r="W701" s="64"/>
    </row>
    <row r="702" spans="1:23" ht="15.75" customHeight="1">
      <c r="A702" s="137"/>
      <c r="B702" s="64"/>
      <c r="C702" s="140"/>
      <c r="D702" s="64"/>
      <c r="E702" s="64"/>
      <c r="F702" s="64"/>
      <c r="G702" s="64"/>
      <c r="H702" s="64"/>
      <c r="I702" s="64"/>
      <c r="J702" s="64"/>
      <c r="K702" s="64"/>
      <c r="L702" s="64"/>
      <c r="M702" s="64"/>
      <c r="N702" s="64"/>
      <c r="O702" s="64"/>
      <c r="P702" s="64"/>
      <c r="Q702" s="64"/>
      <c r="R702" s="64"/>
      <c r="S702" s="64"/>
      <c r="T702" s="64"/>
      <c r="U702" s="64"/>
      <c r="V702" s="64"/>
      <c r="W702" s="64"/>
    </row>
    <row r="703" spans="1:23" ht="15.75" customHeight="1">
      <c r="A703" s="137"/>
      <c r="B703" s="64"/>
      <c r="C703" s="140"/>
      <c r="D703" s="64"/>
      <c r="E703" s="64"/>
      <c r="F703" s="64"/>
      <c r="G703" s="64"/>
      <c r="H703" s="64"/>
      <c r="I703" s="64"/>
      <c r="J703" s="64"/>
      <c r="K703" s="64"/>
      <c r="L703" s="64"/>
      <c r="M703" s="64"/>
      <c r="N703" s="64"/>
      <c r="O703" s="64"/>
      <c r="P703" s="64"/>
      <c r="Q703" s="64"/>
      <c r="R703" s="64"/>
      <c r="S703" s="64"/>
      <c r="T703" s="64"/>
      <c r="U703" s="64"/>
      <c r="V703" s="64"/>
      <c r="W703" s="64"/>
    </row>
    <row r="704" spans="1:23" ht="15.75" customHeight="1">
      <c r="A704" s="137"/>
      <c r="B704" s="64"/>
      <c r="C704" s="140"/>
      <c r="D704" s="64"/>
      <c r="E704" s="64"/>
      <c r="F704" s="64"/>
      <c r="G704" s="64"/>
      <c r="H704" s="64"/>
      <c r="I704" s="64"/>
      <c r="J704" s="64"/>
      <c r="K704" s="64"/>
      <c r="L704" s="64"/>
      <c r="M704" s="64"/>
      <c r="N704" s="64"/>
      <c r="O704" s="64"/>
      <c r="P704" s="64"/>
      <c r="Q704" s="64"/>
      <c r="R704" s="64"/>
      <c r="S704" s="64"/>
      <c r="T704" s="64"/>
      <c r="U704" s="64"/>
      <c r="V704" s="64"/>
      <c r="W704" s="64"/>
    </row>
    <row r="705" spans="1:23" ht="15.75" customHeight="1">
      <c r="A705" s="137"/>
      <c r="B705" s="64"/>
      <c r="C705" s="140"/>
      <c r="D705" s="64"/>
      <c r="E705" s="64"/>
      <c r="F705" s="64"/>
      <c r="G705" s="64"/>
      <c r="H705" s="64"/>
      <c r="I705" s="64"/>
      <c r="J705" s="64"/>
      <c r="K705" s="64"/>
      <c r="L705" s="64"/>
      <c r="M705" s="64"/>
      <c r="N705" s="64"/>
      <c r="O705" s="64"/>
      <c r="P705" s="64"/>
      <c r="Q705" s="64"/>
      <c r="R705" s="64"/>
      <c r="S705" s="64"/>
      <c r="T705" s="64"/>
      <c r="U705" s="64"/>
      <c r="V705" s="64"/>
      <c r="W705" s="64"/>
    </row>
    <row r="706" spans="1:23" ht="15.75" customHeight="1">
      <c r="A706" s="137"/>
      <c r="B706" s="64"/>
      <c r="C706" s="140"/>
      <c r="D706" s="64"/>
      <c r="E706" s="64"/>
      <c r="F706" s="64"/>
      <c r="G706" s="64"/>
      <c r="H706" s="64"/>
      <c r="I706" s="64"/>
      <c r="J706" s="64"/>
      <c r="K706" s="64"/>
      <c r="L706" s="64"/>
      <c r="M706" s="64"/>
      <c r="N706" s="64"/>
      <c r="O706" s="64"/>
      <c r="P706" s="64"/>
      <c r="Q706" s="64"/>
      <c r="R706" s="64"/>
      <c r="S706" s="64"/>
      <c r="T706" s="64"/>
      <c r="U706" s="64"/>
      <c r="V706" s="64"/>
      <c r="W706" s="64"/>
    </row>
    <row r="707" spans="1:23" ht="15.75" customHeight="1">
      <c r="A707" s="137"/>
      <c r="B707" s="64"/>
      <c r="C707" s="140"/>
      <c r="D707" s="64"/>
      <c r="E707" s="64"/>
      <c r="F707" s="64"/>
      <c r="G707" s="64"/>
      <c r="H707" s="64"/>
      <c r="I707" s="64"/>
      <c r="J707" s="64"/>
      <c r="K707" s="64"/>
      <c r="L707" s="64"/>
      <c r="M707" s="64"/>
      <c r="N707" s="64"/>
      <c r="O707" s="64"/>
      <c r="P707" s="64"/>
      <c r="Q707" s="64"/>
      <c r="R707" s="64"/>
      <c r="S707" s="64"/>
      <c r="T707" s="64"/>
      <c r="U707" s="64"/>
      <c r="V707" s="64"/>
      <c r="W707" s="64"/>
    </row>
    <row r="708" spans="1:23" ht="15.75" customHeight="1">
      <c r="A708" s="137"/>
      <c r="B708" s="64"/>
      <c r="C708" s="140"/>
      <c r="D708" s="64"/>
      <c r="E708" s="64"/>
      <c r="F708" s="64"/>
      <c r="G708" s="64"/>
      <c r="H708" s="64"/>
      <c r="I708" s="64"/>
      <c r="J708" s="64"/>
      <c r="K708" s="64"/>
      <c r="L708" s="64"/>
      <c r="M708" s="64"/>
      <c r="N708" s="64"/>
      <c r="O708" s="64"/>
      <c r="P708" s="64"/>
      <c r="Q708" s="64"/>
      <c r="R708" s="64"/>
      <c r="S708" s="64"/>
      <c r="T708" s="64"/>
      <c r="U708" s="64"/>
      <c r="V708" s="64"/>
      <c r="W708" s="64"/>
    </row>
    <row r="709" spans="1:23" ht="15.75" customHeight="1">
      <c r="A709" s="137"/>
      <c r="B709" s="64"/>
      <c r="C709" s="140"/>
      <c r="D709" s="64"/>
      <c r="E709" s="64"/>
      <c r="F709" s="64"/>
      <c r="G709" s="64"/>
      <c r="H709" s="64"/>
      <c r="I709" s="64"/>
      <c r="J709" s="64"/>
      <c r="K709" s="64"/>
      <c r="L709" s="64"/>
      <c r="M709" s="64"/>
      <c r="N709" s="64"/>
      <c r="O709" s="64"/>
      <c r="P709" s="64"/>
      <c r="Q709" s="64"/>
      <c r="R709" s="64"/>
      <c r="S709" s="64"/>
      <c r="T709" s="64"/>
      <c r="U709" s="64"/>
      <c r="V709" s="64"/>
      <c r="W709" s="64"/>
    </row>
    <row r="710" spans="1:23" ht="15.75" customHeight="1">
      <c r="A710" s="137"/>
      <c r="B710" s="64"/>
      <c r="C710" s="140"/>
      <c r="D710" s="64"/>
      <c r="E710" s="64"/>
      <c r="F710" s="64"/>
      <c r="G710" s="64"/>
      <c r="H710" s="64"/>
      <c r="I710" s="64"/>
      <c r="J710" s="64"/>
      <c r="K710" s="64"/>
      <c r="L710" s="64"/>
      <c r="M710" s="64"/>
      <c r="N710" s="64"/>
      <c r="O710" s="64"/>
      <c r="P710" s="64"/>
      <c r="Q710" s="64"/>
      <c r="R710" s="64"/>
      <c r="S710" s="64"/>
      <c r="T710" s="64"/>
      <c r="U710" s="64"/>
      <c r="V710" s="64"/>
      <c r="W710" s="64"/>
    </row>
    <row r="711" spans="1:23" ht="15.75" customHeight="1">
      <c r="A711" s="137"/>
      <c r="B711" s="64"/>
      <c r="C711" s="140"/>
      <c r="D711" s="64"/>
      <c r="E711" s="64"/>
      <c r="F711" s="64"/>
      <c r="G711" s="64"/>
      <c r="H711" s="64"/>
      <c r="I711" s="64"/>
      <c r="J711" s="64"/>
      <c r="K711" s="64"/>
      <c r="L711" s="64"/>
      <c r="M711" s="64"/>
      <c r="N711" s="64"/>
      <c r="O711" s="64"/>
      <c r="P711" s="64"/>
      <c r="Q711" s="64"/>
      <c r="R711" s="64"/>
      <c r="S711" s="64"/>
      <c r="T711" s="64"/>
      <c r="U711" s="64"/>
      <c r="V711" s="64"/>
      <c r="W711" s="64"/>
    </row>
    <row r="712" spans="1:23" ht="15.75" customHeight="1">
      <c r="A712" s="137"/>
      <c r="B712" s="64"/>
      <c r="C712" s="140"/>
      <c r="D712" s="64"/>
      <c r="E712" s="64"/>
      <c r="F712" s="64"/>
      <c r="G712" s="64"/>
      <c r="H712" s="64"/>
      <c r="I712" s="64"/>
      <c r="J712" s="64"/>
      <c r="K712" s="64"/>
      <c r="L712" s="64"/>
      <c r="M712" s="64"/>
      <c r="N712" s="64"/>
      <c r="O712" s="64"/>
      <c r="P712" s="64"/>
      <c r="Q712" s="64"/>
      <c r="R712" s="64"/>
      <c r="S712" s="64"/>
      <c r="T712" s="64"/>
      <c r="U712" s="64"/>
      <c r="V712" s="64"/>
      <c r="W712" s="64"/>
    </row>
    <row r="713" spans="1:23" ht="15.75" customHeight="1">
      <c r="A713" s="137"/>
      <c r="B713" s="64"/>
      <c r="C713" s="140"/>
      <c r="D713" s="64"/>
      <c r="E713" s="64"/>
      <c r="F713" s="64"/>
      <c r="G713" s="64"/>
      <c r="H713" s="64"/>
      <c r="I713" s="64"/>
      <c r="J713" s="64"/>
      <c r="K713" s="64"/>
      <c r="L713" s="64"/>
      <c r="M713" s="64"/>
      <c r="N713" s="64"/>
      <c r="O713" s="64"/>
      <c r="P713" s="64"/>
      <c r="Q713" s="64"/>
      <c r="R713" s="64"/>
      <c r="S713" s="64"/>
      <c r="T713" s="64"/>
      <c r="U713" s="64"/>
      <c r="V713" s="64"/>
      <c r="W713" s="64"/>
    </row>
    <row r="714" spans="1:23" ht="15.75" customHeight="1">
      <c r="A714" s="137"/>
      <c r="B714" s="64"/>
      <c r="C714" s="140"/>
      <c r="D714" s="64"/>
      <c r="E714" s="64"/>
      <c r="F714" s="64"/>
      <c r="G714" s="64"/>
      <c r="H714" s="64"/>
      <c r="I714" s="64"/>
      <c r="J714" s="64"/>
      <c r="K714" s="64"/>
      <c r="L714" s="64"/>
      <c r="M714" s="64"/>
      <c r="N714" s="64"/>
      <c r="O714" s="64"/>
      <c r="P714" s="64"/>
      <c r="Q714" s="64"/>
      <c r="R714" s="64"/>
      <c r="S714" s="64"/>
      <c r="T714" s="64"/>
      <c r="U714" s="64"/>
      <c r="V714" s="64"/>
      <c r="W714" s="64"/>
    </row>
    <row r="715" spans="1:23" ht="15.75" customHeight="1">
      <c r="A715" s="137"/>
      <c r="B715" s="64"/>
      <c r="C715" s="140"/>
      <c r="D715" s="64"/>
      <c r="E715" s="64"/>
      <c r="F715" s="64"/>
      <c r="G715" s="64"/>
      <c r="H715" s="64"/>
      <c r="I715" s="64"/>
      <c r="J715" s="64"/>
      <c r="K715" s="64"/>
      <c r="L715" s="64"/>
      <c r="M715" s="64"/>
      <c r="N715" s="64"/>
      <c r="O715" s="64"/>
      <c r="P715" s="64"/>
      <c r="Q715" s="64"/>
      <c r="R715" s="64"/>
      <c r="S715" s="64"/>
      <c r="T715" s="64"/>
      <c r="U715" s="64"/>
      <c r="V715" s="64"/>
      <c r="W715" s="64"/>
    </row>
    <row r="716" spans="1:23" ht="15.75" customHeight="1">
      <c r="A716" s="137"/>
      <c r="B716" s="64"/>
      <c r="C716" s="140"/>
      <c r="D716" s="64"/>
      <c r="E716" s="64"/>
      <c r="F716" s="64"/>
      <c r="G716" s="64"/>
      <c r="H716" s="64"/>
      <c r="I716" s="64"/>
      <c r="J716" s="64"/>
      <c r="K716" s="64"/>
      <c r="L716" s="64"/>
      <c r="M716" s="64"/>
      <c r="N716" s="64"/>
      <c r="O716" s="64"/>
      <c r="P716" s="64"/>
      <c r="Q716" s="64"/>
      <c r="R716" s="64"/>
      <c r="S716" s="64"/>
      <c r="T716" s="64"/>
      <c r="U716" s="64"/>
      <c r="V716" s="64"/>
      <c r="W716" s="64"/>
    </row>
    <row r="717" spans="1:23" ht="15.75" customHeight="1">
      <c r="A717" s="137"/>
      <c r="B717" s="64"/>
      <c r="C717" s="140"/>
      <c r="D717" s="64"/>
      <c r="E717" s="64"/>
      <c r="F717" s="64"/>
      <c r="G717" s="64"/>
      <c r="H717" s="64"/>
      <c r="I717" s="64"/>
      <c r="J717" s="64"/>
      <c r="K717" s="64"/>
      <c r="L717" s="64"/>
      <c r="M717" s="64"/>
      <c r="N717" s="64"/>
      <c r="O717" s="64"/>
      <c r="P717" s="64"/>
      <c r="Q717" s="64"/>
      <c r="R717" s="64"/>
      <c r="S717" s="64"/>
      <c r="T717" s="64"/>
      <c r="U717" s="64"/>
      <c r="V717" s="64"/>
      <c r="W717" s="64"/>
    </row>
    <row r="718" spans="1:23" ht="15.75" customHeight="1">
      <c r="A718" s="137"/>
      <c r="B718" s="64"/>
      <c r="C718" s="140"/>
      <c r="D718" s="64"/>
      <c r="E718" s="64"/>
      <c r="F718" s="64"/>
      <c r="G718" s="64"/>
      <c r="H718" s="64"/>
      <c r="I718" s="64"/>
      <c r="J718" s="64"/>
      <c r="K718" s="64"/>
      <c r="L718" s="64"/>
      <c r="M718" s="64"/>
      <c r="N718" s="64"/>
      <c r="O718" s="64"/>
      <c r="P718" s="64"/>
      <c r="Q718" s="64"/>
      <c r="R718" s="64"/>
      <c r="S718" s="64"/>
      <c r="T718" s="64"/>
      <c r="U718" s="64"/>
      <c r="V718" s="64"/>
      <c r="W718" s="64"/>
    </row>
    <row r="719" spans="1:23" ht="15.75" customHeight="1">
      <c r="A719" s="137"/>
      <c r="B719" s="64"/>
      <c r="C719" s="140"/>
      <c r="D719" s="64"/>
      <c r="E719" s="64"/>
      <c r="F719" s="64"/>
      <c r="G719" s="64"/>
      <c r="H719" s="64"/>
      <c r="I719" s="64"/>
      <c r="J719" s="64"/>
      <c r="K719" s="64"/>
      <c r="L719" s="64"/>
      <c r="M719" s="64"/>
      <c r="N719" s="64"/>
      <c r="O719" s="64"/>
      <c r="P719" s="64"/>
      <c r="Q719" s="64"/>
      <c r="R719" s="64"/>
      <c r="S719" s="64"/>
      <c r="T719" s="64"/>
      <c r="U719" s="64"/>
      <c r="V719" s="64"/>
      <c r="W719" s="64"/>
    </row>
    <row r="720" spans="1:23" ht="15.75" customHeight="1">
      <c r="A720" s="137"/>
      <c r="B720" s="64"/>
      <c r="C720" s="140"/>
      <c r="D720" s="64"/>
      <c r="E720" s="64"/>
      <c r="F720" s="64"/>
      <c r="G720" s="64"/>
      <c r="H720" s="64"/>
      <c r="I720" s="64"/>
      <c r="J720" s="64"/>
      <c r="K720" s="64"/>
      <c r="L720" s="64"/>
      <c r="M720" s="64"/>
      <c r="N720" s="64"/>
      <c r="O720" s="64"/>
      <c r="P720" s="64"/>
      <c r="Q720" s="64"/>
      <c r="R720" s="64"/>
      <c r="S720" s="64"/>
      <c r="T720" s="64"/>
      <c r="U720" s="64"/>
      <c r="V720" s="64"/>
      <c r="W720" s="64"/>
    </row>
    <row r="721" spans="1:23" ht="15.75" customHeight="1">
      <c r="A721" s="137"/>
      <c r="B721" s="64"/>
      <c r="C721" s="140"/>
      <c r="D721" s="64"/>
      <c r="E721" s="64"/>
      <c r="F721" s="64"/>
      <c r="G721" s="64"/>
      <c r="H721" s="64"/>
      <c r="I721" s="64"/>
      <c r="J721" s="64"/>
      <c r="K721" s="64"/>
      <c r="L721" s="64"/>
      <c r="M721" s="64"/>
      <c r="N721" s="64"/>
      <c r="O721" s="64"/>
      <c r="P721" s="64"/>
      <c r="Q721" s="64"/>
      <c r="R721" s="64"/>
      <c r="S721" s="64"/>
      <c r="T721" s="64"/>
      <c r="U721" s="64"/>
      <c r="V721" s="64"/>
      <c r="W721" s="64"/>
    </row>
    <row r="722" spans="1:23" ht="15.75" customHeight="1">
      <c r="A722" s="137"/>
      <c r="B722" s="64"/>
      <c r="C722" s="140"/>
      <c r="D722" s="64"/>
      <c r="E722" s="64"/>
      <c r="F722" s="64"/>
      <c r="G722" s="64"/>
      <c r="H722" s="64"/>
      <c r="I722" s="64"/>
      <c r="J722" s="64"/>
      <c r="K722" s="64"/>
      <c r="L722" s="64"/>
      <c r="M722" s="64"/>
      <c r="N722" s="64"/>
      <c r="O722" s="64"/>
      <c r="P722" s="64"/>
      <c r="Q722" s="64"/>
      <c r="R722" s="64"/>
      <c r="S722" s="64"/>
      <c r="T722" s="64"/>
      <c r="U722" s="64"/>
      <c r="V722" s="64"/>
      <c r="W722" s="64"/>
    </row>
    <row r="723" spans="1:23" ht="15.75" customHeight="1">
      <c r="A723" s="137"/>
      <c r="B723" s="64"/>
      <c r="C723" s="140"/>
      <c r="D723" s="64"/>
      <c r="E723" s="64"/>
      <c r="F723" s="64"/>
      <c r="G723" s="64"/>
      <c r="H723" s="64"/>
      <c r="I723" s="64"/>
      <c r="J723" s="64"/>
      <c r="K723" s="64"/>
      <c r="L723" s="64"/>
      <c r="M723" s="64"/>
      <c r="N723" s="64"/>
      <c r="O723" s="64"/>
      <c r="P723" s="64"/>
      <c r="Q723" s="64"/>
      <c r="R723" s="64"/>
      <c r="S723" s="64"/>
      <c r="T723" s="64"/>
      <c r="U723" s="64"/>
      <c r="V723" s="64"/>
      <c r="W723" s="64"/>
    </row>
    <row r="724" spans="1:23" ht="15.75" customHeight="1">
      <c r="A724" s="137"/>
      <c r="B724" s="64"/>
      <c r="C724" s="140"/>
      <c r="D724" s="64"/>
      <c r="E724" s="64"/>
      <c r="F724" s="64"/>
      <c r="G724" s="64"/>
      <c r="H724" s="64"/>
      <c r="I724" s="64"/>
      <c r="J724" s="64"/>
      <c r="K724" s="64"/>
      <c r="L724" s="64"/>
      <c r="M724" s="64"/>
      <c r="N724" s="64"/>
      <c r="O724" s="64"/>
      <c r="P724" s="64"/>
      <c r="Q724" s="64"/>
      <c r="R724" s="64"/>
      <c r="S724" s="64"/>
      <c r="T724" s="64"/>
      <c r="U724" s="64"/>
      <c r="V724" s="64"/>
      <c r="W724" s="64"/>
    </row>
    <row r="725" spans="1:23" ht="15.75" customHeight="1">
      <c r="A725" s="137"/>
      <c r="B725" s="64"/>
      <c r="C725" s="140"/>
      <c r="D725" s="64"/>
      <c r="E725" s="64"/>
      <c r="F725" s="64"/>
      <c r="G725" s="64"/>
      <c r="H725" s="64"/>
      <c r="I725" s="64"/>
      <c r="J725" s="64"/>
      <c r="K725" s="64"/>
      <c r="L725" s="64"/>
      <c r="M725" s="64"/>
      <c r="N725" s="64"/>
      <c r="O725" s="64"/>
      <c r="P725" s="64"/>
      <c r="Q725" s="64"/>
      <c r="R725" s="64"/>
      <c r="S725" s="64"/>
      <c r="T725" s="64"/>
      <c r="U725" s="64"/>
      <c r="V725" s="64"/>
      <c r="W725" s="64"/>
    </row>
    <row r="726" spans="1:23" ht="15.75" customHeight="1">
      <c r="A726" s="137"/>
      <c r="B726" s="64"/>
      <c r="C726" s="140"/>
      <c r="D726" s="64"/>
      <c r="E726" s="64"/>
      <c r="F726" s="64"/>
      <c r="G726" s="64"/>
      <c r="H726" s="64"/>
      <c r="I726" s="64"/>
      <c r="J726" s="64"/>
      <c r="K726" s="64"/>
      <c r="L726" s="64"/>
      <c r="M726" s="64"/>
      <c r="N726" s="64"/>
      <c r="O726" s="64"/>
      <c r="P726" s="64"/>
      <c r="Q726" s="64"/>
      <c r="R726" s="64"/>
      <c r="S726" s="64"/>
      <c r="T726" s="64"/>
      <c r="U726" s="64"/>
      <c r="V726" s="64"/>
      <c r="W726" s="64"/>
    </row>
    <row r="727" spans="1:23" ht="15.75" customHeight="1">
      <c r="A727" s="137"/>
      <c r="B727" s="64"/>
      <c r="C727" s="140"/>
      <c r="D727" s="64"/>
      <c r="E727" s="64"/>
      <c r="F727" s="64"/>
      <c r="G727" s="64"/>
      <c r="H727" s="64"/>
      <c r="I727" s="64"/>
      <c r="J727" s="64"/>
      <c r="K727" s="64"/>
      <c r="L727" s="64"/>
      <c r="M727" s="64"/>
      <c r="N727" s="64"/>
      <c r="O727" s="64"/>
      <c r="P727" s="64"/>
      <c r="Q727" s="64"/>
      <c r="R727" s="64"/>
      <c r="S727" s="64"/>
      <c r="T727" s="64"/>
      <c r="U727" s="64"/>
      <c r="V727" s="64"/>
      <c r="W727" s="64"/>
    </row>
    <row r="728" spans="1:23" ht="15.75" customHeight="1">
      <c r="A728" s="137"/>
      <c r="B728" s="64"/>
      <c r="C728" s="140"/>
      <c r="D728" s="64"/>
      <c r="E728" s="64"/>
      <c r="F728" s="64"/>
      <c r="G728" s="64"/>
      <c r="H728" s="64"/>
      <c r="I728" s="64"/>
      <c r="J728" s="64"/>
      <c r="K728" s="64"/>
      <c r="L728" s="64"/>
      <c r="M728" s="64"/>
      <c r="N728" s="64"/>
      <c r="O728" s="64"/>
      <c r="P728" s="64"/>
      <c r="Q728" s="64"/>
      <c r="R728" s="64"/>
      <c r="S728" s="64"/>
      <c r="T728" s="64"/>
      <c r="U728" s="64"/>
      <c r="V728" s="64"/>
      <c r="W728" s="64"/>
    </row>
    <row r="729" spans="1:23" ht="15.75" customHeight="1">
      <c r="A729" s="137"/>
      <c r="B729" s="64"/>
      <c r="C729" s="140"/>
      <c r="D729" s="64"/>
      <c r="E729" s="64"/>
      <c r="F729" s="64"/>
      <c r="G729" s="64"/>
      <c r="H729" s="64"/>
      <c r="I729" s="64"/>
      <c r="J729" s="64"/>
      <c r="K729" s="64"/>
      <c r="L729" s="64"/>
      <c r="M729" s="64"/>
      <c r="N729" s="64"/>
      <c r="O729" s="64"/>
      <c r="P729" s="64"/>
      <c r="Q729" s="64"/>
      <c r="R729" s="64"/>
      <c r="S729" s="64"/>
      <c r="T729" s="64"/>
      <c r="U729" s="64"/>
      <c r="V729" s="64"/>
      <c r="W729" s="64"/>
    </row>
    <row r="730" spans="1:23" ht="15.75" customHeight="1">
      <c r="A730" s="137"/>
      <c r="B730" s="64"/>
      <c r="C730" s="140"/>
      <c r="D730" s="64"/>
      <c r="E730" s="64"/>
      <c r="F730" s="64"/>
      <c r="G730" s="64"/>
      <c r="H730" s="64"/>
      <c r="I730" s="64"/>
      <c r="J730" s="64"/>
      <c r="K730" s="64"/>
      <c r="L730" s="64"/>
      <c r="M730" s="64"/>
      <c r="N730" s="64"/>
      <c r="O730" s="64"/>
      <c r="P730" s="64"/>
      <c r="Q730" s="64"/>
      <c r="R730" s="64"/>
      <c r="S730" s="64"/>
      <c r="T730" s="64"/>
      <c r="U730" s="64"/>
      <c r="V730" s="64"/>
      <c r="W730" s="64"/>
    </row>
    <row r="731" spans="1:23" ht="15.75" customHeight="1">
      <c r="A731" s="137"/>
      <c r="B731" s="64"/>
      <c r="C731" s="140"/>
      <c r="D731" s="64"/>
      <c r="E731" s="64"/>
      <c r="F731" s="64"/>
      <c r="G731" s="64"/>
      <c r="H731" s="64"/>
      <c r="I731" s="64"/>
      <c r="J731" s="64"/>
      <c r="K731" s="64"/>
      <c r="L731" s="64"/>
      <c r="M731" s="64"/>
      <c r="N731" s="64"/>
      <c r="O731" s="64"/>
      <c r="P731" s="64"/>
      <c r="Q731" s="64"/>
      <c r="R731" s="64"/>
      <c r="S731" s="64"/>
      <c r="T731" s="64"/>
      <c r="U731" s="64"/>
      <c r="V731" s="64"/>
      <c r="W731" s="64"/>
    </row>
    <row r="732" spans="1:23" ht="15.75" customHeight="1">
      <c r="A732" s="137"/>
      <c r="B732" s="64"/>
      <c r="C732" s="140"/>
      <c r="D732" s="64"/>
      <c r="E732" s="64"/>
      <c r="F732" s="64"/>
      <c r="G732" s="64"/>
      <c r="H732" s="64"/>
      <c r="I732" s="64"/>
      <c r="J732" s="64"/>
      <c r="K732" s="64"/>
      <c r="L732" s="64"/>
      <c r="M732" s="64"/>
      <c r="N732" s="64"/>
      <c r="O732" s="64"/>
      <c r="P732" s="64"/>
      <c r="Q732" s="64"/>
      <c r="R732" s="64"/>
      <c r="S732" s="64"/>
      <c r="T732" s="64"/>
      <c r="U732" s="64"/>
      <c r="V732" s="64"/>
      <c r="W732" s="64"/>
    </row>
    <row r="733" spans="1:23" ht="15.75" customHeight="1">
      <c r="A733" s="137"/>
      <c r="B733" s="64"/>
      <c r="C733" s="140"/>
      <c r="D733" s="64"/>
      <c r="E733" s="64"/>
      <c r="F733" s="64"/>
      <c r="G733" s="64"/>
      <c r="H733" s="64"/>
      <c r="I733" s="64"/>
      <c r="J733" s="64"/>
      <c r="K733" s="64"/>
      <c r="L733" s="64"/>
      <c r="M733" s="64"/>
      <c r="N733" s="64"/>
      <c r="O733" s="64"/>
      <c r="P733" s="64"/>
      <c r="Q733" s="64"/>
      <c r="R733" s="64"/>
      <c r="S733" s="64"/>
      <c r="T733" s="64"/>
      <c r="U733" s="64"/>
      <c r="V733" s="64"/>
      <c r="W733" s="64"/>
    </row>
    <row r="734" spans="1:23" ht="15.75" customHeight="1">
      <c r="A734" s="137"/>
      <c r="B734" s="64"/>
      <c r="C734" s="140"/>
      <c r="D734" s="64"/>
      <c r="E734" s="64"/>
      <c r="F734" s="64"/>
      <c r="G734" s="64"/>
      <c r="H734" s="64"/>
      <c r="I734" s="64"/>
      <c r="J734" s="64"/>
      <c r="K734" s="64"/>
      <c r="L734" s="64"/>
      <c r="M734" s="64"/>
      <c r="N734" s="64"/>
      <c r="O734" s="64"/>
      <c r="P734" s="64"/>
      <c r="Q734" s="64"/>
      <c r="R734" s="64"/>
      <c r="S734" s="64"/>
      <c r="T734" s="64"/>
      <c r="U734" s="64"/>
      <c r="V734" s="64"/>
      <c r="W734" s="64"/>
    </row>
    <row r="735" spans="1:23" ht="15.75" customHeight="1">
      <c r="A735" s="137"/>
      <c r="B735" s="64"/>
      <c r="C735" s="140"/>
      <c r="D735" s="64"/>
      <c r="E735" s="64"/>
      <c r="F735" s="64"/>
      <c r="G735" s="64"/>
      <c r="H735" s="64"/>
      <c r="I735" s="64"/>
      <c r="J735" s="64"/>
      <c r="K735" s="64"/>
      <c r="L735" s="64"/>
      <c r="M735" s="64"/>
      <c r="N735" s="64"/>
      <c r="O735" s="64"/>
      <c r="P735" s="64"/>
      <c r="Q735" s="64"/>
      <c r="R735" s="64"/>
      <c r="S735" s="64"/>
      <c r="T735" s="64"/>
      <c r="U735" s="64"/>
      <c r="V735" s="64"/>
      <c r="W735" s="64"/>
    </row>
    <row r="736" spans="1:23" ht="15.75" customHeight="1">
      <c r="A736" s="137"/>
      <c r="B736" s="64"/>
      <c r="C736" s="140"/>
      <c r="D736" s="64"/>
      <c r="E736" s="64"/>
      <c r="F736" s="64"/>
      <c r="G736" s="64"/>
      <c r="H736" s="64"/>
      <c r="I736" s="64"/>
      <c r="J736" s="64"/>
      <c r="K736" s="64"/>
      <c r="L736" s="64"/>
      <c r="M736" s="64"/>
      <c r="N736" s="64"/>
      <c r="O736" s="64"/>
      <c r="P736" s="64"/>
      <c r="Q736" s="64"/>
      <c r="R736" s="64"/>
      <c r="S736" s="64"/>
      <c r="T736" s="64"/>
      <c r="U736" s="64"/>
      <c r="V736" s="64"/>
      <c r="W736" s="64"/>
    </row>
    <row r="737" spans="1:23" ht="15.75" customHeight="1">
      <c r="A737" s="137"/>
      <c r="B737" s="64"/>
      <c r="C737" s="140"/>
      <c r="D737" s="64"/>
      <c r="E737" s="64"/>
      <c r="F737" s="64"/>
      <c r="G737" s="64"/>
      <c r="H737" s="64"/>
      <c r="I737" s="64"/>
      <c r="J737" s="64"/>
      <c r="K737" s="64"/>
      <c r="L737" s="64"/>
      <c r="M737" s="64"/>
      <c r="N737" s="64"/>
      <c r="O737" s="64"/>
      <c r="P737" s="64"/>
      <c r="Q737" s="64"/>
      <c r="R737" s="64"/>
      <c r="S737" s="64"/>
      <c r="T737" s="64"/>
      <c r="U737" s="64"/>
      <c r="V737" s="64"/>
      <c r="W737" s="64"/>
    </row>
    <row r="738" spans="1:23" ht="15.75" customHeight="1">
      <c r="A738" s="137"/>
      <c r="B738" s="64"/>
      <c r="C738" s="140"/>
      <c r="D738" s="64"/>
      <c r="E738" s="64"/>
      <c r="F738" s="64"/>
      <c r="G738" s="64"/>
      <c r="H738" s="64"/>
      <c r="I738" s="64"/>
      <c r="J738" s="64"/>
      <c r="K738" s="64"/>
      <c r="L738" s="64"/>
      <c r="M738" s="64"/>
      <c r="N738" s="64"/>
      <c r="O738" s="64"/>
      <c r="P738" s="64"/>
      <c r="Q738" s="64"/>
      <c r="R738" s="64"/>
      <c r="S738" s="64"/>
      <c r="T738" s="64"/>
      <c r="U738" s="64"/>
      <c r="V738" s="64"/>
      <c r="W738" s="64"/>
    </row>
    <row r="739" spans="1:23" ht="15.75" customHeight="1">
      <c r="A739" s="137"/>
      <c r="B739" s="64"/>
      <c r="C739" s="140"/>
      <c r="D739" s="64"/>
      <c r="E739" s="64"/>
      <c r="F739" s="64"/>
      <c r="G739" s="64"/>
      <c r="H739" s="64"/>
      <c r="I739" s="64"/>
      <c r="J739" s="64"/>
      <c r="K739" s="64"/>
      <c r="L739" s="64"/>
      <c r="M739" s="64"/>
      <c r="N739" s="64"/>
      <c r="O739" s="64"/>
      <c r="P739" s="64"/>
      <c r="Q739" s="64"/>
      <c r="R739" s="64"/>
      <c r="S739" s="64"/>
      <c r="T739" s="64"/>
      <c r="U739" s="64"/>
      <c r="V739" s="64"/>
      <c r="W739" s="64"/>
    </row>
    <row r="740" spans="1:23" ht="15.75" customHeight="1">
      <c r="A740" s="137"/>
      <c r="B740" s="64"/>
      <c r="C740" s="140"/>
      <c r="D740" s="64"/>
      <c r="E740" s="64"/>
      <c r="F740" s="64"/>
      <c r="G740" s="64"/>
      <c r="H740" s="64"/>
      <c r="I740" s="64"/>
      <c r="J740" s="64"/>
      <c r="K740" s="64"/>
      <c r="L740" s="64"/>
      <c r="M740" s="64"/>
      <c r="N740" s="64"/>
      <c r="O740" s="64"/>
      <c r="P740" s="64"/>
      <c r="Q740" s="64"/>
      <c r="R740" s="64"/>
      <c r="S740" s="64"/>
      <c r="T740" s="64"/>
      <c r="U740" s="64"/>
      <c r="V740" s="64"/>
      <c r="W740" s="64"/>
    </row>
    <row r="741" spans="1:23" ht="15.75" customHeight="1">
      <c r="A741" s="137"/>
      <c r="B741" s="64"/>
      <c r="C741" s="140"/>
      <c r="D741" s="64"/>
      <c r="E741" s="64"/>
      <c r="F741" s="64"/>
      <c r="G741" s="64"/>
      <c r="H741" s="64"/>
      <c r="I741" s="64"/>
      <c r="J741" s="64"/>
      <c r="K741" s="64"/>
      <c r="L741" s="64"/>
      <c r="M741" s="64"/>
      <c r="N741" s="64"/>
      <c r="O741" s="64"/>
      <c r="P741" s="64"/>
      <c r="Q741" s="64"/>
      <c r="R741" s="64"/>
      <c r="S741" s="64"/>
      <c r="T741" s="64"/>
      <c r="U741" s="64"/>
      <c r="V741" s="64"/>
      <c r="W741" s="64"/>
    </row>
    <row r="742" spans="1:23" ht="15.75" customHeight="1">
      <c r="A742" s="137"/>
      <c r="B742" s="64"/>
      <c r="C742" s="140"/>
      <c r="D742" s="64"/>
      <c r="E742" s="64"/>
      <c r="F742" s="64"/>
      <c r="G742" s="64"/>
      <c r="H742" s="64"/>
      <c r="I742" s="64"/>
      <c r="J742" s="64"/>
      <c r="K742" s="64"/>
      <c r="L742" s="64"/>
      <c r="M742" s="64"/>
      <c r="N742" s="64"/>
      <c r="O742" s="64"/>
      <c r="P742" s="64"/>
      <c r="Q742" s="64"/>
      <c r="R742" s="64"/>
      <c r="S742" s="64"/>
      <c r="T742" s="64"/>
      <c r="U742" s="64"/>
      <c r="V742" s="64"/>
      <c r="W742" s="64"/>
    </row>
    <row r="743" spans="1:23" ht="15.75" customHeight="1">
      <c r="A743" s="137"/>
      <c r="B743" s="64"/>
      <c r="C743" s="140"/>
      <c r="D743" s="64"/>
      <c r="E743" s="64"/>
      <c r="F743" s="64"/>
      <c r="G743" s="64"/>
      <c r="H743" s="64"/>
      <c r="I743" s="64"/>
      <c r="J743" s="64"/>
      <c r="K743" s="64"/>
      <c r="L743" s="64"/>
      <c r="M743" s="64"/>
      <c r="N743" s="64"/>
      <c r="O743" s="64"/>
      <c r="P743" s="64"/>
      <c r="Q743" s="64"/>
      <c r="R743" s="64"/>
      <c r="S743" s="64"/>
      <c r="T743" s="64"/>
      <c r="U743" s="64"/>
      <c r="V743" s="64"/>
      <c r="W743" s="64"/>
    </row>
    <row r="744" spans="1:23" ht="15.75" customHeight="1">
      <c r="A744" s="137"/>
      <c r="B744" s="64"/>
      <c r="C744" s="140"/>
      <c r="D744" s="64"/>
      <c r="E744" s="64"/>
      <c r="F744" s="64"/>
      <c r="G744" s="64"/>
      <c r="H744" s="64"/>
      <c r="I744" s="64"/>
      <c r="J744" s="64"/>
      <c r="K744" s="64"/>
      <c r="L744" s="64"/>
      <c r="M744" s="64"/>
      <c r="N744" s="64"/>
      <c r="O744" s="64"/>
      <c r="P744" s="64"/>
      <c r="Q744" s="64"/>
      <c r="R744" s="64"/>
      <c r="S744" s="64"/>
      <c r="T744" s="64"/>
      <c r="U744" s="64"/>
      <c r="V744" s="64"/>
      <c r="W744" s="64"/>
    </row>
    <row r="745" spans="1:23" ht="15.75" customHeight="1">
      <c r="A745" s="137"/>
      <c r="B745" s="64"/>
      <c r="C745" s="140"/>
      <c r="D745" s="64"/>
      <c r="E745" s="64"/>
      <c r="F745" s="64"/>
      <c r="G745" s="64"/>
      <c r="H745" s="64"/>
      <c r="I745" s="64"/>
      <c r="J745" s="64"/>
      <c r="K745" s="64"/>
      <c r="L745" s="64"/>
      <c r="M745" s="64"/>
      <c r="N745" s="64"/>
      <c r="O745" s="64"/>
      <c r="P745" s="64"/>
      <c r="Q745" s="64"/>
      <c r="R745" s="64"/>
      <c r="S745" s="64"/>
      <c r="T745" s="64"/>
      <c r="U745" s="64"/>
      <c r="V745" s="64"/>
      <c r="W745" s="64"/>
    </row>
    <row r="746" spans="1:23" ht="15.75" customHeight="1">
      <c r="A746" s="137"/>
      <c r="B746" s="64"/>
      <c r="C746" s="140"/>
      <c r="D746" s="64"/>
      <c r="E746" s="64"/>
      <c r="F746" s="64"/>
      <c r="G746" s="64"/>
      <c r="H746" s="64"/>
      <c r="I746" s="64"/>
      <c r="J746" s="64"/>
      <c r="K746" s="64"/>
      <c r="L746" s="64"/>
      <c r="M746" s="64"/>
      <c r="N746" s="64"/>
      <c r="O746" s="64"/>
      <c r="P746" s="64"/>
      <c r="Q746" s="64"/>
      <c r="R746" s="64"/>
      <c r="S746" s="64"/>
      <c r="T746" s="64"/>
      <c r="U746" s="64"/>
      <c r="V746" s="64"/>
      <c r="W746" s="64"/>
    </row>
    <row r="747" spans="1:23" ht="15.75" customHeight="1">
      <c r="A747" s="137"/>
      <c r="B747" s="64"/>
      <c r="C747" s="140"/>
      <c r="D747" s="64"/>
      <c r="E747" s="64"/>
      <c r="F747" s="64"/>
      <c r="G747" s="64"/>
      <c r="H747" s="64"/>
      <c r="I747" s="64"/>
      <c r="J747" s="64"/>
      <c r="K747" s="64"/>
      <c r="L747" s="64"/>
      <c r="M747" s="64"/>
      <c r="N747" s="64"/>
      <c r="O747" s="64"/>
      <c r="P747" s="64"/>
      <c r="Q747" s="64"/>
      <c r="R747" s="64"/>
      <c r="S747" s="64"/>
      <c r="T747" s="64"/>
      <c r="U747" s="64"/>
      <c r="V747" s="64"/>
      <c r="W747" s="64"/>
    </row>
    <row r="748" spans="1:23" ht="15.75" customHeight="1">
      <c r="A748" s="137"/>
      <c r="B748" s="64"/>
      <c r="C748" s="140"/>
      <c r="D748" s="64"/>
      <c r="E748" s="64"/>
      <c r="F748" s="64"/>
      <c r="G748" s="64"/>
      <c r="H748" s="64"/>
      <c r="I748" s="64"/>
      <c r="J748" s="64"/>
      <c r="K748" s="64"/>
      <c r="L748" s="64"/>
      <c r="M748" s="64"/>
      <c r="N748" s="64"/>
      <c r="O748" s="64"/>
      <c r="P748" s="64"/>
      <c r="Q748" s="64"/>
      <c r="R748" s="64"/>
      <c r="S748" s="64"/>
      <c r="T748" s="64"/>
      <c r="U748" s="64"/>
      <c r="V748" s="64"/>
      <c r="W748" s="64"/>
    </row>
    <row r="749" spans="1:23" ht="15.75" customHeight="1">
      <c r="A749" s="137"/>
      <c r="B749" s="64"/>
      <c r="C749" s="140"/>
      <c r="D749" s="64"/>
      <c r="E749" s="64"/>
      <c r="F749" s="64"/>
      <c r="G749" s="64"/>
      <c r="H749" s="64"/>
      <c r="I749" s="64"/>
      <c r="J749" s="64"/>
      <c r="K749" s="64"/>
      <c r="L749" s="64"/>
      <c r="M749" s="64"/>
      <c r="N749" s="64"/>
      <c r="O749" s="64"/>
      <c r="P749" s="64"/>
      <c r="Q749" s="64"/>
      <c r="R749" s="64"/>
      <c r="S749" s="64"/>
      <c r="T749" s="64"/>
      <c r="U749" s="64"/>
      <c r="V749" s="64"/>
      <c r="W749" s="64"/>
    </row>
    <row r="750" spans="1:23" ht="15.75" customHeight="1">
      <c r="A750" s="137"/>
      <c r="B750" s="64"/>
      <c r="C750" s="140"/>
      <c r="D750" s="64"/>
      <c r="E750" s="64"/>
      <c r="F750" s="64"/>
      <c r="G750" s="64"/>
      <c r="H750" s="64"/>
      <c r="I750" s="64"/>
      <c r="J750" s="64"/>
      <c r="K750" s="64"/>
      <c r="L750" s="64"/>
      <c r="M750" s="64"/>
      <c r="N750" s="64"/>
      <c r="O750" s="64"/>
      <c r="P750" s="64"/>
      <c r="Q750" s="64"/>
      <c r="R750" s="64"/>
      <c r="S750" s="64"/>
      <c r="T750" s="64"/>
      <c r="U750" s="64"/>
      <c r="V750" s="64"/>
      <c r="W750" s="64"/>
    </row>
    <row r="751" spans="1:23" ht="15.75" customHeight="1">
      <c r="A751" s="137"/>
      <c r="B751" s="64"/>
      <c r="C751" s="140"/>
      <c r="D751" s="64"/>
      <c r="E751" s="64"/>
      <c r="F751" s="64"/>
      <c r="G751" s="64"/>
      <c r="H751" s="64"/>
      <c r="I751" s="64"/>
      <c r="J751" s="64"/>
      <c r="K751" s="64"/>
      <c r="L751" s="64"/>
      <c r="M751" s="64"/>
      <c r="N751" s="64"/>
      <c r="O751" s="64"/>
      <c r="P751" s="64"/>
      <c r="Q751" s="64"/>
      <c r="R751" s="64"/>
      <c r="S751" s="64"/>
      <c r="T751" s="64"/>
      <c r="U751" s="64"/>
      <c r="V751" s="64"/>
      <c r="W751" s="64"/>
    </row>
    <row r="752" spans="1:23" ht="15.75" customHeight="1">
      <c r="A752" s="137"/>
      <c r="B752" s="64"/>
      <c r="C752" s="140"/>
      <c r="D752" s="64"/>
      <c r="E752" s="64"/>
      <c r="F752" s="64"/>
      <c r="G752" s="64"/>
      <c r="H752" s="64"/>
      <c r="I752" s="64"/>
      <c r="J752" s="64"/>
      <c r="K752" s="64"/>
      <c r="L752" s="64"/>
      <c r="M752" s="64"/>
      <c r="N752" s="64"/>
      <c r="O752" s="64"/>
      <c r="P752" s="64"/>
      <c r="Q752" s="64"/>
      <c r="R752" s="64"/>
      <c r="S752" s="64"/>
      <c r="T752" s="64"/>
      <c r="U752" s="64"/>
      <c r="V752" s="64"/>
      <c r="W752" s="64"/>
    </row>
    <row r="753" spans="1:23" ht="15.75" customHeight="1">
      <c r="A753" s="137"/>
      <c r="B753" s="64"/>
      <c r="C753" s="140"/>
      <c r="D753" s="64"/>
      <c r="E753" s="64"/>
      <c r="F753" s="64"/>
      <c r="G753" s="64"/>
      <c r="H753" s="64"/>
      <c r="I753" s="64"/>
      <c r="J753" s="64"/>
      <c r="K753" s="64"/>
      <c r="L753" s="64"/>
      <c r="M753" s="64"/>
      <c r="N753" s="64"/>
      <c r="O753" s="64"/>
      <c r="P753" s="64"/>
      <c r="Q753" s="64"/>
      <c r="R753" s="64"/>
      <c r="S753" s="64"/>
      <c r="T753" s="64"/>
      <c r="U753" s="64"/>
      <c r="V753" s="64"/>
      <c r="W753" s="64"/>
    </row>
    <row r="754" spans="1:23" ht="15.75" customHeight="1">
      <c r="A754" s="137"/>
      <c r="B754" s="64"/>
      <c r="C754" s="140"/>
      <c r="D754" s="64"/>
      <c r="E754" s="64"/>
      <c r="F754" s="64"/>
      <c r="G754" s="64"/>
      <c r="H754" s="64"/>
      <c r="I754" s="64"/>
      <c r="J754" s="64"/>
      <c r="K754" s="64"/>
      <c r="L754" s="64"/>
      <c r="M754" s="64"/>
      <c r="N754" s="64"/>
      <c r="O754" s="64"/>
      <c r="P754" s="64"/>
      <c r="Q754" s="64"/>
      <c r="R754" s="64"/>
      <c r="S754" s="64"/>
      <c r="T754" s="64"/>
      <c r="U754" s="64"/>
      <c r="V754" s="64"/>
      <c r="W754" s="64"/>
    </row>
    <row r="755" spans="1:23" ht="15.75" customHeight="1">
      <c r="A755" s="137"/>
      <c r="B755" s="64"/>
      <c r="C755" s="140"/>
      <c r="D755" s="64"/>
      <c r="E755" s="64"/>
      <c r="F755" s="64"/>
      <c r="G755" s="64"/>
      <c r="H755" s="64"/>
      <c r="I755" s="64"/>
      <c r="J755" s="64"/>
      <c r="K755" s="64"/>
      <c r="L755" s="64"/>
      <c r="M755" s="64"/>
      <c r="N755" s="64"/>
      <c r="O755" s="64"/>
      <c r="P755" s="64"/>
      <c r="Q755" s="64"/>
      <c r="R755" s="64"/>
      <c r="S755" s="64"/>
      <c r="T755" s="64"/>
      <c r="U755" s="64"/>
      <c r="V755" s="64"/>
      <c r="W755" s="64"/>
    </row>
    <row r="756" spans="1:23" ht="15.75" customHeight="1">
      <c r="A756" s="137"/>
      <c r="B756" s="64"/>
      <c r="C756" s="140"/>
      <c r="D756" s="64"/>
      <c r="E756" s="64"/>
      <c r="F756" s="64"/>
      <c r="G756" s="64"/>
      <c r="H756" s="64"/>
      <c r="I756" s="64"/>
      <c r="J756" s="64"/>
      <c r="K756" s="64"/>
      <c r="L756" s="64"/>
      <c r="M756" s="64"/>
      <c r="N756" s="64"/>
      <c r="O756" s="64"/>
      <c r="P756" s="64"/>
      <c r="Q756" s="64"/>
      <c r="R756" s="64"/>
      <c r="S756" s="64"/>
      <c r="T756" s="64"/>
      <c r="U756" s="64"/>
      <c r="V756" s="64"/>
      <c r="W756" s="64"/>
    </row>
    <row r="757" spans="1:23" ht="15.75" customHeight="1">
      <c r="A757" s="137"/>
      <c r="B757" s="64"/>
      <c r="C757" s="140"/>
      <c r="D757" s="64"/>
      <c r="E757" s="64"/>
      <c r="F757" s="64"/>
      <c r="G757" s="64"/>
      <c r="H757" s="64"/>
      <c r="I757" s="64"/>
      <c r="J757" s="64"/>
      <c r="K757" s="64"/>
      <c r="L757" s="64"/>
      <c r="M757" s="64"/>
      <c r="N757" s="64"/>
      <c r="O757" s="64"/>
      <c r="P757" s="64"/>
      <c r="Q757" s="64"/>
      <c r="R757" s="64"/>
      <c r="S757" s="64"/>
      <c r="T757" s="64"/>
      <c r="U757" s="64"/>
      <c r="V757" s="64"/>
      <c r="W757" s="64"/>
    </row>
    <row r="758" spans="1:23" ht="15.75" customHeight="1">
      <c r="A758" s="137"/>
      <c r="B758" s="64"/>
      <c r="C758" s="140"/>
      <c r="D758" s="64"/>
      <c r="E758" s="64"/>
      <c r="F758" s="64"/>
      <c r="G758" s="64"/>
      <c r="H758" s="64"/>
      <c r="I758" s="64"/>
      <c r="J758" s="64"/>
      <c r="K758" s="64"/>
      <c r="L758" s="64"/>
      <c r="M758" s="64"/>
      <c r="N758" s="64"/>
      <c r="O758" s="64"/>
      <c r="P758" s="64"/>
      <c r="Q758" s="64"/>
      <c r="R758" s="64"/>
      <c r="S758" s="64"/>
      <c r="T758" s="64"/>
      <c r="U758" s="64"/>
      <c r="V758" s="64"/>
      <c r="W758" s="64"/>
    </row>
    <row r="759" spans="1:23" ht="15.75" customHeight="1">
      <c r="A759" s="137"/>
      <c r="B759" s="64"/>
      <c r="C759" s="140"/>
      <c r="D759" s="64"/>
      <c r="E759" s="64"/>
      <c r="F759" s="64"/>
      <c r="G759" s="64"/>
      <c r="H759" s="64"/>
      <c r="I759" s="64"/>
      <c r="J759" s="64"/>
      <c r="K759" s="64"/>
      <c r="L759" s="64"/>
      <c r="M759" s="64"/>
      <c r="N759" s="64"/>
      <c r="O759" s="64"/>
      <c r="P759" s="64"/>
      <c r="Q759" s="64"/>
      <c r="R759" s="64"/>
      <c r="S759" s="64"/>
      <c r="T759" s="64"/>
      <c r="U759" s="64"/>
      <c r="V759" s="64"/>
      <c r="W759" s="64"/>
    </row>
    <row r="760" spans="1:23" ht="15.75" customHeight="1">
      <c r="A760" s="137"/>
      <c r="B760" s="64"/>
      <c r="C760" s="140"/>
      <c r="D760" s="64"/>
      <c r="E760" s="64"/>
      <c r="F760" s="64"/>
      <c r="G760" s="64"/>
      <c r="H760" s="64"/>
      <c r="I760" s="64"/>
      <c r="J760" s="64"/>
      <c r="K760" s="64"/>
      <c r="L760" s="64"/>
      <c r="M760" s="64"/>
      <c r="N760" s="64"/>
      <c r="O760" s="64"/>
      <c r="P760" s="64"/>
      <c r="Q760" s="64"/>
      <c r="R760" s="64"/>
      <c r="S760" s="64"/>
      <c r="T760" s="64"/>
      <c r="U760" s="64"/>
      <c r="V760" s="64"/>
      <c r="W760" s="64"/>
    </row>
    <row r="761" spans="1:23" ht="15.75" customHeight="1">
      <c r="A761" s="137"/>
      <c r="B761" s="64"/>
      <c r="C761" s="140"/>
      <c r="D761" s="64"/>
      <c r="E761" s="64"/>
      <c r="F761" s="64"/>
      <c r="G761" s="64"/>
      <c r="H761" s="64"/>
      <c r="I761" s="64"/>
      <c r="J761" s="64"/>
      <c r="K761" s="64"/>
      <c r="L761" s="64"/>
      <c r="M761" s="64"/>
      <c r="N761" s="64"/>
      <c r="O761" s="64"/>
      <c r="P761" s="64"/>
      <c r="Q761" s="64"/>
      <c r="R761" s="64"/>
      <c r="S761" s="64"/>
      <c r="T761" s="64"/>
      <c r="U761" s="64"/>
      <c r="V761" s="64"/>
      <c r="W761" s="64"/>
    </row>
    <row r="762" spans="1:23" ht="15.75" customHeight="1">
      <c r="A762" s="137"/>
      <c r="B762" s="64"/>
      <c r="C762" s="140"/>
      <c r="D762" s="64"/>
      <c r="E762" s="64"/>
      <c r="F762" s="64"/>
      <c r="G762" s="64"/>
      <c r="H762" s="64"/>
      <c r="I762" s="64"/>
      <c r="J762" s="64"/>
      <c r="K762" s="64"/>
      <c r="L762" s="64"/>
      <c r="M762" s="64"/>
      <c r="N762" s="64"/>
      <c r="O762" s="64"/>
      <c r="P762" s="64"/>
      <c r="Q762" s="64"/>
      <c r="R762" s="64"/>
      <c r="S762" s="64"/>
      <c r="T762" s="64"/>
      <c r="U762" s="64"/>
      <c r="V762" s="64"/>
      <c r="W762" s="64"/>
    </row>
    <row r="763" spans="1:23" ht="15.75" customHeight="1">
      <c r="A763" s="137"/>
      <c r="B763" s="64"/>
      <c r="C763" s="140"/>
      <c r="D763" s="64"/>
      <c r="E763" s="64"/>
      <c r="F763" s="64"/>
      <c r="G763" s="64"/>
      <c r="H763" s="64"/>
      <c r="I763" s="64"/>
      <c r="J763" s="64"/>
      <c r="K763" s="64"/>
      <c r="L763" s="64"/>
      <c r="M763" s="64"/>
      <c r="N763" s="64"/>
      <c r="O763" s="64"/>
      <c r="P763" s="64"/>
      <c r="Q763" s="64"/>
      <c r="R763" s="64"/>
      <c r="S763" s="64"/>
      <c r="T763" s="64"/>
      <c r="U763" s="64"/>
      <c r="V763" s="64"/>
      <c r="W763" s="64"/>
    </row>
    <row r="764" spans="1:23" ht="15.75" customHeight="1">
      <c r="A764" s="137"/>
      <c r="B764" s="64"/>
      <c r="C764" s="140"/>
      <c r="D764" s="64"/>
      <c r="E764" s="64"/>
      <c r="F764" s="64"/>
      <c r="G764" s="64"/>
      <c r="H764" s="64"/>
      <c r="I764" s="64"/>
      <c r="J764" s="64"/>
      <c r="K764" s="64"/>
      <c r="L764" s="64"/>
      <c r="M764" s="64"/>
      <c r="N764" s="64"/>
      <c r="O764" s="64"/>
      <c r="P764" s="64"/>
      <c r="Q764" s="64"/>
      <c r="R764" s="64"/>
      <c r="S764" s="64"/>
      <c r="T764" s="64"/>
      <c r="U764" s="64"/>
      <c r="V764" s="64"/>
      <c r="W764" s="64"/>
    </row>
    <row r="765" spans="1:23" ht="15.75" customHeight="1">
      <c r="A765" s="137"/>
      <c r="B765" s="64"/>
      <c r="C765" s="140"/>
      <c r="D765" s="64"/>
      <c r="E765" s="64"/>
      <c r="F765" s="64"/>
      <c r="G765" s="64"/>
      <c r="H765" s="64"/>
      <c r="I765" s="64"/>
      <c r="J765" s="64"/>
      <c r="K765" s="64"/>
      <c r="L765" s="64"/>
      <c r="M765" s="64"/>
      <c r="N765" s="64"/>
      <c r="O765" s="64"/>
      <c r="P765" s="64"/>
      <c r="Q765" s="64"/>
      <c r="R765" s="64"/>
      <c r="S765" s="64"/>
      <c r="T765" s="64"/>
      <c r="U765" s="64"/>
      <c r="V765" s="64"/>
      <c r="W765" s="64"/>
    </row>
    <row r="766" spans="1:23" ht="15.75" customHeight="1">
      <c r="A766" s="137"/>
      <c r="B766" s="64"/>
      <c r="C766" s="140"/>
      <c r="D766" s="64"/>
      <c r="E766" s="64"/>
      <c r="F766" s="64"/>
      <c r="G766" s="64"/>
      <c r="H766" s="64"/>
      <c r="I766" s="64"/>
      <c r="J766" s="64"/>
      <c r="K766" s="64"/>
      <c r="L766" s="64"/>
      <c r="M766" s="64"/>
      <c r="N766" s="64"/>
      <c r="O766" s="64"/>
      <c r="P766" s="64"/>
      <c r="Q766" s="64"/>
      <c r="R766" s="64"/>
      <c r="S766" s="64"/>
      <c r="T766" s="64"/>
      <c r="U766" s="64"/>
      <c r="V766" s="64"/>
      <c r="W766" s="64"/>
    </row>
    <row r="767" spans="1:23" ht="15.75" customHeight="1">
      <c r="A767" s="137"/>
      <c r="B767" s="64"/>
      <c r="C767" s="140"/>
      <c r="D767" s="64"/>
      <c r="E767" s="64"/>
      <c r="F767" s="64"/>
      <c r="G767" s="64"/>
      <c r="H767" s="64"/>
      <c r="I767" s="64"/>
      <c r="J767" s="64"/>
      <c r="K767" s="64"/>
      <c r="L767" s="64"/>
      <c r="M767" s="64"/>
      <c r="N767" s="64"/>
      <c r="O767" s="64"/>
      <c r="P767" s="64"/>
      <c r="Q767" s="64"/>
      <c r="R767" s="64"/>
      <c r="S767" s="64"/>
      <c r="T767" s="64"/>
      <c r="U767" s="64"/>
      <c r="V767" s="64"/>
      <c r="W767" s="64"/>
    </row>
    <row r="768" spans="1:23" ht="15.75" customHeight="1">
      <c r="A768" s="137"/>
      <c r="B768" s="64"/>
      <c r="C768" s="140"/>
      <c r="D768" s="64"/>
      <c r="E768" s="64"/>
      <c r="F768" s="64"/>
      <c r="G768" s="64"/>
      <c r="H768" s="64"/>
      <c r="I768" s="64"/>
      <c r="J768" s="64"/>
      <c r="K768" s="64"/>
      <c r="L768" s="64"/>
      <c r="M768" s="64"/>
      <c r="N768" s="64"/>
      <c r="O768" s="64"/>
      <c r="P768" s="64"/>
      <c r="Q768" s="64"/>
      <c r="R768" s="64"/>
      <c r="S768" s="64"/>
      <c r="T768" s="64"/>
      <c r="U768" s="64"/>
      <c r="V768" s="64"/>
      <c r="W768" s="64"/>
    </row>
    <row r="769" spans="1:23" ht="15.75" customHeight="1">
      <c r="A769" s="137"/>
      <c r="B769" s="64"/>
      <c r="C769" s="140"/>
      <c r="D769" s="64"/>
      <c r="E769" s="64"/>
      <c r="F769" s="64"/>
      <c r="G769" s="64"/>
      <c r="H769" s="64"/>
      <c r="I769" s="64"/>
      <c r="J769" s="64"/>
      <c r="K769" s="64"/>
      <c r="L769" s="64"/>
      <c r="M769" s="64"/>
      <c r="N769" s="64"/>
      <c r="O769" s="64"/>
      <c r="P769" s="64"/>
      <c r="Q769" s="64"/>
      <c r="R769" s="64"/>
      <c r="S769" s="64"/>
      <c r="T769" s="64"/>
      <c r="U769" s="64"/>
      <c r="V769" s="64"/>
      <c r="W769" s="64"/>
    </row>
    <row r="770" spans="1:23" ht="15.75" customHeight="1">
      <c r="A770" s="137"/>
      <c r="B770" s="64"/>
      <c r="C770" s="140"/>
      <c r="D770" s="64"/>
      <c r="E770" s="64"/>
      <c r="F770" s="64"/>
      <c r="G770" s="64"/>
      <c r="H770" s="64"/>
      <c r="I770" s="64"/>
      <c r="J770" s="64"/>
      <c r="K770" s="64"/>
      <c r="L770" s="64"/>
      <c r="M770" s="64"/>
      <c r="N770" s="64"/>
      <c r="O770" s="64"/>
      <c r="P770" s="64"/>
      <c r="Q770" s="64"/>
      <c r="R770" s="64"/>
      <c r="S770" s="64"/>
      <c r="T770" s="64"/>
      <c r="U770" s="64"/>
      <c r="V770" s="64"/>
      <c r="W770" s="64"/>
    </row>
    <row r="771" spans="1:23" ht="15.75" customHeight="1">
      <c r="A771" s="137"/>
      <c r="B771" s="64"/>
      <c r="C771" s="140"/>
      <c r="D771" s="64"/>
      <c r="E771" s="64"/>
      <c r="F771" s="64"/>
      <c r="G771" s="64"/>
      <c r="H771" s="64"/>
      <c r="I771" s="64"/>
      <c r="J771" s="64"/>
      <c r="K771" s="64"/>
      <c r="L771" s="64"/>
      <c r="M771" s="64"/>
      <c r="N771" s="64"/>
      <c r="O771" s="64"/>
      <c r="P771" s="64"/>
      <c r="Q771" s="64"/>
      <c r="R771" s="64"/>
      <c r="S771" s="64"/>
      <c r="T771" s="64"/>
      <c r="U771" s="64"/>
      <c r="V771" s="64"/>
      <c r="W771" s="64"/>
    </row>
    <row r="772" spans="1:23" ht="15.75" customHeight="1">
      <c r="A772" s="137"/>
      <c r="B772" s="64"/>
      <c r="C772" s="140"/>
      <c r="D772" s="64"/>
      <c r="E772" s="64"/>
      <c r="F772" s="64"/>
      <c r="G772" s="64"/>
      <c r="H772" s="64"/>
      <c r="I772" s="64"/>
      <c r="J772" s="64"/>
      <c r="K772" s="64"/>
      <c r="L772" s="64"/>
      <c r="M772" s="64"/>
      <c r="N772" s="64"/>
      <c r="O772" s="64"/>
      <c r="P772" s="64"/>
      <c r="Q772" s="64"/>
      <c r="R772" s="64"/>
      <c r="S772" s="64"/>
      <c r="T772" s="64"/>
      <c r="U772" s="64"/>
      <c r="V772" s="64"/>
      <c r="W772" s="64"/>
    </row>
    <row r="773" spans="1:23" ht="15.75" customHeight="1">
      <c r="A773" s="137"/>
      <c r="B773" s="64"/>
      <c r="C773" s="140"/>
      <c r="D773" s="64"/>
      <c r="E773" s="64"/>
      <c r="F773" s="64"/>
      <c r="G773" s="64"/>
      <c r="H773" s="64"/>
      <c r="I773" s="64"/>
      <c r="J773" s="64"/>
      <c r="K773" s="64"/>
      <c r="L773" s="64"/>
      <c r="M773" s="64"/>
      <c r="N773" s="64"/>
      <c r="O773" s="64"/>
      <c r="P773" s="64"/>
      <c r="Q773" s="64"/>
      <c r="R773" s="64"/>
      <c r="S773" s="64"/>
      <c r="T773" s="64"/>
      <c r="U773" s="64"/>
      <c r="V773" s="64"/>
      <c r="W773" s="64"/>
    </row>
    <row r="774" spans="1:23" ht="15.75" customHeight="1">
      <c r="A774" s="137"/>
      <c r="B774" s="64"/>
      <c r="C774" s="140"/>
      <c r="D774" s="64"/>
      <c r="E774" s="64"/>
      <c r="F774" s="64"/>
      <c r="G774" s="64"/>
      <c r="H774" s="64"/>
      <c r="I774" s="64"/>
      <c r="J774" s="64"/>
      <c r="K774" s="64"/>
      <c r="L774" s="64"/>
      <c r="M774" s="64"/>
      <c r="N774" s="64"/>
      <c r="O774" s="64"/>
      <c r="P774" s="64"/>
      <c r="Q774" s="64"/>
      <c r="R774" s="64"/>
      <c r="S774" s="64"/>
      <c r="T774" s="64"/>
      <c r="U774" s="64"/>
      <c r="V774" s="64"/>
      <c r="W774" s="64"/>
    </row>
    <row r="775" spans="1:23" ht="15.75" customHeight="1">
      <c r="A775" s="137"/>
      <c r="B775" s="64"/>
      <c r="C775" s="140"/>
      <c r="D775" s="64"/>
      <c r="E775" s="64"/>
      <c r="F775" s="64"/>
      <c r="G775" s="64"/>
      <c r="H775" s="64"/>
      <c r="I775" s="64"/>
      <c r="J775" s="64"/>
      <c r="K775" s="64"/>
      <c r="L775" s="64"/>
      <c r="M775" s="64"/>
      <c r="N775" s="64"/>
      <c r="O775" s="64"/>
      <c r="P775" s="64"/>
      <c r="Q775" s="64"/>
      <c r="R775" s="64"/>
      <c r="S775" s="64"/>
      <c r="T775" s="64"/>
      <c r="U775" s="64"/>
      <c r="V775" s="64"/>
      <c r="W775" s="64"/>
    </row>
    <row r="776" spans="1:23" ht="15.75" customHeight="1">
      <c r="A776" s="137"/>
      <c r="B776" s="64"/>
      <c r="C776" s="140"/>
      <c r="D776" s="64"/>
      <c r="E776" s="64"/>
      <c r="F776" s="64"/>
      <c r="G776" s="64"/>
      <c r="H776" s="64"/>
      <c r="I776" s="64"/>
      <c r="J776" s="64"/>
      <c r="K776" s="64"/>
      <c r="L776" s="64"/>
      <c r="M776" s="64"/>
      <c r="N776" s="64"/>
      <c r="O776" s="64"/>
      <c r="P776" s="64"/>
      <c r="Q776" s="64"/>
      <c r="R776" s="64"/>
      <c r="S776" s="64"/>
      <c r="T776" s="64"/>
      <c r="U776" s="64"/>
      <c r="V776" s="64"/>
      <c r="W776" s="64"/>
    </row>
    <row r="777" spans="1:23" ht="15.75" customHeight="1">
      <c r="A777" s="137"/>
      <c r="B777" s="64"/>
      <c r="C777" s="140"/>
      <c r="D777" s="64"/>
      <c r="E777" s="64"/>
      <c r="F777" s="64"/>
      <c r="G777" s="64"/>
      <c r="H777" s="64"/>
      <c r="I777" s="64"/>
      <c r="J777" s="64"/>
      <c r="K777" s="64"/>
      <c r="L777" s="64"/>
      <c r="M777" s="64"/>
      <c r="N777" s="64"/>
      <c r="O777" s="64"/>
      <c r="P777" s="64"/>
      <c r="Q777" s="64"/>
      <c r="R777" s="64"/>
      <c r="S777" s="64"/>
      <c r="T777" s="64"/>
      <c r="U777" s="64"/>
      <c r="V777" s="64"/>
      <c r="W777" s="64"/>
    </row>
    <row r="778" spans="1:23" ht="15.75" customHeight="1">
      <c r="A778" s="137"/>
      <c r="B778" s="64"/>
      <c r="C778" s="140"/>
      <c r="D778" s="64"/>
      <c r="E778" s="64"/>
      <c r="F778" s="64"/>
      <c r="G778" s="64"/>
      <c r="H778" s="64"/>
      <c r="I778" s="64"/>
      <c r="J778" s="64"/>
      <c r="K778" s="64"/>
      <c r="L778" s="64"/>
      <c r="M778" s="64"/>
      <c r="N778" s="64"/>
      <c r="O778" s="64"/>
      <c r="P778" s="64"/>
      <c r="Q778" s="64"/>
      <c r="R778" s="64"/>
      <c r="S778" s="64"/>
      <c r="T778" s="64"/>
      <c r="U778" s="64"/>
      <c r="V778" s="64"/>
      <c r="W778" s="64"/>
    </row>
    <row r="779" spans="1:23" ht="15.75" customHeight="1">
      <c r="A779" s="137"/>
      <c r="B779" s="64"/>
      <c r="C779" s="140"/>
      <c r="D779" s="64"/>
      <c r="E779" s="64"/>
      <c r="F779" s="64"/>
      <c r="G779" s="64"/>
      <c r="H779" s="64"/>
      <c r="I779" s="64"/>
      <c r="J779" s="64"/>
      <c r="K779" s="64"/>
      <c r="L779" s="64"/>
      <c r="M779" s="64"/>
      <c r="N779" s="64"/>
      <c r="O779" s="64"/>
      <c r="P779" s="64"/>
      <c r="Q779" s="64"/>
      <c r="R779" s="64"/>
      <c r="S779" s="64"/>
      <c r="T779" s="64"/>
      <c r="U779" s="64"/>
      <c r="V779" s="64"/>
      <c r="W779" s="64"/>
    </row>
    <row r="780" spans="1:23" ht="15.75" customHeight="1">
      <c r="A780" s="137"/>
      <c r="B780" s="64"/>
      <c r="C780" s="140"/>
      <c r="D780" s="64"/>
      <c r="E780" s="64"/>
      <c r="F780" s="64"/>
      <c r="G780" s="64"/>
      <c r="H780" s="64"/>
      <c r="I780" s="64"/>
      <c r="J780" s="64"/>
      <c r="K780" s="64"/>
      <c r="L780" s="64"/>
      <c r="M780" s="64"/>
      <c r="N780" s="64"/>
      <c r="O780" s="64"/>
      <c r="P780" s="64"/>
      <c r="Q780" s="64"/>
      <c r="R780" s="64"/>
      <c r="S780" s="64"/>
      <c r="T780" s="64"/>
      <c r="U780" s="64"/>
      <c r="V780" s="64"/>
      <c r="W780" s="64"/>
    </row>
    <row r="781" spans="1:23" ht="15.75" customHeight="1">
      <c r="A781" s="137"/>
      <c r="B781" s="64"/>
      <c r="C781" s="140"/>
      <c r="D781" s="64"/>
      <c r="E781" s="64"/>
      <c r="F781" s="64"/>
      <c r="G781" s="64"/>
      <c r="H781" s="64"/>
      <c r="I781" s="64"/>
      <c r="J781" s="64"/>
      <c r="K781" s="64"/>
      <c r="L781" s="64"/>
      <c r="M781" s="64"/>
      <c r="N781" s="64"/>
      <c r="O781" s="64"/>
      <c r="P781" s="64"/>
      <c r="Q781" s="64"/>
      <c r="R781" s="64"/>
      <c r="S781" s="64"/>
      <c r="T781" s="64"/>
      <c r="U781" s="64"/>
      <c r="V781" s="64"/>
      <c r="W781" s="64"/>
    </row>
    <row r="782" spans="1:23" ht="15.75" customHeight="1">
      <c r="A782" s="137"/>
      <c r="B782" s="64"/>
      <c r="C782" s="140"/>
      <c r="D782" s="64"/>
      <c r="E782" s="64"/>
      <c r="F782" s="64"/>
      <c r="G782" s="64"/>
      <c r="H782" s="64"/>
      <c r="I782" s="64"/>
      <c r="J782" s="64"/>
      <c r="K782" s="64"/>
      <c r="L782" s="64"/>
      <c r="M782" s="64"/>
      <c r="N782" s="64"/>
      <c r="O782" s="64"/>
      <c r="P782" s="64"/>
      <c r="Q782" s="64"/>
      <c r="R782" s="64"/>
      <c r="S782" s="64"/>
      <c r="T782" s="64"/>
      <c r="U782" s="64"/>
      <c r="V782" s="64"/>
      <c r="W782" s="64"/>
    </row>
    <row r="783" spans="1:23" ht="15.75" customHeight="1">
      <c r="A783" s="137"/>
      <c r="B783" s="64"/>
      <c r="C783" s="140"/>
      <c r="D783" s="64"/>
      <c r="E783" s="64"/>
      <c r="F783" s="64"/>
      <c r="G783" s="64"/>
      <c r="H783" s="64"/>
      <c r="I783" s="64"/>
      <c r="J783" s="64"/>
      <c r="K783" s="64"/>
      <c r="L783" s="64"/>
      <c r="M783" s="64"/>
      <c r="N783" s="64"/>
      <c r="O783" s="64"/>
      <c r="P783" s="64"/>
      <c r="Q783" s="64"/>
      <c r="R783" s="64"/>
      <c r="S783" s="64"/>
      <c r="T783" s="64"/>
      <c r="U783" s="64"/>
      <c r="V783" s="64"/>
      <c r="W783" s="64"/>
    </row>
    <row r="784" spans="1:23" ht="15.75" customHeight="1">
      <c r="A784" s="137"/>
      <c r="B784" s="64"/>
      <c r="C784" s="140"/>
      <c r="D784" s="64"/>
      <c r="E784" s="64"/>
      <c r="F784" s="64"/>
      <c r="G784" s="64"/>
      <c r="H784" s="64"/>
      <c r="I784" s="64"/>
      <c r="J784" s="64"/>
      <c r="K784" s="64"/>
      <c r="L784" s="64"/>
      <c r="M784" s="64"/>
      <c r="N784" s="64"/>
      <c r="O784" s="64"/>
      <c r="P784" s="64"/>
      <c r="Q784" s="64"/>
      <c r="R784" s="64"/>
      <c r="S784" s="64"/>
      <c r="T784" s="64"/>
      <c r="U784" s="64"/>
      <c r="V784" s="64"/>
      <c r="W784" s="64"/>
    </row>
    <row r="785" spans="1:23" ht="15.75" customHeight="1">
      <c r="A785" s="137"/>
      <c r="B785" s="64"/>
      <c r="C785" s="140"/>
      <c r="D785" s="64"/>
      <c r="E785" s="64"/>
      <c r="F785" s="64"/>
      <c r="G785" s="64"/>
      <c r="H785" s="64"/>
      <c r="I785" s="64"/>
      <c r="J785" s="64"/>
      <c r="K785" s="64"/>
      <c r="L785" s="64"/>
      <c r="M785" s="64"/>
      <c r="N785" s="64"/>
      <c r="O785" s="64"/>
      <c r="P785" s="64"/>
      <c r="Q785" s="64"/>
      <c r="R785" s="64"/>
      <c r="S785" s="64"/>
      <c r="T785" s="64"/>
      <c r="U785" s="64"/>
      <c r="V785" s="64"/>
      <c r="W785" s="64"/>
    </row>
    <row r="786" spans="1:23" ht="15.75" customHeight="1">
      <c r="A786" s="137"/>
      <c r="B786" s="64"/>
      <c r="C786" s="140"/>
      <c r="D786" s="64"/>
      <c r="E786" s="64"/>
      <c r="F786" s="64"/>
      <c r="G786" s="64"/>
      <c r="H786" s="64"/>
      <c r="I786" s="64"/>
      <c r="J786" s="64"/>
      <c r="K786" s="64"/>
      <c r="L786" s="64"/>
      <c r="M786" s="64"/>
      <c r="N786" s="64"/>
      <c r="O786" s="64"/>
      <c r="P786" s="64"/>
      <c r="Q786" s="64"/>
      <c r="R786" s="64"/>
      <c r="S786" s="64"/>
      <c r="T786" s="64"/>
      <c r="U786" s="64"/>
      <c r="V786" s="64"/>
      <c r="W786" s="64"/>
    </row>
    <row r="787" spans="1:23" ht="15.75" customHeight="1">
      <c r="A787" s="137"/>
      <c r="B787" s="64"/>
      <c r="C787" s="140"/>
      <c r="D787" s="64"/>
      <c r="E787" s="64"/>
      <c r="F787" s="64"/>
      <c r="G787" s="64"/>
      <c r="H787" s="64"/>
      <c r="I787" s="64"/>
      <c r="J787" s="64"/>
      <c r="K787" s="64"/>
      <c r="L787" s="64"/>
      <c r="M787" s="64"/>
      <c r="N787" s="64"/>
      <c r="O787" s="64"/>
      <c r="P787" s="64"/>
      <c r="Q787" s="64"/>
      <c r="R787" s="64"/>
      <c r="S787" s="64"/>
      <c r="T787" s="64"/>
      <c r="U787" s="64"/>
      <c r="V787" s="64"/>
      <c r="W787" s="64"/>
    </row>
    <row r="788" spans="1:23" ht="15.75" customHeight="1">
      <c r="A788" s="137"/>
      <c r="B788" s="64"/>
      <c r="C788" s="140"/>
      <c r="D788" s="64"/>
      <c r="E788" s="64"/>
      <c r="F788" s="64"/>
      <c r="G788" s="64"/>
      <c r="H788" s="64"/>
      <c r="I788" s="64"/>
      <c r="J788" s="64"/>
      <c r="K788" s="64"/>
      <c r="L788" s="64"/>
      <c r="M788" s="64"/>
      <c r="N788" s="64"/>
      <c r="O788" s="64"/>
      <c r="P788" s="64"/>
      <c r="Q788" s="64"/>
      <c r="R788" s="64"/>
      <c r="S788" s="64"/>
      <c r="T788" s="64"/>
      <c r="U788" s="64"/>
      <c r="V788" s="64"/>
      <c r="W788" s="64"/>
    </row>
    <row r="789" spans="1:23" ht="15.75" customHeight="1">
      <c r="A789" s="137"/>
      <c r="B789" s="64"/>
      <c r="C789" s="140"/>
      <c r="D789" s="64"/>
      <c r="E789" s="64"/>
      <c r="F789" s="64"/>
      <c r="G789" s="64"/>
      <c r="H789" s="64"/>
      <c r="I789" s="64"/>
      <c r="J789" s="64"/>
      <c r="K789" s="64"/>
      <c r="L789" s="64"/>
      <c r="M789" s="64"/>
      <c r="N789" s="64"/>
      <c r="O789" s="64"/>
      <c r="P789" s="64"/>
      <c r="Q789" s="64"/>
      <c r="R789" s="64"/>
      <c r="S789" s="64"/>
      <c r="T789" s="64"/>
      <c r="U789" s="64"/>
      <c r="V789" s="64"/>
      <c r="W789" s="64"/>
    </row>
    <row r="790" spans="1:23" ht="15.75" customHeight="1">
      <c r="A790" s="137"/>
      <c r="B790" s="64"/>
      <c r="C790" s="140"/>
      <c r="D790" s="64"/>
      <c r="E790" s="64"/>
      <c r="F790" s="64"/>
      <c r="G790" s="64"/>
      <c r="H790" s="64"/>
      <c r="I790" s="64"/>
      <c r="J790" s="64"/>
      <c r="K790" s="64"/>
      <c r="L790" s="64"/>
      <c r="M790" s="64"/>
      <c r="N790" s="64"/>
      <c r="O790" s="64"/>
      <c r="P790" s="64"/>
      <c r="Q790" s="64"/>
      <c r="R790" s="64"/>
      <c r="S790" s="64"/>
      <c r="T790" s="64"/>
      <c r="U790" s="64"/>
      <c r="V790" s="64"/>
      <c r="W790" s="64"/>
    </row>
    <row r="791" spans="1:23" ht="15.75" customHeight="1">
      <c r="A791" s="137"/>
      <c r="B791" s="64"/>
      <c r="C791" s="140"/>
      <c r="D791" s="64"/>
      <c r="E791" s="64"/>
      <c r="F791" s="64"/>
      <c r="G791" s="64"/>
      <c r="H791" s="64"/>
      <c r="I791" s="64"/>
      <c r="J791" s="64"/>
      <c r="K791" s="64"/>
      <c r="L791" s="64"/>
      <c r="M791" s="64"/>
      <c r="N791" s="64"/>
      <c r="O791" s="64"/>
      <c r="P791" s="64"/>
      <c r="Q791" s="64"/>
      <c r="R791" s="64"/>
      <c r="S791" s="64"/>
      <c r="T791" s="64"/>
      <c r="U791" s="64"/>
      <c r="V791" s="64"/>
      <c r="W791" s="64"/>
    </row>
    <row r="792" spans="1:23" ht="15.75" customHeight="1">
      <c r="A792" s="137"/>
      <c r="B792" s="64"/>
      <c r="C792" s="140"/>
      <c r="D792" s="64"/>
      <c r="E792" s="64"/>
      <c r="F792" s="64"/>
      <c r="G792" s="64"/>
      <c r="H792" s="64"/>
      <c r="I792" s="64"/>
      <c r="J792" s="64"/>
      <c r="K792" s="64"/>
      <c r="L792" s="64"/>
      <c r="M792" s="64"/>
      <c r="N792" s="64"/>
      <c r="O792" s="64"/>
      <c r="P792" s="64"/>
      <c r="Q792" s="64"/>
      <c r="R792" s="64"/>
      <c r="S792" s="64"/>
      <c r="T792" s="64"/>
      <c r="U792" s="64"/>
      <c r="V792" s="64"/>
      <c r="W792" s="64"/>
    </row>
    <row r="793" spans="1:23" ht="15.75" customHeight="1">
      <c r="A793" s="137"/>
      <c r="B793" s="64"/>
      <c r="C793" s="140"/>
      <c r="D793" s="64"/>
      <c r="E793" s="64"/>
      <c r="F793" s="64"/>
      <c r="G793" s="64"/>
      <c r="H793" s="64"/>
      <c r="I793" s="64"/>
      <c r="J793" s="64"/>
      <c r="K793" s="64"/>
      <c r="L793" s="64"/>
      <c r="M793" s="64"/>
      <c r="N793" s="64"/>
      <c r="O793" s="64"/>
      <c r="P793" s="64"/>
      <c r="Q793" s="64"/>
      <c r="R793" s="64"/>
      <c r="S793" s="64"/>
      <c r="T793" s="64"/>
      <c r="U793" s="64"/>
      <c r="V793" s="64"/>
      <c r="W793" s="64"/>
    </row>
    <row r="794" spans="1:23" ht="15.75" customHeight="1">
      <c r="A794" s="137"/>
      <c r="B794" s="64"/>
      <c r="C794" s="140"/>
      <c r="D794" s="64"/>
      <c r="E794" s="64"/>
      <c r="F794" s="64"/>
      <c r="G794" s="64"/>
      <c r="H794" s="64"/>
      <c r="I794" s="64"/>
      <c r="J794" s="64"/>
      <c r="K794" s="64"/>
      <c r="L794" s="64"/>
      <c r="M794" s="64"/>
      <c r="N794" s="64"/>
      <c r="O794" s="64"/>
      <c r="P794" s="64"/>
      <c r="Q794" s="64"/>
      <c r="R794" s="64"/>
      <c r="S794" s="64"/>
      <c r="T794" s="64"/>
      <c r="U794" s="64"/>
      <c r="V794" s="64"/>
      <c r="W794" s="64"/>
    </row>
    <row r="795" spans="1:23" ht="15.75" customHeight="1">
      <c r="A795" s="137"/>
      <c r="B795" s="64"/>
      <c r="C795" s="140"/>
      <c r="D795" s="64"/>
      <c r="E795" s="64"/>
      <c r="F795" s="64"/>
      <c r="G795" s="64"/>
      <c r="H795" s="64"/>
      <c r="I795" s="64"/>
      <c r="J795" s="64"/>
      <c r="K795" s="64"/>
      <c r="L795" s="64"/>
      <c r="M795" s="64"/>
      <c r="N795" s="64"/>
      <c r="O795" s="64"/>
      <c r="P795" s="64"/>
      <c r="Q795" s="64"/>
      <c r="R795" s="64"/>
      <c r="S795" s="64"/>
      <c r="T795" s="64"/>
      <c r="U795" s="64"/>
      <c r="V795" s="64"/>
      <c r="W795" s="64"/>
    </row>
    <row r="796" spans="1:23" ht="15.75" customHeight="1">
      <c r="A796" s="137"/>
      <c r="B796" s="64"/>
      <c r="C796" s="140"/>
      <c r="D796" s="64"/>
      <c r="E796" s="64"/>
      <c r="F796" s="64"/>
      <c r="G796" s="64"/>
      <c r="H796" s="64"/>
      <c r="I796" s="64"/>
      <c r="J796" s="64"/>
      <c r="K796" s="64"/>
      <c r="L796" s="64"/>
      <c r="M796" s="64"/>
      <c r="N796" s="64"/>
      <c r="O796" s="64"/>
      <c r="P796" s="64"/>
      <c r="Q796" s="64"/>
      <c r="R796" s="64"/>
      <c r="S796" s="64"/>
      <c r="T796" s="64"/>
      <c r="U796" s="64"/>
      <c r="V796" s="64"/>
      <c r="W796" s="64"/>
    </row>
    <row r="797" spans="1:23" ht="15.75" customHeight="1">
      <c r="A797" s="137"/>
      <c r="B797" s="64"/>
      <c r="C797" s="140"/>
      <c r="D797" s="64"/>
      <c r="E797" s="64"/>
      <c r="F797" s="64"/>
      <c r="G797" s="64"/>
      <c r="H797" s="64"/>
      <c r="I797" s="64"/>
      <c r="J797" s="64"/>
      <c r="K797" s="64"/>
      <c r="L797" s="64"/>
      <c r="M797" s="64"/>
      <c r="N797" s="64"/>
      <c r="O797" s="64"/>
      <c r="P797" s="64"/>
      <c r="Q797" s="64"/>
      <c r="R797" s="64"/>
      <c r="S797" s="64"/>
      <c r="T797" s="64"/>
      <c r="U797" s="64"/>
      <c r="V797" s="64"/>
      <c r="W797" s="64"/>
    </row>
    <row r="798" spans="1:23" ht="15.75" customHeight="1">
      <c r="A798" s="137"/>
      <c r="B798" s="64"/>
      <c r="C798" s="140"/>
      <c r="D798" s="64"/>
      <c r="E798" s="64"/>
      <c r="F798" s="64"/>
      <c r="G798" s="64"/>
      <c r="H798" s="64"/>
      <c r="I798" s="64"/>
      <c r="J798" s="64"/>
      <c r="K798" s="64"/>
      <c r="L798" s="64"/>
      <c r="M798" s="64"/>
      <c r="N798" s="64"/>
      <c r="O798" s="64"/>
      <c r="P798" s="64"/>
      <c r="Q798" s="64"/>
      <c r="R798" s="64"/>
      <c r="S798" s="64"/>
      <c r="T798" s="64"/>
      <c r="U798" s="64"/>
      <c r="V798" s="64"/>
      <c r="W798" s="64"/>
    </row>
    <row r="799" spans="1:23" ht="15.75" customHeight="1">
      <c r="A799" s="137"/>
      <c r="B799" s="64"/>
      <c r="C799" s="140"/>
      <c r="D799" s="64"/>
      <c r="E799" s="64"/>
      <c r="F799" s="64"/>
      <c r="G799" s="64"/>
      <c r="H799" s="64"/>
      <c r="I799" s="64"/>
      <c r="J799" s="64"/>
      <c r="K799" s="64"/>
      <c r="L799" s="64"/>
      <c r="M799" s="64"/>
      <c r="N799" s="64"/>
      <c r="O799" s="64"/>
      <c r="P799" s="64"/>
      <c r="Q799" s="64"/>
      <c r="R799" s="64"/>
      <c r="S799" s="64"/>
      <c r="T799" s="64"/>
      <c r="U799" s="64"/>
      <c r="V799" s="64"/>
      <c r="W799" s="64"/>
    </row>
    <row r="800" spans="1:23" ht="15.75" customHeight="1">
      <c r="A800" s="137"/>
      <c r="B800" s="64"/>
      <c r="C800" s="140"/>
      <c r="D800" s="64"/>
      <c r="E800" s="64"/>
      <c r="F800" s="64"/>
      <c r="G800" s="64"/>
      <c r="H800" s="64"/>
      <c r="I800" s="64"/>
      <c r="J800" s="64"/>
      <c r="K800" s="64"/>
      <c r="L800" s="64"/>
      <c r="M800" s="64"/>
      <c r="N800" s="64"/>
      <c r="O800" s="64"/>
      <c r="P800" s="64"/>
      <c r="Q800" s="64"/>
      <c r="R800" s="64"/>
      <c r="S800" s="64"/>
      <c r="T800" s="64"/>
      <c r="U800" s="64"/>
      <c r="V800" s="64"/>
      <c r="W800" s="64"/>
    </row>
    <row r="801" spans="1:23" ht="15.75" customHeight="1">
      <c r="A801" s="137"/>
      <c r="B801" s="64"/>
      <c r="C801" s="140"/>
      <c r="D801" s="64"/>
      <c r="E801" s="64"/>
      <c r="F801" s="64"/>
      <c r="G801" s="64"/>
      <c r="H801" s="64"/>
      <c r="I801" s="64"/>
      <c r="J801" s="64"/>
      <c r="K801" s="64"/>
      <c r="L801" s="64"/>
      <c r="M801" s="64"/>
      <c r="N801" s="64"/>
      <c r="O801" s="64"/>
      <c r="P801" s="64"/>
      <c r="Q801" s="64"/>
      <c r="R801" s="64"/>
      <c r="S801" s="64"/>
      <c r="T801" s="64"/>
      <c r="U801" s="64"/>
      <c r="V801" s="64"/>
      <c r="W801" s="64"/>
    </row>
    <row r="802" spans="1:23" ht="15.75" customHeight="1">
      <c r="A802" s="137"/>
      <c r="B802" s="64"/>
      <c r="C802" s="140"/>
      <c r="D802" s="64"/>
      <c r="E802" s="64"/>
      <c r="F802" s="64"/>
      <c r="G802" s="64"/>
      <c r="H802" s="64"/>
      <c r="I802" s="64"/>
      <c r="J802" s="64"/>
      <c r="K802" s="64"/>
      <c r="L802" s="64"/>
      <c r="M802" s="64"/>
      <c r="N802" s="64"/>
      <c r="O802" s="64"/>
      <c r="P802" s="64"/>
      <c r="Q802" s="64"/>
      <c r="R802" s="64"/>
      <c r="S802" s="64"/>
      <c r="T802" s="64"/>
      <c r="U802" s="64"/>
      <c r="V802" s="64"/>
      <c r="W802" s="64"/>
    </row>
    <row r="803" spans="1:23" ht="15.75" customHeight="1">
      <c r="A803" s="137"/>
      <c r="B803" s="64"/>
      <c r="C803" s="140"/>
      <c r="D803" s="64"/>
      <c r="E803" s="64"/>
      <c r="F803" s="64"/>
      <c r="G803" s="64"/>
      <c r="H803" s="64"/>
      <c r="I803" s="64"/>
      <c r="J803" s="64"/>
      <c r="K803" s="64"/>
      <c r="L803" s="64"/>
      <c r="M803" s="64"/>
      <c r="N803" s="64"/>
      <c r="O803" s="64"/>
      <c r="P803" s="64"/>
      <c r="Q803" s="64"/>
      <c r="R803" s="64"/>
      <c r="S803" s="64"/>
      <c r="T803" s="64"/>
      <c r="U803" s="64"/>
      <c r="V803" s="64"/>
      <c r="W803" s="64"/>
    </row>
    <row r="804" spans="1:23" ht="15.75" customHeight="1">
      <c r="A804" s="137"/>
      <c r="B804" s="64"/>
      <c r="C804" s="140"/>
      <c r="D804" s="64"/>
      <c r="E804" s="64"/>
      <c r="F804" s="64"/>
      <c r="G804" s="64"/>
      <c r="H804" s="64"/>
      <c r="I804" s="64"/>
      <c r="J804" s="64"/>
      <c r="K804" s="64"/>
      <c r="L804" s="64"/>
      <c r="M804" s="64"/>
      <c r="N804" s="64"/>
      <c r="O804" s="64"/>
      <c r="P804" s="64"/>
      <c r="Q804" s="64"/>
      <c r="R804" s="64"/>
      <c r="S804" s="64"/>
      <c r="T804" s="64"/>
      <c r="U804" s="64"/>
      <c r="V804" s="64"/>
      <c r="W804" s="64"/>
    </row>
    <row r="805" spans="1:23" ht="15.75" customHeight="1">
      <c r="A805" s="137"/>
      <c r="B805" s="64"/>
      <c r="C805" s="140"/>
      <c r="D805" s="64"/>
      <c r="E805" s="64"/>
      <c r="F805" s="64"/>
      <c r="G805" s="64"/>
      <c r="H805" s="64"/>
      <c r="I805" s="64"/>
      <c r="J805" s="64"/>
      <c r="K805" s="64"/>
      <c r="L805" s="64"/>
      <c r="M805" s="64"/>
      <c r="N805" s="64"/>
      <c r="O805" s="64"/>
      <c r="P805" s="64"/>
      <c r="Q805" s="64"/>
      <c r="R805" s="64"/>
      <c r="S805" s="64"/>
      <c r="T805" s="64"/>
      <c r="U805" s="64"/>
      <c r="V805" s="64"/>
      <c r="W805" s="64"/>
    </row>
    <row r="806" spans="1:23" ht="15.75" customHeight="1">
      <c r="A806" s="137"/>
      <c r="B806" s="64"/>
      <c r="C806" s="140"/>
      <c r="D806" s="64"/>
      <c r="E806" s="64"/>
      <c r="F806" s="64"/>
      <c r="G806" s="64"/>
      <c r="H806" s="64"/>
      <c r="I806" s="64"/>
      <c r="J806" s="64"/>
      <c r="K806" s="64"/>
      <c r="L806" s="64"/>
      <c r="M806" s="64"/>
      <c r="N806" s="64"/>
      <c r="O806" s="64"/>
      <c r="P806" s="64"/>
      <c r="Q806" s="64"/>
      <c r="R806" s="64"/>
      <c r="S806" s="64"/>
      <c r="T806" s="64"/>
      <c r="U806" s="64"/>
      <c r="V806" s="64"/>
      <c r="W806" s="64"/>
    </row>
    <row r="807" spans="1:23" ht="15.75" customHeight="1">
      <c r="A807" s="137"/>
      <c r="B807" s="64"/>
      <c r="C807" s="140"/>
      <c r="D807" s="64"/>
      <c r="E807" s="64"/>
      <c r="F807" s="64"/>
      <c r="G807" s="64"/>
      <c r="H807" s="64"/>
      <c r="I807" s="64"/>
      <c r="J807" s="64"/>
      <c r="K807" s="64"/>
      <c r="L807" s="64"/>
      <c r="M807" s="64"/>
      <c r="N807" s="64"/>
      <c r="O807" s="64"/>
      <c r="P807" s="64"/>
      <c r="Q807" s="64"/>
      <c r="R807" s="64"/>
      <c r="S807" s="64"/>
      <c r="T807" s="64"/>
      <c r="U807" s="64"/>
      <c r="V807" s="64"/>
      <c r="W807" s="64"/>
    </row>
    <row r="808" spans="1:23" ht="15.75" customHeight="1">
      <c r="A808" s="137"/>
      <c r="B808" s="64"/>
      <c r="C808" s="140"/>
      <c r="D808" s="64"/>
      <c r="E808" s="64"/>
      <c r="F808" s="64"/>
      <c r="G808" s="64"/>
      <c r="H808" s="64"/>
      <c r="I808" s="64"/>
      <c r="J808" s="64"/>
      <c r="K808" s="64"/>
      <c r="L808" s="64"/>
      <c r="M808" s="64"/>
      <c r="N808" s="64"/>
      <c r="O808" s="64"/>
      <c r="P808" s="64"/>
      <c r="Q808" s="64"/>
      <c r="R808" s="64"/>
      <c r="S808" s="64"/>
      <c r="T808" s="64"/>
      <c r="U808" s="64"/>
      <c r="V808" s="64"/>
      <c r="W808" s="64"/>
    </row>
    <row r="809" spans="1:23" ht="15.75" customHeight="1">
      <c r="A809" s="137"/>
      <c r="B809" s="64"/>
      <c r="C809" s="140"/>
      <c r="D809" s="64"/>
      <c r="E809" s="64"/>
      <c r="F809" s="64"/>
      <c r="G809" s="64"/>
      <c r="H809" s="64"/>
      <c r="I809" s="64"/>
      <c r="J809" s="64"/>
      <c r="K809" s="64"/>
      <c r="L809" s="64"/>
      <c r="M809" s="64"/>
      <c r="N809" s="64"/>
      <c r="O809" s="64"/>
      <c r="P809" s="64"/>
      <c r="Q809" s="64"/>
      <c r="R809" s="64"/>
      <c r="S809" s="64"/>
      <c r="T809" s="64"/>
      <c r="U809" s="64"/>
      <c r="V809" s="64"/>
      <c r="W809" s="64"/>
    </row>
    <row r="810" spans="1:23" ht="15.75" customHeight="1">
      <c r="A810" s="137"/>
      <c r="B810" s="64"/>
      <c r="C810" s="140"/>
      <c r="D810" s="64"/>
      <c r="E810" s="64"/>
      <c r="F810" s="64"/>
      <c r="G810" s="64"/>
      <c r="H810" s="64"/>
      <c r="I810" s="64"/>
      <c r="J810" s="64"/>
      <c r="K810" s="64"/>
      <c r="L810" s="64"/>
      <c r="M810" s="64"/>
      <c r="N810" s="64"/>
      <c r="O810" s="64"/>
      <c r="P810" s="64"/>
      <c r="Q810" s="64"/>
      <c r="R810" s="64"/>
      <c r="S810" s="64"/>
      <c r="T810" s="64"/>
      <c r="U810" s="64"/>
      <c r="V810" s="64"/>
      <c r="W810" s="64"/>
    </row>
    <row r="811" spans="1:23" ht="15.75" customHeight="1">
      <c r="A811" s="137"/>
      <c r="B811" s="64"/>
      <c r="C811" s="140"/>
      <c r="D811" s="64"/>
      <c r="E811" s="64"/>
      <c r="F811" s="64"/>
      <c r="G811" s="64"/>
      <c r="H811" s="64"/>
      <c r="I811" s="64"/>
      <c r="J811" s="64"/>
      <c r="K811" s="64"/>
      <c r="L811" s="64"/>
      <c r="M811" s="64"/>
      <c r="N811" s="64"/>
      <c r="O811" s="64"/>
      <c r="P811" s="64"/>
      <c r="Q811" s="64"/>
      <c r="R811" s="64"/>
      <c r="S811" s="64"/>
      <c r="T811" s="64"/>
      <c r="U811" s="64"/>
      <c r="V811" s="64"/>
      <c r="W811" s="64"/>
    </row>
    <row r="812" spans="1:23" ht="15.75" customHeight="1">
      <c r="A812" s="137"/>
      <c r="B812" s="64"/>
      <c r="C812" s="140"/>
      <c r="D812" s="64"/>
      <c r="E812" s="64"/>
      <c r="F812" s="64"/>
      <c r="G812" s="64"/>
      <c r="H812" s="64"/>
      <c r="I812" s="64"/>
      <c r="J812" s="64"/>
      <c r="K812" s="64"/>
      <c r="L812" s="64"/>
      <c r="M812" s="64"/>
      <c r="N812" s="64"/>
      <c r="O812" s="64"/>
      <c r="P812" s="64"/>
      <c r="Q812" s="64"/>
      <c r="R812" s="64"/>
      <c r="S812" s="64"/>
      <c r="T812" s="64"/>
      <c r="U812" s="64"/>
      <c r="V812" s="64"/>
      <c r="W812" s="64"/>
    </row>
    <row r="813" spans="1:23" ht="15.75" customHeight="1">
      <c r="A813" s="137"/>
      <c r="B813" s="64"/>
      <c r="C813" s="140"/>
      <c r="D813" s="64"/>
      <c r="E813" s="64"/>
      <c r="F813" s="64"/>
      <c r="G813" s="64"/>
      <c r="H813" s="64"/>
      <c r="I813" s="64"/>
      <c r="J813" s="64"/>
      <c r="K813" s="64"/>
      <c r="L813" s="64"/>
      <c r="M813" s="64"/>
      <c r="N813" s="64"/>
      <c r="O813" s="64"/>
      <c r="P813" s="64"/>
      <c r="Q813" s="64"/>
      <c r="R813" s="64"/>
      <c r="S813" s="64"/>
      <c r="T813" s="64"/>
      <c r="U813" s="64"/>
      <c r="V813" s="64"/>
      <c r="W813" s="64"/>
    </row>
    <row r="814" spans="1:23" ht="15.75" customHeight="1">
      <c r="A814" s="137"/>
      <c r="B814" s="64"/>
      <c r="C814" s="140"/>
      <c r="D814" s="64"/>
      <c r="E814" s="64"/>
      <c r="F814" s="64"/>
      <c r="G814" s="64"/>
      <c r="H814" s="64"/>
      <c r="I814" s="64"/>
      <c r="J814" s="64"/>
      <c r="K814" s="64"/>
      <c r="L814" s="64"/>
      <c r="M814" s="64"/>
      <c r="N814" s="64"/>
      <c r="O814" s="64"/>
      <c r="P814" s="64"/>
      <c r="Q814" s="64"/>
      <c r="R814" s="64"/>
      <c r="S814" s="64"/>
      <c r="T814" s="64"/>
      <c r="U814" s="64"/>
      <c r="V814" s="64"/>
      <c r="W814" s="64"/>
    </row>
    <row r="815" spans="1:23" ht="15.75" customHeight="1">
      <c r="A815" s="137"/>
      <c r="B815" s="64"/>
      <c r="C815" s="140"/>
      <c r="D815" s="64"/>
      <c r="E815" s="64"/>
      <c r="F815" s="64"/>
      <c r="G815" s="64"/>
      <c r="H815" s="64"/>
      <c r="I815" s="64"/>
      <c r="J815" s="64"/>
      <c r="K815" s="64"/>
      <c r="L815" s="64"/>
      <c r="M815" s="64"/>
      <c r="N815" s="64"/>
      <c r="O815" s="64"/>
      <c r="P815" s="64"/>
      <c r="Q815" s="64"/>
      <c r="R815" s="64"/>
      <c r="S815" s="64"/>
      <c r="T815" s="64"/>
      <c r="U815" s="64"/>
      <c r="V815" s="64"/>
      <c r="W815" s="64"/>
    </row>
    <row r="816" spans="1:23" ht="15.75" customHeight="1">
      <c r="A816" s="137"/>
      <c r="B816" s="64"/>
      <c r="C816" s="140"/>
      <c r="D816" s="64"/>
      <c r="E816" s="64"/>
      <c r="F816" s="64"/>
      <c r="G816" s="64"/>
      <c r="H816" s="64"/>
      <c r="I816" s="64"/>
      <c r="J816" s="64"/>
      <c r="K816" s="64"/>
      <c r="L816" s="64"/>
      <c r="M816" s="64"/>
      <c r="N816" s="64"/>
      <c r="O816" s="64"/>
      <c r="P816" s="64"/>
      <c r="Q816" s="64"/>
      <c r="R816" s="64"/>
      <c r="S816" s="64"/>
      <c r="T816" s="64"/>
      <c r="U816" s="64"/>
      <c r="V816" s="64"/>
      <c r="W816" s="64"/>
    </row>
    <row r="817" spans="1:23" ht="15.75" customHeight="1">
      <c r="A817" s="137"/>
      <c r="B817" s="64"/>
      <c r="C817" s="140"/>
      <c r="D817" s="64"/>
      <c r="E817" s="64"/>
      <c r="F817" s="64"/>
      <c r="G817" s="64"/>
      <c r="H817" s="64"/>
      <c r="I817" s="64"/>
      <c r="J817" s="64"/>
      <c r="K817" s="64"/>
      <c r="L817" s="64"/>
      <c r="M817" s="64"/>
      <c r="N817" s="64"/>
      <c r="O817" s="64"/>
      <c r="P817" s="64"/>
      <c r="Q817" s="64"/>
      <c r="R817" s="64"/>
      <c r="S817" s="64"/>
      <c r="T817" s="64"/>
      <c r="U817" s="64"/>
      <c r="V817" s="64"/>
      <c r="W817" s="64"/>
    </row>
    <row r="818" spans="1:23" ht="15.75" customHeight="1">
      <c r="A818" s="137"/>
      <c r="B818" s="64"/>
      <c r="C818" s="140"/>
      <c r="D818" s="64"/>
      <c r="E818" s="64"/>
      <c r="F818" s="64"/>
      <c r="G818" s="64"/>
      <c r="H818" s="64"/>
      <c r="I818" s="64"/>
      <c r="J818" s="64"/>
      <c r="K818" s="64"/>
      <c r="L818" s="64"/>
      <c r="M818" s="64"/>
      <c r="N818" s="64"/>
      <c r="O818" s="64"/>
      <c r="P818" s="64"/>
      <c r="Q818" s="64"/>
      <c r="R818" s="64"/>
      <c r="S818" s="64"/>
      <c r="T818" s="64"/>
      <c r="U818" s="64"/>
      <c r="V818" s="64"/>
      <c r="W818" s="64"/>
    </row>
    <row r="819" spans="1:23" ht="15.75" customHeight="1">
      <c r="A819" s="137"/>
      <c r="B819" s="64"/>
      <c r="C819" s="140"/>
      <c r="D819" s="64"/>
      <c r="E819" s="64"/>
      <c r="F819" s="64"/>
      <c r="G819" s="64"/>
      <c r="H819" s="64"/>
      <c r="I819" s="64"/>
      <c r="J819" s="64"/>
      <c r="K819" s="64"/>
      <c r="L819" s="64"/>
      <c r="M819" s="64"/>
      <c r="N819" s="64"/>
      <c r="O819" s="64"/>
      <c r="P819" s="64"/>
      <c r="Q819" s="64"/>
      <c r="R819" s="64"/>
      <c r="S819" s="64"/>
      <c r="T819" s="64"/>
      <c r="U819" s="64"/>
      <c r="V819" s="64"/>
      <c r="W819" s="64"/>
    </row>
    <row r="820" spans="1:23" ht="15.75" customHeight="1">
      <c r="A820" s="137"/>
      <c r="B820" s="64"/>
      <c r="C820" s="140"/>
      <c r="D820" s="64"/>
      <c r="E820" s="64"/>
      <c r="F820" s="64"/>
      <c r="G820" s="64"/>
      <c r="H820" s="64"/>
      <c r="I820" s="64"/>
      <c r="J820" s="64"/>
      <c r="K820" s="64"/>
      <c r="L820" s="64"/>
      <c r="M820" s="64"/>
      <c r="N820" s="64"/>
      <c r="O820" s="64"/>
      <c r="P820" s="64"/>
      <c r="Q820" s="64"/>
      <c r="R820" s="64"/>
      <c r="S820" s="64"/>
      <c r="T820" s="64"/>
      <c r="U820" s="64"/>
      <c r="V820" s="64"/>
      <c r="W820" s="64"/>
    </row>
    <row r="821" spans="1:23" ht="15.75" customHeight="1">
      <c r="A821" s="137"/>
      <c r="B821" s="64"/>
      <c r="C821" s="140"/>
      <c r="D821" s="64"/>
      <c r="E821" s="64"/>
      <c r="F821" s="64"/>
      <c r="G821" s="64"/>
      <c r="H821" s="64"/>
      <c r="I821" s="64"/>
      <c r="J821" s="64"/>
      <c r="K821" s="64"/>
      <c r="L821" s="64"/>
      <c r="M821" s="64"/>
      <c r="N821" s="64"/>
      <c r="O821" s="64"/>
      <c r="P821" s="64"/>
      <c r="Q821" s="64"/>
      <c r="R821" s="64"/>
      <c r="S821" s="64"/>
      <c r="T821" s="64"/>
      <c r="U821" s="64"/>
      <c r="V821" s="64"/>
      <c r="W821" s="64"/>
    </row>
    <row r="822" spans="1:23" ht="15.75" customHeight="1">
      <c r="A822" s="137"/>
      <c r="B822" s="64"/>
      <c r="C822" s="140"/>
      <c r="D822" s="64"/>
      <c r="E822" s="64"/>
      <c r="F822" s="64"/>
      <c r="G822" s="64"/>
      <c r="H822" s="64"/>
      <c r="I822" s="64"/>
      <c r="J822" s="64"/>
      <c r="K822" s="64"/>
      <c r="L822" s="64"/>
      <c r="M822" s="64"/>
      <c r="N822" s="64"/>
      <c r="O822" s="64"/>
      <c r="P822" s="64"/>
      <c r="Q822" s="64"/>
      <c r="R822" s="64"/>
      <c r="S822" s="64"/>
      <c r="T822" s="64"/>
      <c r="U822" s="64"/>
      <c r="V822" s="64"/>
      <c r="W822" s="64"/>
    </row>
    <row r="823" spans="1:23" ht="15.75" customHeight="1">
      <c r="A823" s="137"/>
      <c r="B823" s="64"/>
      <c r="C823" s="140"/>
      <c r="D823" s="64"/>
      <c r="E823" s="64"/>
      <c r="F823" s="64"/>
      <c r="G823" s="64"/>
      <c r="H823" s="64"/>
      <c r="I823" s="64"/>
      <c r="J823" s="64"/>
      <c r="K823" s="64"/>
      <c r="L823" s="64"/>
      <c r="M823" s="64"/>
      <c r="N823" s="64"/>
      <c r="O823" s="64"/>
      <c r="P823" s="64"/>
      <c r="Q823" s="64"/>
      <c r="R823" s="64"/>
      <c r="S823" s="64"/>
      <c r="T823" s="64"/>
      <c r="U823" s="64"/>
      <c r="V823" s="64"/>
      <c r="W823" s="64"/>
    </row>
    <row r="824" spans="1:23" ht="15.75" customHeight="1">
      <c r="A824" s="137"/>
      <c r="B824" s="64"/>
      <c r="C824" s="140"/>
      <c r="D824" s="64"/>
      <c r="E824" s="64"/>
      <c r="F824" s="64"/>
      <c r="G824" s="64"/>
      <c r="H824" s="64"/>
      <c r="I824" s="64"/>
      <c r="J824" s="64"/>
      <c r="K824" s="64"/>
      <c r="L824" s="64"/>
      <c r="M824" s="64"/>
      <c r="N824" s="64"/>
      <c r="O824" s="64"/>
      <c r="P824" s="64"/>
      <c r="Q824" s="64"/>
      <c r="R824" s="64"/>
      <c r="S824" s="64"/>
      <c r="T824" s="64"/>
      <c r="U824" s="64"/>
      <c r="V824" s="64"/>
      <c r="W824" s="64"/>
    </row>
    <row r="825" spans="1:23" ht="15.75" customHeight="1">
      <c r="A825" s="137"/>
      <c r="B825" s="64"/>
      <c r="C825" s="140"/>
      <c r="D825" s="64"/>
      <c r="E825" s="64"/>
      <c r="F825" s="64"/>
      <c r="G825" s="64"/>
      <c r="H825" s="64"/>
      <c r="I825" s="64"/>
      <c r="J825" s="64"/>
      <c r="K825" s="64"/>
      <c r="L825" s="64"/>
      <c r="M825" s="64"/>
      <c r="N825" s="64"/>
      <c r="O825" s="64"/>
      <c r="P825" s="64"/>
      <c r="Q825" s="64"/>
      <c r="R825" s="64"/>
      <c r="S825" s="64"/>
      <c r="T825" s="64"/>
      <c r="U825" s="64"/>
      <c r="V825" s="64"/>
      <c r="W825" s="64"/>
    </row>
    <row r="826" spans="1:23" ht="15.75" customHeight="1">
      <c r="A826" s="137"/>
      <c r="B826" s="64"/>
      <c r="C826" s="140"/>
      <c r="D826" s="64"/>
      <c r="E826" s="64"/>
      <c r="F826" s="64"/>
      <c r="G826" s="64"/>
      <c r="H826" s="64"/>
      <c r="I826" s="64"/>
      <c r="J826" s="64"/>
      <c r="K826" s="64"/>
      <c r="L826" s="64"/>
      <c r="M826" s="64"/>
      <c r="N826" s="64"/>
      <c r="O826" s="64"/>
      <c r="P826" s="64"/>
      <c r="Q826" s="64"/>
      <c r="R826" s="64"/>
      <c r="S826" s="64"/>
      <c r="T826" s="64"/>
      <c r="U826" s="64"/>
      <c r="V826" s="64"/>
      <c r="W826" s="64"/>
    </row>
    <row r="827" spans="1:23" ht="15.75" customHeight="1">
      <c r="A827" s="137"/>
      <c r="B827" s="64"/>
      <c r="C827" s="140"/>
      <c r="D827" s="64"/>
      <c r="E827" s="64"/>
      <c r="F827" s="64"/>
      <c r="G827" s="64"/>
      <c r="H827" s="64"/>
      <c r="I827" s="64"/>
      <c r="J827" s="64"/>
      <c r="K827" s="64"/>
      <c r="L827" s="64"/>
      <c r="M827" s="64"/>
      <c r="N827" s="64"/>
      <c r="O827" s="64"/>
      <c r="P827" s="64"/>
      <c r="Q827" s="64"/>
      <c r="R827" s="64"/>
      <c r="S827" s="64"/>
      <c r="T827" s="64"/>
      <c r="U827" s="64"/>
      <c r="V827" s="64"/>
      <c r="W827" s="64"/>
    </row>
    <row r="828" spans="1:23" ht="15.75" customHeight="1">
      <c r="A828" s="137"/>
      <c r="B828" s="64"/>
      <c r="C828" s="140"/>
      <c r="D828" s="64"/>
      <c r="E828" s="64"/>
      <c r="F828" s="64"/>
      <c r="G828" s="64"/>
      <c r="H828" s="64"/>
      <c r="I828" s="64"/>
      <c r="J828" s="64"/>
      <c r="K828" s="64"/>
      <c r="L828" s="64"/>
      <c r="M828" s="64"/>
      <c r="N828" s="64"/>
      <c r="O828" s="64"/>
      <c r="P828" s="64"/>
      <c r="Q828" s="64"/>
      <c r="R828" s="64"/>
      <c r="S828" s="64"/>
      <c r="T828" s="64"/>
      <c r="U828" s="64"/>
      <c r="V828" s="64"/>
      <c r="W828" s="64"/>
    </row>
    <row r="829" spans="1:23" ht="15.75" customHeight="1">
      <c r="A829" s="137"/>
      <c r="B829" s="64"/>
      <c r="C829" s="140"/>
      <c r="D829" s="64"/>
      <c r="E829" s="64"/>
      <c r="F829" s="64"/>
      <c r="G829" s="64"/>
      <c r="H829" s="64"/>
      <c r="I829" s="64"/>
      <c r="J829" s="64"/>
      <c r="K829" s="64"/>
      <c r="L829" s="64"/>
      <c r="M829" s="64"/>
      <c r="N829" s="64"/>
      <c r="O829" s="64"/>
      <c r="P829" s="64"/>
      <c r="Q829" s="64"/>
      <c r="R829" s="64"/>
      <c r="S829" s="64"/>
      <c r="T829" s="64"/>
      <c r="U829" s="64"/>
      <c r="V829" s="64"/>
      <c r="W829" s="64"/>
    </row>
    <row r="830" spans="1:23" ht="15.75" customHeight="1">
      <c r="A830" s="137"/>
      <c r="B830" s="64"/>
      <c r="C830" s="140"/>
      <c r="D830" s="64"/>
      <c r="E830" s="64"/>
      <c r="F830" s="64"/>
      <c r="G830" s="64"/>
      <c r="H830" s="64"/>
      <c r="I830" s="64"/>
      <c r="J830" s="64"/>
      <c r="K830" s="64"/>
      <c r="L830" s="64"/>
      <c r="M830" s="64"/>
      <c r="N830" s="64"/>
      <c r="O830" s="64"/>
      <c r="P830" s="64"/>
      <c r="Q830" s="64"/>
      <c r="R830" s="64"/>
      <c r="S830" s="64"/>
      <c r="T830" s="64"/>
      <c r="U830" s="64"/>
      <c r="V830" s="64"/>
      <c r="W830" s="64"/>
    </row>
    <row r="831" spans="1:23" ht="15.75" customHeight="1">
      <c r="A831" s="137"/>
      <c r="B831" s="64"/>
      <c r="C831" s="140"/>
      <c r="D831" s="64"/>
      <c r="E831" s="64"/>
      <c r="F831" s="64"/>
      <c r="G831" s="64"/>
      <c r="H831" s="64"/>
      <c r="I831" s="64"/>
      <c r="J831" s="64"/>
      <c r="K831" s="64"/>
      <c r="L831" s="64"/>
      <c r="M831" s="64"/>
      <c r="N831" s="64"/>
      <c r="O831" s="64"/>
      <c r="P831" s="64"/>
      <c r="Q831" s="64"/>
      <c r="R831" s="64"/>
      <c r="S831" s="64"/>
      <c r="T831" s="64"/>
      <c r="U831" s="64"/>
      <c r="V831" s="64"/>
      <c r="W831" s="64"/>
    </row>
    <row r="832" spans="1:23" ht="15.75" customHeight="1">
      <c r="A832" s="137"/>
      <c r="B832" s="64"/>
      <c r="C832" s="140"/>
      <c r="D832" s="64"/>
      <c r="E832" s="64"/>
      <c r="F832" s="64"/>
      <c r="G832" s="64"/>
      <c r="H832" s="64"/>
      <c r="I832" s="64"/>
      <c r="J832" s="64"/>
      <c r="K832" s="64"/>
      <c r="L832" s="64"/>
      <c r="M832" s="64"/>
      <c r="N832" s="64"/>
      <c r="O832" s="64"/>
      <c r="P832" s="64"/>
      <c r="Q832" s="64"/>
      <c r="R832" s="64"/>
      <c r="S832" s="64"/>
      <c r="T832" s="64"/>
      <c r="U832" s="64"/>
      <c r="V832" s="64"/>
      <c r="W832" s="64"/>
    </row>
    <row r="833" spans="1:23" ht="15.75" customHeight="1">
      <c r="A833" s="137"/>
      <c r="B833" s="64"/>
      <c r="C833" s="140"/>
      <c r="D833" s="64"/>
      <c r="E833" s="64"/>
      <c r="F833" s="64"/>
      <c r="G833" s="64"/>
      <c r="H833" s="64"/>
      <c r="I833" s="64"/>
      <c r="J833" s="64"/>
      <c r="K833" s="64"/>
      <c r="L833" s="64"/>
      <c r="M833" s="64"/>
      <c r="N833" s="64"/>
      <c r="O833" s="64"/>
      <c r="P833" s="64"/>
      <c r="Q833" s="64"/>
      <c r="R833" s="64"/>
      <c r="S833" s="64"/>
      <c r="T833" s="64"/>
      <c r="U833" s="64"/>
      <c r="V833" s="64"/>
      <c r="W833" s="64"/>
    </row>
    <row r="834" spans="1:23" ht="15.75" customHeight="1">
      <c r="A834" s="137"/>
      <c r="B834" s="64"/>
      <c r="C834" s="140"/>
      <c r="D834" s="64"/>
      <c r="E834" s="64"/>
      <c r="F834" s="64"/>
      <c r="G834" s="64"/>
      <c r="H834" s="64"/>
      <c r="I834" s="64"/>
      <c r="J834" s="64"/>
      <c r="K834" s="64"/>
      <c r="L834" s="64"/>
      <c r="M834" s="64"/>
      <c r="N834" s="64"/>
      <c r="O834" s="64"/>
      <c r="P834" s="64"/>
      <c r="Q834" s="64"/>
      <c r="R834" s="64"/>
      <c r="S834" s="64"/>
      <c r="T834" s="64"/>
      <c r="U834" s="64"/>
      <c r="V834" s="64"/>
      <c r="W834" s="64"/>
    </row>
    <row r="835" spans="1:23" ht="15.75" customHeight="1">
      <c r="A835" s="137"/>
      <c r="B835" s="64"/>
      <c r="C835" s="140"/>
      <c r="D835" s="64"/>
      <c r="E835" s="64"/>
      <c r="F835" s="64"/>
      <c r="G835" s="64"/>
      <c r="H835" s="64"/>
      <c r="I835" s="64"/>
      <c r="J835" s="64"/>
      <c r="K835" s="64"/>
      <c r="L835" s="64"/>
      <c r="M835" s="64"/>
      <c r="N835" s="64"/>
      <c r="O835" s="64"/>
      <c r="P835" s="64"/>
      <c r="Q835" s="64"/>
      <c r="R835" s="64"/>
      <c r="S835" s="64"/>
      <c r="T835" s="64"/>
      <c r="U835" s="64"/>
      <c r="V835" s="64"/>
      <c r="W835" s="64"/>
    </row>
    <row r="836" spans="1:23" ht="15.75" customHeight="1">
      <c r="A836" s="137"/>
      <c r="B836" s="64"/>
      <c r="C836" s="140"/>
      <c r="D836" s="64"/>
      <c r="E836" s="64"/>
      <c r="F836" s="64"/>
      <c r="G836" s="64"/>
      <c r="H836" s="64"/>
      <c r="I836" s="64"/>
      <c r="J836" s="64"/>
      <c r="K836" s="64"/>
      <c r="L836" s="64"/>
      <c r="M836" s="64"/>
      <c r="N836" s="64"/>
      <c r="O836" s="64"/>
      <c r="P836" s="64"/>
      <c r="Q836" s="64"/>
      <c r="R836" s="64"/>
      <c r="S836" s="64"/>
      <c r="T836" s="64"/>
      <c r="U836" s="64"/>
      <c r="V836" s="64"/>
      <c r="W836" s="64"/>
    </row>
    <row r="837" spans="1:23" ht="15.75" customHeight="1">
      <c r="A837" s="137"/>
      <c r="B837" s="64"/>
      <c r="C837" s="140"/>
      <c r="D837" s="64"/>
      <c r="E837" s="64"/>
      <c r="F837" s="64"/>
      <c r="G837" s="64"/>
      <c r="H837" s="64"/>
      <c r="I837" s="64"/>
      <c r="J837" s="64"/>
      <c r="K837" s="64"/>
      <c r="L837" s="64"/>
      <c r="M837" s="64"/>
      <c r="N837" s="64"/>
      <c r="O837" s="64"/>
      <c r="P837" s="64"/>
      <c r="Q837" s="64"/>
      <c r="R837" s="64"/>
      <c r="S837" s="64"/>
      <c r="T837" s="64"/>
      <c r="U837" s="64"/>
      <c r="V837" s="64"/>
      <c r="W837" s="64"/>
    </row>
    <row r="838" spans="1:23" ht="15.75" customHeight="1">
      <c r="A838" s="137"/>
      <c r="B838" s="64"/>
      <c r="C838" s="140"/>
      <c r="D838" s="64"/>
      <c r="E838" s="64"/>
      <c r="F838" s="64"/>
      <c r="G838" s="64"/>
      <c r="H838" s="64"/>
      <c r="I838" s="64"/>
      <c r="J838" s="64"/>
      <c r="K838" s="64"/>
      <c r="L838" s="64"/>
      <c r="M838" s="64"/>
      <c r="N838" s="64"/>
      <c r="O838" s="64"/>
      <c r="P838" s="64"/>
      <c r="Q838" s="64"/>
      <c r="R838" s="64"/>
      <c r="S838" s="64"/>
      <c r="T838" s="64"/>
      <c r="U838" s="64"/>
      <c r="V838" s="64"/>
      <c r="W838" s="64"/>
    </row>
    <row r="839" spans="1:23" ht="15.75" customHeight="1">
      <c r="A839" s="137"/>
      <c r="B839" s="64"/>
      <c r="C839" s="140"/>
      <c r="D839" s="64"/>
      <c r="E839" s="64"/>
      <c r="F839" s="64"/>
      <c r="G839" s="64"/>
      <c r="H839" s="64"/>
      <c r="I839" s="64"/>
      <c r="J839" s="64"/>
      <c r="K839" s="64"/>
      <c r="L839" s="64"/>
      <c r="M839" s="64"/>
      <c r="N839" s="64"/>
      <c r="O839" s="64"/>
      <c r="P839" s="64"/>
      <c r="Q839" s="64"/>
      <c r="R839" s="64"/>
      <c r="S839" s="64"/>
      <c r="T839" s="64"/>
      <c r="U839" s="64"/>
      <c r="V839" s="64"/>
      <c r="W839" s="64"/>
    </row>
    <row r="840" spans="1:23" ht="15.75" customHeight="1">
      <c r="A840" s="137"/>
      <c r="B840" s="64"/>
      <c r="C840" s="140"/>
      <c r="D840" s="64"/>
      <c r="E840" s="64"/>
      <c r="F840" s="64"/>
      <c r="G840" s="64"/>
      <c r="H840" s="64"/>
      <c r="I840" s="64"/>
      <c r="J840" s="64"/>
      <c r="K840" s="64"/>
      <c r="L840" s="64"/>
      <c r="M840" s="64"/>
      <c r="N840" s="64"/>
      <c r="O840" s="64"/>
      <c r="P840" s="64"/>
      <c r="Q840" s="64"/>
      <c r="R840" s="64"/>
      <c r="S840" s="64"/>
      <c r="T840" s="64"/>
      <c r="U840" s="64"/>
      <c r="V840" s="64"/>
      <c r="W840" s="64"/>
    </row>
    <row r="841" spans="1:23" ht="15.75" customHeight="1">
      <c r="A841" s="137"/>
      <c r="B841" s="64"/>
      <c r="C841" s="140"/>
      <c r="D841" s="64"/>
      <c r="E841" s="64"/>
      <c r="F841" s="64"/>
      <c r="G841" s="64"/>
      <c r="H841" s="64"/>
      <c r="I841" s="64"/>
      <c r="J841" s="64"/>
      <c r="K841" s="64"/>
      <c r="L841" s="64"/>
      <c r="M841" s="64"/>
      <c r="N841" s="64"/>
      <c r="O841" s="64"/>
      <c r="P841" s="64"/>
      <c r="Q841" s="64"/>
      <c r="R841" s="64"/>
      <c r="S841" s="64"/>
      <c r="T841" s="64"/>
      <c r="U841" s="64"/>
      <c r="V841" s="64"/>
      <c r="W841" s="64"/>
    </row>
    <row r="842" spans="1:23" ht="15.75" customHeight="1">
      <c r="A842" s="137"/>
      <c r="B842" s="64"/>
      <c r="C842" s="140"/>
      <c r="D842" s="64"/>
      <c r="E842" s="64"/>
      <c r="F842" s="64"/>
      <c r="G842" s="64"/>
      <c r="H842" s="64"/>
      <c r="I842" s="64"/>
      <c r="J842" s="64"/>
      <c r="K842" s="64"/>
      <c r="L842" s="64"/>
      <c r="M842" s="64"/>
      <c r="N842" s="64"/>
      <c r="O842" s="64"/>
      <c r="P842" s="64"/>
      <c r="Q842" s="64"/>
      <c r="R842" s="64"/>
      <c r="S842" s="64"/>
      <c r="T842" s="64"/>
      <c r="U842" s="64"/>
      <c r="V842" s="64"/>
      <c r="W842" s="64"/>
    </row>
    <row r="843" spans="1:23" ht="15.75" customHeight="1">
      <c r="A843" s="137"/>
      <c r="B843" s="64"/>
      <c r="C843" s="140"/>
      <c r="D843" s="64"/>
      <c r="E843" s="64"/>
      <c r="F843" s="64"/>
      <c r="G843" s="64"/>
      <c r="H843" s="64"/>
      <c r="I843" s="64"/>
      <c r="J843" s="64"/>
      <c r="K843" s="64"/>
      <c r="L843" s="64"/>
      <c r="M843" s="64"/>
      <c r="N843" s="64"/>
      <c r="O843" s="64"/>
      <c r="P843" s="64"/>
      <c r="Q843" s="64"/>
      <c r="R843" s="64"/>
      <c r="S843" s="64"/>
      <c r="T843" s="64"/>
      <c r="U843" s="64"/>
      <c r="V843" s="64"/>
      <c r="W843" s="64"/>
    </row>
    <row r="844" spans="1:23" ht="15.75" customHeight="1">
      <c r="A844" s="137"/>
      <c r="B844" s="64"/>
      <c r="C844" s="140"/>
      <c r="D844" s="64"/>
      <c r="E844" s="64"/>
      <c r="F844" s="64"/>
      <c r="G844" s="64"/>
      <c r="H844" s="64"/>
      <c r="I844" s="64"/>
      <c r="J844" s="64"/>
      <c r="K844" s="64"/>
      <c r="L844" s="64"/>
      <c r="M844" s="64"/>
      <c r="N844" s="64"/>
      <c r="O844" s="64"/>
      <c r="P844" s="64"/>
      <c r="Q844" s="64"/>
      <c r="R844" s="64"/>
      <c r="S844" s="64"/>
      <c r="T844" s="64"/>
      <c r="U844" s="64"/>
      <c r="V844" s="64"/>
      <c r="W844" s="64"/>
    </row>
    <row r="845" spans="1:23" ht="15.75" customHeight="1">
      <c r="A845" s="137"/>
      <c r="B845" s="64"/>
      <c r="C845" s="140"/>
      <c r="D845" s="64"/>
      <c r="E845" s="64"/>
      <c r="F845" s="64"/>
      <c r="G845" s="64"/>
      <c r="H845" s="64"/>
      <c r="I845" s="64"/>
      <c r="J845" s="64"/>
      <c r="K845" s="64"/>
      <c r="L845" s="64"/>
      <c r="M845" s="64"/>
      <c r="N845" s="64"/>
      <c r="O845" s="64"/>
      <c r="P845" s="64"/>
      <c r="Q845" s="64"/>
      <c r="R845" s="64"/>
      <c r="S845" s="64"/>
      <c r="T845" s="64"/>
      <c r="U845" s="64"/>
      <c r="V845" s="64"/>
      <c r="W845" s="64"/>
    </row>
    <row r="846" spans="1:23" ht="15.75" customHeight="1">
      <c r="A846" s="137"/>
      <c r="B846" s="64"/>
      <c r="C846" s="140"/>
      <c r="D846" s="64"/>
      <c r="E846" s="64"/>
      <c r="F846" s="64"/>
      <c r="G846" s="64"/>
      <c r="H846" s="64"/>
      <c r="I846" s="64"/>
      <c r="J846" s="64"/>
      <c r="K846" s="64"/>
      <c r="L846" s="64"/>
      <c r="M846" s="64"/>
      <c r="N846" s="64"/>
      <c r="O846" s="64"/>
      <c r="P846" s="64"/>
      <c r="Q846" s="64"/>
      <c r="R846" s="64"/>
      <c r="S846" s="64"/>
      <c r="T846" s="64"/>
      <c r="U846" s="64"/>
      <c r="V846" s="64"/>
      <c r="W846" s="64"/>
    </row>
    <row r="847" spans="1:23" ht="15.75" customHeight="1">
      <c r="A847" s="137"/>
      <c r="B847" s="64"/>
      <c r="C847" s="140"/>
      <c r="D847" s="64"/>
      <c r="E847" s="64"/>
      <c r="F847" s="64"/>
      <c r="G847" s="64"/>
      <c r="H847" s="64"/>
      <c r="I847" s="64"/>
      <c r="J847" s="64"/>
      <c r="K847" s="64"/>
      <c r="L847" s="64"/>
      <c r="M847" s="64"/>
      <c r="N847" s="64"/>
      <c r="O847" s="64"/>
      <c r="P847" s="64"/>
      <c r="Q847" s="64"/>
      <c r="R847" s="64"/>
      <c r="S847" s="64"/>
      <c r="T847" s="64"/>
      <c r="U847" s="64"/>
      <c r="V847" s="64"/>
      <c r="W847" s="64"/>
    </row>
    <row r="848" spans="1:23" ht="15.75" customHeight="1">
      <c r="A848" s="137"/>
      <c r="B848" s="64"/>
      <c r="C848" s="140"/>
      <c r="D848" s="64"/>
      <c r="E848" s="64"/>
      <c r="F848" s="64"/>
      <c r="G848" s="64"/>
      <c r="H848" s="64"/>
      <c r="I848" s="64"/>
      <c r="J848" s="64"/>
      <c r="K848" s="64"/>
      <c r="L848" s="64"/>
      <c r="M848" s="64"/>
      <c r="N848" s="64"/>
      <c r="O848" s="64"/>
      <c r="P848" s="64"/>
      <c r="Q848" s="64"/>
      <c r="R848" s="64"/>
      <c r="S848" s="64"/>
      <c r="T848" s="64"/>
      <c r="U848" s="64"/>
      <c r="V848" s="64"/>
      <c r="W848" s="64"/>
    </row>
    <row r="849" spans="1:23" ht="15.75" customHeight="1">
      <c r="A849" s="137"/>
      <c r="B849" s="64"/>
      <c r="C849" s="140"/>
      <c r="D849" s="64"/>
      <c r="E849" s="64"/>
      <c r="F849" s="64"/>
      <c r="G849" s="64"/>
      <c r="H849" s="64"/>
      <c r="I849" s="64"/>
      <c r="J849" s="64"/>
      <c r="K849" s="64"/>
      <c r="L849" s="64"/>
      <c r="M849" s="64"/>
      <c r="N849" s="64"/>
      <c r="O849" s="64"/>
      <c r="P849" s="64"/>
      <c r="Q849" s="64"/>
      <c r="R849" s="64"/>
      <c r="S849" s="64"/>
      <c r="T849" s="64"/>
      <c r="U849" s="64"/>
      <c r="V849" s="64"/>
      <c r="W849" s="64"/>
    </row>
    <row r="850" spans="1:23" ht="15.75" customHeight="1">
      <c r="A850" s="137"/>
      <c r="B850" s="64"/>
      <c r="C850" s="140"/>
      <c r="D850" s="64"/>
      <c r="E850" s="64"/>
      <c r="F850" s="64"/>
      <c r="G850" s="64"/>
      <c r="H850" s="64"/>
      <c r="I850" s="64"/>
      <c r="J850" s="64"/>
      <c r="K850" s="64"/>
      <c r="L850" s="64"/>
      <c r="M850" s="64"/>
      <c r="N850" s="64"/>
      <c r="O850" s="64"/>
      <c r="P850" s="64"/>
      <c r="Q850" s="64"/>
      <c r="R850" s="64"/>
      <c r="S850" s="64"/>
      <c r="T850" s="64"/>
      <c r="U850" s="64"/>
      <c r="V850" s="64"/>
      <c r="W850" s="64"/>
    </row>
    <row r="851" spans="1:23" ht="15.75" customHeight="1">
      <c r="A851" s="137"/>
      <c r="B851" s="64"/>
      <c r="C851" s="140"/>
      <c r="D851" s="64"/>
      <c r="E851" s="64"/>
      <c r="F851" s="64"/>
      <c r="G851" s="64"/>
      <c r="H851" s="64"/>
      <c r="I851" s="64"/>
      <c r="J851" s="64"/>
      <c r="K851" s="64"/>
      <c r="L851" s="64"/>
      <c r="M851" s="64"/>
      <c r="N851" s="64"/>
      <c r="O851" s="64"/>
      <c r="P851" s="64"/>
      <c r="Q851" s="64"/>
      <c r="R851" s="64"/>
      <c r="S851" s="64"/>
      <c r="T851" s="64"/>
      <c r="U851" s="64"/>
      <c r="V851" s="64"/>
      <c r="W851" s="64"/>
    </row>
    <row r="852" spans="1:23" ht="15.75" customHeight="1">
      <c r="A852" s="137"/>
      <c r="B852" s="64"/>
      <c r="C852" s="140"/>
      <c r="D852" s="64"/>
      <c r="E852" s="64"/>
      <c r="F852" s="64"/>
      <c r="G852" s="64"/>
      <c r="H852" s="64"/>
      <c r="I852" s="64"/>
      <c r="J852" s="64"/>
      <c r="K852" s="64"/>
      <c r="L852" s="64"/>
      <c r="M852" s="64"/>
      <c r="N852" s="64"/>
      <c r="O852" s="64"/>
      <c r="P852" s="64"/>
      <c r="Q852" s="64"/>
      <c r="R852" s="64"/>
      <c r="S852" s="64"/>
      <c r="T852" s="64"/>
      <c r="U852" s="64"/>
      <c r="V852" s="64"/>
      <c r="W852" s="64"/>
    </row>
    <row r="853" spans="1:23" ht="15.75" customHeight="1">
      <c r="A853" s="137"/>
      <c r="B853" s="64"/>
      <c r="C853" s="140"/>
      <c r="D853" s="64"/>
      <c r="E853" s="64"/>
      <c r="F853" s="64"/>
      <c r="G853" s="64"/>
      <c r="H853" s="64"/>
      <c r="I853" s="64"/>
      <c r="J853" s="64"/>
      <c r="K853" s="64"/>
      <c r="L853" s="64"/>
      <c r="M853" s="64"/>
      <c r="N853" s="64"/>
      <c r="O853" s="64"/>
      <c r="P853" s="64"/>
      <c r="Q853" s="64"/>
      <c r="R853" s="64"/>
      <c r="S853" s="64"/>
      <c r="T853" s="64"/>
      <c r="U853" s="64"/>
      <c r="V853" s="64"/>
      <c r="W853" s="64"/>
    </row>
    <row r="854" spans="1:23" ht="15.75" customHeight="1">
      <c r="A854" s="137"/>
      <c r="B854" s="64"/>
      <c r="C854" s="140"/>
      <c r="D854" s="64"/>
      <c r="E854" s="64"/>
      <c r="F854" s="64"/>
      <c r="G854" s="64"/>
      <c r="H854" s="64"/>
      <c r="I854" s="64"/>
      <c r="J854" s="64"/>
      <c r="K854" s="64"/>
      <c r="L854" s="64"/>
      <c r="M854" s="64"/>
      <c r="N854" s="64"/>
      <c r="O854" s="64"/>
      <c r="P854" s="64"/>
      <c r="Q854" s="64"/>
      <c r="R854" s="64"/>
      <c r="S854" s="64"/>
      <c r="T854" s="64"/>
      <c r="U854" s="64"/>
      <c r="V854" s="64"/>
      <c r="W854" s="64"/>
    </row>
    <row r="855" spans="1:23" ht="15.75" customHeight="1">
      <c r="A855" s="137"/>
      <c r="B855" s="64"/>
      <c r="C855" s="140"/>
      <c r="D855" s="64"/>
      <c r="E855" s="64"/>
      <c r="F855" s="64"/>
      <c r="G855" s="64"/>
      <c r="H855" s="64"/>
      <c r="I855" s="64"/>
      <c r="J855" s="64"/>
      <c r="K855" s="64"/>
      <c r="L855" s="64"/>
      <c r="M855" s="64"/>
      <c r="N855" s="64"/>
      <c r="O855" s="64"/>
      <c r="P855" s="64"/>
      <c r="Q855" s="64"/>
      <c r="R855" s="64"/>
      <c r="S855" s="64"/>
      <c r="T855" s="64"/>
      <c r="U855" s="64"/>
      <c r="V855" s="64"/>
      <c r="W855" s="64"/>
    </row>
    <row r="856" spans="1:23" ht="15.75" customHeight="1">
      <c r="A856" s="137"/>
      <c r="B856" s="64"/>
      <c r="C856" s="140"/>
      <c r="D856" s="64"/>
      <c r="E856" s="64"/>
      <c r="F856" s="64"/>
      <c r="G856" s="64"/>
      <c r="H856" s="64"/>
      <c r="I856" s="64"/>
      <c r="J856" s="64"/>
      <c r="K856" s="64"/>
      <c r="L856" s="64"/>
      <c r="M856" s="64"/>
      <c r="N856" s="64"/>
      <c r="O856" s="64"/>
      <c r="P856" s="64"/>
      <c r="Q856" s="64"/>
      <c r="R856" s="64"/>
      <c r="S856" s="64"/>
      <c r="T856" s="64"/>
      <c r="U856" s="64"/>
      <c r="V856" s="64"/>
      <c r="W856" s="64"/>
    </row>
    <row r="857" spans="1:23" ht="15.75" customHeight="1">
      <c r="A857" s="137"/>
      <c r="B857" s="64"/>
      <c r="C857" s="140"/>
      <c r="D857" s="64"/>
      <c r="E857" s="64"/>
      <c r="F857" s="64"/>
      <c r="G857" s="64"/>
      <c r="H857" s="64"/>
      <c r="I857" s="64"/>
      <c r="J857" s="64"/>
      <c r="K857" s="64"/>
      <c r="L857" s="64"/>
      <c r="M857" s="64"/>
      <c r="N857" s="64"/>
      <c r="O857" s="64"/>
      <c r="P857" s="64"/>
      <c r="Q857" s="64"/>
      <c r="R857" s="64"/>
      <c r="S857" s="64"/>
      <c r="T857" s="64"/>
      <c r="U857" s="64"/>
      <c r="V857" s="64"/>
      <c r="W857" s="64"/>
    </row>
    <row r="858" spans="1:23" ht="15.75" customHeight="1">
      <c r="A858" s="137"/>
      <c r="B858" s="64"/>
      <c r="C858" s="140"/>
      <c r="D858" s="64"/>
      <c r="E858" s="64"/>
      <c r="F858" s="64"/>
      <c r="G858" s="64"/>
      <c r="H858" s="64"/>
      <c r="I858" s="64"/>
      <c r="J858" s="64"/>
      <c r="K858" s="64"/>
      <c r="L858" s="64"/>
      <c r="M858" s="64"/>
      <c r="N858" s="64"/>
      <c r="O858" s="64"/>
      <c r="P858" s="64"/>
      <c r="Q858" s="64"/>
      <c r="R858" s="64"/>
      <c r="S858" s="64"/>
      <c r="T858" s="64"/>
      <c r="U858" s="64"/>
      <c r="V858" s="64"/>
      <c r="W858" s="64"/>
    </row>
    <row r="859" spans="1:23" ht="15.75" customHeight="1">
      <c r="A859" s="137"/>
      <c r="B859" s="64"/>
      <c r="C859" s="140"/>
      <c r="D859" s="64"/>
      <c r="E859" s="64"/>
      <c r="F859" s="64"/>
      <c r="G859" s="64"/>
      <c r="H859" s="64"/>
      <c r="I859" s="64"/>
      <c r="J859" s="64"/>
      <c r="K859" s="64"/>
      <c r="L859" s="64"/>
      <c r="M859" s="64"/>
      <c r="N859" s="64"/>
      <c r="O859" s="64"/>
      <c r="P859" s="64"/>
      <c r="Q859" s="64"/>
      <c r="R859" s="64"/>
      <c r="S859" s="64"/>
      <c r="T859" s="64"/>
      <c r="U859" s="64"/>
      <c r="V859" s="64"/>
      <c r="W859" s="64"/>
    </row>
    <row r="860" spans="1:23" ht="15.75" customHeight="1">
      <c r="A860" s="137"/>
      <c r="B860" s="64"/>
      <c r="C860" s="140"/>
      <c r="D860" s="64"/>
      <c r="E860" s="64"/>
      <c r="F860" s="64"/>
      <c r="G860" s="64"/>
      <c r="H860" s="64"/>
      <c r="I860" s="64"/>
      <c r="J860" s="64"/>
      <c r="K860" s="64"/>
      <c r="L860" s="64"/>
      <c r="M860" s="64"/>
      <c r="N860" s="64"/>
      <c r="O860" s="64"/>
      <c r="P860" s="64"/>
      <c r="Q860" s="64"/>
      <c r="R860" s="64"/>
      <c r="S860" s="64"/>
      <c r="T860" s="64"/>
      <c r="U860" s="64"/>
      <c r="V860" s="64"/>
      <c r="W860" s="64"/>
    </row>
    <row r="861" spans="1:23" ht="15.75" customHeight="1">
      <c r="A861" s="137"/>
      <c r="B861" s="64"/>
      <c r="C861" s="140"/>
      <c r="D861" s="64"/>
      <c r="E861" s="64"/>
      <c r="F861" s="64"/>
      <c r="G861" s="64"/>
      <c r="H861" s="64"/>
      <c r="I861" s="64"/>
      <c r="J861" s="64"/>
      <c r="K861" s="64"/>
      <c r="L861" s="64"/>
      <c r="M861" s="64"/>
      <c r="N861" s="64"/>
      <c r="O861" s="64"/>
      <c r="P861" s="64"/>
      <c r="Q861" s="64"/>
      <c r="R861" s="64"/>
      <c r="S861" s="64"/>
      <c r="T861" s="64"/>
      <c r="U861" s="64"/>
      <c r="V861" s="64"/>
      <c r="W861" s="64"/>
    </row>
    <row r="862" spans="1:23" ht="15.75" customHeight="1">
      <c r="A862" s="137"/>
      <c r="B862" s="64"/>
      <c r="C862" s="140"/>
      <c r="D862" s="64"/>
      <c r="E862" s="64"/>
      <c r="F862" s="64"/>
      <c r="G862" s="64"/>
      <c r="H862" s="64"/>
      <c r="I862" s="64"/>
      <c r="J862" s="64"/>
      <c r="K862" s="64"/>
      <c r="L862" s="64"/>
      <c r="M862" s="64"/>
      <c r="N862" s="64"/>
      <c r="O862" s="64"/>
      <c r="P862" s="64"/>
      <c r="Q862" s="64"/>
      <c r="R862" s="64"/>
      <c r="S862" s="64"/>
      <c r="T862" s="64"/>
      <c r="U862" s="64"/>
      <c r="V862" s="64"/>
      <c r="W862" s="64"/>
    </row>
    <row r="863" spans="1:23" ht="15.75" customHeight="1">
      <c r="A863" s="137"/>
      <c r="B863" s="64"/>
      <c r="C863" s="140"/>
      <c r="D863" s="64"/>
      <c r="E863" s="64"/>
      <c r="F863" s="64"/>
      <c r="G863" s="64"/>
      <c r="H863" s="64"/>
      <c r="I863" s="64"/>
      <c r="J863" s="64"/>
      <c r="K863" s="64"/>
      <c r="L863" s="64"/>
      <c r="M863" s="64"/>
      <c r="N863" s="64"/>
      <c r="O863" s="64"/>
      <c r="P863" s="64"/>
      <c r="Q863" s="64"/>
      <c r="R863" s="64"/>
      <c r="S863" s="64"/>
      <c r="T863" s="64"/>
      <c r="U863" s="64"/>
      <c r="V863" s="64"/>
      <c r="W863" s="64"/>
    </row>
    <row r="864" spans="1:23" ht="15.75" customHeight="1">
      <c r="A864" s="137"/>
      <c r="B864" s="64"/>
      <c r="C864" s="140"/>
      <c r="D864" s="64"/>
      <c r="E864" s="64"/>
      <c r="F864" s="64"/>
      <c r="G864" s="64"/>
      <c r="H864" s="64"/>
      <c r="I864" s="64"/>
      <c r="J864" s="64"/>
      <c r="K864" s="64"/>
      <c r="L864" s="64"/>
      <c r="M864" s="64"/>
      <c r="N864" s="64"/>
      <c r="O864" s="64"/>
      <c r="P864" s="64"/>
      <c r="Q864" s="64"/>
      <c r="R864" s="64"/>
      <c r="S864" s="64"/>
      <c r="T864" s="64"/>
      <c r="U864" s="64"/>
      <c r="V864" s="64"/>
      <c r="W864" s="64"/>
    </row>
    <row r="865" spans="1:23" ht="15.75" customHeight="1">
      <c r="A865" s="137"/>
      <c r="B865" s="64"/>
      <c r="C865" s="140"/>
      <c r="D865" s="64"/>
      <c r="E865" s="64"/>
      <c r="F865" s="64"/>
      <c r="G865" s="64"/>
      <c r="H865" s="64"/>
      <c r="I865" s="64"/>
      <c r="J865" s="64"/>
      <c r="K865" s="64"/>
      <c r="L865" s="64"/>
      <c r="M865" s="64"/>
      <c r="N865" s="64"/>
      <c r="O865" s="64"/>
      <c r="P865" s="64"/>
      <c r="Q865" s="64"/>
      <c r="R865" s="64"/>
      <c r="S865" s="64"/>
      <c r="T865" s="64"/>
      <c r="U865" s="64"/>
      <c r="V865" s="64"/>
      <c r="W865" s="64"/>
    </row>
    <row r="866" spans="1:23" ht="15.75" customHeight="1">
      <c r="A866" s="137"/>
      <c r="B866" s="64"/>
      <c r="C866" s="140"/>
      <c r="D866" s="64"/>
      <c r="E866" s="64"/>
      <c r="F866" s="64"/>
      <c r="G866" s="64"/>
      <c r="H866" s="64"/>
      <c r="I866" s="64"/>
      <c r="J866" s="64"/>
      <c r="K866" s="64"/>
      <c r="L866" s="64"/>
      <c r="M866" s="64"/>
      <c r="N866" s="64"/>
      <c r="O866" s="64"/>
      <c r="P866" s="64"/>
      <c r="Q866" s="64"/>
      <c r="R866" s="64"/>
      <c r="S866" s="64"/>
      <c r="T866" s="64"/>
      <c r="U866" s="64"/>
      <c r="V866" s="64"/>
      <c r="W866" s="64"/>
    </row>
    <row r="867" spans="1:23" ht="15.75" customHeight="1">
      <c r="A867" s="137"/>
      <c r="B867" s="64"/>
      <c r="C867" s="140"/>
      <c r="D867" s="64"/>
      <c r="E867" s="64"/>
      <c r="F867" s="64"/>
      <c r="G867" s="64"/>
      <c r="H867" s="64"/>
      <c r="I867" s="64"/>
      <c r="J867" s="64"/>
      <c r="K867" s="64"/>
      <c r="L867" s="64"/>
      <c r="M867" s="64"/>
      <c r="N867" s="64"/>
      <c r="O867" s="64"/>
      <c r="P867" s="64"/>
      <c r="Q867" s="64"/>
      <c r="R867" s="64"/>
      <c r="S867" s="64"/>
      <c r="T867" s="64"/>
      <c r="U867" s="64"/>
      <c r="V867" s="64"/>
      <c r="W867" s="64"/>
    </row>
    <row r="868" spans="1:23" ht="15.75" customHeight="1">
      <c r="A868" s="137"/>
      <c r="B868" s="64"/>
      <c r="C868" s="140"/>
      <c r="D868" s="64"/>
      <c r="E868" s="64"/>
      <c r="F868" s="64"/>
      <c r="G868" s="64"/>
      <c r="H868" s="64"/>
      <c r="I868" s="64"/>
      <c r="J868" s="64"/>
      <c r="K868" s="64"/>
      <c r="L868" s="64"/>
      <c r="M868" s="64"/>
      <c r="N868" s="64"/>
      <c r="O868" s="64"/>
      <c r="P868" s="64"/>
      <c r="Q868" s="64"/>
      <c r="R868" s="64"/>
      <c r="S868" s="64"/>
      <c r="T868" s="64"/>
      <c r="U868" s="64"/>
      <c r="V868" s="64"/>
      <c r="W868" s="64"/>
    </row>
    <row r="869" spans="1:23" ht="15.75" customHeight="1">
      <c r="A869" s="137"/>
      <c r="B869" s="64"/>
      <c r="C869" s="140"/>
      <c r="D869" s="64"/>
      <c r="E869" s="64"/>
      <c r="F869" s="64"/>
      <c r="G869" s="64"/>
      <c r="H869" s="64"/>
      <c r="I869" s="64"/>
      <c r="J869" s="64"/>
      <c r="K869" s="64"/>
      <c r="L869" s="64"/>
      <c r="M869" s="64"/>
      <c r="N869" s="64"/>
      <c r="O869" s="64"/>
      <c r="P869" s="64"/>
      <c r="Q869" s="64"/>
      <c r="R869" s="64"/>
      <c r="S869" s="64"/>
      <c r="T869" s="64"/>
      <c r="U869" s="64"/>
      <c r="V869" s="64"/>
      <c r="W869" s="64"/>
    </row>
    <row r="870" spans="1:23" ht="15.75" customHeight="1">
      <c r="A870" s="137"/>
      <c r="B870" s="64"/>
      <c r="C870" s="140"/>
      <c r="D870" s="64"/>
      <c r="E870" s="64"/>
      <c r="F870" s="64"/>
      <c r="G870" s="64"/>
      <c r="H870" s="64"/>
      <c r="I870" s="64"/>
      <c r="J870" s="64"/>
      <c r="K870" s="64"/>
      <c r="L870" s="64"/>
      <c r="M870" s="64"/>
      <c r="N870" s="64"/>
      <c r="O870" s="64"/>
      <c r="P870" s="64"/>
      <c r="Q870" s="64"/>
      <c r="R870" s="64"/>
      <c r="S870" s="64"/>
      <c r="T870" s="64"/>
      <c r="U870" s="64"/>
      <c r="V870" s="64"/>
      <c r="W870" s="64"/>
    </row>
    <row r="871" spans="1:23" ht="15.75" customHeight="1">
      <c r="A871" s="137"/>
      <c r="B871" s="64"/>
      <c r="C871" s="140"/>
      <c r="D871" s="64"/>
      <c r="E871" s="64"/>
      <c r="F871" s="64"/>
      <c r="G871" s="64"/>
      <c r="H871" s="64"/>
      <c r="I871" s="64"/>
      <c r="J871" s="64"/>
      <c r="K871" s="64"/>
      <c r="L871" s="64"/>
      <c r="M871" s="64"/>
      <c r="N871" s="64"/>
      <c r="O871" s="64"/>
      <c r="P871" s="64"/>
      <c r="Q871" s="64"/>
      <c r="R871" s="64"/>
      <c r="S871" s="64"/>
      <c r="T871" s="64"/>
      <c r="U871" s="64"/>
      <c r="V871" s="64"/>
      <c r="W871" s="64"/>
    </row>
    <row r="872" spans="1:23" ht="15.75" customHeight="1">
      <c r="A872" s="137"/>
      <c r="B872" s="64"/>
      <c r="C872" s="140"/>
      <c r="D872" s="64"/>
      <c r="E872" s="64"/>
      <c r="F872" s="64"/>
      <c r="G872" s="64"/>
      <c r="H872" s="64"/>
      <c r="I872" s="64"/>
      <c r="J872" s="64"/>
      <c r="K872" s="64"/>
      <c r="L872" s="64"/>
      <c r="M872" s="64"/>
      <c r="N872" s="64"/>
      <c r="O872" s="64"/>
      <c r="P872" s="64"/>
      <c r="Q872" s="64"/>
      <c r="R872" s="64"/>
      <c r="S872" s="64"/>
      <c r="T872" s="64"/>
      <c r="U872" s="64"/>
      <c r="V872" s="64"/>
      <c r="W872" s="64"/>
    </row>
    <row r="873" spans="1:23" ht="15.75" customHeight="1">
      <c r="A873" s="137"/>
      <c r="B873" s="64"/>
      <c r="C873" s="140"/>
      <c r="D873" s="64"/>
      <c r="E873" s="64"/>
      <c r="F873" s="64"/>
      <c r="G873" s="64"/>
      <c r="H873" s="64"/>
      <c r="I873" s="64"/>
      <c r="J873" s="64"/>
      <c r="K873" s="64"/>
      <c r="L873" s="64"/>
      <c r="M873" s="64"/>
      <c r="N873" s="64"/>
      <c r="O873" s="64"/>
      <c r="P873" s="64"/>
      <c r="Q873" s="64"/>
      <c r="R873" s="64"/>
      <c r="S873" s="64"/>
      <c r="T873" s="64"/>
      <c r="U873" s="64"/>
      <c r="V873" s="64"/>
      <c r="W873" s="64"/>
    </row>
    <row r="874" spans="1:23" ht="15.75" customHeight="1">
      <c r="A874" s="137"/>
      <c r="B874" s="64"/>
      <c r="C874" s="140"/>
      <c r="D874" s="64"/>
      <c r="E874" s="64"/>
      <c r="F874" s="64"/>
      <c r="G874" s="64"/>
      <c r="H874" s="64"/>
      <c r="I874" s="64"/>
      <c r="J874" s="64"/>
      <c r="K874" s="64"/>
      <c r="L874" s="64"/>
      <c r="M874" s="64"/>
      <c r="N874" s="64"/>
      <c r="O874" s="64"/>
      <c r="P874" s="64"/>
      <c r="Q874" s="64"/>
      <c r="R874" s="64"/>
      <c r="S874" s="64"/>
      <c r="T874" s="64"/>
      <c r="U874" s="64"/>
      <c r="V874" s="64"/>
      <c r="W874" s="64"/>
    </row>
    <row r="875" spans="1:23" ht="15.75" customHeight="1">
      <c r="A875" s="137"/>
      <c r="B875" s="64"/>
      <c r="C875" s="140"/>
      <c r="D875" s="64"/>
      <c r="E875" s="64"/>
      <c r="F875" s="64"/>
      <c r="G875" s="64"/>
      <c r="H875" s="64"/>
      <c r="I875" s="64"/>
      <c r="J875" s="64"/>
      <c r="K875" s="64"/>
      <c r="L875" s="64"/>
      <c r="M875" s="64"/>
      <c r="N875" s="64"/>
      <c r="O875" s="64"/>
      <c r="P875" s="64"/>
      <c r="Q875" s="64"/>
      <c r="R875" s="64"/>
      <c r="S875" s="64"/>
      <c r="T875" s="64"/>
      <c r="U875" s="64"/>
      <c r="V875" s="64"/>
      <c r="W875" s="64"/>
    </row>
    <row r="876" spans="1:23" ht="15.75" customHeight="1">
      <c r="A876" s="137"/>
      <c r="B876" s="64"/>
      <c r="C876" s="140"/>
      <c r="D876" s="64"/>
      <c r="E876" s="64"/>
      <c r="F876" s="64"/>
      <c r="G876" s="64"/>
      <c r="H876" s="64"/>
      <c r="I876" s="64"/>
      <c r="J876" s="64"/>
      <c r="K876" s="64"/>
      <c r="L876" s="64"/>
      <c r="M876" s="64"/>
      <c r="N876" s="64"/>
      <c r="O876" s="64"/>
      <c r="P876" s="64"/>
      <c r="Q876" s="64"/>
      <c r="R876" s="64"/>
      <c r="S876" s="64"/>
      <c r="T876" s="64"/>
      <c r="U876" s="64"/>
      <c r="V876" s="64"/>
      <c r="W876" s="64"/>
    </row>
    <row r="877" spans="1:23" ht="15.75" customHeight="1">
      <c r="A877" s="137"/>
      <c r="B877" s="64"/>
      <c r="C877" s="140"/>
      <c r="D877" s="64"/>
      <c r="E877" s="64"/>
      <c r="F877" s="64"/>
      <c r="G877" s="64"/>
      <c r="H877" s="64"/>
      <c r="I877" s="64"/>
      <c r="J877" s="64"/>
      <c r="K877" s="64"/>
      <c r="L877" s="64"/>
      <c r="M877" s="64"/>
      <c r="N877" s="64"/>
      <c r="O877" s="64"/>
      <c r="P877" s="64"/>
      <c r="Q877" s="64"/>
      <c r="R877" s="64"/>
      <c r="S877" s="64"/>
      <c r="T877" s="64"/>
      <c r="U877" s="64"/>
      <c r="V877" s="64"/>
      <c r="W877" s="64"/>
    </row>
    <row r="878" spans="1:23" ht="15.75" customHeight="1">
      <c r="A878" s="137"/>
      <c r="B878" s="64"/>
      <c r="C878" s="140"/>
      <c r="D878" s="64"/>
      <c r="E878" s="64"/>
      <c r="F878" s="64"/>
      <c r="G878" s="64"/>
      <c r="H878" s="64"/>
      <c r="I878" s="64"/>
      <c r="J878" s="64"/>
      <c r="K878" s="64"/>
      <c r="L878" s="64"/>
      <c r="M878" s="64"/>
      <c r="N878" s="64"/>
      <c r="O878" s="64"/>
      <c r="P878" s="64"/>
      <c r="Q878" s="64"/>
      <c r="R878" s="64"/>
      <c r="S878" s="64"/>
      <c r="T878" s="64"/>
      <c r="U878" s="64"/>
      <c r="V878" s="64"/>
      <c r="W878" s="64"/>
    </row>
    <row r="879" spans="1:23" ht="15.75" customHeight="1">
      <c r="A879" s="137"/>
      <c r="B879" s="64"/>
      <c r="C879" s="140"/>
      <c r="D879" s="64"/>
      <c r="E879" s="64"/>
      <c r="F879" s="64"/>
      <c r="G879" s="64"/>
      <c r="H879" s="64"/>
      <c r="I879" s="64"/>
      <c r="J879" s="64"/>
      <c r="K879" s="64"/>
      <c r="L879" s="64"/>
      <c r="M879" s="64"/>
      <c r="N879" s="64"/>
      <c r="O879" s="64"/>
      <c r="P879" s="64"/>
      <c r="Q879" s="64"/>
      <c r="R879" s="64"/>
      <c r="S879" s="64"/>
      <c r="T879" s="64"/>
      <c r="U879" s="64"/>
      <c r="V879" s="64"/>
      <c r="W879" s="64"/>
    </row>
    <row r="880" spans="1:23" ht="15.75" customHeight="1">
      <c r="A880" s="137"/>
      <c r="B880" s="64"/>
      <c r="C880" s="140"/>
      <c r="D880" s="64"/>
      <c r="E880" s="64"/>
      <c r="F880" s="64"/>
      <c r="G880" s="64"/>
      <c r="H880" s="64"/>
      <c r="I880" s="64"/>
      <c r="J880" s="64"/>
      <c r="K880" s="64"/>
      <c r="L880" s="64"/>
      <c r="M880" s="64"/>
      <c r="N880" s="64"/>
      <c r="O880" s="64"/>
      <c r="P880" s="64"/>
      <c r="Q880" s="64"/>
      <c r="R880" s="64"/>
      <c r="S880" s="64"/>
      <c r="T880" s="64"/>
      <c r="U880" s="64"/>
      <c r="V880" s="64"/>
      <c r="W880" s="64"/>
    </row>
    <row r="881" spans="1:23" ht="15.75" customHeight="1">
      <c r="A881" s="137"/>
      <c r="B881" s="64"/>
      <c r="C881" s="140"/>
      <c r="D881" s="64"/>
      <c r="E881" s="64"/>
      <c r="F881" s="64"/>
      <c r="G881" s="64"/>
      <c r="H881" s="64"/>
      <c r="I881" s="64"/>
      <c r="J881" s="64"/>
      <c r="K881" s="64"/>
      <c r="L881" s="64"/>
      <c r="M881" s="64"/>
      <c r="N881" s="64"/>
      <c r="O881" s="64"/>
      <c r="P881" s="64"/>
      <c r="Q881" s="64"/>
      <c r="R881" s="64"/>
      <c r="S881" s="64"/>
      <c r="T881" s="64"/>
      <c r="U881" s="64"/>
      <c r="V881" s="64"/>
      <c r="W881" s="64"/>
    </row>
    <row r="882" spans="1:23" ht="15.75" customHeight="1">
      <c r="A882" s="137"/>
      <c r="B882" s="64"/>
      <c r="C882" s="140"/>
      <c r="D882" s="64"/>
      <c r="E882" s="64"/>
      <c r="F882" s="64"/>
      <c r="G882" s="64"/>
      <c r="H882" s="64"/>
      <c r="I882" s="64"/>
      <c r="J882" s="64"/>
      <c r="K882" s="64"/>
      <c r="L882" s="64"/>
      <c r="M882" s="64"/>
      <c r="N882" s="64"/>
      <c r="O882" s="64"/>
      <c r="P882" s="64"/>
      <c r="Q882" s="64"/>
      <c r="R882" s="64"/>
      <c r="S882" s="64"/>
      <c r="T882" s="64"/>
      <c r="U882" s="64"/>
      <c r="V882" s="64"/>
      <c r="W882" s="64"/>
    </row>
    <row r="883" spans="1:23" ht="15.75" customHeight="1">
      <c r="A883" s="137"/>
      <c r="B883" s="64"/>
      <c r="C883" s="140"/>
      <c r="D883" s="64"/>
      <c r="E883" s="64"/>
      <c r="F883" s="64"/>
      <c r="G883" s="64"/>
      <c r="H883" s="64"/>
      <c r="I883" s="64"/>
      <c r="J883" s="64"/>
      <c r="K883" s="64"/>
      <c r="L883" s="64"/>
      <c r="M883" s="64"/>
      <c r="N883" s="64"/>
      <c r="O883" s="64"/>
      <c r="P883" s="64"/>
      <c r="Q883" s="64"/>
      <c r="R883" s="64"/>
      <c r="S883" s="64"/>
      <c r="T883" s="64"/>
      <c r="U883" s="64"/>
      <c r="V883" s="64"/>
      <c r="W883" s="64"/>
    </row>
    <row r="884" spans="1:23" ht="15.75" customHeight="1">
      <c r="A884" s="137"/>
      <c r="B884" s="64"/>
      <c r="C884" s="140"/>
      <c r="D884" s="64"/>
      <c r="E884" s="64"/>
      <c r="F884" s="64"/>
      <c r="G884" s="64"/>
      <c r="H884" s="64"/>
      <c r="I884" s="64"/>
      <c r="J884" s="64"/>
      <c r="K884" s="64"/>
      <c r="L884" s="64"/>
      <c r="M884" s="64"/>
      <c r="N884" s="64"/>
      <c r="O884" s="64"/>
      <c r="P884" s="64"/>
      <c r="Q884" s="64"/>
      <c r="R884" s="64"/>
      <c r="S884" s="64"/>
      <c r="T884" s="64"/>
      <c r="U884" s="64"/>
      <c r="V884" s="64"/>
      <c r="W884" s="64"/>
    </row>
    <row r="885" spans="1:23" ht="15.75" customHeight="1">
      <c r="A885" s="137"/>
      <c r="B885" s="64"/>
      <c r="C885" s="140"/>
      <c r="D885" s="64"/>
      <c r="E885" s="64"/>
      <c r="F885" s="64"/>
      <c r="G885" s="64"/>
      <c r="H885" s="64"/>
      <c r="I885" s="64"/>
      <c r="J885" s="64"/>
      <c r="K885" s="64"/>
      <c r="L885" s="64"/>
      <c r="M885" s="64"/>
      <c r="N885" s="64"/>
      <c r="O885" s="64"/>
      <c r="P885" s="64"/>
      <c r="Q885" s="64"/>
      <c r="R885" s="64"/>
      <c r="S885" s="64"/>
      <c r="T885" s="64"/>
      <c r="U885" s="64"/>
      <c r="V885" s="64"/>
      <c r="W885" s="64"/>
    </row>
    <row r="886" spans="1:23" ht="15.75" customHeight="1">
      <c r="A886" s="137"/>
      <c r="B886" s="64"/>
      <c r="C886" s="140"/>
      <c r="D886" s="64"/>
      <c r="E886" s="64"/>
      <c r="F886" s="64"/>
      <c r="G886" s="64"/>
      <c r="H886" s="64"/>
      <c r="I886" s="64"/>
      <c r="J886" s="64"/>
      <c r="K886" s="64"/>
      <c r="L886" s="64"/>
      <c r="M886" s="64"/>
      <c r="N886" s="64"/>
      <c r="O886" s="64"/>
      <c r="P886" s="64"/>
      <c r="Q886" s="64"/>
      <c r="R886" s="64"/>
      <c r="S886" s="64"/>
      <c r="T886" s="64"/>
      <c r="U886" s="64"/>
      <c r="V886" s="64"/>
      <c r="W886" s="64"/>
    </row>
    <row r="887" spans="1:23" ht="15.75" customHeight="1">
      <c r="A887" s="137"/>
      <c r="B887" s="64"/>
      <c r="C887" s="140"/>
      <c r="D887" s="64"/>
      <c r="E887" s="64"/>
      <c r="F887" s="64"/>
      <c r="G887" s="64"/>
      <c r="H887" s="64"/>
      <c r="I887" s="64"/>
      <c r="J887" s="64"/>
      <c r="K887" s="64"/>
      <c r="L887" s="64"/>
      <c r="M887" s="64"/>
      <c r="N887" s="64"/>
      <c r="O887" s="64"/>
      <c r="P887" s="64"/>
      <c r="Q887" s="64"/>
      <c r="R887" s="64"/>
      <c r="S887" s="64"/>
      <c r="T887" s="64"/>
      <c r="U887" s="64"/>
      <c r="V887" s="64"/>
      <c r="W887" s="64"/>
    </row>
    <row r="888" spans="1:23" ht="15.75" customHeight="1">
      <c r="A888" s="137"/>
      <c r="B888" s="64"/>
      <c r="C888" s="140"/>
      <c r="D888" s="64"/>
      <c r="E888" s="64"/>
      <c r="F888" s="64"/>
      <c r="G888" s="64"/>
      <c r="H888" s="64"/>
      <c r="I888" s="64"/>
      <c r="J888" s="64"/>
      <c r="K888" s="64"/>
      <c r="L888" s="64"/>
      <c r="M888" s="64"/>
      <c r="N888" s="64"/>
      <c r="O888" s="64"/>
      <c r="P888" s="64"/>
      <c r="Q888" s="64"/>
      <c r="R888" s="64"/>
      <c r="S888" s="64"/>
      <c r="T888" s="64"/>
      <c r="U888" s="64"/>
      <c r="V888" s="64"/>
      <c r="W888" s="64"/>
    </row>
    <row r="889" spans="1:23" ht="15.75" customHeight="1">
      <c r="A889" s="137"/>
      <c r="B889" s="64"/>
      <c r="C889" s="140"/>
      <c r="D889" s="64"/>
      <c r="E889" s="64"/>
      <c r="F889" s="64"/>
      <c r="G889" s="64"/>
      <c r="H889" s="64"/>
      <c r="I889" s="64"/>
      <c r="J889" s="64"/>
      <c r="K889" s="64"/>
      <c r="L889" s="64"/>
      <c r="M889" s="64"/>
      <c r="N889" s="64"/>
      <c r="O889" s="64"/>
      <c r="P889" s="64"/>
      <c r="Q889" s="64"/>
      <c r="R889" s="64"/>
      <c r="S889" s="64"/>
      <c r="T889" s="64"/>
      <c r="U889" s="64"/>
      <c r="V889" s="64"/>
      <c r="W889" s="64"/>
    </row>
    <row r="890" spans="1:23" ht="15.75" customHeight="1">
      <c r="A890" s="137"/>
      <c r="B890" s="64"/>
      <c r="C890" s="140"/>
      <c r="D890" s="64"/>
      <c r="E890" s="64"/>
      <c r="F890" s="64"/>
      <c r="G890" s="64"/>
      <c r="H890" s="64"/>
      <c r="I890" s="64"/>
      <c r="J890" s="64"/>
      <c r="K890" s="64"/>
      <c r="L890" s="64"/>
      <c r="M890" s="64"/>
      <c r="N890" s="64"/>
      <c r="O890" s="64"/>
      <c r="P890" s="64"/>
      <c r="Q890" s="64"/>
      <c r="R890" s="64"/>
      <c r="S890" s="64"/>
      <c r="T890" s="64"/>
      <c r="U890" s="64"/>
      <c r="V890" s="64"/>
      <c r="W890" s="64"/>
    </row>
    <row r="891" spans="1:23" ht="15.75" customHeight="1">
      <c r="A891" s="137"/>
      <c r="B891" s="64"/>
      <c r="C891" s="140"/>
      <c r="D891" s="64"/>
      <c r="E891" s="64"/>
      <c r="F891" s="64"/>
      <c r="G891" s="64"/>
      <c r="H891" s="64"/>
      <c r="I891" s="64"/>
      <c r="J891" s="64"/>
      <c r="K891" s="64"/>
      <c r="L891" s="64"/>
      <c r="M891" s="64"/>
      <c r="N891" s="64"/>
      <c r="O891" s="64"/>
      <c r="P891" s="64"/>
      <c r="Q891" s="64"/>
      <c r="R891" s="64"/>
      <c r="S891" s="64"/>
      <c r="T891" s="64"/>
      <c r="U891" s="64"/>
      <c r="V891" s="64"/>
      <c r="W891" s="64"/>
    </row>
    <row r="892" spans="1:23" ht="15.75" customHeight="1">
      <c r="A892" s="137"/>
      <c r="B892" s="64"/>
      <c r="C892" s="140"/>
      <c r="D892" s="64"/>
      <c r="E892" s="64"/>
      <c r="F892" s="64"/>
      <c r="G892" s="64"/>
      <c r="H892" s="64"/>
      <c r="I892" s="64"/>
      <c r="J892" s="64"/>
      <c r="K892" s="64"/>
      <c r="L892" s="64"/>
      <c r="M892" s="64"/>
      <c r="N892" s="64"/>
      <c r="O892" s="64"/>
      <c r="P892" s="64"/>
      <c r="Q892" s="64"/>
      <c r="R892" s="64"/>
      <c r="S892" s="64"/>
      <c r="T892" s="64"/>
      <c r="U892" s="64"/>
      <c r="V892" s="64"/>
      <c r="W892" s="64"/>
    </row>
    <row r="893" spans="1:23" ht="15.75" customHeight="1">
      <c r="A893" s="137"/>
      <c r="B893" s="64"/>
      <c r="C893" s="140"/>
      <c r="D893" s="64"/>
      <c r="E893" s="64"/>
      <c r="F893" s="64"/>
      <c r="G893" s="64"/>
      <c r="H893" s="64"/>
      <c r="I893" s="64"/>
      <c r="J893" s="64"/>
      <c r="K893" s="64"/>
      <c r="L893" s="64"/>
      <c r="M893" s="64"/>
      <c r="N893" s="64"/>
      <c r="O893" s="64"/>
      <c r="P893" s="64"/>
      <c r="Q893" s="64"/>
      <c r="R893" s="64"/>
      <c r="S893" s="64"/>
      <c r="T893" s="64"/>
      <c r="U893" s="64"/>
      <c r="V893" s="64"/>
      <c r="W893" s="64"/>
    </row>
    <row r="894" spans="1:23" ht="15.75" customHeight="1">
      <c r="A894" s="137"/>
      <c r="B894" s="64"/>
      <c r="C894" s="140"/>
      <c r="D894" s="64"/>
      <c r="E894" s="64"/>
      <c r="F894" s="64"/>
      <c r="G894" s="64"/>
      <c r="H894" s="64"/>
      <c r="I894" s="64"/>
      <c r="J894" s="64"/>
      <c r="K894" s="64"/>
      <c r="L894" s="64"/>
      <c r="M894" s="64"/>
      <c r="N894" s="64"/>
      <c r="O894" s="64"/>
      <c r="P894" s="64"/>
      <c r="Q894" s="64"/>
      <c r="R894" s="64"/>
      <c r="S894" s="64"/>
      <c r="T894" s="64"/>
      <c r="U894" s="64"/>
      <c r="V894" s="64"/>
      <c r="W894" s="64"/>
    </row>
    <row r="895" spans="1:23" ht="15.75" customHeight="1">
      <c r="A895" s="137"/>
      <c r="B895" s="64"/>
      <c r="C895" s="140"/>
      <c r="D895" s="64"/>
      <c r="E895" s="64"/>
      <c r="F895" s="64"/>
      <c r="G895" s="64"/>
      <c r="H895" s="64"/>
      <c r="I895" s="64"/>
      <c r="J895" s="64"/>
      <c r="K895" s="64"/>
      <c r="L895" s="64"/>
      <c r="M895" s="64"/>
      <c r="N895" s="64"/>
      <c r="O895" s="64"/>
      <c r="P895" s="64"/>
      <c r="Q895" s="64"/>
      <c r="R895" s="64"/>
      <c r="S895" s="64"/>
      <c r="T895" s="64"/>
      <c r="U895" s="64"/>
      <c r="V895" s="64"/>
      <c r="W895" s="64"/>
    </row>
    <row r="896" spans="1:23" ht="15.75" customHeight="1">
      <c r="A896" s="137"/>
      <c r="B896" s="64"/>
      <c r="C896" s="140"/>
      <c r="D896" s="64"/>
      <c r="E896" s="64"/>
      <c r="F896" s="64"/>
      <c r="G896" s="64"/>
      <c r="H896" s="64"/>
      <c r="I896" s="64"/>
      <c r="J896" s="64"/>
      <c r="K896" s="64"/>
      <c r="L896" s="64"/>
      <c r="M896" s="64"/>
      <c r="N896" s="64"/>
      <c r="O896" s="64"/>
      <c r="P896" s="64"/>
      <c r="Q896" s="64"/>
      <c r="R896" s="64"/>
      <c r="S896" s="64"/>
      <c r="T896" s="64"/>
      <c r="U896" s="64"/>
      <c r="V896" s="64"/>
      <c r="W896" s="64"/>
    </row>
    <row r="897" spans="1:23" ht="15.75" customHeight="1">
      <c r="A897" s="137"/>
      <c r="B897" s="64"/>
      <c r="C897" s="140"/>
      <c r="D897" s="64"/>
      <c r="E897" s="64"/>
      <c r="F897" s="64"/>
      <c r="G897" s="64"/>
      <c r="H897" s="64"/>
      <c r="I897" s="64"/>
      <c r="J897" s="64"/>
      <c r="K897" s="64"/>
      <c r="L897" s="64"/>
      <c r="M897" s="64"/>
      <c r="N897" s="64"/>
      <c r="O897" s="64"/>
      <c r="P897" s="64"/>
      <c r="Q897" s="64"/>
      <c r="R897" s="64"/>
      <c r="S897" s="64"/>
      <c r="T897" s="64"/>
      <c r="U897" s="64"/>
      <c r="V897" s="64"/>
      <c r="W897" s="64"/>
    </row>
    <row r="898" spans="1:23" ht="15.75" customHeight="1">
      <c r="A898" s="137"/>
      <c r="B898" s="64"/>
      <c r="C898" s="140"/>
      <c r="D898" s="64"/>
      <c r="E898" s="64"/>
      <c r="F898" s="64"/>
      <c r="G898" s="64"/>
      <c r="H898" s="64"/>
      <c r="I898" s="64"/>
      <c r="J898" s="64"/>
      <c r="K898" s="64"/>
      <c r="L898" s="64"/>
      <c r="M898" s="64"/>
      <c r="N898" s="64"/>
      <c r="O898" s="64"/>
      <c r="P898" s="64"/>
      <c r="Q898" s="64"/>
      <c r="R898" s="64"/>
      <c r="S898" s="64"/>
      <c r="T898" s="64"/>
      <c r="U898" s="64"/>
      <c r="V898" s="64"/>
      <c r="W898" s="64"/>
    </row>
    <row r="899" spans="1:23" ht="15.75" customHeight="1">
      <c r="A899" s="137"/>
      <c r="B899" s="64"/>
      <c r="C899" s="140"/>
      <c r="D899" s="64"/>
      <c r="E899" s="64"/>
      <c r="F899" s="64"/>
      <c r="G899" s="64"/>
      <c r="H899" s="64"/>
      <c r="I899" s="64"/>
      <c r="J899" s="64"/>
      <c r="K899" s="64"/>
      <c r="L899" s="64"/>
      <c r="M899" s="64"/>
      <c r="N899" s="64"/>
      <c r="O899" s="64"/>
      <c r="P899" s="64"/>
      <c r="Q899" s="64"/>
      <c r="R899" s="64"/>
      <c r="S899" s="64"/>
      <c r="T899" s="64"/>
      <c r="U899" s="64"/>
      <c r="V899" s="64"/>
      <c r="W899" s="64"/>
    </row>
    <row r="900" spans="1:23" ht="15.75" customHeight="1">
      <c r="A900" s="137"/>
      <c r="B900" s="64"/>
      <c r="C900" s="140"/>
      <c r="D900" s="64"/>
      <c r="E900" s="64"/>
      <c r="F900" s="64"/>
      <c r="G900" s="64"/>
      <c r="H900" s="64"/>
      <c r="I900" s="64"/>
      <c r="J900" s="64"/>
      <c r="K900" s="64"/>
      <c r="L900" s="64"/>
      <c r="M900" s="64"/>
      <c r="N900" s="64"/>
      <c r="O900" s="64"/>
      <c r="P900" s="64"/>
      <c r="Q900" s="64"/>
      <c r="R900" s="64"/>
      <c r="S900" s="64"/>
      <c r="T900" s="64"/>
      <c r="U900" s="64"/>
      <c r="V900" s="64"/>
      <c r="W900" s="64"/>
    </row>
    <row r="901" spans="1:23" ht="15.75" customHeight="1">
      <c r="A901" s="137"/>
      <c r="B901" s="64"/>
      <c r="C901" s="140"/>
      <c r="D901" s="64"/>
      <c r="E901" s="64"/>
      <c r="F901" s="64"/>
      <c r="G901" s="64"/>
      <c r="H901" s="64"/>
      <c r="I901" s="64"/>
      <c r="J901" s="64"/>
      <c r="K901" s="64"/>
      <c r="L901" s="64"/>
      <c r="M901" s="64"/>
      <c r="N901" s="64"/>
      <c r="O901" s="64"/>
      <c r="P901" s="64"/>
      <c r="Q901" s="64"/>
      <c r="R901" s="64"/>
      <c r="S901" s="64"/>
      <c r="T901" s="64"/>
      <c r="U901" s="64"/>
      <c r="V901" s="64"/>
      <c r="W901" s="64"/>
    </row>
    <row r="902" spans="1:23" ht="15.75" customHeight="1">
      <c r="A902" s="137"/>
      <c r="B902" s="64"/>
      <c r="C902" s="140"/>
      <c r="D902" s="64"/>
      <c r="E902" s="64"/>
      <c r="F902" s="64"/>
      <c r="G902" s="64"/>
      <c r="H902" s="64"/>
      <c r="I902" s="64"/>
      <c r="J902" s="64"/>
      <c r="K902" s="64"/>
      <c r="L902" s="64"/>
      <c r="M902" s="64"/>
      <c r="N902" s="64"/>
      <c r="O902" s="64"/>
      <c r="P902" s="64"/>
      <c r="Q902" s="64"/>
      <c r="R902" s="64"/>
      <c r="S902" s="64"/>
      <c r="T902" s="64"/>
      <c r="U902" s="64"/>
      <c r="V902" s="64"/>
      <c r="W902" s="64"/>
    </row>
    <row r="903" spans="1:23" ht="15.75" customHeight="1">
      <c r="A903" s="137"/>
      <c r="B903" s="64"/>
      <c r="C903" s="140"/>
      <c r="D903" s="64"/>
      <c r="E903" s="64"/>
      <c r="F903" s="64"/>
      <c r="G903" s="64"/>
      <c r="H903" s="64"/>
      <c r="I903" s="64"/>
      <c r="J903" s="64"/>
      <c r="K903" s="64"/>
      <c r="L903" s="64"/>
      <c r="M903" s="64"/>
      <c r="N903" s="64"/>
      <c r="O903" s="64"/>
      <c r="P903" s="64"/>
      <c r="Q903" s="64"/>
      <c r="R903" s="64"/>
      <c r="S903" s="64"/>
      <c r="T903" s="64"/>
      <c r="U903" s="64"/>
      <c r="V903" s="64"/>
      <c r="W903" s="64"/>
    </row>
    <row r="904" spans="1:23" ht="15.75" customHeight="1">
      <c r="A904" s="137"/>
      <c r="B904" s="64"/>
      <c r="C904" s="140"/>
      <c r="D904" s="64"/>
      <c r="E904" s="64"/>
      <c r="F904" s="64"/>
      <c r="G904" s="64"/>
      <c r="H904" s="64"/>
      <c r="I904" s="64"/>
      <c r="J904" s="64"/>
      <c r="K904" s="64"/>
      <c r="L904" s="64"/>
      <c r="M904" s="64"/>
      <c r="N904" s="64"/>
      <c r="O904" s="64"/>
      <c r="P904" s="64"/>
      <c r="Q904" s="64"/>
      <c r="R904" s="64"/>
      <c r="S904" s="64"/>
      <c r="T904" s="64"/>
      <c r="U904" s="64"/>
      <c r="V904" s="64"/>
      <c r="W904" s="64"/>
    </row>
    <row r="905" spans="1:23" ht="15.75" customHeight="1">
      <c r="A905" s="137"/>
      <c r="B905" s="64"/>
      <c r="C905" s="140"/>
      <c r="D905" s="64"/>
      <c r="E905" s="64"/>
      <c r="F905" s="64"/>
      <c r="G905" s="64"/>
      <c r="H905" s="64"/>
      <c r="I905" s="64"/>
      <c r="J905" s="64"/>
      <c r="K905" s="64"/>
      <c r="L905" s="64"/>
      <c r="M905" s="64"/>
      <c r="N905" s="64"/>
      <c r="O905" s="64"/>
      <c r="P905" s="64"/>
      <c r="Q905" s="64"/>
      <c r="R905" s="64"/>
      <c r="S905" s="64"/>
      <c r="T905" s="64"/>
      <c r="U905" s="64"/>
      <c r="V905" s="64"/>
      <c r="W905" s="64"/>
    </row>
    <row r="906" spans="1:23" ht="15.75" customHeight="1">
      <c r="A906" s="137"/>
      <c r="B906" s="64"/>
      <c r="C906" s="140"/>
      <c r="D906" s="64"/>
      <c r="E906" s="64"/>
      <c r="F906" s="64"/>
      <c r="G906" s="64"/>
      <c r="H906" s="64"/>
      <c r="I906" s="64"/>
      <c r="J906" s="64"/>
      <c r="K906" s="64"/>
      <c r="L906" s="64"/>
      <c r="M906" s="64"/>
      <c r="N906" s="64"/>
      <c r="O906" s="64"/>
      <c r="P906" s="64"/>
      <c r="Q906" s="64"/>
      <c r="R906" s="64"/>
      <c r="S906" s="64"/>
      <c r="T906" s="64"/>
      <c r="U906" s="64"/>
      <c r="V906" s="64"/>
      <c r="W906" s="64"/>
    </row>
    <row r="907" spans="1:23" ht="15.75" customHeight="1">
      <c r="A907" s="137"/>
      <c r="B907" s="64"/>
      <c r="C907" s="140"/>
      <c r="D907" s="64"/>
      <c r="E907" s="64"/>
      <c r="F907" s="64"/>
      <c r="G907" s="64"/>
      <c r="H907" s="64"/>
      <c r="I907" s="64"/>
      <c r="J907" s="64"/>
      <c r="K907" s="64"/>
      <c r="L907" s="64"/>
      <c r="M907" s="64"/>
      <c r="N907" s="64"/>
      <c r="O907" s="64"/>
      <c r="P907" s="64"/>
      <c r="Q907" s="64"/>
      <c r="R907" s="64"/>
      <c r="S907" s="64"/>
      <c r="T907" s="64"/>
      <c r="U907" s="64"/>
      <c r="V907" s="64"/>
      <c r="W907" s="64"/>
    </row>
    <row r="908" spans="1:23" ht="15.75" customHeight="1">
      <c r="A908" s="137"/>
      <c r="B908" s="64"/>
      <c r="C908" s="140"/>
      <c r="D908" s="64"/>
      <c r="E908" s="64"/>
      <c r="F908" s="64"/>
      <c r="G908" s="64"/>
      <c r="H908" s="64"/>
      <c r="I908" s="64"/>
      <c r="J908" s="64"/>
      <c r="K908" s="64"/>
      <c r="L908" s="64"/>
      <c r="M908" s="64"/>
      <c r="N908" s="64"/>
      <c r="O908" s="64"/>
      <c r="P908" s="64"/>
      <c r="Q908" s="64"/>
      <c r="R908" s="64"/>
      <c r="S908" s="64"/>
      <c r="T908" s="64"/>
      <c r="U908" s="64"/>
      <c r="V908" s="64"/>
      <c r="W908" s="64"/>
    </row>
    <row r="909" spans="1:23" ht="15.75" customHeight="1">
      <c r="A909" s="137"/>
      <c r="B909" s="64"/>
      <c r="C909" s="140"/>
      <c r="D909" s="64"/>
      <c r="E909" s="64"/>
      <c r="F909" s="64"/>
      <c r="G909" s="64"/>
      <c r="H909" s="64"/>
      <c r="I909" s="64"/>
      <c r="J909" s="64"/>
      <c r="K909" s="64"/>
      <c r="L909" s="64"/>
      <c r="M909" s="64"/>
      <c r="N909" s="64"/>
      <c r="O909" s="64"/>
      <c r="P909" s="64"/>
      <c r="Q909" s="64"/>
      <c r="R909" s="64"/>
      <c r="S909" s="64"/>
      <c r="T909" s="64"/>
      <c r="U909" s="64"/>
      <c r="V909" s="64"/>
      <c r="W909" s="64"/>
    </row>
    <row r="910" spans="1:23" ht="15.75" customHeight="1">
      <c r="A910" s="137"/>
      <c r="B910" s="64"/>
      <c r="C910" s="140"/>
      <c r="D910" s="64"/>
      <c r="E910" s="64"/>
      <c r="F910" s="64"/>
      <c r="G910" s="64"/>
      <c r="H910" s="64"/>
      <c r="I910" s="64"/>
      <c r="J910" s="64"/>
      <c r="K910" s="64"/>
      <c r="L910" s="64"/>
      <c r="M910" s="64"/>
      <c r="N910" s="64"/>
      <c r="O910" s="64"/>
      <c r="P910" s="64"/>
      <c r="Q910" s="64"/>
      <c r="R910" s="64"/>
      <c r="S910" s="64"/>
      <c r="T910" s="64"/>
      <c r="U910" s="64"/>
      <c r="V910" s="64"/>
      <c r="W910" s="64"/>
    </row>
    <row r="911" spans="1:23" ht="15.75" customHeight="1">
      <c r="A911" s="137"/>
      <c r="B911" s="64"/>
      <c r="C911" s="140"/>
      <c r="D911" s="64"/>
      <c r="E911" s="64"/>
      <c r="F911" s="64"/>
      <c r="G911" s="64"/>
      <c r="H911" s="64"/>
      <c r="I911" s="64"/>
      <c r="J911" s="64"/>
      <c r="K911" s="64"/>
      <c r="L911" s="64"/>
      <c r="M911" s="64"/>
      <c r="N911" s="64"/>
      <c r="O911" s="64"/>
      <c r="P911" s="64"/>
      <c r="Q911" s="64"/>
      <c r="R911" s="64"/>
      <c r="S911" s="64"/>
      <c r="T911" s="64"/>
      <c r="U911" s="64"/>
      <c r="V911" s="64"/>
      <c r="W911" s="64"/>
    </row>
    <row r="912" spans="1:23" ht="15.75" customHeight="1">
      <c r="A912" s="137"/>
      <c r="B912" s="64"/>
      <c r="C912" s="140"/>
      <c r="D912" s="64"/>
      <c r="E912" s="64"/>
      <c r="F912" s="64"/>
      <c r="G912" s="64"/>
      <c r="H912" s="64"/>
      <c r="I912" s="64"/>
      <c r="J912" s="64"/>
      <c r="K912" s="64"/>
      <c r="L912" s="64"/>
      <c r="M912" s="64"/>
      <c r="N912" s="64"/>
      <c r="O912" s="64"/>
      <c r="P912" s="64"/>
      <c r="Q912" s="64"/>
      <c r="R912" s="64"/>
      <c r="S912" s="64"/>
      <c r="T912" s="64"/>
      <c r="U912" s="64"/>
      <c r="V912" s="64"/>
      <c r="W912" s="64"/>
    </row>
    <row r="913" spans="1:23" ht="15.75" customHeight="1">
      <c r="A913" s="137"/>
      <c r="B913" s="64"/>
      <c r="C913" s="140"/>
      <c r="D913" s="64"/>
      <c r="E913" s="64"/>
      <c r="F913" s="64"/>
      <c r="G913" s="64"/>
      <c r="H913" s="64"/>
      <c r="I913" s="64"/>
      <c r="J913" s="64"/>
      <c r="K913" s="64"/>
      <c r="L913" s="64"/>
      <c r="M913" s="64"/>
      <c r="N913" s="64"/>
      <c r="O913" s="64"/>
      <c r="P913" s="64"/>
      <c r="Q913" s="64"/>
      <c r="R913" s="64"/>
      <c r="S913" s="64"/>
      <c r="T913" s="64"/>
      <c r="U913" s="64"/>
      <c r="V913" s="64"/>
      <c r="W913" s="64"/>
    </row>
    <row r="914" spans="1:23" ht="15.75" customHeight="1">
      <c r="A914" s="137"/>
      <c r="B914" s="64"/>
      <c r="C914" s="140"/>
      <c r="D914" s="64"/>
      <c r="E914" s="64"/>
      <c r="F914" s="64"/>
      <c r="G914" s="64"/>
      <c r="H914" s="64"/>
      <c r="I914" s="64"/>
      <c r="J914" s="64"/>
      <c r="K914" s="64"/>
      <c r="L914" s="64"/>
      <c r="M914" s="64"/>
      <c r="N914" s="64"/>
      <c r="O914" s="64"/>
      <c r="P914" s="64"/>
      <c r="Q914" s="64"/>
      <c r="R914" s="64"/>
      <c r="S914" s="64"/>
      <c r="T914" s="64"/>
      <c r="U914" s="64"/>
      <c r="V914" s="64"/>
      <c r="W914" s="64"/>
    </row>
    <row r="915" spans="1:23" ht="15.75" customHeight="1">
      <c r="A915" s="137"/>
      <c r="B915" s="64"/>
      <c r="C915" s="140"/>
      <c r="D915" s="64"/>
      <c r="E915" s="64"/>
      <c r="F915" s="64"/>
      <c r="G915" s="64"/>
      <c r="H915" s="64"/>
      <c r="I915" s="64"/>
      <c r="J915" s="64"/>
      <c r="K915" s="64"/>
      <c r="L915" s="64"/>
      <c r="M915" s="64"/>
      <c r="N915" s="64"/>
      <c r="O915" s="64"/>
      <c r="P915" s="64"/>
      <c r="Q915" s="64"/>
      <c r="R915" s="64"/>
      <c r="S915" s="64"/>
      <c r="T915" s="64"/>
      <c r="U915" s="64"/>
      <c r="V915" s="64"/>
      <c r="W915" s="64"/>
    </row>
    <row r="916" spans="1:23" ht="15.75" customHeight="1">
      <c r="A916" s="137"/>
      <c r="B916" s="64"/>
      <c r="C916" s="140"/>
      <c r="D916" s="64"/>
      <c r="E916" s="64"/>
      <c r="F916" s="64"/>
      <c r="G916" s="64"/>
      <c r="H916" s="64"/>
      <c r="I916" s="64"/>
      <c r="J916" s="64"/>
      <c r="K916" s="64"/>
      <c r="L916" s="64"/>
      <c r="M916" s="64"/>
      <c r="N916" s="64"/>
      <c r="O916" s="64"/>
      <c r="P916" s="64"/>
      <c r="Q916" s="64"/>
      <c r="R916" s="64"/>
      <c r="S916" s="64"/>
      <c r="T916" s="64"/>
      <c r="U916" s="64"/>
      <c r="V916" s="64"/>
      <c r="W916" s="64"/>
    </row>
    <row r="917" spans="1:23" ht="15.75" customHeight="1">
      <c r="A917" s="137"/>
      <c r="B917" s="64"/>
      <c r="C917" s="140"/>
      <c r="D917" s="64"/>
      <c r="E917" s="64"/>
      <c r="F917" s="64"/>
      <c r="G917" s="64"/>
      <c r="H917" s="64"/>
      <c r="I917" s="64"/>
      <c r="J917" s="64"/>
      <c r="K917" s="64"/>
      <c r="L917" s="64"/>
      <c r="M917" s="64"/>
      <c r="N917" s="64"/>
      <c r="O917" s="64"/>
      <c r="P917" s="64"/>
      <c r="Q917" s="64"/>
      <c r="R917" s="64"/>
      <c r="S917" s="64"/>
      <c r="T917" s="64"/>
      <c r="U917" s="64"/>
      <c r="V917" s="64"/>
      <c r="W917" s="64"/>
    </row>
    <row r="918" spans="1:23" ht="15.75" customHeight="1">
      <c r="A918" s="137"/>
      <c r="B918" s="64"/>
      <c r="C918" s="140"/>
      <c r="D918" s="64"/>
      <c r="E918" s="64"/>
      <c r="F918" s="64"/>
      <c r="G918" s="64"/>
      <c r="H918" s="64"/>
      <c r="I918" s="64"/>
      <c r="J918" s="64"/>
      <c r="K918" s="64"/>
      <c r="L918" s="64"/>
      <c r="M918" s="64"/>
      <c r="N918" s="64"/>
      <c r="O918" s="64"/>
      <c r="P918" s="64"/>
      <c r="Q918" s="64"/>
      <c r="R918" s="64"/>
      <c r="S918" s="64"/>
      <c r="T918" s="64"/>
      <c r="U918" s="64"/>
      <c r="V918" s="64"/>
      <c r="W918" s="64"/>
    </row>
    <row r="919" spans="1:23" ht="15.75" customHeight="1">
      <c r="A919" s="137"/>
      <c r="B919" s="64"/>
      <c r="C919" s="140"/>
      <c r="D919" s="64"/>
      <c r="E919" s="64"/>
      <c r="F919" s="64"/>
      <c r="G919" s="64"/>
      <c r="H919" s="64"/>
      <c r="I919" s="64"/>
      <c r="J919" s="64"/>
      <c r="K919" s="64"/>
      <c r="L919" s="64"/>
      <c r="M919" s="64"/>
      <c r="N919" s="64"/>
      <c r="O919" s="64"/>
      <c r="P919" s="64"/>
      <c r="Q919" s="64"/>
      <c r="R919" s="64"/>
      <c r="S919" s="64"/>
      <c r="T919" s="64"/>
      <c r="U919" s="64"/>
      <c r="V919" s="64"/>
      <c r="W919" s="64"/>
    </row>
    <row r="920" spans="1:23" ht="15.75" customHeight="1">
      <c r="A920" s="137"/>
      <c r="B920" s="64"/>
      <c r="C920" s="140"/>
      <c r="D920" s="64"/>
      <c r="E920" s="64"/>
      <c r="F920" s="64"/>
      <c r="G920" s="64"/>
      <c r="H920" s="64"/>
      <c r="I920" s="64"/>
      <c r="J920" s="64"/>
      <c r="K920" s="64"/>
      <c r="L920" s="64"/>
      <c r="M920" s="64"/>
      <c r="N920" s="64"/>
      <c r="O920" s="64"/>
      <c r="P920" s="64"/>
      <c r="Q920" s="64"/>
      <c r="R920" s="64"/>
      <c r="S920" s="64"/>
      <c r="T920" s="64"/>
      <c r="U920" s="64"/>
      <c r="V920" s="64"/>
      <c r="W920" s="64"/>
    </row>
    <row r="921" spans="1:23" ht="15.75" customHeight="1">
      <c r="A921" s="137"/>
      <c r="B921" s="64"/>
      <c r="C921" s="140"/>
      <c r="D921" s="64"/>
      <c r="E921" s="64"/>
      <c r="F921" s="64"/>
      <c r="G921" s="64"/>
      <c r="H921" s="64"/>
      <c r="I921" s="64"/>
      <c r="J921" s="64"/>
      <c r="K921" s="64"/>
      <c r="L921" s="64"/>
      <c r="M921" s="64"/>
      <c r="N921" s="64"/>
      <c r="O921" s="64"/>
      <c r="P921" s="64"/>
      <c r="Q921" s="64"/>
      <c r="R921" s="64"/>
      <c r="S921" s="64"/>
      <c r="T921" s="64"/>
      <c r="U921" s="64"/>
      <c r="V921" s="64"/>
      <c r="W921" s="64"/>
    </row>
    <row r="922" spans="1:23" ht="15.75" customHeight="1">
      <c r="A922" s="137"/>
      <c r="B922" s="64"/>
      <c r="C922" s="140"/>
      <c r="D922" s="64"/>
      <c r="E922" s="64"/>
      <c r="F922" s="64"/>
      <c r="G922" s="64"/>
      <c r="H922" s="64"/>
      <c r="I922" s="64"/>
      <c r="J922" s="64"/>
      <c r="K922" s="64"/>
      <c r="L922" s="64"/>
      <c r="M922" s="64"/>
      <c r="N922" s="64"/>
      <c r="O922" s="64"/>
      <c r="P922" s="64"/>
      <c r="Q922" s="64"/>
      <c r="R922" s="64"/>
      <c r="S922" s="64"/>
      <c r="T922" s="64"/>
      <c r="U922" s="64"/>
      <c r="V922" s="64"/>
      <c r="W922" s="64"/>
    </row>
    <row r="923" spans="1:23" ht="15.75" customHeight="1">
      <c r="A923" s="137"/>
      <c r="B923" s="64"/>
      <c r="C923" s="140"/>
      <c r="D923" s="64"/>
      <c r="E923" s="64"/>
      <c r="F923" s="64"/>
      <c r="G923" s="64"/>
      <c r="H923" s="64"/>
      <c r="I923" s="64"/>
      <c r="J923" s="64"/>
      <c r="K923" s="64"/>
      <c r="L923" s="64"/>
      <c r="M923" s="64"/>
      <c r="N923" s="64"/>
      <c r="O923" s="64"/>
      <c r="P923" s="64"/>
      <c r="Q923" s="64"/>
      <c r="R923" s="64"/>
      <c r="S923" s="64"/>
      <c r="T923" s="64"/>
      <c r="U923" s="64"/>
      <c r="V923" s="64"/>
      <c r="W923" s="64"/>
    </row>
    <row r="924" spans="1:23" ht="15.75" customHeight="1">
      <c r="A924" s="137"/>
      <c r="B924" s="64"/>
      <c r="C924" s="140"/>
      <c r="D924" s="64"/>
      <c r="E924" s="64"/>
      <c r="F924" s="64"/>
      <c r="G924" s="64"/>
      <c r="H924" s="64"/>
      <c r="I924" s="64"/>
      <c r="J924" s="64"/>
      <c r="K924" s="64"/>
      <c r="L924" s="64"/>
      <c r="M924" s="64"/>
      <c r="N924" s="64"/>
      <c r="O924" s="64"/>
      <c r="P924" s="64"/>
      <c r="Q924" s="64"/>
      <c r="R924" s="64"/>
      <c r="S924" s="64"/>
      <c r="T924" s="64"/>
      <c r="U924" s="64"/>
      <c r="V924" s="64"/>
      <c r="W924" s="64"/>
    </row>
    <row r="925" spans="1:23" ht="15.75" customHeight="1">
      <c r="A925" s="137"/>
      <c r="B925" s="64"/>
      <c r="C925" s="140"/>
      <c r="D925" s="64"/>
      <c r="E925" s="64"/>
      <c r="F925" s="64"/>
      <c r="G925" s="64"/>
      <c r="H925" s="64"/>
      <c r="I925" s="64"/>
      <c r="J925" s="64"/>
      <c r="K925" s="64"/>
      <c r="L925" s="64"/>
      <c r="M925" s="64"/>
      <c r="N925" s="64"/>
      <c r="O925" s="64"/>
      <c r="P925" s="64"/>
      <c r="Q925" s="64"/>
      <c r="R925" s="64"/>
      <c r="S925" s="64"/>
      <c r="T925" s="64"/>
      <c r="U925" s="64"/>
      <c r="V925" s="64"/>
      <c r="W925" s="64"/>
    </row>
    <row r="926" spans="1:23" ht="15.75" customHeight="1">
      <c r="A926" s="137"/>
      <c r="B926" s="64"/>
      <c r="C926" s="140"/>
      <c r="D926" s="64"/>
      <c r="E926" s="64"/>
      <c r="F926" s="64"/>
      <c r="G926" s="64"/>
      <c r="H926" s="64"/>
      <c r="I926" s="64"/>
      <c r="J926" s="64"/>
      <c r="K926" s="64"/>
      <c r="L926" s="64"/>
      <c r="M926" s="64"/>
      <c r="N926" s="64"/>
      <c r="O926" s="64"/>
      <c r="P926" s="64"/>
      <c r="Q926" s="64"/>
      <c r="R926" s="64"/>
      <c r="S926" s="64"/>
      <c r="T926" s="64"/>
      <c r="U926" s="64"/>
      <c r="V926" s="64"/>
      <c r="W926" s="64"/>
    </row>
    <row r="927" spans="1:23" ht="15.75" customHeight="1">
      <c r="A927" s="137"/>
      <c r="B927" s="64"/>
      <c r="C927" s="140"/>
      <c r="D927" s="64"/>
      <c r="E927" s="64"/>
      <c r="F927" s="64"/>
      <c r="G927" s="64"/>
      <c r="H927" s="64"/>
      <c r="I927" s="64"/>
      <c r="J927" s="64"/>
      <c r="K927" s="64"/>
      <c r="L927" s="64"/>
      <c r="M927" s="64"/>
      <c r="N927" s="64"/>
      <c r="O927" s="64"/>
      <c r="P927" s="64"/>
      <c r="Q927" s="64"/>
      <c r="R927" s="64"/>
      <c r="S927" s="64"/>
      <c r="T927" s="64"/>
      <c r="U927" s="64"/>
      <c r="V927" s="64"/>
      <c r="W927" s="64"/>
    </row>
    <row r="928" spans="1:23" ht="15.75" customHeight="1">
      <c r="A928" s="137"/>
      <c r="B928" s="64"/>
      <c r="C928" s="140"/>
      <c r="D928" s="64"/>
      <c r="E928" s="64"/>
      <c r="F928" s="64"/>
      <c r="G928" s="64"/>
      <c r="H928" s="64"/>
      <c r="I928" s="64"/>
      <c r="J928" s="64"/>
      <c r="K928" s="64"/>
      <c r="L928" s="64"/>
      <c r="M928" s="64"/>
      <c r="N928" s="64"/>
      <c r="O928" s="64"/>
      <c r="P928" s="64"/>
      <c r="Q928" s="64"/>
      <c r="R928" s="64"/>
      <c r="S928" s="64"/>
      <c r="T928" s="64"/>
      <c r="U928" s="64"/>
      <c r="V928" s="64"/>
      <c r="W928" s="64"/>
    </row>
    <row r="929" spans="1:23" ht="15.75" customHeight="1">
      <c r="A929" s="137"/>
      <c r="B929" s="64"/>
      <c r="C929" s="140"/>
      <c r="D929" s="64"/>
      <c r="E929" s="64"/>
      <c r="F929" s="64"/>
      <c r="G929" s="64"/>
      <c r="H929" s="64"/>
      <c r="I929" s="64"/>
      <c r="J929" s="64"/>
      <c r="K929" s="64"/>
      <c r="L929" s="64"/>
      <c r="M929" s="64"/>
      <c r="N929" s="64"/>
      <c r="O929" s="64"/>
      <c r="P929" s="64"/>
      <c r="Q929" s="64"/>
      <c r="R929" s="64"/>
      <c r="S929" s="64"/>
      <c r="T929" s="64"/>
      <c r="U929" s="64"/>
      <c r="V929" s="64"/>
      <c r="W929" s="64"/>
    </row>
    <row r="930" spans="1:23" ht="15.75" customHeight="1">
      <c r="A930" s="137"/>
      <c r="B930" s="64"/>
      <c r="C930" s="140"/>
      <c r="D930" s="64"/>
      <c r="E930" s="64"/>
      <c r="F930" s="64"/>
      <c r="G930" s="64"/>
      <c r="H930" s="64"/>
      <c r="I930" s="64"/>
      <c r="J930" s="64"/>
      <c r="K930" s="64"/>
      <c r="L930" s="64"/>
      <c r="M930" s="64"/>
      <c r="N930" s="64"/>
      <c r="O930" s="64"/>
      <c r="P930" s="64"/>
      <c r="Q930" s="64"/>
      <c r="R930" s="64"/>
      <c r="S930" s="64"/>
      <c r="T930" s="64"/>
      <c r="U930" s="64"/>
      <c r="V930" s="64"/>
      <c r="W930" s="64"/>
    </row>
    <row r="931" spans="1:23" ht="15.75" customHeight="1">
      <c r="A931" s="137"/>
      <c r="B931" s="64"/>
      <c r="C931" s="140"/>
      <c r="D931" s="64"/>
      <c r="E931" s="64"/>
      <c r="F931" s="64"/>
      <c r="G931" s="64"/>
      <c r="H931" s="64"/>
      <c r="I931" s="64"/>
      <c r="J931" s="64"/>
      <c r="K931" s="64"/>
      <c r="L931" s="64"/>
      <c r="M931" s="64"/>
      <c r="N931" s="64"/>
      <c r="O931" s="64"/>
      <c r="P931" s="64"/>
      <c r="Q931" s="64"/>
      <c r="R931" s="64"/>
      <c r="S931" s="64"/>
      <c r="T931" s="64"/>
      <c r="U931" s="64"/>
      <c r="V931" s="64"/>
      <c r="W931" s="64"/>
    </row>
    <row r="932" spans="1:23" ht="15.75" customHeight="1">
      <c r="A932" s="137"/>
      <c r="B932" s="64"/>
      <c r="C932" s="140"/>
      <c r="D932" s="64"/>
      <c r="E932" s="64"/>
      <c r="F932" s="64"/>
      <c r="G932" s="64"/>
      <c r="H932" s="64"/>
      <c r="I932" s="64"/>
      <c r="J932" s="64"/>
      <c r="K932" s="64"/>
      <c r="L932" s="64"/>
      <c r="M932" s="64"/>
      <c r="N932" s="64"/>
      <c r="O932" s="64"/>
      <c r="P932" s="64"/>
      <c r="Q932" s="64"/>
      <c r="R932" s="64"/>
      <c r="S932" s="64"/>
      <c r="T932" s="64"/>
      <c r="U932" s="64"/>
      <c r="V932" s="64"/>
      <c r="W932" s="64"/>
    </row>
    <row r="933" spans="1:23" ht="15.75" customHeight="1">
      <c r="A933" s="137"/>
      <c r="B933" s="64"/>
      <c r="C933" s="140"/>
      <c r="D933" s="64"/>
      <c r="E933" s="64"/>
      <c r="F933" s="64"/>
      <c r="G933" s="64"/>
      <c r="H933" s="64"/>
      <c r="I933" s="64"/>
      <c r="J933" s="64"/>
      <c r="K933" s="64"/>
      <c r="L933" s="64"/>
      <c r="M933" s="64"/>
      <c r="N933" s="64"/>
      <c r="O933" s="64"/>
      <c r="P933" s="64"/>
      <c r="Q933" s="64"/>
      <c r="R933" s="64"/>
      <c r="S933" s="64"/>
      <c r="T933" s="64"/>
      <c r="U933" s="64"/>
      <c r="V933" s="64"/>
      <c r="W933" s="64"/>
    </row>
    <row r="934" spans="1:23" ht="15.75" customHeight="1">
      <c r="A934" s="137"/>
      <c r="B934" s="64"/>
      <c r="C934" s="140"/>
      <c r="D934" s="64"/>
      <c r="E934" s="64"/>
      <c r="F934" s="64"/>
      <c r="G934" s="64"/>
      <c r="H934" s="64"/>
      <c r="I934" s="64"/>
      <c r="J934" s="64"/>
      <c r="K934" s="64"/>
      <c r="L934" s="64"/>
      <c r="M934" s="64"/>
      <c r="N934" s="64"/>
      <c r="O934" s="64"/>
      <c r="P934" s="64"/>
      <c r="Q934" s="64"/>
      <c r="R934" s="64"/>
      <c r="S934" s="64"/>
      <c r="T934" s="64"/>
      <c r="U934" s="64"/>
      <c r="V934" s="64"/>
      <c r="W934" s="64"/>
    </row>
    <row r="935" spans="1:23" ht="15.75" customHeight="1">
      <c r="A935" s="137"/>
      <c r="B935" s="64"/>
      <c r="C935" s="140"/>
      <c r="D935" s="64"/>
      <c r="E935" s="64"/>
      <c r="F935" s="64"/>
      <c r="G935" s="64"/>
      <c r="H935" s="64"/>
      <c r="I935" s="64"/>
      <c r="J935" s="64"/>
      <c r="K935" s="64"/>
      <c r="L935" s="64"/>
      <c r="M935" s="64"/>
      <c r="N935" s="64"/>
      <c r="O935" s="64"/>
      <c r="P935" s="64"/>
      <c r="Q935" s="64"/>
      <c r="R935" s="64"/>
      <c r="S935" s="64"/>
      <c r="T935" s="64"/>
      <c r="U935" s="64"/>
      <c r="V935" s="64"/>
      <c r="W935" s="64"/>
    </row>
    <row r="936" spans="1:23" ht="15.75" customHeight="1">
      <c r="A936" s="137"/>
      <c r="B936" s="64"/>
      <c r="C936" s="140"/>
      <c r="D936" s="64"/>
      <c r="E936" s="64"/>
      <c r="F936" s="64"/>
      <c r="G936" s="64"/>
      <c r="H936" s="64"/>
      <c r="I936" s="64"/>
      <c r="J936" s="64"/>
      <c r="K936" s="64"/>
      <c r="L936" s="64"/>
      <c r="M936" s="64"/>
      <c r="N936" s="64"/>
      <c r="O936" s="64"/>
      <c r="P936" s="64"/>
      <c r="Q936" s="64"/>
      <c r="R936" s="64"/>
      <c r="S936" s="64"/>
      <c r="T936" s="64"/>
      <c r="U936" s="64"/>
      <c r="V936" s="64"/>
      <c r="W936" s="64"/>
    </row>
    <row r="937" spans="1:23" ht="15.75" customHeight="1">
      <c r="A937" s="137"/>
      <c r="B937" s="64"/>
      <c r="C937" s="140"/>
      <c r="D937" s="64"/>
      <c r="E937" s="64"/>
      <c r="F937" s="64"/>
      <c r="G937" s="64"/>
      <c r="H937" s="64"/>
      <c r="I937" s="64"/>
      <c r="J937" s="64"/>
      <c r="K937" s="64"/>
      <c r="L937" s="64"/>
      <c r="M937" s="64"/>
      <c r="N937" s="64"/>
      <c r="O937" s="64"/>
      <c r="P937" s="64"/>
      <c r="Q937" s="64"/>
      <c r="R937" s="64"/>
      <c r="S937" s="64"/>
      <c r="T937" s="64"/>
      <c r="U937" s="64"/>
      <c r="V937" s="64"/>
      <c r="W937" s="64"/>
    </row>
    <row r="938" spans="1:23" ht="15.75" customHeight="1">
      <c r="A938" s="137"/>
      <c r="B938" s="64"/>
      <c r="C938" s="140"/>
      <c r="D938" s="64"/>
      <c r="E938" s="64"/>
      <c r="F938" s="64"/>
      <c r="G938" s="64"/>
      <c r="H938" s="64"/>
      <c r="I938" s="64"/>
      <c r="J938" s="64"/>
      <c r="K938" s="64"/>
      <c r="L938" s="64"/>
      <c r="M938" s="64"/>
      <c r="N938" s="64"/>
      <c r="O938" s="64"/>
      <c r="P938" s="64"/>
      <c r="Q938" s="64"/>
      <c r="R938" s="64"/>
      <c r="S938" s="64"/>
      <c r="T938" s="64"/>
      <c r="U938" s="64"/>
      <c r="V938" s="64"/>
      <c r="W938" s="64"/>
    </row>
    <row r="939" spans="1:23" ht="15.75" customHeight="1">
      <c r="A939" s="137"/>
      <c r="B939" s="64"/>
      <c r="C939" s="140"/>
      <c r="D939" s="64"/>
      <c r="E939" s="64"/>
      <c r="F939" s="64"/>
      <c r="G939" s="64"/>
      <c r="H939" s="64"/>
      <c r="I939" s="64"/>
      <c r="J939" s="64"/>
      <c r="K939" s="64"/>
      <c r="L939" s="64"/>
      <c r="M939" s="64"/>
      <c r="N939" s="64"/>
      <c r="O939" s="64"/>
      <c r="P939" s="64"/>
      <c r="Q939" s="64"/>
      <c r="R939" s="64"/>
      <c r="S939" s="64"/>
      <c r="T939" s="64"/>
      <c r="U939" s="64"/>
      <c r="V939" s="64"/>
      <c r="W939" s="64"/>
    </row>
    <row r="940" spans="1:23" ht="15.75" customHeight="1">
      <c r="A940" s="137"/>
      <c r="B940" s="64"/>
      <c r="C940" s="140"/>
      <c r="D940" s="64"/>
      <c r="E940" s="64"/>
      <c r="F940" s="64"/>
      <c r="G940" s="64"/>
      <c r="H940" s="64"/>
      <c r="I940" s="64"/>
      <c r="J940" s="64"/>
      <c r="K940" s="64"/>
      <c r="L940" s="64"/>
      <c r="M940" s="64"/>
      <c r="N940" s="64"/>
      <c r="O940" s="64"/>
      <c r="P940" s="64"/>
      <c r="Q940" s="64"/>
      <c r="R940" s="64"/>
      <c r="S940" s="64"/>
      <c r="T940" s="64"/>
      <c r="U940" s="64"/>
      <c r="V940" s="64"/>
      <c r="W940" s="64"/>
    </row>
    <row r="941" spans="1:23" ht="15.75" customHeight="1">
      <c r="A941" s="137"/>
      <c r="B941" s="64"/>
      <c r="C941" s="140"/>
      <c r="D941" s="64"/>
      <c r="E941" s="64"/>
      <c r="F941" s="64"/>
      <c r="G941" s="64"/>
      <c r="H941" s="64"/>
      <c r="I941" s="64"/>
      <c r="J941" s="64"/>
      <c r="K941" s="64"/>
      <c r="L941" s="64"/>
      <c r="M941" s="64"/>
      <c r="N941" s="64"/>
      <c r="O941" s="64"/>
      <c r="P941" s="64"/>
      <c r="Q941" s="64"/>
      <c r="R941" s="64"/>
      <c r="S941" s="64"/>
      <c r="T941" s="64"/>
      <c r="U941" s="64"/>
      <c r="V941" s="64"/>
      <c r="W941" s="64"/>
    </row>
    <row r="942" spans="1:23" ht="15.75" customHeight="1">
      <c r="A942" s="137"/>
      <c r="B942" s="64"/>
      <c r="C942" s="140"/>
      <c r="D942" s="64"/>
      <c r="E942" s="64"/>
      <c r="F942" s="64"/>
      <c r="G942" s="64"/>
      <c r="H942" s="64"/>
      <c r="I942" s="64"/>
      <c r="J942" s="64"/>
      <c r="K942" s="64"/>
      <c r="L942" s="64"/>
      <c r="M942" s="64"/>
      <c r="N942" s="64"/>
      <c r="O942" s="64"/>
      <c r="P942" s="64"/>
      <c r="Q942" s="64"/>
      <c r="R942" s="64"/>
      <c r="S942" s="64"/>
      <c r="T942" s="64"/>
      <c r="U942" s="64"/>
      <c r="V942" s="64"/>
      <c r="W942" s="64"/>
    </row>
    <row r="943" spans="1:23" ht="15.75" customHeight="1">
      <c r="A943" s="137"/>
      <c r="B943" s="64"/>
      <c r="C943" s="140"/>
      <c r="D943" s="64"/>
      <c r="E943" s="64"/>
      <c r="F943" s="64"/>
      <c r="G943" s="64"/>
      <c r="H943" s="64"/>
      <c r="I943" s="64"/>
      <c r="J943" s="64"/>
      <c r="K943" s="64"/>
      <c r="L943" s="64"/>
      <c r="M943" s="64"/>
      <c r="N943" s="64"/>
      <c r="O943" s="64"/>
      <c r="P943" s="64"/>
      <c r="Q943" s="64"/>
      <c r="R943" s="64"/>
      <c r="S943" s="64"/>
      <c r="T943" s="64"/>
      <c r="U943" s="64"/>
      <c r="V943" s="64"/>
      <c r="W943" s="64"/>
    </row>
    <row r="944" spans="1:23" ht="15.75" customHeight="1">
      <c r="A944" s="137"/>
      <c r="B944" s="64"/>
      <c r="C944" s="140"/>
      <c r="D944" s="64"/>
      <c r="E944" s="64"/>
      <c r="F944" s="64"/>
      <c r="G944" s="64"/>
      <c r="H944" s="64"/>
      <c r="I944" s="64"/>
      <c r="J944" s="64"/>
      <c r="K944" s="64"/>
      <c r="L944" s="64"/>
      <c r="M944" s="64"/>
      <c r="N944" s="64"/>
      <c r="O944" s="64"/>
      <c r="P944" s="64"/>
      <c r="Q944" s="64"/>
      <c r="R944" s="64"/>
      <c r="S944" s="64"/>
      <c r="T944" s="64"/>
      <c r="U944" s="64"/>
      <c r="V944" s="64"/>
      <c r="W944" s="64"/>
    </row>
    <row r="945" spans="1:23" ht="15.75" customHeight="1">
      <c r="A945" s="137"/>
      <c r="B945" s="64"/>
      <c r="C945" s="140"/>
      <c r="D945" s="64"/>
      <c r="E945" s="64"/>
      <c r="F945" s="64"/>
      <c r="G945" s="64"/>
      <c r="H945" s="64"/>
      <c r="I945" s="64"/>
      <c r="J945" s="64"/>
      <c r="K945" s="64"/>
      <c r="L945" s="64"/>
      <c r="M945" s="64"/>
      <c r="N945" s="64"/>
      <c r="O945" s="64"/>
      <c r="P945" s="64"/>
      <c r="Q945" s="64"/>
      <c r="R945" s="64"/>
      <c r="S945" s="64"/>
      <c r="T945" s="64"/>
      <c r="U945" s="64"/>
      <c r="V945" s="64"/>
      <c r="W945" s="64"/>
    </row>
    <row r="946" spans="1:23" ht="15.75" customHeight="1">
      <c r="A946" s="137"/>
      <c r="B946" s="64"/>
      <c r="C946" s="140"/>
      <c r="D946" s="64"/>
      <c r="E946" s="64"/>
      <c r="F946" s="64"/>
      <c r="G946" s="64"/>
      <c r="H946" s="64"/>
      <c r="I946" s="64"/>
      <c r="J946" s="64"/>
      <c r="K946" s="64"/>
      <c r="L946" s="64"/>
      <c r="M946" s="64"/>
      <c r="N946" s="64"/>
      <c r="O946" s="64"/>
      <c r="P946" s="64"/>
      <c r="Q946" s="64"/>
      <c r="R946" s="64"/>
      <c r="S946" s="64"/>
      <c r="T946" s="64"/>
      <c r="U946" s="64"/>
      <c r="V946" s="64"/>
      <c r="W946" s="64"/>
    </row>
    <row r="947" spans="1:23" ht="15.75" customHeight="1">
      <c r="A947" s="137"/>
      <c r="B947" s="64"/>
      <c r="C947" s="140"/>
      <c r="D947" s="64"/>
      <c r="E947" s="64"/>
      <c r="F947" s="64"/>
      <c r="G947" s="64"/>
      <c r="H947" s="64"/>
      <c r="I947" s="64"/>
      <c r="J947" s="64"/>
      <c r="K947" s="64"/>
      <c r="L947" s="64"/>
      <c r="M947" s="64"/>
      <c r="N947" s="64"/>
      <c r="O947" s="64"/>
      <c r="P947" s="64"/>
      <c r="Q947" s="64"/>
      <c r="R947" s="64"/>
      <c r="S947" s="64"/>
      <c r="T947" s="64"/>
      <c r="U947" s="64"/>
      <c r="V947" s="64"/>
      <c r="W947" s="64"/>
    </row>
    <row r="948" spans="1:23" ht="15.75" customHeight="1">
      <c r="A948" s="137"/>
      <c r="B948" s="64"/>
      <c r="C948" s="140"/>
      <c r="D948" s="64"/>
      <c r="E948" s="64"/>
      <c r="F948" s="64"/>
      <c r="G948" s="64"/>
      <c r="H948" s="64"/>
      <c r="I948" s="64"/>
      <c r="J948" s="64"/>
      <c r="K948" s="64"/>
      <c r="L948" s="64"/>
      <c r="M948" s="64"/>
      <c r="N948" s="64"/>
      <c r="O948" s="64"/>
      <c r="P948" s="64"/>
      <c r="Q948" s="64"/>
      <c r="R948" s="64"/>
      <c r="S948" s="64"/>
      <c r="T948" s="64"/>
      <c r="U948" s="64"/>
      <c r="V948" s="64"/>
      <c r="W948" s="64"/>
    </row>
    <row r="949" spans="1:23" ht="15.75" customHeight="1">
      <c r="A949" s="137"/>
      <c r="B949" s="64"/>
      <c r="C949" s="140"/>
      <c r="D949" s="64"/>
      <c r="E949" s="64"/>
      <c r="F949" s="64"/>
      <c r="G949" s="64"/>
      <c r="H949" s="64"/>
      <c r="I949" s="64"/>
      <c r="J949" s="64"/>
      <c r="K949" s="64"/>
      <c r="L949" s="64"/>
      <c r="M949" s="64"/>
      <c r="N949" s="64"/>
      <c r="O949" s="64"/>
      <c r="P949" s="64"/>
      <c r="Q949" s="64"/>
      <c r="R949" s="64"/>
      <c r="S949" s="64"/>
      <c r="T949" s="64"/>
      <c r="U949" s="64"/>
      <c r="V949" s="64"/>
      <c r="W949" s="64"/>
    </row>
    <row r="950" spans="1:23" ht="15.75" customHeight="1">
      <c r="A950" s="137"/>
      <c r="B950" s="64"/>
      <c r="C950" s="140"/>
      <c r="D950" s="64"/>
      <c r="E950" s="64"/>
      <c r="F950" s="64"/>
      <c r="G950" s="64"/>
      <c r="H950" s="64"/>
      <c r="I950" s="64"/>
      <c r="J950" s="64"/>
      <c r="K950" s="64"/>
      <c r="L950" s="64"/>
      <c r="M950" s="64"/>
      <c r="N950" s="64"/>
      <c r="O950" s="64"/>
      <c r="P950" s="64"/>
      <c r="Q950" s="64"/>
      <c r="R950" s="64"/>
      <c r="S950" s="64"/>
      <c r="T950" s="64"/>
      <c r="U950" s="64"/>
      <c r="V950" s="64"/>
      <c r="W950" s="64"/>
    </row>
    <row r="951" spans="1:23" ht="15.75" customHeight="1">
      <c r="A951" s="137"/>
      <c r="B951" s="64"/>
      <c r="C951" s="140"/>
      <c r="D951" s="64"/>
      <c r="E951" s="64"/>
      <c r="F951" s="64"/>
      <c r="G951" s="64"/>
      <c r="H951" s="64"/>
      <c r="I951" s="64"/>
      <c r="J951" s="64"/>
      <c r="K951" s="64"/>
      <c r="L951" s="64"/>
      <c r="M951" s="64"/>
      <c r="N951" s="64"/>
      <c r="O951" s="64"/>
      <c r="P951" s="64"/>
      <c r="Q951" s="64"/>
      <c r="R951" s="64"/>
      <c r="S951" s="64"/>
      <c r="T951" s="64"/>
      <c r="U951" s="64"/>
      <c r="V951" s="64"/>
      <c r="W951" s="64"/>
    </row>
    <row r="952" spans="1:23" ht="15.75" customHeight="1">
      <c r="A952" s="137"/>
      <c r="B952" s="64"/>
      <c r="C952" s="140"/>
      <c r="D952" s="64"/>
      <c r="E952" s="64"/>
      <c r="F952" s="64"/>
      <c r="G952" s="64"/>
      <c r="H952" s="64"/>
      <c r="I952" s="64"/>
      <c r="J952" s="64"/>
      <c r="K952" s="64"/>
      <c r="L952" s="64"/>
      <c r="M952" s="64"/>
      <c r="N952" s="64"/>
      <c r="O952" s="64"/>
      <c r="P952" s="64"/>
      <c r="Q952" s="64"/>
      <c r="R952" s="64"/>
      <c r="S952" s="64"/>
      <c r="T952" s="64"/>
      <c r="U952" s="64"/>
      <c r="V952" s="64"/>
      <c r="W952" s="64"/>
    </row>
    <row r="953" spans="1:23" ht="15.75" customHeight="1">
      <c r="A953" s="137"/>
      <c r="B953" s="64"/>
      <c r="C953" s="140"/>
      <c r="D953" s="64"/>
      <c r="E953" s="64"/>
      <c r="F953" s="64"/>
      <c r="G953" s="64"/>
      <c r="H953" s="64"/>
      <c r="I953" s="64"/>
      <c r="J953" s="64"/>
      <c r="K953" s="64"/>
      <c r="L953" s="64"/>
      <c r="M953" s="64"/>
      <c r="N953" s="64"/>
      <c r="O953" s="64"/>
      <c r="P953" s="64"/>
      <c r="Q953" s="64"/>
      <c r="R953" s="64"/>
      <c r="S953" s="64"/>
      <c r="T953" s="64"/>
      <c r="U953" s="64"/>
      <c r="V953" s="64"/>
      <c r="W953" s="64"/>
    </row>
    <row r="954" spans="1:23" ht="15.75" customHeight="1">
      <c r="A954" s="137"/>
      <c r="B954" s="64"/>
      <c r="C954" s="140"/>
      <c r="D954" s="64"/>
      <c r="E954" s="64"/>
      <c r="F954" s="64"/>
      <c r="G954" s="64"/>
      <c r="H954" s="64"/>
      <c r="I954" s="64"/>
      <c r="J954" s="64"/>
      <c r="K954" s="64"/>
      <c r="L954" s="64"/>
      <c r="M954" s="64"/>
      <c r="N954" s="64"/>
      <c r="O954" s="64"/>
      <c r="P954" s="64"/>
      <c r="Q954" s="64"/>
      <c r="R954" s="64"/>
      <c r="S954" s="64"/>
      <c r="T954" s="64"/>
      <c r="U954" s="64"/>
      <c r="V954" s="64"/>
      <c r="W954" s="64"/>
    </row>
    <row r="955" spans="1:23" ht="15.75" customHeight="1">
      <c r="A955" s="137"/>
      <c r="B955" s="64"/>
      <c r="C955" s="140"/>
      <c r="D955" s="64"/>
      <c r="E955" s="64"/>
      <c r="F955" s="64"/>
      <c r="G955" s="64"/>
      <c r="H955" s="64"/>
      <c r="I955" s="64"/>
      <c r="J955" s="64"/>
      <c r="K955" s="64"/>
      <c r="L955" s="64"/>
      <c r="M955" s="64"/>
      <c r="N955" s="64"/>
      <c r="O955" s="64"/>
      <c r="P955" s="64"/>
      <c r="Q955" s="64"/>
      <c r="R955" s="64"/>
      <c r="S955" s="64"/>
      <c r="T955" s="64"/>
      <c r="U955" s="64"/>
      <c r="V955" s="64"/>
      <c r="W955" s="64"/>
    </row>
    <row r="956" spans="1:23" ht="15.75" customHeight="1">
      <c r="A956" s="137"/>
      <c r="B956" s="64"/>
      <c r="C956" s="140"/>
      <c r="D956" s="64"/>
      <c r="E956" s="64"/>
      <c r="F956" s="64"/>
      <c r="G956" s="64"/>
      <c r="H956" s="64"/>
      <c r="I956" s="64"/>
      <c r="J956" s="64"/>
      <c r="K956" s="64"/>
      <c r="L956" s="64"/>
      <c r="M956" s="64"/>
      <c r="N956" s="64"/>
      <c r="O956" s="64"/>
      <c r="P956" s="64"/>
      <c r="Q956" s="64"/>
      <c r="R956" s="64"/>
      <c r="S956" s="64"/>
      <c r="T956" s="64"/>
      <c r="U956" s="64"/>
      <c r="V956" s="64"/>
      <c r="W956" s="64"/>
    </row>
    <row r="957" spans="1:23" ht="15.75" customHeight="1">
      <c r="A957" s="137"/>
      <c r="B957" s="64"/>
      <c r="C957" s="140"/>
      <c r="D957" s="64"/>
      <c r="E957" s="64"/>
      <c r="F957" s="64"/>
      <c r="G957" s="64"/>
      <c r="H957" s="64"/>
      <c r="I957" s="64"/>
      <c r="J957" s="64"/>
      <c r="K957" s="64"/>
      <c r="L957" s="64"/>
      <c r="M957" s="64"/>
      <c r="N957" s="64"/>
      <c r="O957" s="64"/>
      <c r="P957" s="64"/>
      <c r="Q957" s="64"/>
      <c r="R957" s="64"/>
      <c r="S957" s="64"/>
      <c r="T957" s="64"/>
      <c r="U957" s="64"/>
      <c r="V957" s="64"/>
      <c r="W957" s="64"/>
    </row>
    <row r="958" spans="1:23" ht="15.75" customHeight="1">
      <c r="A958" s="137"/>
      <c r="B958" s="64"/>
      <c r="C958" s="140"/>
      <c r="D958" s="64"/>
      <c r="E958" s="64"/>
      <c r="F958" s="64"/>
      <c r="G958" s="64"/>
      <c r="H958" s="64"/>
      <c r="I958" s="64"/>
      <c r="J958" s="64"/>
      <c r="K958" s="64"/>
      <c r="L958" s="64"/>
      <c r="M958" s="64"/>
      <c r="N958" s="64"/>
      <c r="O958" s="64"/>
      <c r="P958" s="64"/>
      <c r="Q958" s="64"/>
      <c r="R958" s="64"/>
      <c r="S958" s="64"/>
      <c r="T958" s="64"/>
      <c r="U958" s="64"/>
      <c r="V958" s="64"/>
      <c r="W958" s="64"/>
    </row>
    <row r="959" spans="1:23" ht="15.75" customHeight="1">
      <c r="A959" s="137"/>
      <c r="B959" s="64"/>
      <c r="C959" s="140"/>
      <c r="D959" s="64"/>
      <c r="E959" s="64"/>
      <c r="F959" s="64"/>
      <c r="G959" s="64"/>
      <c r="H959" s="64"/>
      <c r="I959" s="64"/>
      <c r="J959" s="64"/>
      <c r="K959" s="64"/>
      <c r="L959" s="64"/>
      <c r="M959" s="64"/>
      <c r="N959" s="64"/>
      <c r="O959" s="64"/>
      <c r="P959" s="64"/>
      <c r="Q959" s="64"/>
      <c r="R959" s="64"/>
      <c r="S959" s="64"/>
      <c r="T959" s="64"/>
      <c r="U959" s="64"/>
      <c r="V959" s="64"/>
      <c r="W959" s="64"/>
    </row>
    <row r="960" spans="1:23" ht="15.75" customHeight="1">
      <c r="A960" s="137"/>
      <c r="B960" s="64"/>
      <c r="C960" s="140"/>
      <c r="D960" s="64"/>
      <c r="E960" s="64"/>
      <c r="F960" s="64"/>
      <c r="G960" s="64"/>
      <c r="H960" s="64"/>
      <c r="I960" s="64"/>
      <c r="J960" s="64"/>
      <c r="K960" s="64"/>
      <c r="L960" s="64"/>
      <c r="M960" s="64"/>
      <c r="N960" s="64"/>
      <c r="O960" s="64"/>
      <c r="P960" s="64"/>
      <c r="Q960" s="64"/>
      <c r="R960" s="64"/>
      <c r="S960" s="64"/>
      <c r="T960" s="64"/>
      <c r="U960" s="64"/>
      <c r="V960" s="64"/>
      <c r="W960" s="64"/>
    </row>
    <row r="961" spans="1:23" ht="15.75" customHeight="1">
      <c r="A961" s="137"/>
      <c r="B961" s="64"/>
      <c r="C961" s="140"/>
      <c r="D961" s="64"/>
      <c r="E961" s="64"/>
      <c r="F961" s="64"/>
      <c r="G961" s="64"/>
      <c r="H961" s="64"/>
      <c r="I961" s="64"/>
      <c r="J961" s="64"/>
      <c r="K961" s="64"/>
      <c r="L961" s="64"/>
      <c r="M961" s="64"/>
      <c r="N961" s="64"/>
      <c r="O961" s="64"/>
      <c r="P961" s="64"/>
      <c r="Q961" s="64"/>
      <c r="R961" s="64"/>
      <c r="S961" s="64"/>
      <c r="T961" s="64"/>
      <c r="U961" s="64"/>
      <c r="V961" s="64"/>
      <c r="W961" s="64"/>
    </row>
    <row r="962" spans="1:23" ht="15.75" customHeight="1">
      <c r="A962" s="137"/>
      <c r="B962" s="64"/>
      <c r="C962" s="140"/>
      <c r="D962" s="64"/>
      <c r="E962" s="64"/>
      <c r="F962" s="64"/>
      <c r="G962" s="64"/>
      <c r="H962" s="64"/>
      <c r="I962" s="64"/>
      <c r="J962" s="64"/>
      <c r="K962" s="64"/>
      <c r="L962" s="64"/>
      <c r="M962" s="64"/>
      <c r="N962" s="64"/>
      <c r="O962" s="64"/>
      <c r="P962" s="64"/>
      <c r="Q962" s="64"/>
      <c r="R962" s="64"/>
      <c r="S962" s="64"/>
      <c r="T962" s="64"/>
      <c r="U962" s="64"/>
      <c r="V962" s="64"/>
      <c r="W962" s="64"/>
    </row>
    <row r="963" spans="1:23" ht="15.75" customHeight="1">
      <c r="A963" s="137"/>
      <c r="B963" s="64"/>
      <c r="C963" s="140"/>
      <c r="D963" s="64"/>
      <c r="E963" s="64"/>
      <c r="F963" s="64"/>
      <c r="G963" s="64"/>
      <c r="H963" s="64"/>
      <c r="I963" s="64"/>
      <c r="J963" s="64"/>
      <c r="K963" s="64"/>
      <c r="L963" s="64"/>
      <c r="M963" s="64"/>
      <c r="N963" s="64"/>
      <c r="O963" s="64"/>
      <c r="P963" s="64"/>
      <c r="Q963" s="64"/>
      <c r="R963" s="64"/>
      <c r="S963" s="64"/>
      <c r="T963" s="64"/>
      <c r="U963" s="64"/>
      <c r="V963" s="64"/>
      <c r="W963" s="64"/>
    </row>
    <row r="964" spans="1:23" ht="15.75" customHeight="1">
      <c r="A964" s="137"/>
      <c r="B964" s="64"/>
      <c r="C964" s="140"/>
      <c r="D964" s="64"/>
      <c r="E964" s="64"/>
      <c r="F964" s="64"/>
      <c r="G964" s="64"/>
      <c r="H964" s="64"/>
      <c r="I964" s="64"/>
      <c r="J964" s="64"/>
      <c r="K964" s="64"/>
      <c r="L964" s="64"/>
      <c r="M964" s="64"/>
      <c r="N964" s="64"/>
      <c r="O964" s="64"/>
      <c r="P964" s="64"/>
      <c r="Q964" s="64"/>
      <c r="R964" s="64"/>
      <c r="S964" s="64"/>
      <c r="T964" s="64"/>
      <c r="U964" s="64"/>
      <c r="V964" s="64"/>
      <c r="W964" s="64"/>
    </row>
    <row r="965" spans="1:23" ht="15.75" customHeight="1">
      <c r="A965" s="137"/>
      <c r="B965" s="64"/>
      <c r="C965" s="140"/>
      <c r="D965" s="64"/>
      <c r="E965" s="64"/>
      <c r="F965" s="64"/>
      <c r="G965" s="64"/>
      <c r="H965" s="64"/>
      <c r="I965" s="64"/>
      <c r="J965" s="64"/>
      <c r="K965" s="64"/>
      <c r="L965" s="64"/>
      <c r="M965" s="64"/>
      <c r="N965" s="64"/>
      <c r="O965" s="64"/>
      <c r="P965" s="64"/>
      <c r="Q965" s="64"/>
      <c r="R965" s="64"/>
      <c r="S965" s="64"/>
      <c r="T965" s="64"/>
      <c r="U965" s="64"/>
      <c r="V965" s="64"/>
      <c r="W965" s="64"/>
    </row>
    <row r="966" spans="1:23" ht="15.75" customHeight="1">
      <c r="A966" s="137"/>
      <c r="B966" s="64"/>
      <c r="C966" s="140"/>
      <c r="D966" s="64"/>
      <c r="E966" s="64"/>
      <c r="F966" s="64"/>
      <c r="G966" s="64"/>
      <c r="H966" s="64"/>
      <c r="I966" s="64"/>
      <c r="J966" s="64"/>
      <c r="K966" s="64"/>
      <c r="L966" s="64"/>
      <c r="M966" s="64"/>
      <c r="N966" s="64"/>
      <c r="O966" s="64"/>
      <c r="P966" s="64"/>
      <c r="Q966" s="64"/>
      <c r="R966" s="64"/>
      <c r="S966" s="64"/>
      <c r="T966" s="64"/>
      <c r="U966" s="64"/>
      <c r="V966" s="64"/>
      <c r="W966" s="64"/>
    </row>
    <row r="967" spans="1:23" ht="15.75" customHeight="1">
      <c r="A967" s="137"/>
      <c r="B967" s="64"/>
      <c r="C967" s="140"/>
      <c r="D967" s="64"/>
      <c r="E967" s="64"/>
      <c r="F967" s="64"/>
      <c r="G967" s="64"/>
      <c r="H967" s="64"/>
      <c r="I967" s="64"/>
      <c r="J967" s="64"/>
      <c r="K967" s="64"/>
      <c r="L967" s="64"/>
      <c r="M967" s="64"/>
      <c r="N967" s="64"/>
      <c r="O967" s="64"/>
      <c r="P967" s="64"/>
      <c r="Q967" s="64"/>
      <c r="R967" s="64"/>
      <c r="S967" s="64"/>
      <c r="T967" s="64"/>
      <c r="U967" s="64"/>
      <c r="V967" s="64"/>
      <c r="W967" s="64"/>
    </row>
    <row r="968" spans="1:23" ht="15.75" customHeight="1">
      <c r="A968" s="137"/>
      <c r="B968" s="64"/>
      <c r="C968" s="140"/>
      <c r="D968" s="64"/>
      <c r="E968" s="64"/>
      <c r="F968" s="64"/>
      <c r="G968" s="64"/>
      <c r="H968" s="64"/>
      <c r="I968" s="64"/>
      <c r="J968" s="64"/>
      <c r="K968" s="64"/>
      <c r="L968" s="64"/>
      <c r="M968" s="64"/>
      <c r="N968" s="64"/>
      <c r="O968" s="64"/>
      <c r="P968" s="64"/>
      <c r="Q968" s="64"/>
      <c r="R968" s="64"/>
      <c r="S968" s="64"/>
      <c r="T968" s="64"/>
      <c r="U968" s="64"/>
      <c r="V968" s="64"/>
      <c r="W968" s="64"/>
    </row>
    <row r="969" spans="1:23" ht="15.75" customHeight="1">
      <c r="A969" s="137"/>
      <c r="B969" s="64"/>
      <c r="C969" s="140"/>
      <c r="D969" s="64"/>
      <c r="E969" s="64"/>
      <c r="F969" s="64"/>
      <c r="G969" s="64"/>
      <c r="H969" s="64"/>
      <c r="I969" s="64"/>
      <c r="J969" s="64"/>
      <c r="K969" s="64"/>
      <c r="L969" s="64"/>
      <c r="M969" s="64"/>
      <c r="N969" s="64"/>
      <c r="O969" s="64"/>
      <c r="P969" s="64"/>
      <c r="Q969" s="64"/>
      <c r="R969" s="64"/>
      <c r="S969" s="64"/>
      <c r="T969" s="64"/>
      <c r="U969" s="64"/>
      <c r="V969" s="64"/>
      <c r="W969" s="64"/>
    </row>
    <row r="970" spans="1:23" ht="15.75" customHeight="1">
      <c r="A970" s="137"/>
      <c r="B970" s="64"/>
      <c r="C970" s="140"/>
      <c r="D970" s="64"/>
      <c r="E970" s="64"/>
      <c r="F970" s="64"/>
      <c r="G970" s="64"/>
      <c r="H970" s="64"/>
      <c r="I970" s="64"/>
      <c r="J970" s="64"/>
      <c r="K970" s="64"/>
      <c r="L970" s="64"/>
      <c r="M970" s="64"/>
      <c r="N970" s="64"/>
      <c r="O970" s="64"/>
      <c r="P970" s="64"/>
      <c r="Q970" s="64"/>
      <c r="R970" s="64"/>
      <c r="S970" s="64"/>
      <c r="T970" s="64"/>
      <c r="U970" s="64"/>
      <c r="V970" s="64"/>
      <c r="W970" s="64"/>
    </row>
    <row r="971" spans="1:23" ht="15.75" customHeight="1">
      <c r="A971" s="137"/>
      <c r="B971" s="64"/>
      <c r="C971" s="140"/>
      <c r="D971" s="64"/>
      <c r="E971" s="64"/>
      <c r="F971" s="64"/>
      <c r="G971" s="64"/>
      <c r="H971" s="64"/>
      <c r="I971" s="64"/>
      <c r="J971" s="64"/>
      <c r="K971" s="64"/>
      <c r="L971" s="64"/>
      <c r="M971" s="64"/>
      <c r="N971" s="64"/>
      <c r="O971" s="64"/>
      <c r="P971" s="64"/>
      <c r="Q971" s="64"/>
      <c r="R971" s="64"/>
      <c r="S971" s="64"/>
      <c r="T971" s="64"/>
      <c r="U971" s="64"/>
      <c r="V971" s="64"/>
      <c r="W971" s="64"/>
    </row>
    <row r="972" spans="1:23" ht="15.75" customHeight="1">
      <c r="A972" s="137"/>
      <c r="B972" s="64"/>
      <c r="C972" s="140"/>
      <c r="D972" s="64"/>
      <c r="E972" s="64"/>
      <c r="F972" s="64"/>
      <c r="G972" s="64"/>
      <c r="H972" s="64"/>
      <c r="I972" s="64"/>
      <c r="J972" s="64"/>
      <c r="K972" s="64"/>
      <c r="L972" s="64"/>
      <c r="M972" s="64"/>
      <c r="N972" s="64"/>
      <c r="O972" s="64"/>
      <c r="P972" s="64"/>
      <c r="Q972" s="64"/>
      <c r="R972" s="64"/>
      <c r="S972" s="64"/>
      <c r="T972" s="64"/>
      <c r="U972" s="64"/>
      <c r="V972" s="64"/>
      <c r="W972" s="64"/>
    </row>
    <row r="973" spans="1:23" ht="15.75" customHeight="1">
      <c r="A973" s="137"/>
      <c r="B973" s="64"/>
      <c r="C973" s="140"/>
      <c r="D973" s="64"/>
      <c r="E973" s="64"/>
      <c r="F973" s="64"/>
      <c r="G973" s="64"/>
      <c r="H973" s="64"/>
      <c r="I973" s="64"/>
      <c r="J973" s="64"/>
      <c r="K973" s="64"/>
      <c r="L973" s="64"/>
      <c r="M973" s="64"/>
      <c r="N973" s="64"/>
      <c r="O973" s="64"/>
      <c r="P973" s="64"/>
      <c r="Q973" s="64"/>
      <c r="R973" s="64"/>
      <c r="S973" s="64"/>
      <c r="T973" s="64"/>
      <c r="U973" s="64"/>
      <c r="V973" s="64"/>
      <c r="W973" s="64"/>
    </row>
    <row r="974" spans="1:23" ht="15.75" customHeight="1">
      <c r="A974" s="137"/>
      <c r="B974" s="64"/>
      <c r="C974" s="140"/>
      <c r="D974" s="64"/>
      <c r="E974" s="64"/>
      <c r="F974" s="64"/>
      <c r="G974" s="64"/>
      <c r="H974" s="64"/>
      <c r="I974" s="64"/>
      <c r="J974" s="64"/>
      <c r="K974" s="64"/>
      <c r="L974" s="64"/>
      <c r="M974" s="64"/>
      <c r="N974" s="64"/>
      <c r="O974" s="64"/>
      <c r="P974" s="64"/>
      <c r="Q974" s="64"/>
      <c r="R974" s="64"/>
      <c r="S974" s="64"/>
      <c r="T974" s="64"/>
      <c r="U974" s="64"/>
      <c r="V974" s="64"/>
      <c r="W974" s="64"/>
    </row>
    <row r="975" spans="1:23" ht="15.75" customHeight="1">
      <c r="A975" s="137"/>
      <c r="B975" s="64"/>
      <c r="C975" s="140"/>
      <c r="D975" s="64"/>
      <c r="E975" s="64"/>
      <c r="F975" s="64"/>
      <c r="G975" s="64"/>
      <c r="H975" s="64"/>
      <c r="I975" s="64"/>
      <c r="J975" s="64"/>
      <c r="K975" s="64"/>
      <c r="L975" s="64"/>
      <c r="M975" s="64"/>
      <c r="N975" s="64"/>
      <c r="O975" s="64"/>
      <c r="P975" s="64"/>
      <c r="Q975" s="64"/>
      <c r="R975" s="64"/>
      <c r="S975" s="64"/>
      <c r="T975" s="64"/>
      <c r="U975" s="64"/>
      <c r="V975" s="64"/>
      <c r="W975" s="64"/>
    </row>
    <row r="976" spans="1:23" ht="15.75" customHeight="1">
      <c r="A976" s="137"/>
      <c r="B976" s="64"/>
      <c r="C976" s="140"/>
      <c r="D976" s="64"/>
      <c r="E976" s="64"/>
      <c r="F976" s="64"/>
      <c r="G976" s="64"/>
      <c r="H976" s="64"/>
      <c r="I976" s="64"/>
      <c r="J976" s="64"/>
      <c r="K976" s="64"/>
      <c r="L976" s="64"/>
      <c r="M976" s="64"/>
      <c r="N976" s="64"/>
      <c r="O976" s="64"/>
      <c r="P976" s="64"/>
      <c r="Q976" s="64"/>
      <c r="R976" s="64"/>
      <c r="S976" s="64"/>
      <c r="T976" s="64"/>
      <c r="U976" s="64"/>
      <c r="V976" s="64"/>
      <c r="W976" s="64"/>
    </row>
    <row r="977" spans="1:23" ht="15.75" customHeight="1">
      <c r="A977" s="137"/>
      <c r="B977" s="64"/>
      <c r="C977" s="140"/>
      <c r="D977" s="64"/>
      <c r="E977" s="64"/>
      <c r="F977" s="64"/>
      <c r="G977" s="64"/>
      <c r="H977" s="64"/>
      <c r="I977" s="64"/>
      <c r="J977" s="64"/>
      <c r="K977" s="64"/>
      <c r="L977" s="64"/>
      <c r="M977" s="64"/>
      <c r="N977" s="64"/>
      <c r="O977" s="64"/>
      <c r="P977" s="64"/>
      <c r="Q977" s="64"/>
      <c r="R977" s="64"/>
      <c r="S977" s="64"/>
      <c r="T977" s="64"/>
      <c r="U977" s="64"/>
      <c r="V977" s="64"/>
      <c r="W977" s="64"/>
    </row>
    <row r="978" spans="1:23" ht="15.75" customHeight="1">
      <c r="A978" s="137"/>
      <c r="B978" s="64"/>
      <c r="C978" s="140"/>
      <c r="D978" s="64"/>
      <c r="E978" s="64"/>
      <c r="F978" s="64"/>
      <c r="G978" s="64"/>
      <c r="H978" s="64"/>
      <c r="I978" s="64"/>
      <c r="J978" s="64"/>
      <c r="K978" s="64"/>
      <c r="L978" s="64"/>
      <c r="M978" s="64"/>
      <c r="N978" s="64"/>
      <c r="O978" s="64"/>
      <c r="P978" s="64"/>
      <c r="Q978" s="64"/>
      <c r="R978" s="64"/>
      <c r="S978" s="64"/>
      <c r="T978" s="64"/>
      <c r="U978" s="64"/>
      <c r="V978" s="64"/>
      <c r="W978" s="64"/>
    </row>
    <row r="979" spans="1:23" ht="15.75" customHeight="1">
      <c r="A979" s="137"/>
      <c r="B979" s="64"/>
      <c r="C979" s="140"/>
      <c r="D979" s="64"/>
      <c r="E979" s="64"/>
      <c r="F979" s="64"/>
      <c r="G979" s="64"/>
      <c r="H979" s="64"/>
      <c r="I979" s="64"/>
      <c r="J979" s="64"/>
      <c r="K979" s="64"/>
      <c r="L979" s="64"/>
      <c r="M979" s="64"/>
      <c r="N979" s="64"/>
      <c r="O979" s="64"/>
      <c r="P979" s="64"/>
      <c r="Q979" s="64"/>
      <c r="R979" s="64"/>
      <c r="S979" s="64"/>
      <c r="T979" s="64"/>
      <c r="U979" s="64"/>
      <c r="V979" s="64"/>
      <c r="W979" s="64"/>
    </row>
    <row r="980" spans="1:23" ht="15.75" customHeight="1">
      <c r="A980" s="137"/>
      <c r="B980" s="64"/>
      <c r="C980" s="140"/>
      <c r="D980" s="64"/>
      <c r="E980" s="64"/>
      <c r="F980" s="64"/>
      <c r="G980" s="64"/>
      <c r="H980" s="64"/>
      <c r="I980" s="64"/>
      <c r="J980" s="64"/>
      <c r="K980" s="64"/>
      <c r="L980" s="64"/>
      <c r="M980" s="64"/>
      <c r="N980" s="64"/>
      <c r="O980" s="64"/>
      <c r="P980" s="64"/>
      <c r="Q980" s="64"/>
      <c r="R980" s="64"/>
      <c r="S980" s="64"/>
      <c r="T980" s="64"/>
      <c r="U980" s="64"/>
      <c r="V980" s="64"/>
      <c r="W980" s="64"/>
    </row>
    <row r="981" spans="1:23" ht="15.75" customHeight="1">
      <c r="A981" s="137"/>
      <c r="B981" s="64"/>
      <c r="C981" s="140"/>
      <c r="D981" s="64"/>
      <c r="E981" s="64"/>
      <c r="F981" s="64"/>
      <c r="G981" s="64"/>
      <c r="H981" s="64"/>
      <c r="I981" s="64"/>
      <c r="J981" s="64"/>
      <c r="K981" s="64"/>
      <c r="L981" s="64"/>
      <c r="M981" s="64"/>
      <c r="N981" s="64"/>
      <c r="O981" s="64"/>
      <c r="P981" s="64"/>
      <c r="Q981" s="64"/>
      <c r="R981" s="64"/>
      <c r="S981" s="64"/>
      <c r="T981" s="64"/>
      <c r="U981" s="64"/>
      <c r="V981" s="64"/>
      <c r="W981" s="64"/>
    </row>
    <row r="982" spans="1:23" ht="15.75" customHeight="1">
      <c r="A982" s="137"/>
      <c r="B982" s="64"/>
      <c r="C982" s="140"/>
      <c r="D982" s="64"/>
      <c r="E982" s="64"/>
      <c r="F982" s="64"/>
      <c r="G982" s="64"/>
      <c r="H982" s="64"/>
      <c r="I982" s="64"/>
      <c r="J982" s="64"/>
      <c r="K982" s="64"/>
      <c r="L982" s="64"/>
      <c r="M982" s="64"/>
      <c r="N982" s="64"/>
      <c r="O982" s="64"/>
      <c r="P982" s="64"/>
      <c r="Q982" s="64"/>
      <c r="R982" s="64"/>
      <c r="S982" s="64"/>
      <c r="T982" s="64"/>
      <c r="U982" s="64"/>
      <c r="V982" s="64"/>
      <c r="W982" s="64"/>
    </row>
    <row r="983" spans="1:23" ht="15.75" customHeight="1">
      <c r="A983" s="137"/>
      <c r="B983" s="64"/>
      <c r="C983" s="140"/>
      <c r="D983" s="64"/>
      <c r="E983" s="64"/>
      <c r="F983" s="64"/>
      <c r="G983" s="64"/>
      <c r="H983" s="64"/>
      <c r="I983" s="64"/>
      <c r="J983" s="64"/>
      <c r="K983" s="64"/>
      <c r="L983" s="64"/>
      <c r="M983" s="64"/>
      <c r="N983" s="64"/>
      <c r="O983" s="64"/>
      <c r="P983" s="64"/>
      <c r="Q983" s="64"/>
      <c r="R983" s="64"/>
      <c r="S983" s="64"/>
      <c r="T983" s="64"/>
      <c r="U983" s="64"/>
      <c r="V983" s="64"/>
      <c r="W983" s="64"/>
    </row>
    <row r="984" spans="1:23" ht="15.75" customHeight="1">
      <c r="A984" s="137"/>
      <c r="B984" s="64"/>
      <c r="C984" s="140"/>
      <c r="D984" s="64"/>
      <c r="E984" s="64"/>
      <c r="F984" s="64"/>
      <c r="G984" s="64"/>
      <c r="H984" s="64"/>
      <c r="I984" s="64"/>
      <c r="J984" s="64"/>
      <c r="K984" s="64"/>
      <c r="L984" s="64"/>
      <c r="M984" s="64"/>
      <c r="N984" s="64"/>
      <c r="O984" s="64"/>
      <c r="P984" s="64"/>
      <c r="Q984" s="64"/>
      <c r="R984" s="64"/>
      <c r="S984" s="64"/>
      <c r="T984" s="64"/>
      <c r="U984" s="64"/>
      <c r="V984" s="64"/>
      <c r="W984" s="64"/>
    </row>
    <row r="985" spans="1:23" ht="15.75" customHeight="1">
      <c r="A985" s="137"/>
      <c r="B985" s="64"/>
      <c r="C985" s="140"/>
      <c r="D985" s="64"/>
      <c r="E985" s="64"/>
      <c r="F985" s="64"/>
      <c r="G985" s="64"/>
      <c r="H985" s="64"/>
      <c r="I985" s="64"/>
      <c r="J985" s="64"/>
      <c r="K985" s="64"/>
      <c r="L985" s="64"/>
      <c r="M985" s="64"/>
      <c r="N985" s="64"/>
      <c r="O985" s="64"/>
      <c r="P985" s="64"/>
      <c r="Q985" s="64"/>
      <c r="R985" s="64"/>
      <c r="S985" s="64"/>
      <c r="T985" s="64"/>
      <c r="U985" s="64"/>
      <c r="V985" s="64"/>
      <c r="W985" s="64"/>
    </row>
    <row r="986" spans="1:23" ht="15.75" customHeight="1">
      <c r="A986" s="137"/>
      <c r="B986" s="64"/>
      <c r="C986" s="140"/>
      <c r="D986" s="64"/>
      <c r="E986" s="64"/>
      <c r="F986" s="64"/>
      <c r="G986" s="64"/>
      <c r="H986" s="64"/>
      <c r="I986" s="64"/>
      <c r="J986" s="64"/>
      <c r="K986" s="64"/>
      <c r="L986" s="64"/>
      <c r="M986" s="64"/>
      <c r="N986" s="64"/>
      <c r="O986" s="64"/>
      <c r="P986" s="64"/>
      <c r="Q986" s="64"/>
      <c r="R986" s="64"/>
      <c r="S986" s="64"/>
      <c r="T986" s="64"/>
      <c r="U986" s="64"/>
      <c r="V986" s="64"/>
      <c r="W986" s="64"/>
    </row>
    <row r="987" spans="1:23" ht="15.75" customHeight="1">
      <c r="A987" s="137"/>
      <c r="B987" s="64"/>
      <c r="C987" s="140"/>
      <c r="D987" s="64"/>
      <c r="E987" s="64"/>
      <c r="F987" s="64"/>
      <c r="G987" s="64"/>
      <c r="H987" s="64"/>
      <c r="I987" s="64"/>
      <c r="J987" s="64"/>
      <c r="K987" s="64"/>
      <c r="L987" s="64"/>
      <c r="M987" s="64"/>
      <c r="N987" s="64"/>
      <c r="O987" s="64"/>
      <c r="P987" s="64"/>
      <c r="Q987" s="64"/>
      <c r="R987" s="64"/>
      <c r="S987" s="64"/>
      <c r="T987" s="64"/>
      <c r="U987" s="64"/>
      <c r="V987" s="64"/>
      <c r="W987" s="64"/>
    </row>
    <row r="988" spans="1:23" ht="15.75" customHeight="1">
      <c r="A988" s="137"/>
      <c r="B988" s="64"/>
      <c r="C988" s="140"/>
      <c r="D988" s="64"/>
      <c r="E988" s="64"/>
      <c r="F988" s="64"/>
      <c r="G988" s="64"/>
      <c r="H988" s="64"/>
      <c r="I988" s="64"/>
      <c r="J988" s="64"/>
      <c r="K988" s="64"/>
      <c r="L988" s="64"/>
      <c r="M988" s="64"/>
      <c r="N988" s="64"/>
      <c r="O988" s="64"/>
      <c r="P988" s="64"/>
      <c r="Q988" s="64"/>
      <c r="R988" s="64"/>
      <c r="S988" s="64"/>
      <c r="T988" s="64"/>
      <c r="U988" s="64"/>
      <c r="V988" s="64"/>
      <c r="W988" s="64"/>
    </row>
    <row r="989" spans="1:23" ht="15.75" customHeight="1">
      <c r="A989" s="137"/>
      <c r="B989" s="64"/>
      <c r="C989" s="140"/>
      <c r="D989" s="64"/>
      <c r="E989" s="64"/>
      <c r="F989" s="64"/>
      <c r="G989" s="64"/>
      <c r="H989" s="64"/>
      <c r="I989" s="64"/>
      <c r="J989" s="64"/>
      <c r="K989" s="64"/>
      <c r="L989" s="64"/>
      <c r="M989" s="64"/>
      <c r="N989" s="64"/>
      <c r="O989" s="64"/>
      <c r="P989" s="64"/>
      <c r="Q989" s="64"/>
      <c r="R989" s="64"/>
      <c r="S989" s="64"/>
      <c r="T989" s="64"/>
      <c r="U989" s="64"/>
      <c r="V989" s="64"/>
      <c r="W989" s="64"/>
    </row>
    <row r="990" spans="1:23" ht="15.75" customHeight="1">
      <c r="A990" s="137"/>
      <c r="B990" s="64"/>
      <c r="C990" s="140"/>
      <c r="D990" s="64"/>
      <c r="E990" s="64"/>
      <c r="F990" s="64"/>
      <c r="G990" s="64"/>
      <c r="H990" s="64"/>
      <c r="I990" s="64"/>
      <c r="J990" s="64"/>
      <c r="K990" s="64"/>
      <c r="L990" s="64"/>
      <c r="M990" s="64"/>
      <c r="N990" s="64"/>
      <c r="O990" s="64"/>
      <c r="P990" s="64"/>
      <c r="Q990" s="64"/>
      <c r="R990" s="64"/>
      <c r="S990" s="64"/>
      <c r="T990" s="64"/>
      <c r="U990" s="64"/>
      <c r="V990" s="64"/>
      <c r="W990" s="64"/>
    </row>
    <row r="991" spans="1:23" ht="15.75" customHeight="1">
      <c r="A991" s="137"/>
      <c r="B991" s="64"/>
      <c r="C991" s="140"/>
      <c r="D991" s="64"/>
      <c r="E991" s="64"/>
      <c r="F991" s="64"/>
      <c r="G991" s="64"/>
      <c r="H991" s="64"/>
      <c r="I991" s="64"/>
      <c r="J991" s="64"/>
      <c r="K991" s="64"/>
      <c r="L991" s="64"/>
      <c r="M991" s="64"/>
      <c r="N991" s="64"/>
      <c r="O991" s="64"/>
      <c r="P991" s="64"/>
      <c r="Q991" s="64"/>
      <c r="R991" s="64"/>
      <c r="S991" s="64"/>
      <c r="T991" s="64"/>
      <c r="U991" s="64"/>
      <c r="V991" s="64"/>
      <c r="W991" s="64"/>
    </row>
    <row r="992" spans="1:23" ht="15.75" customHeight="1">
      <c r="A992" s="137"/>
      <c r="B992" s="64"/>
      <c r="C992" s="140"/>
      <c r="D992" s="64"/>
      <c r="E992" s="64"/>
      <c r="F992" s="64"/>
      <c r="G992" s="64"/>
      <c r="H992" s="64"/>
      <c r="I992" s="64"/>
      <c r="J992" s="64"/>
      <c r="K992" s="64"/>
      <c r="L992" s="64"/>
      <c r="M992" s="64"/>
      <c r="N992" s="64"/>
      <c r="O992" s="64"/>
      <c r="P992" s="64"/>
      <c r="Q992" s="64"/>
      <c r="R992" s="64"/>
      <c r="S992" s="64"/>
      <c r="T992" s="64"/>
      <c r="U992" s="64"/>
      <c r="V992" s="64"/>
      <c r="W992" s="64"/>
    </row>
    <row r="993" spans="1:23" ht="15.75" customHeight="1">
      <c r="A993" s="137"/>
      <c r="B993" s="64"/>
      <c r="C993" s="140"/>
      <c r="D993" s="64"/>
      <c r="E993" s="64"/>
      <c r="F993" s="64"/>
      <c r="G993" s="64"/>
      <c r="H993" s="64"/>
      <c r="I993" s="64"/>
      <c r="J993" s="64"/>
      <c r="K993" s="64"/>
      <c r="L993" s="64"/>
      <c r="M993" s="64"/>
      <c r="N993" s="64"/>
      <c r="O993" s="64"/>
      <c r="P993" s="64"/>
      <c r="Q993" s="64"/>
      <c r="R993" s="64"/>
      <c r="S993" s="64"/>
      <c r="T993" s="64"/>
      <c r="U993" s="64"/>
      <c r="V993" s="64"/>
      <c r="W993" s="64"/>
    </row>
    <row r="994" spans="1:23" ht="15.75" customHeight="1">
      <c r="A994" s="137"/>
      <c r="B994" s="64"/>
      <c r="C994" s="140"/>
      <c r="D994" s="64"/>
      <c r="E994" s="64"/>
      <c r="F994" s="64"/>
      <c r="G994" s="64"/>
      <c r="H994" s="64"/>
      <c r="I994" s="64"/>
      <c r="J994" s="64"/>
      <c r="K994" s="64"/>
      <c r="L994" s="64"/>
      <c r="M994" s="64"/>
      <c r="N994" s="64"/>
      <c r="O994" s="64"/>
      <c r="P994" s="64"/>
      <c r="Q994" s="64"/>
      <c r="R994" s="64"/>
      <c r="S994" s="64"/>
      <c r="T994" s="64"/>
      <c r="U994" s="64"/>
      <c r="V994" s="64"/>
      <c r="W994" s="64"/>
    </row>
    <row r="995" spans="1:23" ht="15.75" customHeight="1">
      <c r="A995" s="137"/>
      <c r="B995" s="64"/>
      <c r="C995" s="140"/>
      <c r="D995" s="64"/>
      <c r="E995" s="64"/>
      <c r="F995" s="64"/>
      <c r="G995" s="64"/>
      <c r="H995" s="64"/>
      <c r="I995" s="64"/>
      <c r="J995" s="64"/>
      <c r="K995" s="64"/>
      <c r="L995" s="64"/>
      <c r="M995" s="64"/>
      <c r="N995" s="64"/>
      <c r="O995" s="64"/>
      <c r="P995" s="64"/>
      <c r="Q995" s="64"/>
      <c r="R995" s="64"/>
      <c r="S995" s="64"/>
      <c r="T995" s="64"/>
      <c r="U995" s="64"/>
      <c r="V995" s="64"/>
      <c r="W995" s="64"/>
    </row>
    <row r="996" spans="1:23" ht="15.75" customHeight="1">
      <c r="A996" s="137"/>
      <c r="B996" s="64"/>
      <c r="C996" s="140"/>
      <c r="D996" s="64"/>
      <c r="E996" s="64"/>
      <c r="F996" s="64"/>
      <c r="G996" s="64"/>
      <c r="H996" s="64"/>
      <c r="I996" s="64"/>
      <c r="J996" s="64"/>
      <c r="K996" s="64"/>
      <c r="L996" s="64"/>
      <c r="M996" s="64"/>
      <c r="N996" s="64"/>
      <c r="O996" s="64"/>
      <c r="P996" s="64"/>
      <c r="Q996" s="64"/>
      <c r="R996" s="64"/>
      <c r="S996" s="64"/>
      <c r="T996" s="64"/>
      <c r="U996" s="64"/>
      <c r="V996" s="64"/>
      <c r="W996" s="64"/>
    </row>
    <row r="997" spans="1:23" ht="15.75" customHeight="1">
      <c r="A997" s="137"/>
      <c r="B997" s="64"/>
      <c r="C997" s="140"/>
      <c r="D997" s="64"/>
      <c r="E997" s="64"/>
      <c r="F997" s="64"/>
      <c r="G997" s="64"/>
      <c r="H997" s="64"/>
      <c r="I997" s="64"/>
      <c r="J997" s="64"/>
      <c r="K997" s="64"/>
      <c r="L997" s="64"/>
      <c r="M997" s="64"/>
      <c r="N997" s="64"/>
      <c r="O997" s="64"/>
      <c r="P997" s="64"/>
      <c r="Q997" s="64"/>
      <c r="R997" s="64"/>
      <c r="S997" s="64"/>
      <c r="T997" s="64"/>
      <c r="U997" s="64"/>
      <c r="V997" s="64"/>
      <c r="W997" s="64"/>
    </row>
    <row r="998" spans="1:23" ht="15.75" customHeight="1">
      <c r="A998" s="137"/>
      <c r="B998" s="64"/>
      <c r="C998" s="140"/>
      <c r="D998" s="64"/>
      <c r="E998" s="64"/>
      <c r="F998" s="64"/>
      <c r="G998" s="64"/>
      <c r="H998" s="64"/>
      <c r="I998" s="64"/>
      <c r="J998" s="64"/>
      <c r="K998" s="64"/>
      <c r="L998" s="64"/>
      <c r="M998" s="64"/>
      <c r="N998" s="64"/>
      <c r="O998" s="64"/>
      <c r="P998" s="64"/>
      <c r="Q998" s="64"/>
      <c r="R998" s="64"/>
      <c r="S998" s="64"/>
      <c r="T998" s="64"/>
      <c r="U998" s="64"/>
      <c r="V998" s="64"/>
      <c r="W998" s="64"/>
    </row>
    <row r="999" spans="1:23" ht="15.75" customHeight="1">
      <c r="A999" s="137"/>
      <c r="B999" s="64"/>
      <c r="C999" s="140"/>
      <c r="D999" s="64"/>
      <c r="E999" s="64"/>
      <c r="F999" s="64"/>
      <c r="G999" s="64"/>
      <c r="H999" s="64"/>
      <c r="I999" s="64"/>
      <c r="J999" s="64"/>
      <c r="K999" s="64"/>
      <c r="L999" s="64"/>
      <c r="M999" s="64"/>
      <c r="N999" s="64"/>
      <c r="O999" s="64"/>
      <c r="P999" s="64"/>
      <c r="Q999" s="64"/>
      <c r="R999" s="64"/>
      <c r="S999" s="64"/>
      <c r="T999" s="64"/>
      <c r="U999" s="64"/>
      <c r="V999" s="64"/>
      <c r="W999" s="64"/>
    </row>
    <row r="1000" spans="1:23" ht="15.75" customHeight="1">
      <c r="A1000" s="137"/>
      <c r="B1000" s="64"/>
      <c r="C1000" s="140"/>
      <c r="D1000" s="64"/>
      <c r="E1000" s="64"/>
      <c r="F1000" s="64"/>
      <c r="G1000" s="64"/>
      <c r="H1000" s="64"/>
      <c r="I1000" s="64"/>
      <c r="J1000" s="64"/>
      <c r="K1000" s="64"/>
      <c r="L1000" s="64"/>
      <c r="M1000" s="64"/>
      <c r="N1000" s="64"/>
      <c r="O1000" s="64"/>
      <c r="P1000" s="64"/>
      <c r="Q1000" s="64"/>
      <c r="R1000" s="64"/>
      <c r="S1000" s="64"/>
      <c r="T1000" s="64"/>
      <c r="U1000" s="64"/>
      <c r="V1000" s="64"/>
      <c r="W1000" s="64"/>
    </row>
    <row r="1001" spans="1:23" ht="15.75" customHeight="1">
      <c r="A1001" s="137"/>
      <c r="B1001" s="64"/>
      <c r="C1001" s="140"/>
      <c r="D1001" s="64"/>
      <c r="E1001" s="64"/>
      <c r="F1001" s="64"/>
      <c r="G1001" s="64"/>
      <c r="H1001" s="64"/>
      <c r="I1001" s="64"/>
      <c r="J1001" s="64"/>
      <c r="K1001" s="64"/>
      <c r="L1001" s="64"/>
      <c r="M1001" s="64"/>
      <c r="N1001" s="64"/>
      <c r="O1001" s="64"/>
      <c r="P1001" s="64"/>
      <c r="Q1001" s="64"/>
      <c r="R1001" s="64"/>
      <c r="S1001" s="64"/>
      <c r="T1001" s="64"/>
      <c r="U1001" s="64"/>
      <c r="V1001" s="64"/>
      <c r="W1001" s="64"/>
    </row>
    <row r="1002" spans="1:23" ht="15.75" customHeight="1">
      <c r="A1002" s="137"/>
      <c r="B1002" s="64"/>
      <c r="C1002" s="140"/>
      <c r="D1002" s="64"/>
      <c r="E1002" s="64"/>
      <c r="F1002" s="64"/>
      <c r="G1002" s="64"/>
      <c r="H1002" s="64"/>
      <c r="I1002" s="64"/>
      <c r="J1002" s="64"/>
      <c r="K1002" s="64"/>
      <c r="L1002" s="64"/>
      <c r="M1002" s="64"/>
      <c r="N1002" s="64"/>
      <c r="O1002" s="64"/>
      <c r="P1002" s="64"/>
      <c r="Q1002" s="64"/>
      <c r="R1002" s="64"/>
      <c r="S1002" s="64"/>
      <c r="T1002" s="64"/>
      <c r="U1002" s="64"/>
      <c r="V1002" s="64"/>
      <c r="W1002" s="64"/>
    </row>
    <row r="1003" spans="1:23" ht="15.75" customHeight="1">
      <c r="A1003" s="137"/>
      <c r="B1003" s="64"/>
      <c r="C1003" s="140"/>
      <c r="D1003" s="64"/>
      <c r="E1003" s="64"/>
      <c r="F1003" s="64"/>
      <c r="G1003" s="64"/>
      <c r="H1003" s="64"/>
      <c r="I1003" s="64"/>
      <c r="J1003" s="64"/>
      <c r="K1003" s="64"/>
      <c r="L1003" s="64"/>
      <c r="M1003" s="64"/>
      <c r="N1003" s="64"/>
      <c r="O1003" s="64"/>
      <c r="P1003" s="64"/>
      <c r="Q1003" s="64"/>
      <c r="R1003" s="64"/>
      <c r="S1003" s="64"/>
      <c r="T1003" s="64"/>
      <c r="U1003" s="64"/>
      <c r="V1003" s="64"/>
      <c r="W1003" s="64"/>
    </row>
    <row r="1004" spans="1:23" ht="15.75" customHeight="1">
      <c r="A1004" s="137"/>
      <c r="B1004" s="64"/>
      <c r="C1004" s="140"/>
      <c r="D1004" s="64"/>
      <c r="E1004" s="64"/>
      <c r="F1004" s="64"/>
      <c r="G1004" s="64"/>
      <c r="H1004" s="64"/>
      <c r="I1004" s="64"/>
      <c r="J1004" s="64"/>
      <c r="K1004" s="64"/>
      <c r="L1004" s="64"/>
      <c r="M1004" s="64"/>
      <c r="N1004" s="64"/>
      <c r="O1004" s="64"/>
      <c r="P1004" s="64"/>
      <c r="Q1004" s="64"/>
      <c r="R1004" s="64"/>
      <c r="S1004" s="64"/>
      <c r="T1004" s="64"/>
      <c r="U1004" s="64"/>
      <c r="V1004" s="64"/>
      <c r="W1004" s="64"/>
    </row>
    <row r="1005" spans="1:23" ht="15.75" customHeight="1">
      <c r="A1005" s="137"/>
      <c r="B1005" s="64"/>
      <c r="C1005" s="140"/>
      <c r="D1005" s="64"/>
      <c r="E1005" s="64"/>
      <c r="F1005" s="64"/>
      <c r="G1005" s="64"/>
      <c r="H1005" s="64"/>
      <c r="I1005" s="64"/>
      <c r="J1005" s="64"/>
      <c r="K1005" s="64"/>
      <c r="L1005" s="64"/>
      <c r="M1005" s="64"/>
      <c r="N1005" s="64"/>
      <c r="O1005" s="64"/>
      <c r="P1005" s="64"/>
      <c r="Q1005" s="64"/>
      <c r="R1005" s="64"/>
      <c r="S1005" s="64"/>
      <c r="T1005" s="64"/>
      <c r="U1005" s="64"/>
      <c r="V1005" s="64"/>
      <c r="W1005" s="64"/>
    </row>
    <row r="1006" spans="1:23" ht="15.75" customHeight="1">
      <c r="A1006" s="137"/>
      <c r="B1006" s="64"/>
      <c r="C1006" s="140"/>
      <c r="D1006" s="64"/>
      <c r="E1006" s="64"/>
      <c r="F1006" s="64"/>
      <c r="G1006" s="64"/>
      <c r="H1006" s="64"/>
      <c r="I1006" s="64"/>
      <c r="J1006" s="64"/>
      <c r="K1006" s="64"/>
      <c r="L1006" s="64"/>
      <c r="M1006" s="64"/>
      <c r="N1006" s="64"/>
      <c r="O1006" s="64"/>
      <c r="P1006" s="64"/>
      <c r="Q1006" s="64"/>
      <c r="R1006" s="64"/>
      <c r="S1006" s="64"/>
      <c r="T1006" s="64"/>
      <c r="U1006" s="64"/>
      <c r="V1006" s="64"/>
      <c r="W1006" s="64"/>
    </row>
    <row r="1007" spans="1:23" ht="15.75" customHeight="1">
      <c r="A1007" s="137"/>
      <c r="B1007" s="64"/>
      <c r="C1007" s="140"/>
      <c r="D1007" s="64"/>
      <c r="E1007" s="64"/>
      <c r="F1007" s="64"/>
      <c r="G1007" s="64"/>
      <c r="H1007" s="64"/>
      <c r="I1007" s="64"/>
      <c r="J1007" s="64"/>
      <c r="K1007" s="64"/>
      <c r="L1007" s="64"/>
      <c r="M1007" s="64"/>
      <c r="N1007" s="64"/>
      <c r="O1007" s="64"/>
      <c r="P1007" s="64"/>
      <c r="Q1007" s="64"/>
      <c r="R1007" s="64"/>
      <c r="S1007" s="64"/>
      <c r="T1007" s="64"/>
      <c r="U1007" s="64"/>
      <c r="V1007" s="64"/>
      <c r="W1007" s="64"/>
    </row>
    <row r="1008" spans="1:23" ht="15.75" customHeight="1">
      <c r="A1008" s="137"/>
      <c r="B1008" s="64"/>
      <c r="C1008" s="140"/>
      <c r="D1008" s="64"/>
      <c r="E1008" s="64"/>
      <c r="F1008" s="64"/>
      <c r="G1008" s="64"/>
      <c r="H1008" s="64"/>
      <c r="I1008" s="64"/>
      <c r="J1008" s="64"/>
      <c r="K1008" s="64"/>
      <c r="L1008" s="64"/>
      <c r="M1008" s="64"/>
      <c r="N1008" s="64"/>
      <c r="O1008" s="64"/>
      <c r="P1008" s="64"/>
      <c r="Q1008" s="64"/>
      <c r="R1008" s="64"/>
      <c r="S1008" s="64"/>
      <c r="T1008" s="64"/>
      <c r="U1008" s="64"/>
      <c r="V1008" s="64"/>
      <c r="W1008" s="64"/>
    </row>
    <row r="1009" spans="1:23" ht="15.75" customHeight="1">
      <c r="A1009" s="137"/>
      <c r="B1009" s="64"/>
      <c r="C1009" s="140"/>
      <c r="D1009" s="64"/>
      <c r="E1009" s="64"/>
      <c r="F1009" s="64"/>
      <c r="G1009" s="64"/>
      <c r="H1009" s="64"/>
      <c r="I1009" s="64"/>
      <c r="J1009" s="64"/>
      <c r="K1009" s="64"/>
      <c r="L1009" s="64"/>
      <c r="M1009" s="64"/>
      <c r="N1009" s="64"/>
      <c r="O1009" s="64"/>
      <c r="P1009" s="64"/>
      <c r="Q1009" s="64"/>
      <c r="R1009" s="64"/>
      <c r="S1009" s="64"/>
      <c r="T1009" s="64"/>
      <c r="U1009" s="64"/>
      <c r="V1009" s="64"/>
      <c r="W1009" s="64"/>
    </row>
    <row r="1010" spans="1:23" ht="15.75" customHeight="1">
      <c r="A1010" s="137"/>
      <c r="B1010" s="64"/>
      <c r="C1010" s="140"/>
      <c r="D1010" s="64"/>
      <c r="E1010" s="64"/>
      <c r="F1010" s="64"/>
      <c r="G1010" s="64"/>
      <c r="H1010" s="64"/>
      <c r="I1010" s="64"/>
      <c r="J1010" s="64"/>
      <c r="K1010" s="64"/>
      <c r="L1010" s="64"/>
      <c r="M1010" s="64"/>
      <c r="N1010" s="64"/>
      <c r="O1010" s="64"/>
      <c r="P1010" s="64"/>
      <c r="Q1010" s="64"/>
      <c r="R1010" s="64"/>
      <c r="S1010" s="64"/>
      <c r="T1010" s="64"/>
      <c r="U1010" s="64"/>
      <c r="V1010" s="64"/>
      <c r="W1010" s="64"/>
    </row>
    <row r="1011" spans="1:23" ht="15.75" customHeight="1">
      <c r="A1011" s="137"/>
      <c r="B1011" s="64"/>
      <c r="C1011" s="140"/>
      <c r="D1011" s="64"/>
      <c r="E1011" s="64"/>
      <c r="F1011" s="64"/>
      <c r="G1011" s="64"/>
      <c r="H1011" s="64"/>
      <c r="I1011" s="64"/>
      <c r="J1011" s="64"/>
      <c r="K1011" s="64"/>
      <c r="L1011" s="64"/>
      <c r="M1011" s="64"/>
      <c r="N1011" s="64"/>
      <c r="O1011" s="64"/>
      <c r="P1011" s="64"/>
      <c r="Q1011" s="64"/>
      <c r="R1011" s="64"/>
      <c r="S1011" s="64"/>
      <c r="T1011" s="64"/>
      <c r="U1011" s="64"/>
      <c r="V1011" s="64"/>
      <c r="W1011" s="64"/>
    </row>
    <row r="1012" spans="1:23" ht="15.75" customHeight="1">
      <c r="A1012" s="137"/>
      <c r="B1012" s="64"/>
      <c r="C1012" s="140"/>
      <c r="D1012" s="64"/>
      <c r="E1012" s="64"/>
      <c r="F1012" s="64"/>
      <c r="G1012" s="64"/>
      <c r="H1012" s="64"/>
      <c r="I1012" s="64"/>
      <c r="J1012" s="64"/>
      <c r="K1012" s="64"/>
      <c r="L1012" s="64"/>
      <c r="M1012" s="64"/>
      <c r="N1012" s="64"/>
      <c r="O1012" s="64"/>
      <c r="P1012" s="64"/>
      <c r="Q1012" s="64"/>
      <c r="R1012" s="64"/>
      <c r="S1012" s="64"/>
      <c r="T1012" s="64"/>
      <c r="U1012" s="64"/>
      <c r="V1012" s="64"/>
      <c r="W1012" s="64"/>
    </row>
    <row r="1013" spans="1:23" ht="15.75" customHeight="1">
      <c r="A1013" s="137"/>
      <c r="B1013" s="64"/>
      <c r="C1013" s="140"/>
      <c r="D1013" s="64"/>
      <c r="E1013" s="64"/>
      <c r="F1013" s="64"/>
      <c r="G1013" s="64"/>
      <c r="H1013" s="64"/>
      <c r="I1013" s="64"/>
      <c r="J1013" s="64"/>
      <c r="K1013" s="64"/>
      <c r="L1013" s="64"/>
      <c r="M1013" s="64"/>
      <c r="N1013" s="64"/>
      <c r="O1013" s="64"/>
      <c r="P1013" s="64"/>
      <c r="Q1013" s="64"/>
      <c r="R1013" s="64"/>
      <c r="S1013" s="64"/>
      <c r="T1013" s="64"/>
      <c r="U1013" s="64"/>
      <c r="V1013" s="64"/>
      <c r="W1013" s="64"/>
    </row>
    <row r="1014" spans="1:23" ht="15.75" customHeight="1">
      <c r="A1014" s="137"/>
      <c r="B1014" s="64"/>
      <c r="C1014" s="140"/>
      <c r="D1014" s="64"/>
      <c r="E1014" s="64"/>
      <c r="F1014" s="64"/>
      <c r="G1014" s="64"/>
      <c r="H1014" s="64"/>
      <c r="I1014" s="64"/>
      <c r="J1014" s="64"/>
      <c r="K1014" s="64"/>
      <c r="L1014" s="64"/>
      <c r="M1014" s="64"/>
      <c r="N1014" s="64"/>
      <c r="O1014" s="64"/>
      <c r="P1014" s="64"/>
      <c r="Q1014" s="64"/>
      <c r="R1014" s="64"/>
      <c r="S1014" s="64"/>
      <c r="T1014" s="64"/>
      <c r="U1014" s="64"/>
      <c r="V1014" s="64"/>
      <c r="W1014" s="64"/>
    </row>
    <row r="1015" spans="1:23" ht="15.75" customHeight="1">
      <c r="A1015" s="137"/>
      <c r="B1015" s="64"/>
      <c r="C1015" s="140"/>
      <c r="D1015" s="64"/>
      <c r="E1015" s="64"/>
      <c r="F1015" s="64"/>
      <c r="G1015" s="64"/>
      <c r="H1015" s="64"/>
      <c r="I1015" s="64"/>
      <c r="J1015" s="64"/>
      <c r="K1015" s="64"/>
      <c r="L1015" s="64"/>
      <c r="M1015" s="64"/>
      <c r="N1015" s="64"/>
      <c r="O1015" s="64"/>
      <c r="P1015" s="64"/>
      <c r="Q1015" s="64"/>
      <c r="R1015" s="64"/>
      <c r="S1015" s="64"/>
      <c r="T1015" s="64"/>
      <c r="U1015" s="64"/>
      <c r="V1015" s="64"/>
      <c r="W1015" s="64"/>
    </row>
    <row r="1016" spans="1:23" ht="15.75" customHeight="1">
      <c r="A1016" s="137"/>
      <c r="B1016" s="64"/>
      <c r="C1016" s="140"/>
      <c r="D1016" s="64"/>
      <c r="E1016" s="64"/>
      <c r="F1016" s="64"/>
      <c r="G1016" s="64"/>
      <c r="H1016" s="64"/>
      <c r="I1016" s="64"/>
      <c r="J1016" s="64"/>
      <c r="K1016" s="64"/>
      <c r="L1016" s="64"/>
      <c r="M1016" s="64"/>
      <c r="N1016" s="64"/>
      <c r="O1016" s="64"/>
      <c r="P1016" s="64"/>
      <c r="Q1016" s="64"/>
      <c r="R1016" s="64"/>
      <c r="S1016" s="64"/>
      <c r="T1016" s="64"/>
      <c r="U1016" s="64"/>
      <c r="V1016" s="64"/>
      <c r="W1016" s="64"/>
    </row>
    <row r="1017" spans="1:23" ht="15.75" customHeight="1">
      <c r="A1017" s="137"/>
      <c r="B1017" s="64"/>
      <c r="C1017" s="140"/>
      <c r="D1017" s="64"/>
      <c r="E1017" s="64"/>
      <c r="F1017" s="64"/>
      <c r="G1017" s="64"/>
      <c r="H1017" s="64"/>
      <c r="I1017" s="64"/>
      <c r="J1017" s="64"/>
      <c r="K1017" s="64"/>
      <c r="L1017" s="64"/>
      <c r="M1017" s="64"/>
      <c r="N1017" s="64"/>
      <c r="O1017" s="64"/>
      <c r="P1017" s="64"/>
      <c r="Q1017" s="64"/>
      <c r="R1017" s="64"/>
      <c r="S1017" s="64"/>
      <c r="T1017" s="64"/>
      <c r="U1017" s="64"/>
      <c r="V1017" s="64"/>
      <c r="W1017" s="64"/>
    </row>
    <row r="1018" spans="1:23" ht="15.75" customHeight="1">
      <c r="A1018" s="137"/>
      <c r="B1018" s="64"/>
      <c r="C1018" s="140"/>
      <c r="D1018" s="64"/>
      <c r="E1018" s="64"/>
      <c r="F1018" s="64"/>
      <c r="G1018" s="64"/>
      <c r="H1018" s="64"/>
      <c r="I1018" s="64"/>
      <c r="J1018" s="64"/>
      <c r="K1018" s="64"/>
      <c r="L1018" s="64"/>
      <c r="M1018" s="64"/>
      <c r="N1018" s="64"/>
      <c r="O1018" s="64"/>
      <c r="P1018" s="64"/>
      <c r="Q1018" s="64"/>
      <c r="R1018" s="64"/>
      <c r="S1018" s="64"/>
      <c r="T1018" s="64"/>
      <c r="U1018" s="64"/>
      <c r="V1018" s="64"/>
      <c r="W1018" s="64"/>
    </row>
    <row r="1019" spans="1:23" ht="15.75" customHeight="1">
      <c r="A1019" s="137"/>
      <c r="B1019" s="64"/>
      <c r="C1019" s="140"/>
      <c r="D1019" s="64"/>
      <c r="E1019" s="64"/>
      <c r="F1019" s="64"/>
      <c r="G1019" s="64"/>
      <c r="H1019" s="64"/>
      <c r="I1019" s="64"/>
      <c r="J1019" s="64"/>
      <c r="K1019" s="64"/>
      <c r="L1019" s="64"/>
      <c r="M1019" s="64"/>
      <c r="N1019" s="64"/>
      <c r="O1019" s="64"/>
      <c r="P1019" s="64"/>
      <c r="Q1019" s="64"/>
      <c r="R1019" s="64"/>
      <c r="S1019" s="64"/>
      <c r="T1019" s="64"/>
      <c r="U1019" s="64"/>
      <c r="V1019" s="64"/>
      <c r="W1019" s="64"/>
    </row>
    <row r="1020" spans="1:23" ht="15.75" customHeight="1">
      <c r="A1020" s="137"/>
      <c r="B1020" s="64"/>
      <c r="C1020" s="140"/>
      <c r="D1020" s="64"/>
      <c r="E1020" s="64"/>
      <c r="F1020" s="64"/>
      <c r="G1020" s="64"/>
      <c r="H1020" s="64"/>
      <c r="I1020" s="64"/>
      <c r="J1020" s="64"/>
      <c r="K1020" s="64"/>
      <c r="L1020" s="64"/>
      <c r="M1020" s="64"/>
      <c r="N1020" s="64"/>
      <c r="O1020" s="64"/>
      <c r="P1020" s="64"/>
      <c r="Q1020" s="64"/>
      <c r="R1020" s="64"/>
      <c r="S1020" s="64"/>
      <c r="T1020" s="64"/>
      <c r="U1020" s="64"/>
      <c r="V1020" s="64"/>
      <c r="W1020" s="64"/>
    </row>
    <row r="1021" spans="1:23" ht="15.75" customHeight="1">
      <c r="A1021" s="137"/>
      <c r="B1021" s="64"/>
      <c r="C1021" s="140"/>
      <c r="D1021" s="64"/>
      <c r="E1021" s="64"/>
      <c r="F1021" s="64"/>
      <c r="G1021" s="64"/>
      <c r="H1021" s="64"/>
      <c r="I1021" s="64"/>
      <c r="J1021" s="64"/>
      <c r="K1021" s="64"/>
      <c r="L1021" s="64"/>
      <c r="M1021" s="64"/>
      <c r="N1021" s="64"/>
      <c r="O1021" s="64"/>
      <c r="P1021" s="64"/>
      <c r="Q1021" s="64"/>
      <c r="R1021" s="64"/>
      <c r="S1021" s="64"/>
      <c r="T1021" s="64"/>
      <c r="U1021" s="64"/>
      <c r="V1021" s="64"/>
      <c r="W1021" s="64"/>
    </row>
    <row r="1022" spans="1:23" ht="15.75" customHeight="1">
      <c r="A1022" s="137"/>
      <c r="B1022" s="64"/>
      <c r="C1022" s="140"/>
      <c r="D1022" s="64"/>
      <c r="E1022" s="64"/>
      <c r="F1022" s="64"/>
      <c r="G1022" s="64"/>
      <c r="H1022" s="64"/>
      <c r="I1022" s="64"/>
      <c r="J1022" s="64"/>
      <c r="K1022" s="64"/>
      <c r="L1022" s="64"/>
      <c r="M1022" s="64"/>
      <c r="N1022" s="64"/>
      <c r="O1022" s="64"/>
      <c r="P1022" s="64"/>
      <c r="Q1022" s="64"/>
      <c r="R1022" s="64"/>
      <c r="S1022" s="64"/>
      <c r="T1022" s="64"/>
      <c r="U1022" s="64"/>
      <c r="V1022" s="64"/>
      <c r="W1022" s="64"/>
    </row>
    <row r="1023" spans="1:23" ht="15.75" customHeight="1">
      <c r="A1023" s="137"/>
      <c r="B1023" s="64"/>
      <c r="C1023" s="140"/>
      <c r="D1023" s="64"/>
      <c r="E1023" s="64"/>
      <c r="F1023" s="64"/>
      <c r="G1023" s="64"/>
      <c r="H1023" s="64"/>
      <c r="I1023" s="64"/>
      <c r="J1023" s="64"/>
      <c r="K1023" s="64"/>
      <c r="L1023" s="64"/>
      <c r="M1023" s="64"/>
      <c r="N1023" s="64"/>
      <c r="O1023" s="64"/>
      <c r="P1023" s="64"/>
      <c r="Q1023" s="64"/>
      <c r="R1023" s="64"/>
      <c r="S1023" s="64"/>
      <c r="T1023" s="64"/>
      <c r="U1023" s="64"/>
      <c r="V1023" s="64"/>
      <c r="W1023" s="64"/>
    </row>
    <row r="1024" spans="1:23" ht="15.75" customHeight="1">
      <c r="A1024" s="137"/>
      <c r="F1024" s="64"/>
      <c r="G1024" s="64"/>
      <c r="H1024" s="64"/>
      <c r="I1024" s="64"/>
      <c r="J1024" s="64"/>
      <c r="K1024" s="64"/>
      <c r="L1024" s="64"/>
      <c r="M1024" s="64"/>
      <c r="N1024" s="64"/>
      <c r="O1024" s="64"/>
      <c r="P1024" s="64"/>
      <c r="Q1024" s="64"/>
      <c r="R1024" s="64"/>
      <c r="S1024" s="64"/>
      <c r="T1024" s="64"/>
      <c r="U1024" s="64"/>
      <c r="V1024" s="64"/>
      <c r="W1024" s="64"/>
    </row>
  </sheetData>
  <mergeCells count="151">
    <mergeCell ref="K12:K13"/>
    <mergeCell ref="J12:J13"/>
    <mergeCell ref="I12:I13"/>
    <mergeCell ref="I18:I19"/>
    <mergeCell ref="A21:I21"/>
    <mergeCell ref="Q12:Q13"/>
    <mergeCell ref="P12:P13"/>
    <mergeCell ref="O12:O13"/>
    <mergeCell ref="N12:N13"/>
    <mergeCell ref="M12:M13"/>
    <mergeCell ref="M14:M15"/>
    <mergeCell ref="N14:N15"/>
    <mergeCell ref="O14:O15"/>
    <mergeCell ref="P14:P15"/>
    <mergeCell ref="Q14:Q15"/>
    <mergeCell ref="Q16:Q17"/>
    <mergeCell ref="P16:P17"/>
    <mergeCell ref="O16:O17"/>
    <mergeCell ref="N16:N17"/>
    <mergeCell ref="M16:M17"/>
    <mergeCell ref="M18:M19"/>
    <mergeCell ref="N18:N19"/>
    <mergeCell ref="O18:O19"/>
    <mergeCell ref="P18:P19"/>
    <mergeCell ref="Q18:Q19"/>
    <mergeCell ref="L2:L3"/>
    <mergeCell ref="K2:K3"/>
    <mergeCell ref="J2:J3"/>
    <mergeCell ref="I2:I3"/>
    <mergeCell ref="J18:J19"/>
    <mergeCell ref="K18:K19"/>
    <mergeCell ref="L18:L19"/>
    <mergeCell ref="L16:L17"/>
    <mergeCell ref="K16:K17"/>
    <mergeCell ref="J16:J17"/>
    <mergeCell ref="I16:I17"/>
    <mergeCell ref="I14:I15"/>
    <mergeCell ref="J14:J15"/>
    <mergeCell ref="K14:K15"/>
    <mergeCell ref="L14:L15"/>
    <mergeCell ref="L12:L13"/>
    <mergeCell ref="Q2:Q3"/>
    <mergeCell ref="P2:P3"/>
    <mergeCell ref="O2:O3"/>
    <mergeCell ref="N2:N3"/>
    <mergeCell ref="M2:M3"/>
    <mergeCell ref="M4:M5"/>
    <mergeCell ref="N4:N5"/>
    <mergeCell ref="O4:O5"/>
    <mergeCell ref="P4:P5"/>
    <mergeCell ref="Q4:Q5"/>
    <mergeCell ref="L6:L7"/>
    <mergeCell ref="K6:K7"/>
    <mergeCell ref="J6:J7"/>
    <mergeCell ref="I6:I7"/>
    <mergeCell ref="I4:I5"/>
    <mergeCell ref="J4:J5"/>
    <mergeCell ref="K4:K5"/>
    <mergeCell ref="L4:L5"/>
    <mergeCell ref="Q6:Q7"/>
    <mergeCell ref="P6:P7"/>
    <mergeCell ref="O6:O7"/>
    <mergeCell ref="N6:N7"/>
    <mergeCell ref="M6:M7"/>
    <mergeCell ref="M8:M9"/>
    <mergeCell ref="N8:N9"/>
    <mergeCell ref="O8:O9"/>
    <mergeCell ref="P8:P9"/>
    <mergeCell ref="Q8:Q9"/>
    <mergeCell ref="I10:I11"/>
    <mergeCell ref="I8:I9"/>
    <mergeCell ref="J8:J9"/>
    <mergeCell ref="K8:K9"/>
    <mergeCell ref="L8:L9"/>
    <mergeCell ref="A12:C12"/>
    <mergeCell ref="D12:G12"/>
    <mergeCell ref="A13:C13"/>
    <mergeCell ref="D13:G13"/>
    <mergeCell ref="A1:G1"/>
    <mergeCell ref="A2:C2"/>
    <mergeCell ref="D2:G2"/>
    <mergeCell ref="A3:C3"/>
    <mergeCell ref="D3:G3"/>
    <mergeCell ref="A8:C8"/>
    <mergeCell ref="D8:G8"/>
    <mergeCell ref="A7:C7"/>
    <mergeCell ref="D7:G7"/>
    <mergeCell ref="A4:C4"/>
    <mergeCell ref="D6:G6"/>
    <mergeCell ref="A6:C6"/>
    <mergeCell ref="D10:G10"/>
    <mergeCell ref="A15:F15"/>
    <mergeCell ref="I1:Q1"/>
    <mergeCell ref="A18:B18"/>
    <mergeCell ref="A17:B17"/>
    <mergeCell ref="A16:B16"/>
    <mergeCell ref="C18:F18"/>
    <mergeCell ref="C17:F17"/>
    <mergeCell ref="C16:F16"/>
    <mergeCell ref="Q10:Q11"/>
    <mergeCell ref="P10:P11"/>
    <mergeCell ref="O10:O11"/>
    <mergeCell ref="N10:N11"/>
    <mergeCell ref="M10:M11"/>
    <mergeCell ref="L10:L11"/>
    <mergeCell ref="K10:K11"/>
    <mergeCell ref="J10:J11"/>
    <mergeCell ref="D4:G4"/>
    <mergeCell ref="A5:C5"/>
    <mergeCell ref="D5:G5"/>
    <mergeCell ref="A11:C11"/>
    <mergeCell ref="D11:G11"/>
    <mergeCell ref="A9:C9"/>
    <mergeCell ref="D9:G9"/>
    <mergeCell ref="A10:C10"/>
    <mergeCell ref="C39:G39"/>
    <mergeCell ref="C40:G40"/>
    <mergeCell ref="B22:C22"/>
    <mergeCell ref="B23:C23"/>
    <mergeCell ref="B24:C24"/>
    <mergeCell ref="B25:C25"/>
    <mergeCell ref="E24:F24"/>
    <mergeCell ref="E25:F25"/>
    <mergeCell ref="H22:I22"/>
    <mergeCell ref="H23:I23"/>
    <mergeCell ref="E22:F22"/>
    <mergeCell ref="E23:F23"/>
    <mergeCell ref="C41:G41"/>
    <mergeCell ref="I35:I41"/>
    <mergeCell ref="K40:O40"/>
    <mergeCell ref="K41:O41"/>
    <mergeCell ref="H24:I24"/>
    <mergeCell ref="H25:I25"/>
    <mergeCell ref="A27:A33"/>
    <mergeCell ref="C27:G27"/>
    <mergeCell ref="C28:G28"/>
    <mergeCell ref="C29:G29"/>
    <mergeCell ref="C30:G30"/>
    <mergeCell ref="C31:G31"/>
    <mergeCell ref="C32:G32"/>
    <mergeCell ref="C33:G33"/>
    <mergeCell ref="A35:A41"/>
    <mergeCell ref="C35:G35"/>
    <mergeCell ref="C36:G36"/>
    <mergeCell ref="C37:G37"/>
    <mergeCell ref="K35:O35"/>
    <mergeCell ref="K36:O36"/>
    <mergeCell ref="K37:O37"/>
    <mergeCell ref="K38:O38"/>
    <mergeCell ref="K39:O39"/>
    <mergeCell ref="C38:G38"/>
  </mergeCells>
  <conditionalFormatting sqref="I2:J2 I4:Q4 J6 I8:Q8 J10 I12:Q12 J14 J18 I16:Q16 L2 N2 P2 P6 N6 L6 L10 N10 P10 P14 N14 L14 L18 N18 P18">
    <cfRule type="containsBlanks" dxfId="75" priority="3">
      <formula>LEN(TRIM(I2))=0</formula>
    </cfRule>
  </conditionalFormatting>
  <conditionalFormatting sqref="I2:J2 I4:Q4 J6 I8:Q8 J10 I12:Q12 J14 J18 I16:Q16 L2 N2 P2 P6 N6 L6 L10 N10 P10 P14 N14 L14 L18 N18 P18">
    <cfRule type="cellIs" dxfId="74" priority="4" operator="equal">
      <formula>0</formula>
    </cfRule>
  </conditionalFormatting>
  <conditionalFormatting sqref="Q18 O18 M18 K18 I18 I14 K14 M14 O14 Q14 Q10 O10 M10 K10 I10 I6 K6 M6 O6 Q6 Q2 O2 M2 K2">
    <cfRule type="containsBlanks" dxfId="73" priority="1">
      <formula>LEN(TRIM(I2))=0</formula>
    </cfRule>
  </conditionalFormatting>
  <conditionalFormatting sqref="Q18 O18 M18 K18 I18 I14 K14 M14 O14 Q14 Q10 O10 M10 K10 I10 I6 K6 M6 O6 Q6 Q2 O2 M2 K2">
    <cfRule type="cellIs" dxfId="72" priority="2" operator="equal">
      <formula>0</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17"/>
  <sheetViews>
    <sheetView zoomScale="90" zoomScaleNormal="90" workbookViewId="0">
      <selection activeCell="I6" sqref="I6:I7"/>
    </sheetView>
  </sheetViews>
  <sheetFormatPr defaultColWidth="15.7109375" defaultRowHeight="30" customHeight="1"/>
  <cols>
    <col min="1" max="5" width="15.7109375" style="32"/>
    <col min="6" max="6" width="18.7109375" style="32" customWidth="1"/>
    <col min="7" max="7" width="15.7109375" style="32" customWidth="1"/>
    <col min="8" max="8" width="7.85546875" style="32" customWidth="1"/>
    <col min="9" max="9" width="20.7109375" style="32" customWidth="1"/>
    <col min="10" max="10" width="15.7109375" style="32"/>
    <col min="11" max="11" width="20.7109375" style="32" customWidth="1"/>
    <col min="12" max="12" width="15.7109375" style="32"/>
    <col min="13" max="13" width="20.7109375" style="32" customWidth="1"/>
    <col min="14" max="14" width="15.7109375" style="32"/>
    <col min="15" max="15" width="20.7109375" style="32" customWidth="1"/>
    <col min="16" max="16" width="15.7109375" style="32"/>
    <col min="17" max="17" width="20.7109375" style="32" customWidth="1"/>
    <col min="18" max="16384" width="15.7109375" style="65"/>
  </cols>
  <sheetData>
    <row r="1" spans="1:23" ht="35.1" customHeight="1" thickBot="1">
      <c r="A1" s="622" t="str">
        <f ca="1">CONCATENATE(INDEX($S$45:$S$194,RANDBETWEEN(1,150))," ",CHOOSE(RANDBETWEEN(1,8),"Crypt","Tomb","Barrow","Cemetary","Vault","Mausoleum","Catacomb","Burial Mound"))</f>
        <v>Flintjumper Barrow</v>
      </c>
      <c r="B1" s="623"/>
      <c r="C1" s="623"/>
      <c r="D1" s="623"/>
      <c r="E1" s="623"/>
      <c r="F1" s="623"/>
      <c r="G1" s="624"/>
      <c r="H1" s="63"/>
      <c r="I1" s="629" t="s">
        <v>6209</v>
      </c>
      <c r="J1" s="630"/>
      <c r="K1" s="630"/>
      <c r="L1" s="630"/>
      <c r="M1" s="630"/>
      <c r="N1" s="630"/>
      <c r="O1" s="630"/>
      <c r="P1" s="630"/>
      <c r="Q1" s="631"/>
      <c r="R1" s="63"/>
      <c r="S1" s="64"/>
      <c r="T1" s="64"/>
      <c r="U1" s="64"/>
      <c r="V1" s="64"/>
      <c r="W1" s="64"/>
    </row>
    <row r="2" spans="1:23" s="67" customFormat="1" ht="38.1" customHeight="1">
      <c r="A2" s="625" t="str">
        <f>B44</f>
        <v xml:space="preserve">The tomb was built for </v>
      </c>
      <c r="B2" s="626"/>
      <c r="C2" s="626"/>
      <c r="D2" s="627" t="str">
        <f ca="1">INDEX($B$45:$B$73,RANDBETWEEN(1,20))</f>
        <v>A terrible villain.</v>
      </c>
      <c r="E2" s="627"/>
      <c r="F2" s="627"/>
      <c r="G2" s="628"/>
      <c r="H2" s="86"/>
      <c r="I2" s="582" t="str">
        <f ca="1">IF(RAND()&lt;$G$14,INDEX('Source Data'!$J$28:$J$47,RANDBETWEEN(1,20))&amp;", with "&amp;INDEX('Source Data'!$K$28:$K$47,RANDBETWEEN(1,20))&amp;" *"&amp;INDEX('Source Data'!$J$5:$J$24,RANDBETWEEN(1,20)),"")</f>
        <v>A desecrated chamber, with A rotten, earthy stench. *Hazard</v>
      </c>
      <c r="J2" s="580" t="str">
        <f ca="1">IF(AND(I2&lt;&gt;"",K2&lt;&gt;""),INDEX('Source Data'!$B$28:$B$47,RANDBETWEEN(1,20)),"")</f>
        <v>rotten doorway</v>
      </c>
      <c r="K2" s="581" t="str">
        <f ca="1">IF(RAND()&lt;$G$14,INDEX('Source Data'!$J$28:$J$47,RANDBETWEEN(1,20))&amp;", with "&amp;INDEX('Source Data'!$K$28:$K$47,RANDBETWEEN(1,20))&amp;" *"&amp;INDEX('Source Data'!$J$5:$J$24,RANDBETWEEN(1,20)),"")</f>
        <v>A gallery, with A huge book of sacred texts or prayers. *Encounter</v>
      </c>
      <c r="L2" s="580" t="str">
        <f ca="1">IF(AND(K2&lt;&gt;"",M2&lt;&gt;""),INDEX('Source Data'!$B$28:$B$47,RANDBETWEEN(1,20)),"")</f>
        <v>climb/descend</v>
      </c>
      <c r="M2" s="581" t="str">
        <f ca="1">IF(RAND()&lt;$G$14,INDEX('Source Data'!$J$28:$J$47,RANDBETWEEN(1,20))&amp;", with "&amp;INDEX('Source Data'!$K$28:$K$47,RANDBETWEEN(1,20))&amp;" *"&amp;INDEX('Source Data'!$J$5:$J$24,RANDBETWEEN(1,20)),"")</f>
        <v>A grand crypt, with A small fountain or reflecting pool. *Combat</v>
      </c>
      <c r="N2" s="580" t="str">
        <f ca="1">IF(AND(M2&lt;&gt;"",O2&lt;&gt;""),INDEX('Source Data'!$B$28:$B$47,RANDBETWEEN(1,20)),"")</f>
        <v xml:space="preserve">narrow crevice </v>
      </c>
      <c r="O2" s="581" t="str">
        <f ca="1">IF(RAND()&lt;$G$14,INDEX('Source Data'!$J$28:$J$47,RANDBETWEEN(1,20))&amp;", with "&amp;INDEX('Source Data'!$K$28:$K$47,RANDBETWEEN(1,20))&amp;" *"&amp;INDEX('Source Data'!$J$5:$J$24,RANDBETWEEN(1,20)),"")</f>
        <v>A crypt for devoted servants or slaves, with An ornate oil lamp. *Encounter</v>
      </c>
      <c r="P2" s="580" t="str">
        <f ca="1">IF(AND(O2&lt;&gt;"",Q2&lt;&gt;""),INDEX('Source Data'!$B$28:$B$47,RANDBETWEEN(1,20)),"")</f>
        <v>hole</v>
      </c>
      <c r="Q2" s="586" t="str">
        <f ca="1">IF(RAND()&lt;$G$14,INDEX('Source Data'!$J$28:$J$47,RANDBETWEEN(1,20))&amp;", with "&amp;INDEX('Source Data'!$K$28:$K$47,RANDBETWEEN(1,20))&amp;" *"&amp;INDEX('Source Data'!$J$5:$J$24,RANDBETWEEN(1,20)),"")</f>
        <v>A priest’s quarters or robing room, with A simple, sturdy wooden coffin. *Combat</v>
      </c>
      <c r="R2" s="66"/>
    </row>
    <row r="3" spans="1:23" s="67" customFormat="1" ht="38.1" customHeight="1">
      <c r="A3" s="618" t="str">
        <f>D44</f>
        <v xml:space="preserve">The tomb's entrance is </v>
      </c>
      <c r="B3" s="619"/>
      <c r="C3" s="619"/>
      <c r="D3" s="620" t="str">
        <f ca="1">INDEX($D$45:$D$73,RANDBETWEEN(1,24))</f>
        <v>Behind a huge pair of bronze doors.</v>
      </c>
      <c r="E3" s="620"/>
      <c r="F3" s="620"/>
      <c r="G3" s="621"/>
      <c r="H3" s="86"/>
      <c r="I3" s="583"/>
      <c r="J3" s="540"/>
      <c r="K3" s="541"/>
      <c r="L3" s="540"/>
      <c r="M3" s="541"/>
      <c r="N3" s="540"/>
      <c r="O3" s="541"/>
      <c r="P3" s="540"/>
      <c r="Q3" s="539"/>
      <c r="R3" s="66"/>
    </row>
    <row r="4" spans="1:23" s="67" customFormat="1" ht="38.1" customHeight="1">
      <c r="A4" s="618" t="str">
        <f>E44</f>
        <v>The entrance is guarded by:</v>
      </c>
      <c r="B4" s="619"/>
      <c r="C4" s="619"/>
      <c r="D4" s="620" t="str">
        <f ca="1">INDEX($E$45:$E$73,RANDBETWEEN(1,17))</f>
        <v>Large, frightening statues of lions.</v>
      </c>
      <c r="E4" s="620"/>
      <c r="F4" s="620"/>
      <c r="G4" s="621"/>
      <c r="H4" s="86"/>
      <c r="I4" s="587" t="str">
        <f ca="1">IF(AND(I2&lt;&gt;"",I6&lt;&gt;""),INDEX('Source Data'!$B$28:$B$47,RANDBETWEEN(1,20)),"")</f>
        <v/>
      </c>
      <c r="J4" s="585" t="str">
        <f ca="1">IF(AND(K2&lt;&gt;"",I6&lt;&gt;"",I2="",K6=""),INDEX('Source Data'!$B$28:$B$47,RANDBETWEEN(1,20)),IF(AND(I2&lt;&gt;"",K6&lt;&gt;"",I6="",K2=""),INDEX('Source Data'!$B$28:$B$47,RANDBETWEEN(1,20)),""))</f>
        <v/>
      </c>
      <c r="K4" s="540" t="str">
        <f ca="1">IF(AND(K2&lt;&gt;"",K6&lt;&gt;""),INDEX('Source Data'!$B$28:$B$47,RANDBETWEEN(1,20)),"")</f>
        <v/>
      </c>
      <c r="L4" s="585" t="str">
        <f ca="1">IF(AND(M2&lt;&gt;"",K6&lt;&gt;"",K2="",M6=""),INDEX('Source Data'!$B$28:$B$47,RANDBETWEEN(1,20)),IF(AND(K2&lt;&gt;"",M6&lt;&gt;"",K6="",M2=""),INDEX('Source Data'!$B$28:$B$47,RANDBETWEEN(1,20)),""))</f>
        <v/>
      </c>
      <c r="M4" s="540" t="str">
        <f ca="1">IF(AND(M2&lt;&gt;"",M6&lt;&gt;""),INDEX('Source Data'!$B$28:$B$47,RANDBETWEEN(1,20)),"")</f>
        <v>hole</v>
      </c>
      <c r="N4" s="585" t="str">
        <f ca="1">IF(AND(O2&lt;&gt;"",M6&lt;&gt;"",M2="",O6=""),INDEX('Source Data'!$B$28:$B$47,RANDBETWEEN(1,20)),IF(AND(M2&lt;&gt;"",O6&lt;&gt;"",M6="",O2=""),INDEX('Source Data'!$B$28:$B$47,RANDBETWEEN(1,20)),""))</f>
        <v/>
      </c>
      <c r="O4" s="540" t="str">
        <f ca="1">IF(AND(O2&lt;&gt;"",O6&lt;&gt;""),INDEX('Source Data'!$B$28:$B$47,RANDBETWEEN(1,20)),"")</f>
        <v>rotten doorway</v>
      </c>
      <c r="P4" s="585" t="str">
        <f ca="1">IF(AND(Q2&lt;&gt;"",O6&lt;&gt;"",O2="",Q6=""),INDEX('Source Data'!$B$28:$B$47,RANDBETWEEN(1,20)),IF(AND(O2&lt;&gt;"",Q6&lt;&gt;"",O6="",Q2=""),INDEX('Source Data'!$B$28:$B$47,RANDBETWEEN(1,20)),""))</f>
        <v/>
      </c>
      <c r="Q4" s="584" t="str">
        <f ca="1">IF(AND(Q2&lt;&gt;"",Q6&lt;&gt;""),INDEX('Source Data'!$B$28:$B$47,RANDBETWEEN(1,20)),"")</f>
        <v/>
      </c>
      <c r="R4" s="66"/>
    </row>
    <row r="5" spans="1:23" s="67" customFormat="1" ht="38.1" customHeight="1">
      <c r="A5" s="618" t="str">
        <f>F44</f>
        <v xml:space="preserve">The tomb's grand crypt is located </v>
      </c>
      <c r="B5" s="619"/>
      <c r="C5" s="619"/>
      <c r="D5" s="620" t="str">
        <f ca="1">INDEX($F$45:$F$73,RANDBETWEEN(1,6))</f>
        <v>At the end of a long passageway lined with passageways leading to lesser crypts.</v>
      </c>
      <c r="E5" s="620"/>
      <c r="F5" s="620"/>
      <c r="G5" s="621"/>
      <c r="H5" s="86"/>
      <c r="I5" s="587"/>
      <c r="J5" s="585"/>
      <c r="K5" s="540"/>
      <c r="L5" s="585"/>
      <c r="M5" s="540"/>
      <c r="N5" s="585"/>
      <c r="O5" s="540"/>
      <c r="P5" s="585"/>
      <c r="Q5" s="584"/>
      <c r="R5" s="66"/>
    </row>
    <row r="6" spans="1:23" s="67" customFormat="1" ht="38.1" customHeight="1">
      <c r="A6" s="618" t="str">
        <f>G44</f>
        <v xml:space="preserve">The tomb's layout is </v>
      </c>
      <c r="B6" s="619"/>
      <c r="C6" s="619"/>
      <c r="D6" s="620" t="str">
        <f ca="1">INDEX($G$45:$G$73,RANDBETWEEN(1,8))</f>
        <v>Multi-layered; access to the lower layers is difficult to find.</v>
      </c>
      <c r="E6" s="620"/>
      <c r="F6" s="620"/>
      <c r="G6" s="621"/>
      <c r="H6" s="86"/>
      <c r="I6" s="583" t="str">
        <f ca="1">IF(RAND()&lt;$G$14,INDEX('Source Data'!$J$28:$J$47,RANDBETWEEN(1,20))&amp;", with "&amp;INDEX('Source Data'!$K$28:$K$47,RANDBETWEEN(1,20))&amp;" *"&amp;INDEX('Source Data'!$J$5:$J$24,RANDBETWEEN(1,20)),"")</f>
        <v/>
      </c>
      <c r="J6" s="540" t="str">
        <f ca="1">IF(AND(I6&lt;&gt;"",K6&lt;&gt;""),INDEX('Source Data'!$B$28:$B$47,RANDBETWEEN(1,20)),"")</f>
        <v/>
      </c>
      <c r="K6" s="541" t="str">
        <f ca="1">IF(RAND()&lt;$G$14,INDEX('Source Data'!$J$28:$J$47,RANDBETWEEN(1,20))&amp;", with "&amp;INDEX('Source Data'!$K$28:$K$47,RANDBETWEEN(1,20))&amp;" *"&amp;INDEX('Source Data'!$J$5:$J$24,RANDBETWEEN(1,20)),"")</f>
        <v/>
      </c>
      <c r="L6" s="540" t="str">
        <f ca="1">IF(AND(K6&lt;&gt;"",M6&lt;&gt;""),INDEX('Source Data'!$B$28:$B$47,RANDBETWEEN(1,20)),"")</f>
        <v/>
      </c>
      <c r="M6" s="541" t="str">
        <f ca="1">IF(RAND()&lt;$G$14,INDEX('Source Data'!$J$28:$J$47,RANDBETWEEN(1,20))&amp;", with "&amp;INDEX('Source Data'!$K$28:$K$47,RANDBETWEEN(1,20))&amp;" *"&amp;INDEX('Source Data'!$J$5:$J$24,RANDBETWEEN(1,20)),"")</f>
        <v>A chapel for aid, with A small fountain or reflecting pool. *Combat</v>
      </c>
      <c r="N6" s="540" t="str">
        <f ca="1">IF(AND(M6&lt;&gt;"",O6&lt;&gt;""),INDEX('Source Data'!$B$28:$B$47,RANDBETWEEN(1,20)),"")</f>
        <v>climb/descend</v>
      </c>
      <c r="O6" s="541" t="str">
        <f ca="1">IF(RAND()&lt;$G$14,INDEX('Source Data'!$J$28:$J$47,RANDBETWEEN(1,20))&amp;", with "&amp;INDEX('Source Data'!$K$28:$K$47,RANDBETWEEN(1,20))&amp;" *"&amp;INDEX('Source Data'!$J$5:$J$24,RANDBETWEEN(1,20)),"")</f>
        <v>A desecrated chamber, with A wide fresco depicting a historical scene *Combat</v>
      </c>
      <c r="P6" s="540" t="str">
        <f ca="1">IF(AND(O6&lt;&gt;"",Q6&lt;&gt;""),INDEX('Source Data'!$B$28:$B$47,RANDBETWEEN(1,20)),"")</f>
        <v/>
      </c>
      <c r="Q6" s="539" t="str">
        <f ca="1">IF(RAND()&lt;$G$14,INDEX('Source Data'!$J$28:$J$47,RANDBETWEEN(1,20))&amp;", with "&amp;INDEX('Source Data'!$K$28:$K$47,RANDBETWEEN(1,20))&amp;" *"&amp;INDEX('Source Data'!$J$5:$J$24,RANDBETWEEN(1,20)),"")</f>
        <v/>
      </c>
      <c r="R6" s="66"/>
    </row>
    <row r="7" spans="1:23" s="67" customFormat="1" ht="38.1" customHeight="1">
      <c r="A7" s="618" t="str">
        <f>H44</f>
        <v xml:space="preserve">Many of the interior walls are </v>
      </c>
      <c r="B7" s="619"/>
      <c r="C7" s="619"/>
      <c r="D7" s="620" t="str">
        <f ca="1">INDEX($H$45:$H$73,RANDBETWEEN(1,8))</f>
        <v>Decorated with sacred texts and runes.</v>
      </c>
      <c r="E7" s="620"/>
      <c r="F7" s="620"/>
      <c r="G7" s="621"/>
      <c r="H7" s="86"/>
      <c r="I7" s="583"/>
      <c r="J7" s="540"/>
      <c r="K7" s="541"/>
      <c r="L7" s="540"/>
      <c r="M7" s="541"/>
      <c r="N7" s="540"/>
      <c r="O7" s="541"/>
      <c r="P7" s="540"/>
      <c r="Q7" s="539"/>
      <c r="R7" s="66"/>
    </row>
    <row r="8" spans="1:23" s="67" customFormat="1" ht="38.1" customHeight="1">
      <c r="A8" s="618" t="str">
        <f>I44</f>
        <v xml:space="preserve">The ceilings are </v>
      </c>
      <c r="B8" s="619"/>
      <c r="C8" s="619"/>
      <c r="D8" s="620" t="str">
        <f ca="1">INDEX($I$45:$I$73,RANDBETWEEN(1,6))</f>
        <v>Painted or carved with iconic scenes.</v>
      </c>
      <c r="E8" s="620"/>
      <c r="F8" s="620"/>
      <c r="G8" s="621"/>
      <c r="H8" s="86"/>
      <c r="I8" s="587" t="str">
        <f ca="1">IF(AND(I6&lt;&gt;"",I10&lt;&gt;""),INDEX('Source Data'!$B$28:$B$47,RANDBETWEEN(1,20)),"")</f>
        <v/>
      </c>
      <c r="J8" s="585" t="str">
        <f ca="1">IF(AND(K6&lt;&gt;"",I10&lt;&gt;"",I6="",K10=""),INDEX('Source Data'!$B$28:$B$47,RANDBETWEEN(1,20)),IF(AND(I6&lt;&gt;"",K10&lt;&gt;"",I10="",K6=""),INDEX('Source Data'!$B$28:$B$47,RANDBETWEEN(1,20)),""))</f>
        <v/>
      </c>
      <c r="K8" s="540" t="str">
        <f ca="1">IF(AND(K6&lt;&gt;"",K10&lt;&gt;""),INDEX('Source Data'!$B$28:$B$47,RANDBETWEEN(1,20)),"")</f>
        <v/>
      </c>
      <c r="L8" s="585" t="str">
        <f ca="1">IF(AND(M6&lt;&gt;"",K10&lt;&gt;"",K6="",M10=""),INDEX('Source Data'!$B$28:$B$47,RANDBETWEEN(1,20)),IF(AND(K6&lt;&gt;"",M10&lt;&gt;"",K10="",M6=""),INDEX('Source Data'!$B$28:$B$47,RANDBETWEEN(1,20)),""))</f>
        <v/>
      </c>
      <c r="M8" s="540" t="str">
        <f ca="1">IF(AND(M6&lt;&gt;"",M10&lt;&gt;""),INDEX('Source Data'!$B$28:$B$47,RANDBETWEEN(1,20)),"")</f>
        <v>secret passage</v>
      </c>
      <c r="N8" s="585" t="str">
        <f ca="1">IF(AND(O6&lt;&gt;"",M10&lt;&gt;"",M6="",O10=""),INDEX('Source Data'!$B$28:$B$47,RANDBETWEEN(1,20)),IF(AND(M6&lt;&gt;"",O10&lt;&gt;"",M10="",O6=""),INDEX('Source Data'!$B$28:$B$47,RANDBETWEEN(1,20)),""))</f>
        <v/>
      </c>
      <c r="O8" s="540" t="str">
        <f ca="1">IF(AND(O6&lt;&gt;"",O10&lt;&gt;""),INDEX('Source Data'!$B$28:$B$47,RANDBETWEEN(1,20)),"")</f>
        <v>narrow tunnel</v>
      </c>
      <c r="P8" s="585" t="str">
        <f ca="1">IF(AND(Q6&lt;&gt;"",O10&lt;&gt;"",O6="",Q10=""),INDEX('Source Data'!$B$28:$B$47,RANDBETWEEN(1,20)),IF(AND(O6&lt;&gt;"",Q10&lt;&gt;"",O10="",Q6=""),INDEX('Source Data'!$B$28:$B$47,RANDBETWEEN(1,20)),""))</f>
        <v/>
      </c>
      <c r="Q8" s="584" t="str">
        <f ca="1">IF(AND(Q6&lt;&gt;"",Q10&lt;&gt;""),INDEX('Source Data'!$B$28:$B$47,RANDBETWEEN(1,20)),"")</f>
        <v/>
      </c>
      <c r="R8" s="66"/>
    </row>
    <row r="9" spans="1:23" s="67" customFormat="1" ht="38.1" customHeight="1">
      <c r="A9" s="618" t="str">
        <f>J44</f>
        <v>As you enter, you notice:</v>
      </c>
      <c r="B9" s="619"/>
      <c r="C9" s="619"/>
      <c r="D9" s="620" t="str">
        <f ca="1">INDEX($J$45:$J$73,RANDBETWEEN(1,20))</f>
        <v>A mosaic set into the floor of the room.</v>
      </c>
      <c r="E9" s="620"/>
      <c r="F9" s="620"/>
      <c r="G9" s="621"/>
      <c r="H9" s="86"/>
      <c r="I9" s="587"/>
      <c r="J9" s="585"/>
      <c r="K9" s="540"/>
      <c r="L9" s="585"/>
      <c r="M9" s="540"/>
      <c r="N9" s="585"/>
      <c r="O9" s="540"/>
      <c r="P9" s="585"/>
      <c r="Q9" s="584"/>
      <c r="R9" s="66"/>
    </row>
    <row r="10" spans="1:23" s="67" customFormat="1" ht="38.1" customHeight="1">
      <c r="A10" s="618" t="str">
        <f>K44</f>
        <v xml:space="preserve">It is rumored to </v>
      </c>
      <c r="B10" s="619"/>
      <c r="C10" s="619"/>
      <c r="D10" s="620" t="str">
        <f ca="1">INDEX($K$45:$K$73,RANDBETWEEN(1,6))</f>
        <v>Hold a legendary weapon or artifact.</v>
      </c>
      <c r="E10" s="620"/>
      <c r="F10" s="620"/>
      <c r="G10" s="621"/>
      <c r="H10" s="86"/>
      <c r="I10" s="583" t="str">
        <f ca="1">IF(RAND()&lt;$G$14,INDEX('Source Data'!$J$28:$J$47,RANDBETWEEN(1,20))&amp;", with "&amp;INDEX('Source Data'!$K$28:$K$47,RANDBETWEEN(1,20))&amp;" *"&amp;INDEX('Source Data'!$J$5:$J$24,RANDBETWEEN(1,20)),"")</f>
        <v>Storage room for embalming tools, with An empty wall sconce for holding a torch. *Lock</v>
      </c>
      <c r="J10" s="540" t="str">
        <f ca="1">IF(AND(I10&lt;&gt;"",K10&lt;&gt;""),INDEX('Source Data'!$B$28:$B$47,RANDBETWEEN(1,20)),"")</f>
        <v>broken doorway</v>
      </c>
      <c r="K10" s="541" t="str">
        <f ca="1">IF(RAND()&lt;$G$14,INDEX('Source Data'!$J$28:$J$47,RANDBETWEEN(1,20))&amp;", with "&amp;INDEX('Source Data'!$K$28:$K$47,RANDBETWEEN(1,20))&amp;" *"&amp;INDEX('Source Data'!$J$5:$J$24,RANDBETWEEN(1,20)),"")</f>
        <v>A gallery, with A wide fresco depicting a historical scene *Puzzle</v>
      </c>
      <c r="L10" s="540" t="str">
        <f ca="1">IF(AND(K10&lt;&gt;"",M10&lt;&gt;""),INDEX('Source Data'!$B$28:$B$47,RANDBETWEEN(1,20)),"")</f>
        <v>narrow tunnel</v>
      </c>
      <c r="M10" s="541" t="str">
        <f ca="1">IF(RAND()&lt;$G$14,INDEX('Source Data'!$J$28:$J$47,RANDBETWEEN(1,20))&amp;", with "&amp;INDEX('Source Data'!$K$28:$K$47,RANDBETWEEN(1,20))&amp;" *"&amp;INDEX('Source Data'!$J$5:$J$24,RANDBETWEEN(1,20)),"")</f>
        <v>A chapel for protecting the deceased, with A mural depicting a mythological scene. *Exit/Access</v>
      </c>
      <c r="N10" s="540" t="str">
        <f ca="1">IF(AND(M10&lt;&gt;"",O10&lt;&gt;""),INDEX('Source Data'!$B$28:$B$47,RANDBETWEEN(1,20)),"")</f>
        <v xml:space="preserve">narrow crevice </v>
      </c>
      <c r="O10" s="541" t="str">
        <f ca="1">IF(RAND()&lt;$G$14,INDEX('Source Data'!$J$28:$J$47,RANDBETWEEN(1,20))&amp;", with "&amp;INDEX('Source Data'!$K$28:$K$47,RANDBETWEEN(1,20))&amp;" *"&amp;INDEX('Source Data'!$J$5:$J$24,RANDBETWEEN(1,20)),"")</f>
        <v>A desecrated chamber, with A wide fresco depicting a historical scene *Exploration</v>
      </c>
      <c r="P10" s="540" t="str">
        <f ca="1">IF(AND(O10&lt;&gt;"",Q10&lt;&gt;""),INDEX('Source Data'!$B$28:$B$47,RANDBETWEEN(1,20)),"")</f>
        <v/>
      </c>
      <c r="Q10" s="539" t="str">
        <f ca="1">IF(RAND()&lt;$G$14,INDEX('Source Data'!$J$28:$J$47,RANDBETWEEN(1,20))&amp;", with "&amp;INDEX('Source Data'!$K$28:$K$47,RANDBETWEEN(1,20))&amp;" *"&amp;INDEX('Source Data'!$J$5:$J$24,RANDBETWEEN(1,20)),"")</f>
        <v/>
      </c>
      <c r="R10" s="66"/>
    </row>
    <row r="11" spans="1:23" s="67" customFormat="1" ht="38.1" customHeight="1">
      <c r="A11" s="618" t="str">
        <f>L44</f>
        <v xml:space="preserve">It appears that the tomb was recently visited by </v>
      </c>
      <c r="B11" s="619"/>
      <c r="C11" s="619"/>
      <c r="D11" s="620" t="str">
        <f ca="1">INDEX($L$45:$L$73,RANDBETWEEN(1,8))</f>
        <v>A fugitive serial killer.</v>
      </c>
      <c r="E11" s="620"/>
      <c r="F11" s="620"/>
      <c r="G11" s="621"/>
      <c r="H11" s="86"/>
      <c r="I11" s="583"/>
      <c r="J11" s="540"/>
      <c r="K11" s="541"/>
      <c r="L11" s="540"/>
      <c r="M11" s="541"/>
      <c r="N11" s="540"/>
      <c r="O11" s="541"/>
      <c r="P11" s="540"/>
      <c r="Q11" s="539"/>
      <c r="R11" s="66"/>
    </row>
    <row r="12" spans="1:23" s="67" customFormat="1" ht="38.1" customHeight="1" thickBot="1">
      <c r="A12" s="632" t="s">
        <v>6888</v>
      </c>
      <c r="B12" s="633"/>
      <c r="C12" s="633"/>
      <c r="D12" s="634" t="str">
        <f ca="1">CHOOSE(RANDBETWEEN(1,11),"Long abandoned","Still in use","Falling into disrepair","Pristine","Recently abandoned","Crumbling","Overtaken by unnatural creatures","Rumored to be haunted","Rumored to be a bandit hideout","Known to be a bandit hideout","Rumored to contain treasures",CONCATENATE("Rumored to have been used by an evil ",CHOOSE(RANDBETWEEN(1,3),"wizard","necromancer","sorcerer")),"Rumored to have been used by a famous smuggler")</f>
        <v>Recently abandoned</v>
      </c>
      <c r="E12" s="634"/>
      <c r="F12" s="634"/>
      <c r="G12" s="635"/>
      <c r="H12" s="86"/>
      <c r="I12" s="587" t="str">
        <f ca="1">IF(AND(I10&lt;&gt;"",I14&lt;&gt;""),INDEX('Source Data'!$B$28:$B$47,RANDBETWEEN(1,20)),"")</f>
        <v>false wall</v>
      </c>
      <c r="J12" s="585" t="str">
        <f ca="1">IF(AND(K10&lt;&gt;"",I14&lt;&gt;"",I10="",K14=""),INDEX('Source Data'!$B$28:$B$47,RANDBETWEEN(1,20)),IF(AND(I10&lt;&gt;"",K14&lt;&gt;"",I14="",K10=""),INDEX('Source Data'!$B$28:$B$47,RANDBETWEEN(1,20)),""))</f>
        <v/>
      </c>
      <c r="K12" s="540" t="str">
        <f ca="1">IF(AND(K10&lt;&gt;"",K14&lt;&gt;""),INDEX('Source Data'!$B$28:$B$47,RANDBETWEEN(1,20)),"")</f>
        <v>hole</v>
      </c>
      <c r="L12" s="585" t="str">
        <f ca="1">IF(AND(M10&lt;&gt;"",K14&lt;&gt;"",K10="",M14=""),INDEX('Source Data'!$B$28:$B$47,RANDBETWEEN(1,20)),IF(AND(K10&lt;&gt;"",M14&lt;&gt;"",K14="",M10=""),INDEX('Source Data'!$B$28:$B$47,RANDBETWEEN(1,20)),""))</f>
        <v/>
      </c>
      <c r="M12" s="540" t="str">
        <f ca="1">IF(AND(M10&lt;&gt;"",M14&lt;&gt;""),INDEX('Source Data'!$B$28:$B$47,RANDBETWEEN(1,20)),"")</f>
        <v/>
      </c>
      <c r="N12" s="585" t="str">
        <f ca="1">IF(AND(O10&lt;&gt;"",M14&lt;&gt;"",M10="",O14=""),INDEX('Source Data'!$B$28:$B$47,RANDBETWEEN(1,20)),IF(AND(M10&lt;&gt;"",O14&lt;&gt;"",M14="",O10=""),INDEX('Source Data'!$B$28:$B$47,RANDBETWEEN(1,20)),""))</f>
        <v/>
      </c>
      <c r="O12" s="540" t="str">
        <f ca="1">IF(AND(O10&lt;&gt;"",O14&lt;&gt;""),INDEX('Source Data'!$B$28:$B$47,RANDBETWEEN(1,20)),"")</f>
        <v/>
      </c>
      <c r="P12" s="585" t="str">
        <f ca="1">IF(AND(Q10&lt;&gt;"",O14&lt;&gt;"",O10="",Q14=""),INDEX('Source Data'!$B$28:$B$47,RANDBETWEEN(1,20)),IF(AND(O10&lt;&gt;"",Q14&lt;&gt;"",O14="",Q10=""),INDEX('Source Data'!$B$28:$B$47,RANDBETWEEN(1,20)),""))</f>
        <v/>
      </c>
      <c r="Q12" s="584" t="str">
        <f ca="1">IF(AND(Q10&lt;&gt;"",Q14&lt;&gt;""),INDEX('Source Data'!$B$28:$B$47,RANDBETWEEN(1,20)),"")</f>
        <v/>
      </c>
      <c r="R12" s="66"/>
    </row>
    <row r="13" spans="1:23" s="67" customFormat="1" ht="38.1" customHeight="1" thickBot="1">
      <c r="A13" s="66"/>
      <c r="B13" s="66"/>
      <c r="C13" s="66"/>
      <c r="D13" s="66"/>
      <c r="E13" s="66"/>
      <c r="F13" s="66"/>
      <c r="G13" s="66"/>
      <c r="H13" s="66"/>
      <c r="I13" s="587"/>
      <c r="J13" s="585"/>
      <c r="K13" s="540"/>
      <c r="L13" s="585"/>
      <c r="M13" s="540"/>
      <c r="N13" s="585"/>
      <c r="O13" s="540"/>
      <c r="P13" s="585"/>
      <c r="Q13" s="584"/>
      <c r="R13" s="66"/>
    </row>
    <row r="14" spans="1:23" s="67" customFormat="1" ht="38.1" customHeight="1" thickBot="1">
      <c r="A14" s="66"/>
      <c r="B14" s="66"/>
      <c r="C14" s="66"/>
      <c r="D14" s="66"/>
      <c r="E14" s="66"/>
      <c r="F14" s="309" t="s">
        <v>6889</v>
      </c>
      <c r="G14" s="312">
        <v>0.7</v>
      </c>
      <c r="H14" s="66"/>
      <c r="I14" s="583" t="str">
        <f ca="1">IF(RAND()&lt;$G$14,INDEX('Source Data'!$J$28:$J$47,RANDBETWEEN(1,20))&amp;", with "&amp;INDEX('Source Data'!$K$28:$K$47,RANDBETWEEN(1,20))&amp;" *"&amp;INDEX('Source Data'!$J$5:$J$24,RANDBETWEEN(1,20)),"")</f>
        <v>A crypt for devoted servants or slaves, with A wall sconce holding several candles. *Encounter</v>
      </c>
      <c r="J14" s="540" t="str">
        <f ca="1">IF(AND(I14&lt;&gt;"",K14&lt;&gt;""),INDEX('Source Data'!$B$28:$B$47,RANDBETWEEN(1,20)),"")</f>
        <v>hole</v>
      </c>
      <c r="K14" s="541" t="str">
        <f ca="1">IF(RAND()&lt;$G$14,INDEX('Source Data'!$J$28:$J$47,RANDBETWEEN(1,20))&amp;", with "&amp;INDEX('Source Data'!$K$28:$K$47,RANDBETWEEN(1,20))&amp;" *"&amp;INDEX('Source Data'!$J$5:$J$24,RANDBETWEEN(1,20)),"")</f>
        <v>A crypt for devoted servants or slaves, with An empty wall sconce for holding a torch. *Puzzle</v>
      </c>
      <c r="L14" s="540" t="str">
        <f ca="1">IF(AND(K14&lt;&gt;"",M14&lt;&gt;""),INDEX('Source Data'!$B$28:$B$47,RANDBETWEEN(1,20)),"")</f>
        <v/>
      </c>
      <c r="M14" s="541" t="str">
        <f ca="1">IF(RAND()&lt;$G$14,INDEX('Source Data'!$J$28:$J$47,RANDBETWEEN(1,20))&amp;", with "&amp;INDEX('Source Data'!$K$28:$K$47,RANDBETWEEN(1,20))&amp;" *"&amp;INDEX('Source Data'!$J$5:$J$24,RANDBETWEEN(1,20)),"")</f>
        <v/>
      </c>
      <c r="N14" s="540" t="str">
        <f ca="1">IF(AND(M14&lt;&gt;"",O14&lt;&gt;""),INDEX('Source Data'!$B$28:$B$47,RANDBETWEEN(1,20)),"")</f>
        <v/>
      </c>
      <c r="O14" s="541" t="str">
        <f ca="1">IF(RAND()&lt;$G$14,INDEX('Source Data'!$J$28:$J$47,RANDBETWEEN(1,20))&amp;", with "&amp;INDEX('Source Data'!$K$28:$K$47,RANDBETWEEN(1,20))&amp;" *"&amp;INDEX('Source Data'!$J$5:$J$24,RANDBETWEEN(1,20)),"")</f>
        <v/>
      </c>
      <c r="P14" s="540" t="str">
        <f ca="1">IF(AND(O14&lt;&gt;"",Q14&lt;&gt;""),INDEX('Source Data'!$B$28:$B$47,RANDBETWEEN(1,20)),"")</f>
        <v/>
      </c>
      <c r="Q14" s="539" t="str">
        <f ca="1">IF(RAND()&lt;$G$14,INDEX('Source Data'!$J$28:$J$47,RANDBETWEEN(1,20))&amp;", with "&amp;INDEX('Source Data'!$K$28:$K$47,RANDBETWEEN(1,20))&amp;" *"&amp;INDEX('Source Data'!$J$5:$J$24,RANDBETWEEN(1,20)),"")</f>
        <v/>
      </c>
      <c r="R14" s="66"/>
    </row>
    <row r="15" spans="1:23" s="67" customFormat="1" ht="38.1" customHeight="1" thickBot="1">
      <c r="A15" s="66"/>
      <c r="B15" s="66"/>
      <c r="C15" s="66"/>
      <c r="D15" s="66"/>
      <c r="E15" s="66"/>
      <c r="F15" s="66"/>
      <c r="G15" s="66"/>
      <c r="H15" s="66"/>
      <c r="I15" s="583"/>
      <c r="J15" s="540"/>
      <c r="K15" s="541"/>
      <c r="L15" s="540"/>
      <c r="M15" s="541"/>
      <c r="N15" s="540"/>
      <c r="O15" s="541"/>
      <c r="P15" s="540"/>
      <c r="Q15" s="539"/>
      <c r="R15" s="66"/>
    </row>
    <row r="16" spans="1:23" s="67" customFormat="1" ht="38.1" customHeight="1">
      <c r="A16" s="552" t="s">
        <v>2482</v>
      </c>
      <c r="B16" s="200" t="s">
        <v>2416</v>
      </c>
      <c r="C16" s="503" t="str">
        <f ca="1">CONCATENATE(INDEX('NPC''s'!$I$106:$I$115,RANDBETWEEN(1,10))," in stature, with a ",INDEX('NPC''s'!$J$106:$J$125,RANDBETWEEN(1,20))," body, and ",INDEX('NPC''s'!$K$106:$K$111,RANDBETWEEN(1,6)))</f>
        <v>WELL ABOVE AVERAGE in stature, with a WELL-MUSCLED body, and A LIGHT TOUCH.</v>
      </c>
      <c r="D16" s="504"/>
      <c r="E16" s="504"/>
      <c r="F16" s="504"/>
      <c r="G16" s="505"/>
      <c r="H16" s="66"/>
      <c r="I16" s="587" t="str">
        <f ca="1">IF(AND(I14&lt;&gt;"",I18&lt;&gt;""),INDEX('Source Data'!$B$28:$B$47,RANDBETWEEN(1,20)),"")</f>
        <v/>
      </c>
      <c r="J16" s="585" t="str">
        <f ca="1">IF(AND(K14&lt;&gt;"",I18&lt;&gt;"",I14="",K18=""),INDEX('Source Data'!$B$28:$B$47,RANDBETWEEN(1,20)),IF(AND(I14&lt;&gt;"",K18&lt;&gt;"",I18="",K14=""),INDEX('Source Data'!$B$28:$B$47,RANDBETWEEN(1,20)),""))</f>
        <v/>
      </c>
      <c r="K16" s="540" t="str">
        <f ca="1">IF(AND(K14&lt;&gt;"",K18&lt;&gt;""),INDEX('Source Data'!$B$28:$B$47,RANDBETWEEN(1,20)),"")</f>
        <v xml:space="preserve">narrow crevice </v>
      </c>
      <c r="L16" s="585" t="str">
        <f ca="1">IF(AND(M14&lt;&gt;"",K18&lt;&gt;"",K14="",M18=""),INDEX('Source Data'!$B$28:$B$47,RANDBETWEEN(1,20)),IF(AND(K14&lt;&gt;"",M18&lt;&gt;"",K18="",M14=""),INDEX('Source Data'!$B$28:$B$47,RANDBETWEEN(1,20)),""))</f>
        <v/>
      </c>
      <c r="M16" s="540" t="str">
        <f ca="1">IF(AND(M14&lt;&gt;"",M18&lt;&gt;""),INDEX('Source Data'!$B$28:$B$47,RANDBETWEEN(1,20)),"")</f>
        <v/>
      </c>
      <c r="N16" s="585" t="str">
        <f ca="1">IF(AND(O14&lt;&gt;"",M18&lt;&gt;"",M14="",O18=""),INDEX('Source Data'!$B$28:$B$47,RANDBETWEEN(1,20)),IF(AND(M14&lt;&gt;"",O18&lt;&gt;"",M18="",O14=""),INDEX('Source Data'!$B$28:$B$47,RANDBETWEEN(1,20)),""))</f>
        <v/>
      </c>
      <c r="O16" s="540" t="str">
        <f ca="1">IF(AND(O14&lt;&gt;"",O18&lt;&gt;""),INDEX('Source Data'!$B$28:$B$47,RANDBETWEEN(1,20)),"")</f>
        <v/>
      </c>
      <c r="P16" s="585" t="str">
        <f ca="1">IF(AND(Q14&lt;&gt;"",O18&lt;&gt;"",O14="",Q18=""),INDEX('Source Data'!$B$28:$B$47,RANDBETWEEN(1,20)),IF(AND(O14&lt;&gt;"",Q18&lt;&gt;"",O18="",Q14=""),INDEX('Source Data'!$B$28:$B$47,RANDBETWEEN(1,20)),""))</f>
        <v/>
      </c>
      <c r="Q16" s="584" t="str">
        <f ca="1">IF(AND(Q14&lt;&gt;"",Q18&lt;&gt;""),INDEX('Source Data'!$B$28:$B$47,RANDBETWEEN(1,20)),"")</f>
        <v/>
      </c>
      <c r="R16" s="66"/>
    </row>
    <row r="17" spans="1:23" s="67" customFormat="1" ht="38.1" customHeight="1">
      <c r="A17" s="553"/>
      <c r="B17" s="201" t="s">
        <v>2415</v>
      </c>
      <c r="C17" s="506" t="str">
        <f ca="1">CONCATENATE(INDEX('NPC''s'!$B$106:$B$125,RANDBETWEEN(1,20)),", ",INDEX('NPC''s'!$C$106:$C$117,RANDBETWEEN(1,12)),", and ",INDEX('NPC''s'!$D$106:$D$115,RANDBETWEEN(1,10)),". They have ",INDEX('NPC''s'!$H$106:$H$113,RANDBETWEEN(1,8)),", ",INDEX('NPC''s'!$E$106:$E$117,RANDBETWEEN(1,12)),", ",INDEX('NPC''s'!$F$106:$F$113,RANDBETWEEN(1,8)),", and ",INDEX('NPC''s'!$G$106:$G$125,RANDBETWEEN(1,20)))</f>
        <v>WILD EYES, LONG EAR LOBES, and BUCK TEETH. They have A BEAUTY MARK, A WIDE NOSE, A SQUARE JAW, and A SHAVED HEAD</v>
      </c>
      <c r="D17" s="507"/>
      <c r="E17" s="507"/>
      <c r="F17" s="507"/>
      <c r="G17" s="508"/>
      <c r="H17" s="66"/>
      <c r="I17" s="587"/>
      <c r="J17" s="585"/>
      <c r="K17" s="540"/>
      <c r="L17" s="585"/>
      <c r="M17" s="540"/>
      <c r="N17" s="585"/>
      <c r="O17" s="540"/>
      <c r="P17" s="585"/>
      <c r="Q17" s="584"/>
      <c r="R17" s="66"/>
    </row>
    <row r="18" spans="1:23" ht="38.1" customHeight="1">
      <c r="A18" s="553"/>
      <c r="B18" s="201" t="s">
        <v>2417</v>
      </c>
      <c r="C18" s="506" t="str">
        <f ca="1">CONCATENATE(INDEX('NPC''s'!$M$106:$M$117,RANDBETWEEN(1,12)),", made of ",INDEX('NPC''s'!$N$106:$N$115,RANDBETWEEN(1,10)))</f>
        <v>AN ORNATE BELT, made of HEMP</v>
      </c>
      <c r="D18" s="507"/>
      <c r="E18" s="507"/>
      <c r="F18" s="507"/>
      <c r="G18" s="508"/>
      <c r="H18" s="62"/>
      <c r="I18" s="583" t="str">
        <f ca="1">IF(RAND()&lt;$G$14,INDEX('Source Data'!$J$28:$J$47,RANDBETWEEN(1,20))&amp;", with "&amp;INDEX('Source Data'!$K$28:$K$47,RANDBETWEEN(1,20))&amp;" *"&amp;INDEX('Source Data'!$J$5:$J$24,RANDBETWEEN(1,20)),"")</f>
        <v/>
      </c>
      <c r="J18" s="540" t="str">
        <f ca="1">IF(AND(I18&lt;&gt;"",K18&lt;&gt;""),INDEX('Source Data'!$B$28:$B$47,RANDBETWEEN(1,20)),"")</f>
        <v/>
      </c>
      <c r="K18" s="541" t="str">
        <f ca="1">IF(RAND()&lt;$G$14,INDEX('Source Data'!$J$28:$J$47,RANDBETWEEN(1,20))&amp;", with "&amp;INDEX('Source Data'!$K$28:$K$47,RANDBETWEEN(1,20))&amp;" *"&amp;INDEX('Source Data'!$J$5:$J$24,RANDBETWEEN(1,20)),"")</f>
        <v>A crypt for the spouse, with A simple stone sarcophagus. *Hazard</v>
      </c>
      <c r="L18" s="540" t="str">
        <f ca="1">IF(AND(K18&lt;&gt;"",M18&lt;&gt;""),INDEX('Source Data'!$B$28:$B$47,RANDBETWEEN(1,20)),"")</f>
        <v>hole</v>
      </c>
      <c r="M18" s="541" t="str">
        <f ca="1">IF(RAND()&lt;$G$14,INDEX('Source Data'!$J$28:$J$47,RANDBETWEEN(1,20))&amp;", with "&amp;INDEX('Source Data'!$K$28:$K$47,RANDBETWEEN(1,20))&amp;" *"&amp;INDEX('Source Data'!$J$5:$J$24,RANDBETWEEN(1,20)),"")</f>
        <v>A chapel for protecting the deceased, with A wall sconce holding several candles. *Combat</v>
      </c>
      <c r="N18" s="540" t="str">
        <f ca="1">IF(AND(M18&lt;&gt;"",O18&lt;&gt;""),INDEX('Source Data'!$B$28:$B$47,RANDBETWEEN(1,20)),"")</f>
        <v>hole</v>
      </c>
      <c r="O18" s="541" t="str">
        <f ca="1">IF(RAND()&lt;$G$14,INDEX('Source Data'!$J$28:$J$47,RANDBETWEEN(1,20))&amp;", with "&amp;INDEX('Source Data'!$K$28:$K$47,RANDBETWEEN(1,20))&amp;" *"&amp;INDEX('Source Data'!$J$5:$J$24,RANDBETWEEN(1,20)),"")</f>
        <v>Storage room for tools and materials to maintain the tomb, with A plaque noting birth and death dates. *Lock</v>
      </c>
      <c r="P18" s="540" t="str">
        <f ca="1">IF(AND(O18&lt;&gt;"",Q18&lt;&gt;""),INDEX('Source Data'!$B$28:$B$47,RANDBETWEEN(1,20)),"")</f>
        <v/>
      </c>
      <c r="Q18" s="539" t="str">
        <f ca="1">IF(RAND()&lt;$G$14,INDEX('Source Data'!$J$28:$J$47,RANDBETWEEN(1,20))&amp;", with "&amp;INDEX('Source Data'!$K$28:$K$47,RANDBETWEEN(1,20))&amp;" *"&amp;INDEX('Source Data'!$J$5:$J$24,RANDBETWEEN(1,20)),"")</f>
        <v/>
      </c>
      <c r="R18" s="63"/>
      <c r="S18" s="64"/>
      <c r="T18" s="64"/>
      <c r="U18" s="64"/>
      <c r="V18" s="64"/>
      <c r="W18" s="64"/>
    </row>
    <row r="19" spans="1:23" ht="38.1" customHeight="1" thickBot="1">
      <c r="A19" s="553"/>
      <c r="B19" s="201" t="s">
        <v>2418</v>
      </c>
      <c r="C19" s="506" t="str">
        <f ca="1">CONCATENATE(INDEX('NPC''s'!$O$106:$O$113,RANDBETWEEN(1,8)))</f>
        <v>TORN IN PLACES; MISSING BUTTONS</v>
      </c>
      <c r="D19" s="507"/>
      <c r="E19" s="507"/>
      <c r="F19" s="507"/>
      <c r="G19" s="508"/>
      <c r="H19" s="62"/>
      <c r="I19" s="591"/>
      <c r="J19" s="589"/>
      <c r="K19" s="590"/>
      <c r="L19" s="589"/>
      <c r="M19" s="590"/>
      <c r="N19" s="589"/>
      <c r="O19" s="590"/>
      <c r="P19" s="589"/>
      <c r="Q19" s="588"/>
      <c r="R19" s="63"/>
      <c r="S19" s="64"/>
      <c r="T19" s="64"/>
      <c r="U19" s="64"/>
      <c r="V19" s="64"/>
      <c r="W19" s="64"/>
    </row>
    <row r="20" spans="1:23" ht="35.1" customHeight="1" thickBot="1">
      <c r="A20" s="553"/>
      <c r="B20" s="201" t="s">
        <v>2435</v>
      </c>
      <c r="C20" s="506" t="str">
        <f ca="1">CONCATENATE(INDEX('NPC''s'!$S$106:$S$113,RANDBETWEEN(1,8)))</f>
        <v>FANATICAL TRUE BELIEVER</v>
      </c>
      <c r="D20" s="507"/>
      <c r="E20" s="507"/>
      <c r="F20" s="507"/>
      <c r="G20" s="508"/>
      <c r="H20" s="88"/>
      <c r="I20" s="88"/>
      <c r="J20" s="88"/>
      <c r="K20" s="69"/>
      <c r="L20" s="70"/>
      <c r="M20" s="66"/>
      <c r="N20" s="66"/>
      <c r="O20" s="66"/>
      <c r="P20" s="66"/>
      <c r="Q20" s="66"/>
      <c r="R20" s="63"/>
      <c r="S20" s="64"/>
      <c r="T20" s="64"/>
      <c r="U20" s="64"/>
      <c r="V20" s="64"/>
      <c r="W20" s="64"/>
    </row>
    <row r="21" spans="1:23" ht="45" customHeight="1">
      <c r="A21" s="553"/>
      <c r="B21" s="201" t="s">
        <v>2420</v>
      </c>
      <c r="C21" s="506" t="str">
        <f ca="1">CONCATENATE(INDEX('NPC''s'!$T$106:$T$111,RANDBETWEEN(1,6)))</f>
        <v>RULING/AUTHORITY FIGURES</v>
      </c>
      <c r="D21" s="507"/>
      <c r="E21" s="507"/>
      <c r="F21" s="507"/>
      <c r="G21" s="508"/>
      <c r="H21" s="86"/>
      <c r="I21" s="616" t="s">
        <v>7249</v>
      </c>
      <c r="J21" s="513" t="str">
        <f ca="1">CONCATENATE("You notice a ",INDEX($A$82:$A$101,RANDBETWEEN(1,20))," inside ",INDEX($B$82:$B$91,RANDBETWEEN(1,10)),". It is surrounded by ",INDEX($C$82:$C$101,RANDBETWEEN(1,20))," As you look, you begin hearing ",CHOOSE(RANDBETWEEN(1,4),"low ","deep ","eerie ","unnatural "),INDEX($D$82:$D$93,RANDBETWEEN(1,12)))</f>
        <v>You notice a A finely-crafted, heavy wooden coffin inside a broken open room. It is surrounded by a series of cages, one of which is occupied. As you look, you begin hearing unnatural buzzing</v>
      </c>
      <c r="K21" s="513"/>
      <c r="L21" s="513"/>
      <c r="M21" s="513"/>
      <c r="N21" s="614" t="str">
        <f ca="1">CONCATENATE("You notice a ",INDEX($A$82:$A$101,RANDBETWEEN(1,20))," inside ",INDEX($B$82:$B$91,RANDBETWEEN(1,10)),". It is surrounded by ",INDEX($C$82:$C$101,RANDBETWEEN(1,20))," As you look, you begin hearing ",CHOOSE(RANDBETWEEN(1,4),"low ","deep ","eerie ","unnatural "),INDEX($D$82:$D$93,RANDBETWEEN(1,12)))</f>
        <v>You notice a An empty coffin inside a broken open room. It is surrounded by boulders and other debris. As you look, you begin hearing eerie clicking</v>
      </c>
      <c r="O21" s="614"/>
      <c r="P21" s="614"/>
      <c r="Q21" s="615"/>
      <c r="R21" s="63"/>
      <c r="S21" s="64"/>
      <c r="T21" s="64"/>
      <c r="U21" s="64"/>
      <c r="V21" s="64"/>
      <c r="W21" s="64"/>
    </row>
    <row r="22" spans="1:23" ht="45" customHeight="1" thickBot="1">
      <c r="A22" s="554"/>
      <c r="B22" s="202" t="s">
        <v>2419</v>
      </c>
      <c r="C22" s="509" t="str">
        <f ca="1">CONCATENATE("Their current mood is ",INDEX('NPC''s'!$R$106:$R$125,RANDBETWEEN(1,20)),". When calm, they are ",INDEX('NPC''s'!$P$106:$P$137,RANDBETWEEN(1,32)),", and when stressed they are ",INDEX('NPC''s'!$Q$106:$Q$137,RANDBETWEEN(1,32)))</f>
        <v>Their current mood is HAPPY. When calm, they are CONFIDENT, and when stressed they are FANATICAL</v>
      </c>
      <c r="D22" s="510"/>
      <c r="E22" s="510"/>
      <c r="F22" s="510"/>
      <c r="G22" s="511"/>
      <c r="H22" s="86"/>
      <c r="I22" s="617"/>
      <c r="J22" s="613" t="str">
        <f ca="1">CONCATENATE("You notice a ",INDEX($A$82:$A$101,RANDBETWEEN(1,20))," inside ",INDEX($B$82:$B$91,RANDBETWEEN(1,10)),". It is surrounded by ",INDEX($C$82:$C$101,RANDBETWEEN(1,20))," As you look, you begin hearing ",CHOOSE(RANDBETWEEN(1,4),"low ","deep ","eerie ","unnatural "),INDEX($D$82:$D$93,RANDBETWEEN(1,12)))</f>
        <v>You notice a A gilded sarcophagus inside a mount suspended from the ceiling. It is surrounded by a pile of broken arrows. As you look, you begin hearing low moaning</v>
      </c>
      <c r="K22" s="613"/>
      <c r="L22" s="613"/>
      <c r="M22" s="613"/>
      <c r="N22" s="611" t="str">
        <f ca="1">CONCATENATE("You notice a ",INDEX($A$82:$A$101,RANDBETWEEN(1,20))," inside ",INDEX($B$82:$B$91,RANDBETWEEN(1,10)),". It is surrounded by ",INDEX($C$82:$C$101,RANDBETWEEN(1,20))," As you look, you begin hearing ",CHOOSE(RANDBETWEEN(1,4),"low ","deep ","eerie ","unnatural "),INDEX($D$82:$D$93,RANDBETWEEN(1,12)))</f>
        <v>You notice a A rotten, earthy stench coming from inside the far wall. It is surrounded by a strange, glowing liquid. As you look, you begin hearing unnatural chanting</v>
      </c>
      <c r="O22" s="611"/>
      <c r="P22" s="611"/>
      <c r="Q22" s="612"/>
      <c r="R22" s="63"/>
      <c r="S22" s="64"/>
      <c r="T22" s="64"/>
      <c r="U22" s="64"/>
      <c r="V22" s="64"/>
      <c r="W22" s="64"/>
    </row>
    <row r="23" spans="1:23" ht="35.1" customHeight="1" thickBot="1">
      <c r="A23" s="62"/>
      <c r="B23" s="62"/>
      <c r="C23" s="62"/>
      <c r="D23" s="62"/>
      <c r="E23" s="62"/>
      <c r="F23" s="62"/>
      <c r="G23" s="62"/>
      <c r="H23" s="86"/>
      <c r="I23" s="62"/>
      <c r="J23" s="62"/>
      <c r="K23" s="62"/>
      <c r="L23" s="62"/>
      <c r="M23" s="62"/>
      <c r="N23" s="62"/>
      <c r="O23" s="62"/>
      <c r="P23" s="66"/>
      <c r="Q23" s="66"/>
      <c r="R23" s="63"/>
      <c r="S23" s="64"/>
      <c r="T23" s="64"/>
      <c r="U23" s="64"/>
      <c r="V23" s="64"/>
      <c r="W23" s="64"/>
    </row>
    <row r="24" spans="1:23" ht="35.1" customHeight="1">
      <c r="A24" s="552" t="s">
        <v>2482</v>
      </c>
      <c r="B24" s="200" t="s">
        <v>2416</v>
      </c>
      <c r="C24" s="503" t="str">
        <f ca="1">CONCATENATE(INDEX('NPC''s'!$I$106:$I$115,RANDBETWEEN(1,10))," in stature, with a ",INDEX('NPC''s'!$J$106:$J$125,RANDBETWEEN(1,20))," body, and ",INDEX('NPC''s'!$K$106:$K$111,RANDBETWEEN(1,6)))</f>
        <v>SLIGHTLY BELOW AVERAGE in stature, with a THIN AND DELICATE body, and SOFT HANDS.</v>
      </c>
      <c r="D24" s="504"/>
      <c r="E24" s="504"/>
      <c r="F24" s="504"/>
      <c r="G24" s="505"/>
      <c r="H24" s="86"/>
      <c r="I24" s="62"/>
      <c r="J24" s="62"/>
      <c r="K24" s="62"/>
      <c r="L24" s="62"/>
      <c r="M24" s="62"/>
      <c r="N24" s="62"/>
      <c r="O24" s="62"/>
      <c r="P24" s="62"/>
      <c r="Q24" s="69"/>
      <c r="R24" s="63"/>
      <c r="S24" s="64"/>
      <c r="T24" s="64"/>
      <c r="U24" s="64"/>
      <c r="V24" s="64"/>
      <c r="W24" s="64"/>
    </row>
    <row r="25" spans="1:23" ht="35.1" customHeight="1">
      <c r="A25" s="553"/>
      <c r="B25" s="201" t="s">
        <v>2415</v>
      </c>
      <c r="C25" s="506" t="str">
        <f ca="1">CONCATENATE(INDEX('NPC''s'!$B$106:$B$125,RANDBETWEEN(1,20)),", ",INDEX('NPC''s'!$C$106:$C$117,RANDBETWEEN(1,12)),", and ",INDEX('NPC''s'!$D$106:$D$115,RANDBETWEEN(1,10)),". They have ",INDEX('NPC''s'!$H$106:$H$113,RANDBETWEEN(1,8)),", ",INDEX('NPC''s'!$E$106:$E$117,RANDBETWEEN(1,12)),", ",INDEX('NPC''s'!$F$106:$F$113,RANDBETWEEN(1,8)),", and ",INDEX('NPC''s'!$G$106:$G$125,RANDBETWEEN(1,20)))</f>
        <v>DARK EYES, HAIRY EARS, and FULL LIPS. They have FRECKLES, AN ANGULAR NOSE, A DIMPLE ON THE CHIN, and WISPY HAIR</v>
      </c>
      <c r="D25" s="507"/>
      <c r="E25" s="507"/>
      <c r="F25" s="507"/>
      <c r="G25" s="508"/>
      <c r="H25" s="86"/>
      <c r="I25" s="62"/>
      <c r="J25" s="62"/>
      <c r="K25" s="62"/>
      <c r="L25" s="62"/>
      <c r="M25" s="62"/>
      <c r="N25" s="62"/>
      <c r="O25" s="62"/>
      <c r="P25" s="62"/>
      <c r="Q25" s="69"/>
      <c r="R25" s="63"/>
      <c r="S25" s="64"/>
      <c r="T25" s="64"/>
      <c r="U25" s="64"/>
      <c r="V25" s="64"/>
      <c r="W25" s="64"/>
    </row>
    <row r="26" spans="1:23" ht="35.1" customHeight="1">
      <c r="A26" s="553"/>
      <c r="B26" s="201" t="s">
        <v>2417</v>
      </c>
      <c r="C26" s="506" t="str">
        <f ca="1">CONCATENATE(INDEX('NPC''s'!$M$106:$M$117,RANDBETWEEN(1,12)),", made of ",INDEX('NPC''s'!$N$106:$N$115,RANDBETWEEN(1,10)))</f>
        <v>A MEDALLION, made of STONE</v>
      </c>
      <c r="D26" s="507"/>
      <c r="E26" s="507"/>
      <c r="F26" s="507"/>
      <c r="G26" s="508"/>
      <c r="H26" s="63"/>
      <c r="I26" s="62"/>
      <c r="J26" s="62"/>
      <c r="K26" s="62"/>
      <c r="L26" s="62"/>
      <c r="M26" s="62"/>
      <c r="N26" s="62"/>
      <c r="O26" s="62"/>
      <c r="P26" s="62"/>
      <c r="Q26" s="69"/>
      <c r="R26" s="63"/>
      <c r="S26" s="64"/>
      <c r="T26" s="64"/>
      <c r="U26" s="64"/>
      <c r="V26" s="64"/>
      <c r="W26" s="64"/>
    </row>
    <row r="27" spans="1:23" ht="35.1" customHeight="1">
      <c r="A27" s="553"/>
      <c r="B27" s="201" t="s">
        <v>2418</v>
      </c>
      <c r="C27" s="506" t="str">
        <f ca="1">CONCATENATE(INDEX('NPC''s'!$O$106:$O$113,RANDBETWEEN(1,8)))</f>
        <v>TATTERED AND WORN</v>
      </c>
      <c r="D27" s="507"/>
      <c r="E27" s="507"/>
      <c r="F27" s="507"/>
      <c r="G27" s="508"/>
      <c r="H27" s="61"/>
      <c r="I27" s="62"/>
      <c r="J27" s="62"/>
      <c r="K27" s="62"/>
      <c r="L27" s="62"/>
      <c r="M27" s="62"/>
      <c r="N27" s="62"/>
      <c r="O27" s="62"/>
      <c r="P27" s="62"/>
      <c r="Q27" s="69"/>
      <c r="R27" s="63"/>
      <c r="S27" s="64"/>
      <c r="T27" s="64"/>
      <c r="U27" s="64"/>
      <c r="V27" s="64"/>
      <c r="W27" s="64"/>
    </row>
    <row r="28" spans="1:23" ht="35.1" customHeight="1">
      <c r="A28" s="553"/>
      <c r="B28" s="201" t="s">
        <v>2435</v>
      </c>
      <c r="C28" s="506" t="str">
        <f ca="1">CONCATENATE(INDEX('NPC''s'!$S$106:$S$113,RANDBETWEEN(1,8)))</f>
        <v>CAUTIOUS LISTENER</v>
      </c>
      <c r="D28" s="507"/>
      <c r="E28" s="507"/>
      <c r="F28" s="507"/>
      <c r="G28" s="508"/>
      <c r="H28" s="88"/>
      <c r="I28" s="88"/>
      <c r="J28" s="62"/>
      <c r="K28" s="62"/>
      <c r="L28" s="62"/>
      <c r="M28" s="62"/>
      <c r="N28" s="62"/>
      <c r="O28" s="62"/>
      <c r="P28" s="62"/>
      <c r="Q28" s="69"/>
      <c r="R28" s="63"/>
      <c r="S28" s="64"/>
      <c r="T28" s="64"/>
      <c r="U28" s="64"/>
      <c r="V28" s="64"/>
      <c r="W28" s="64"/>
    </row>
    <row r="29" spans="1:23" ht="35.1" customHeight="1">
      <c r="A29" s="553"/>
      <c r="B29" s="201" t="s">
        <v>2420</v>
      </c>
      <c r="C29" s="506" t="str">
        <f ca="1">CONCATENATE(INDEX('NPC''s'!$T$106:$T$111,RANDBETWEEN(1,6)))</f>
        <v>RULING/AUTHORITY FIGURES</v>
      </c>
      <c r="D29" s="507"/>
      <c r="E29" s="507"/>
      <c r="F29" s="507"/>
      <c r="G29" s="508"/>
      <c r="H29" s="88"/>
      <c r="I29" s="88"/>
      <c r="J29" s="62"/>
      <c r="K29" s="62"/>
      <c r="L29" s="62"/>
      <c r="M29" s="62"/>
      <c r="N29" s="62"/>
      <c r="O29" s="62"/>
      <c r="P29" s="62"/>
      <c r="Q29" s="66"/>
      <c r="R29" s="63"/>
      <c r="S29" s="64"/>
      <c r="T29" s="64"/>
      <c r="U29" s="64"/>
      <c r="V29" s="64"/>
      <c r="W29" s="64"/>
    </row>
    <row r="30" spans="1:23" ht="35.1" customHeight="1" thickBot="1">
      <c r="A30" s="554"/>
      <c r="B30" s="202" t="s">
        <v>2419</v>
      </c>
      <c r="C30" s="509" t="str">
        <f ca="1">CONCATENATE("Their current mood is ",INDEX('NPC''s'!$R$106:$R$125,RANDBETWEEN(1,20)),". When calm, they are ",INDEX('NPC''s'!$P$106:$P$137,RANDBETWEEN(1,32)),", and when stressed they are ",INDEX('NPC''s'!$Q$106:$Q$137,RANDBETWEEN(1,32)))</f>
        <v>Their current mood is TIRED. When calm, they are GREEDY, and when stressed they are INDUSTRIOUS</v>
      </c>
      <c r="D30" s="510"/>
      <c r="E30" s="510"/>
      <c r="F30" s="510"/>
      <c r="G30" s="511"/>
      <c r="H30" s="88"/>
      <c r="I30" s="88"/>
      <c r="J30" s="62"/>
      <c r="K30" s="62"/>
      <c r="L30" s="62"/>
      <c r="M30" s="62"/>
      <c r="N30" s="62"/>
      <c r="O30" s="62"/>
      <c r="P30" s="62"/>
      <c r="Q30" s="66"/>
      <c r="R30" s="63"/>
      <c r="S30" s="64"/>
      <c r="T30" s="64"/>
      <c r="U30" s="64"/>
      <c r="V30" s="64"/>
      <c r="W30" s="64"/>
    </row>
    <row r="31" spans="1:23" ht="35.1" customHeight="1">
      <c r="A31" s="62"/>
      <c r="B31" s="62"/>
      <c r="C31" s="62"/>
      <c r="D31" s="62"/>
      <c r="E31" s="62"/>
      <c r="F31" s="62"/>
      <c r="G31" s="62"/>
      <c r="H31" s="88"/>
      <c r="I31" s="88"/>
      <c r="J31" s="88"/>
      <c r="K31" s="69"/>
      <c r="L31" s="70"/>
      <c r="M31" s="66"/>
      <c r="N31" s="66"/>
      <c r="O31" s="66"/>
      <c r="P31" s="66"/>
      <c r="Q31" s="66"/>
      <c r="R31" s="63"/>
      <c r="S31" s="64"/>
      <c r="T31" s="64"/>
      <c r="U31" s="64"/>
      <c r="V31" s="64"/>
      <c r="W31" s="64"/>
    </row>
    <row r="32" spans="1:23" ht="35.1" customHeight="1">
      <c r="A32" s="62"/>
      <c r="B32" s="62"/>
      <c r="C32" s="62"/>
      <c r="D32" s="62"/>
      <c r="E32" s="62"/>
      <c r="F32" s="62"/>
      <c r="G32" s="62"/>
      <c r="H32" s="88"/>
      <c r="I32" s="88"/>
      <c r="J32" s="88"/>
      <c r="K32" s="69"/>
      <c r="L32" s="70"/>
      <c r="M32" s="66"/>
      <c r="N32" s="66"/>
      <c r="O32" s="66"/>
      <c r="P32" s="66"/>
      <c r="Q32" s="66"/>
      <c r="R32" s="63"/>
      <c r="S32" s="64"/>
      <c r="T32" s="64"/>
      <c r="U32" s="64"/>
      <c r="V32" s="64"/>
      <c r="W32" s="64"/>
    </row>
    <row r="33" spans="1:23" ht="35.1" customHeight="1">
      <c r="A33" s="62"/>
      <c r="B33" s="62"/>
      <c r="C33" s="62"/>
      <c r="D33" s="62"/>
      <c r="E33" s="62"/>
      <c r="F33" s="62"/>
      <c r="G33" s="62"/>
      <c r="H33" s="88"/>
      <c r="I33" s="88"/>
      <c r="J33" s="88"/>
      <c r="K33" s="69"/>
      <c r="L33" s="70"/>
      <c r="M33" s="66"/>
      <c r="N33" s="66"/>
      <c r="O33" s="66"/>
      <c r="P33" s="66"/>
      <c r="Q33" s="66"/>
      <c r="R33" s="63"/>
      <c r="S33" s="64"/>
      <c r="T33" s="64"/>
      <c r="U33" s="64"/>
      <c r="V33" s="64"/>
      <c r="W33" s="64"/>
    </row>
    <row r="34" spans="1:23" ht="35.1" customHeight="1">
      <c r="A34" s="62"/>
      <c r="B34" s="62"/>
      <c r="C34" s="62"/>
      <c r="D34" s="62"/>
      <c r="E34" s="62"/>
      <c r="F34" s="62"/>
      <c r="G34" s="62"/>
      <c r="H34" s="88"/>
      <c r="I34" s="88"/>
      <c r="J34" s="88"/>
      <c r="K34" s="69"/>
      <c r="L34" s="70"/>
      <c r="M34" s="66"/>
      <c r="N34" s="66"/>
      <c r="O34" s="66"/>
      <c r="P34" s="66"/>
      <c r="Q34" s="66"/>
      <c r="R34" s="63"/>
      <c r="S34" s="64"/>
      <c r="T34" s="64"/>
      <c r="U34" s="64"/>
      <c r="V34" s="64"/>
      <c r="W34" s="64"/>
    </row>
    <row r="35" spans="1:23" ht="35.1" customHeight="1">
      <c r="A35" s="66"/>
      <c r="B35" s="66"/>
      <c r="C35" s="66"/>
      <c r="D35" s="66"/>
      <c r="E35" s="66"/>
      <c r="F35" s="66"/>
      <c r="G35" s="66"/>
      <c r="H35" s="66"/>
      <c r="I35" s="66"/>
      <c r="J35" s="66"/>
      <c r="K35" s="66"/>
      <c r="L35" s="66"/>
      <c r="M35" s="66"/>
      <c r="N35" s="66"/>
      <c r="O35" s="66"/>
      <c r="P35" s="66"/>
      <c r="Q35" s="66"/>
      <c r="R35" s="63"/>
      <c r="S35" s="64"/>
      <c r="T35" s="64"/>
      <c r="U35" s="64"/>
      <c r="V35" s="64"/>
      <c r="W35" s="64"/>
    </row>
    <row r="36" spans="1:23" ht="35.1" customHeight="1">
      <c r="A36" s="66"/>
      <c r="B36" s="66"/>
      <c r="C36" s="66"/>
      <c r="D36" s="66"/>
      <c r="E36" s="66"/>
      <c r="F36" s="66"/>
      <c r="G36" s="66"/>
      <c r="H36" s="66"/>
      <c r="I36" s="66"/>
      <c r="J36" s="66"/>
      <c r="K36" s="66"/>
      <c r="L36" s="66"/>
      <c r="M36" s="66"/>
      <c r="N36" s="66"/>
      <c r="O36" s="66"/>
      <c r="P36" s="66"/>
      <c r="Q36" s="66"/>
      <c r="R36" s="63"/>
      <c r="S36" s="64"/>
      <c r="T36" s="64"/>
      <c r="U36" s="64"/>
      <c r="V36" s="64"/>
      <c r="W36" s="64"/>
    </row>
    <row r="37" spans="1:23" ht="35.1" customHeight="1">
      <c r="A37" s="66"/>
      <c r="B37" s="66"/>
      <c r="C37" s="66"/>
      <c r="D37" s="66"/>
      <c r="E37" s="66"/>
      <c r="F37" s="66"/>
      <c r="G37" s="66"/>
      <c r="H37" s="66"/>
      <c r="I37" s="66"/>
      <c r="J37" s="66"/>
      <c r="K37" s="66"/>
      <c r="L37" s="66"/>
      <c r="M37" s="66"/>
      <c r="N37" s="66"/>
      <c r="O37" s="66"/>
      <c r="P37" s="66"/>
      <c r="Q37" s="66"/>
      <c r="R37" s="63"/>
      <c r="S37" s="64"/>
      <c r="T37" s="64"/>
      <c r="U37" s="64"/>
      <c r="V37" s="64"/>
      <c r="W37" s="64"/>
    </row>
    <row r="38" spans="1:23" ht="35.1" customHeight="1">
      <c r="A38" s="66"/>
      <c r="B38" s="66"/>
      <c r="C38" s="66"/>
      <c r="D38" s="66"/>
      <c r="E38" s="66"/>
      <c r="F38" s="66"/>
      <c r="G38" s="66"/>
      <c r="H38" s="66"/>
      <c r="I38" s="66"/>
      <c r="J38" s="66"/>
      <c r="K38" s="66"/>
      <c r="L38" s="66"/>
      <c r="M38" s="66"/>
      <c r="N38" s="66"/>
      <c r="O38" s="66"/>
      <c r="P38" s="66"/>
      <c r="Q38" s="66"/>
      <c r="R38" s="63"/>
      <c r="S38" s="64"/>
      <c r="T38" s="64"/>
      <c r="U38" s="64"/>
      <c r="V38" s="64"/>
      <c r="W38" s="64"/>
    </row>
    <row r="39" spans="1:23" ht="35.1" customHeight="1">
      <c r="A39" s="36"/>
      <c r="B39" s="36"/>
      <c r="C39" s="36"/>
      <c r="D39" s="36"/>
      <c r="E39" s="36"/>
      <c r="F39" s="36"/>
      <c r="G39" s="36"/>
      <c r="H39" s="36"/>
      <c r="I39" s="36"/>
      <c r="J39" s="36"/>
      <c r="K39" s="36"/>
      <c r="L39" s="36"/>
      <c r="M39" s="36"/>
      <c r="N39" s="36"/>
      <c r="O39" s="36"/>
      <c r="P39" s="36"/>
      <c r="Q39" s="36"/>
      <c r="R39" s="63"/>
      <c r="S39" s="64"/>
      <c r="T39" s="64"/>
      <c r="U39" s="64"/>
      <c r="V39" s="64"/>
      <c r="W39" s="64"/>
    </row>
    <row r="40" spans="1:23" ht="35.1" customHeight="1">
      <c r="A40" s="36"/>
      <c r="B40" s="36"/>
      <c r="C40" s="36"/>
      <c r="D40" s="36"/>
      <c r="E40" s="36"/>
      <c r="F40" s="36"/>
      <c r="G40" s="36"/>
      <c r="H40" s="36"/>
      <c r="I40" s="36"/>
      <c r="J40" s="36"/>
      <c r="K40" s="36"/>
      <c r="L40" s="36"/>
      <c r="M40" s="36"/>
      <c r="N40" s="36"/>
      <c r="O40" s="36"/>
      <c r="P40" s="36"/>
      <c r="Q40" s="36"/>
      <c r="R40" s="63"/>
      <c r="S40" s="64"/>
      <c r="T40" s="64"/>
      <c r="U40" s="64"/>
      <c r="V40" s="64"/>
      <c r="W40" s="64"/>
    </row>
    <row r="41" spans="1:23" ht="35.1" customHeight="1">
      <c r="A41" s="36"/>
      <c r="B41" s="36"/>
      <c r="C41" s="36"/>
      <c r="D41" s="36"/>
      <c r="E41" s="36"/>
      <c r="F41" s="36"/>
      <c r="G41" s="36"/>
      <c r="H41" s="36"/>
      <c r="I41" s="36"/>
      <c r="J41" s="36"/>
      <c r="K41" s="36"/>
      <c r="L41" s="36"/>
      <c r="M41" s="36"/>
      <c r="N41" s="36"/>
      <c r="O41" s="36"/>
      <c r="P41" s="36"/>
      <c r="Q41" s="36"/>
      <c r="R41" s="63"/>
      <c r="S41" s="64"/>
      <c r="T41" s="64"/>
      <c r="U41" s="64"/>
      <c r="V41" s="64"/>
      <c r="W41" s="64"/>
    </row>
    <row r="42" spans="1:23" ht="35.1" customHeight="1">
      <c r="A42" s="36"/>
      <c r="B42" s="36"/>
      <c r="C42" s="36"/>
      <c r="D42" s="36"/>
      <c r="E42" s="36"/>
      <c r="F42" s="36"/>
      <c r="G42" s="36"/>
      <c r="H42" s="36"/>
      <c r="I42" s="36"/>
      <c r="J42" s="36"/>
      <c r="K42" s="36"/>
      <c r="L42" s="36"/>
      <c r="M42" s="36"/>
      <c r="N42" s="36"/>
      <c r="O42" s="36"/>
      <c r="P42" s="36"/>
      <c r="Q42" s="36"/>
      <c r="R42" s="63"/>
      <c r="S42" s="64"/>
      <c r="T42" s="64"/>
      <c r="U42" s="64"/>
      <c r="V42" s="64"/>
      <c r="W42" s="64"/>
    </row>
    <row r="43" spans="1:23" ht="35.1" customHeight="1">
      <c r="A43" s="39"/>
      <c r="B43" s="36"/>
      <c r="C43" s="37"/>
      <c r="D43" s="36"/>
      <c r="E43" s="36"/>
      <c r="F43" s="36"/>
      <c r="G43" s="36"/>
      <c r="H43" s="36"/>
      <c r="I43" s="36"/>
      <c r="J43" s="36"/>
      <c r="K43" s="36"/>
      <c r="L43" s="36"/>
      <c r="M43" s="36"/>
      <c r="N43" s="36"/>
      <c r="O43" s="36"/>
      <c r="P43" s="36"/>
      <c r="Q43" s="36"/>
      <c r="R43" s="63"/>
      <c r="S43" s="64"/>
      <c r="T43" s="64"/>
      <c r="U43" s="64"/>
      <c r="V43" s="64"/>
      <c r="W43" s="64"/>
    </row>
    <row r="44" spans="1:23" ht="30" customHeight="1">
      <c r="A44" s="8"/>
      <c r="B44" s="59" t="s">
        <v>1627</v>
      </c>
      <c r="C44" s="58"/>
      <c r="D44" s="59" t="s">
        <v>1642</v>
      </c>
      <c r="E44" s="59" t="s">
        <v>3393</v>
      </c>
      <c r="F44" s="59" t="s">
        <v>1750</v>
      </c>
      <c r="G44" s="60" t="s">
        <v>1643</v>
      </c>
      <c r="H44" s="9" t="s">
        <v>1644</v>
      </c>
      <c r="I44" s="60" t="s">
        <v>1645</v>
      </c>
      <c r="J44" s="60" t="s">
        <v>2456</v>
      </c>
      <c r="K44" s="60" t="s">
        <v>1646</v>
      </c>
      <c r="L44" s="9" t="s">
        <v>1647</v>
      </c>
      <c r="M44" s="60"/>
      <c r="N44" s="60"/>
      <c r="O44" s="60" t="s">
        <v>3411</v>
      </c>
      <c r="P44" s="60"/>
      <c r="Q44" s="7"/>
      <c r="R44" s="68"/>
      <c r="S44" s="68" t="s">
        <v>3424</v>
      </c>
      <c r="T44" s="64"/>
      <c r="U44" s="64"/>
      <c r="V44" s="64"/>
      <c r="W44" s="64"/>
    </row>
    <row r="45" spans="1:23" ht="30" customHeight="1">
      <c r="A45" s="8">
        <v>1</v>
      </c>
      <c r="B45" s="7" t="s">
        <v>1628</v>
      </c>
      <c r="C45" s="33"/>
      <c r="D45" t="s">
        <v>1648</v>
      </c>
      <c r="E45" t="s">
        <v>1672</v>
      </c>
      <c r="F45" t="s">
        <v>1689</v>
      </c>
      <c r="G45" t="s">
        <v>1695</v>
      </c>
      <c r="H45" s="7" t="s">
        <v>1703</v>
      </c>
      <c r="I45" s="32" t="s">
        <v>1248</v>
      </c>
      <c r="J45" t="s">
        <v>1716</v>
      </c>
      <c r="K45" s="7" t="s">
        <v>1736</v>
      </c>
      <c r="L45" t="s">
        <v>1742</v>
      </c>
      <c r="M45" s="7"/>
      <c r="N45" s="7"/>
      <c r="O45" t="s">
        <v>3394</v>
      </c>
      <c r="P45" s="7"/>
      <c r="Q45" s="7"/>
      <c r="R45" s="64"/>
      <c r="S45" s="168" t="s">
        <v>3425</v>
      </c>
      <c r="T45" s="64"/>
      <c r="U45" s="64"/>
      <c r="V45" s="64"/>
      <c r="W45" s="64"/>
    </row>
    <row r="46" spans="1:23" ht="30" customHeight="1">
      <c r="A46" s="8">
        <v>2</v>
      </c>
      <c r="B46" s="7" t="s">
        <v>1629</v>
      </c>
      <c r="C46" s="33"/>
      <c r="D46" t="s">
        <v>1659</v>
      </c>
      <c r="E46" t="s">
        <v>1673</v>
      </c>
      <c r="F46" t="s">
        <v>1690</v>
      </c>
      <c r="G46" t="s">
        <v>1696</v>
      </c>
      <c r="H46" s="7" t="s">
        <v>1704</v>
      </c>
      <c r="I46" s="32" t="s">
        <v>1711</v>
      </c>
      <c r="J46" t="s">
        <v>1717</v>
      </c>
      <c r="K46" s="7" t="s">
        <v>1737</v>
      </c>
      <c r="L46" t="s">
        <v>1743</v>
      </c>
      <c r="M46" s="7"/>
      <c r="N46" s="7"/>
      <c r="O46" t="s">
        <v>3395</v>
      </c>
      <c r="P46" s="7"/>
      <c r="Q46" s="7"/>
      <c r="R46" s="64"/>
      <c r="S46" s="168" t="s">
        <v>3426</v>
      </c>
      <c r="T46" s="64"/>
      <c r="U46" s="64"/>
      <c r="V46" s="64"/>
      <c r="W46" s="64"/>
    </row>
    <row r="47" spans="1:23" ht="30" customHeight="1">
      <c r="A47" s="8">
        <v>3</v>
      </c>
      <c r="B47" s="7" t="s">
        <v>1630</v>
      </c>
      <c r="C47" s="33"/>
      <c r="D47" s="32" t="s">
        <v>1657</v>
      </c>
      <c r="E47" t="s">
        <v>1681</v>
      </c>
      <c r="F47" t="s">
        <v>1691</v>
      </c>
      <c r="G47" t="s">
        <v>1697</v>
      </c>
      <c r="H47" s="7" t="s">
        <v>1705</v>
      </c>
      <c r="I47" s="32" t="s">
        <v>1712</v>
      </c>
      <c r="J47" t="s">
        <v>1718</v>
      </c>
      <c r="K47" s="7" t="s">
        <v>1738</v>
      </c>
      <c r="L47" t="s">
        <v>1744</v>
      </c>
      <c r="M47" s="7"/>
      <c r="N47" s="7"/>
      <c r="O47" t="s">
        <v>3396</v>
      </c>
      <c r="P47" s="7"/>
      <c r="Q47" s="7"/>
      <c r="R47" s="64"/>
      <c r="S47" s="168" t="s">
        <v>3427</v>
      </c>
      <c r="T47" s="64"/>
      <c r="U47" s="64"/>
      <c r="V47" s="64"/>
      <c r="W47" s="64"/>
    </row>
    <row r="48" spans="1:23" ht="30" customHeight="1">
      <c r="A48" s="8">
        <v>4</v>
      </c>
      <c r="B48" s="7" t="s">
        <v>1631</v>
      </c>
      <c r="C48" s="33"/>
      <c r="D48" s="32" t="s">
        <v>1656</v>
      </c>
      <c r="E48" t="s">
        <v>1682</v>
      </c>
      <c r="F48" t="s">
        <v>1692</v>
      </c>
      <c r="G48" t="s">
        <v>1698</v>
      </c>
      <c r="H48" s="7" t="s">
        <v>1706</v>
      </c>
      <c r="I48" s="32" t="s">
        <v>1713</v>
      </c>
      <c r="J48" t="s">
        <v>1719</v>
      </c>
      <c r="K48" s="7" t="s">
        <v>1739</v>
      </c>
      <c r="L48" t="s">
        <v>1745</v>
      </c>
      <c r="M48" s="7"/>
      <c r="N48" s="7"/>
      <c r="O48" t="s">
        <v>3397</v>
      </c>
      <c r="P48" s="7"/>
      <c r="Q48" s="7"/>
      <c r="R48" s="64"/>
      <c r="S48" s="168" t="s">
        <v>3428</v>
      </c>
      <c r="T48" s="64"/>
      <c r="U48" s="64"/>
      <c r="V48" s="64"/>
      <c r="W48" s="64"/>
    </row>
    <row r="49" spans="1:23" ht="30" customHeight="1">
      <c r="A49" s="8">
        <v>5</v>
      </c>
      <c r="B49" s="7" t="s">
        <v>1632</v>
      </c>
      <c r="C49" s="33"/>
      <c r="D49" s="32" t="s">
        <v>1658</v>
      </c>
      <c r="E49" t="s">
        <v>1683</v>
      </c>
      <c r="F49" t="s">
        <v>1693</v>
      </c>
      <c r="G49" t="s">
        <v>1699</v>
      </c>
      <c r="H49" s="7" t="s">
        <v>1707</v>
      </c>
      <c r="I49" s="32" t="s">
        <v>1714</v>
      </c>
      <c r="J49" t="s">
        <v>1720</v>
      </c>
      <c r="K49" s="7" t="s">
        <v>1740</v>
      </c>
      <c r="L49" t="s">
        <v>1746</v>
      </c>
      <c r="M49" s="7"/>
      <c r="N49" s="7"/>
      <c r="O49" s="7" t="s">
        <v>3398</v>
      </c>
      <c r="P49" s="7"/>
      <c r="Q49" s="7"/>
      <c r="R49" s="64"/>
      <c r="S49" s="168" t="s">
        <v>3429</v>
      </c>
      <c r="T49" s="64"/>
      <c r="U49" s="64"/>
      <c r="V49" s="64"/>
      <c r="W49" s="64"/>
    </row>
    <row r="50" spans="1:23" ht="30" customHeight="1">
      <c r="A50" s="8">
        <v>6</v>
      </c>
      <c r="B50" s="7" t="s">
        <v>1633</v>
      </c>
      <c r="C50" s="33"/>
      <c r="D50" s="32" t="s">
        <v>1649</v>
      </c>
      <c r="E50" t="s">
        <v>1684</v>
      </c>
      <c r="F50" s="7" t="s">
        <v>1694</v>
      </c>
      <c r="G50" t="s">
        <v>1700</v>
      </c>
      <c r="H50" s="7" t="s">
        <v>1708</v>
      </c>
      <c r="I50" s="32" t="s">
        <v>1715</v>
      </c>
      <c r="J50" t="s">
        <v>1721</v>
      </c>
      <c r="K50" s="7" t="s">
        <v>1741</v>
      </c>
      <c r="L50" t="s">
        <v>1747</v>
      </c>
      <c r="M50" s="7"/>
      <c r="N50" s="7"/>
      <c r="O50" s="7" t="s">
        <v>3399</v>
      </c>
      <c r="P50" s="7"/>
      <c r="Q50" s="7"/>
      <c r="R50" s="64"/>
      <c r="S50" s="168" t="s">
        <v>3430</v>
      </c>
      <c r="T50" s="64"/>
      <c r="U50" s="64"/>
      <c r="V50" s="64"/>
      <c r="W50" s="64"/>
    </row>
    <row r="51" spans="1:23" ht="30" customHeight="1">
      <c r="A51" s="8">
        <v>7</v>
      </c>
      <c r="B51" s="7" t="s">
        <v>1634</v>
      </c>
      <c r="C51" s="33"/>
      <c r="D51" s="32" t="s">
        <v>1650</v>
      </c>
      <c r="E51" t="s">
        <v>1685</v>
      </c>
      <c r="F51" s="7"/>
      <c r="G51" s="34" t="s">
        <v>1701</v>
      </c>
      <c r="H51" s="32" t="s">
        <v>1709</v>
      </c>
      <c r="J51" s="32" t="s">
        <v>1722</v>
      </c>
      <c r="K51" s="7"/>
      <c r="L51" t="s">
        <v>1748</v>
      </c>
      <c r="M51" s="7"/>
      <c r="N51" s="7"/>
      <c r="O51" s="7" t="s">
        <v>3400</v>
      </c>
      <c r="P51" s="7"/>
      <c r="Q51" s="7"/>
      <c r="R51" s="64"/>
      <c r="S51" s="168" t="s">
        <v>3431</v>
      </c>
      <c r="T51" s="64"/>
      <c r="U51" s="64"/>
      <c r="V51" s="64"/>
      <c r="W51" s="64"/>
    </row>
    <row r="52" spans="1:23" ht="30" customHeight="1">
      <c r="A52" s="8">
        <v>8</v>
      </c>
      <c r="B52" s="7" t="s">
        <v>1544</v>
      </c>
      <c r="C52" s="33"/>
      <c r="D52" t="s">
        <v>1651</v>
      </c>
      <c r="E52" t="s">
        <v>1686</v>
      </c>
      <c r="F52" s="7"/>
      <c r="G52" s="34" t="s">
        <v>1702</v>
      </c>
      <c r="H52" s="32" t="s">
        <v>1710</v>
      </c>
      <c r="J52" s="32" t="s">
        <v>1723</v>
      </c>
      <c r="K52" s="7"/>
      <c r="L52" t="s">
        <v>1749</v>
      </c>
      <c r="M52" s="7"/>
      <c r="N52" s="7"/>
      <c r="O52" s="7" t="s">
        <v>3401</v>
      </c>
      <c r="P52" s="7"/>
      <c r="Q52" s="7"/>
      <c r="R52" s="64"/>
      <c r="S52" s="168" t="s">
        <v>3432</v>
      </c>
      <c r="T52" s="64"/>
      <c r="U52" s="64"/>
      <c r="V52" s="64"/>
      <c r="W52" s="64"/>
    </row>
    <row r="53" spans="1:23" ht="30" customHeight="1">
      <c r="A53" s="8">
        <v>9</v>
      </c>
      <c r="B53" s="7" t="s">
        <v>1437</v>
      </c>
      <c r="C53" s="33"/>
      <c r="D53" t="s">
        <v>1652</v>
      </c>
      <c r="E53" t="s">
        <v>1687</v>
      </c>
      <c r="G53" s="34"/>
      <c r="J53" s="32" t="s">
        <v>1724</v>
      </c>
      <c r="K53" s="7"/>
      <c r="L53"/>
      <c r="M53" s="7"/>
      <c r="N53" s="7"/>
      <c r="O53" s="7" t="s">
        <v>3402</v>
      </c>
      <c r="P53" s="7"/>
      <c r="Q53" s="7"/>
      <c r="R53" s="64"/>
      <c r="S53" s="168" t="s">
        <v>3433</v>
      </c>
      <c r="T53" s="64"/>
      <c r="U53" s="64"/>
      <c r="V53" s="64"/>
      <c r="W53" s="64"/>
    </row>
    <row r="54" spans="1:23" ht="30" customHeight="1">
      <c r="A54" s="8">
        <v>10</v>
      </c>
      <c r="B54" s="7" t="s">
        <v>1635</v>
      </c>
      <c r="C54" s="33"/>
      <c r="D54" t="s">
        <v>1653</v>
      </c>
      <c r="E54" t="s">
        <v>1688</v>
      </c>
      <c r="G54" s="34"/>
      <c r="J54" s="32" t="s">
        <v>1725</v>
      </c>
      <c r="K54" s="7"/>
      <c r="L54"/>
      <c r="M54" s="7"/>
      <c r="N54" s="7"/>
      <c r="O54" s="7" t="s">
        <v>3403</v>
      </c>
      <c r="P54" s="7"/>
      <c r="Q54" s="7"/>
      <c r="R54" s="64"/>
      <c r="S54" s="168" t="s">
        <v>3434</v>
      </c>
      <c r="T54" s="64"/>
      <c r="U54" s="64"/>
      <c r="V54" s="64"/>
      <c r="W54" s="64"/>
    </row>
    <row r="55" spans="1:23" ht="30" customHeight="1">
      <c r="A55" s="8">
        <v>11</v>
      </c>
      <c r="B55" s="7" t="s">
        <v>1636</v>
      </c>
      <c r="C55" s="33"/>
      <c r="D55" t="s">
        <v>1654</v>
      </c>
      <c r="E55" t="s">
        <v>1674</v>
      </c>
      <c r="G55" s="34"/>
      <c r="I55"/>
      <c r="J55" s="7" t="s">
        <v>1726</v>
      </c>
      <c r="K55" s="7"/>
      <c r="L55" s="7"/>
      <c r="M55" s="7"/>
      <c r="N55" s="7"/>
      <c r="O55" s="7" t="s">
        <v>3404</v>
      </c>
      <c r="P55" s="7"/>
      <c r="Q55" s="7"/>
      <c r="R55" s="64"/>
      <c r="S55" s="168" t="s">
        <v>3435</v>
      </c>
      <c r="T55" s="64"/>
      <c r="U55" s="64"/>
      <c r="V55" s="64"/>
      <c r="W55" s="64"/>
    </row>
    <row r="56" spans="1:23" ht="30" customHeight="1">
      <c r="A56" s="8">
        <v>12</v>
      </c>
      <c r="B56" s="7" t="s">
        <v>1546</v>
      </c>
      <c r="C56" s="33"/>
      <c r="D56" t="s">
        <v>1655</v>
      </c>
      <c r="E56" t="s">
        <v>1675</v>
      </c>
      <c r="F56" s="7"/>
      <c r="G56" s="34"/>
      <c r="I56"/>
      <c r="J56" s="7" t="s">
        <v>1727</v>
      </c>
      <c r="K56" s="7"/>
      <c r="L56" s="7"/>
      <c r="M56" s="7"/>
      <c r="N56" s="7"/>
      <c r="O56" s="32" t="s">
        <v>3412</v>
      </c>
      <c r="P56" s="7"/>
      <c r="Q56" s="7"/>
      <c r="R56" s="7"/>
      <c r="S56" s="168" t="s">
        <v>3436</v>
      </c>
      <c r="T56" s="64"/>
      <c r="U56" s="64"/>
      <c r="V56" s="64"/>
      <c r="W56" s="64"/>
    </row>
    <row r="57" spans="1:23" ht="30" customHeight="1">
      <c r="A57" s="8">
        <v>13</v>
      </c>
      <c r="B57" s="7" t="s">
        <v>1637</v>
      </c>
      <c r="C57" s="33"/>
      <c r="D57" t="s">
        <v>1670</v>
      </c>
      <c r="E57" t="s">
        <v>1676</v>
      </c>
      <c r="G57" s="34"/>
      <c r="I57" s="7"/>
      <c r="J57" s="7" t="s">
        <v>1728</v>
      </c>
      <c r="K57" s="7"/>
      <c r="L57" s="7"/>
      <c r="M57" s="7"/>
      <c r="N57" s="7"/>
      <c r="O57" s="7" t="s">
        <v>3405</v>
      </c>
      <c r="P57" s="7"/>
      <c r="Q57" s="7"/>
      <c r="R57" s="64"/>
      <c r="S57" s="168" t="s">
        <v>3437</v>
      </c>
      <c r="T57" s="64"/>
      <c r="U57" s="64"/>
      <c r="V57" s="64"/>
      <c r="W57" s="64"/>
    </row>
    <row r="58" spans="1:23" ht="30" customHeight="1">
      <c r="A58" s="8">
        <v>14</v>
      </c>
      <c r="B58" s="7" t="s">
        <v>1547</v>
      </c>
      <c r="C58" s="33"/>
      <c r="D58" s="32" t="s">
        <v>1660</v>
      </c>
      <c r="E58" s="7" t="s">
        <v>1677</v>
      </c>
      <c r="F58" s="7"/>
      <c r="G58" s="34"/>
      <c r="I58" s="7"/>
      <c r="J58" s="7" t="s">
        <v>1729</v>
      </c>
      <c r="K58" s="7"/>
      <c r="L58" s="7"/>
      <c r="M58" s="7"/>
      <c r="N58" s="7"/>
      <c r="O58" s="7" t="s">
        <v>3406</v>
      </c>
      <c r="P58" s="7"/>
      <c r="Q58" s="7"/>
      <c r="R58" s="64"/>
      <c r="S58" s="168" t="s">
        <v>3438</v>
      </c>
      <c r="T58" s="64"/>
      <c r="U58" s="64"/>
      <c r="V58" s="64"/>
      <c r="W58" s="64"/>
    </row>
    <row r="59" spans="1:23" ht="30" customHeight="1">
      <c r="A59" s="8">
        <v>15</v>
      </c>
      <c r="B59" s="7" t="s">
        <v>1565</v>
      </c>
      <c r="C59" s="33"/>
      <c r="D59" s="32" t="s">
        <v>1661</v>
      </c>
      <c r="E59" s="7" t="s">
        <v>1678</v>
      </c>
      <c r="G59" s="34"/>
      <c r="I59" s="7"/>
      <c r="J59" s="7" t="s">
        <v>1730</v>
      </c>
      <c r="K59" s="7"/>
      <c r="L59" s="7"/>
      <c r="M59" s="7"/>
      <c r="N59" s="7"/>
      <c r="O59" s="7" t="s">
        <v>3407</v>
      </c>
      <c r="P59" s="7"/>
      <c r="Q59" s="7"/>
      <c r="R59" s="64"/>
      <c r="S59" s="168" t="s">
        <v>3439</v>
      </c>
      <c r="T59" s="64"/>
      <c r="U59" s="64"/>
      <c r="V59" s="64"/>
      <c r="W59" s="64"/>
    </row>
    <row r="60" spans="1:23" ht="30" customHeight="1">
      <c r="A60" s="8">
        <v>16</v>
      </c>
      <c r="B60" s="7" t="s">
        <v>1638</v>
      </c>
      <c r="C60" s="33"/>
      <c r="D60" s="32" t="s">
        <v>1662</v>
      </c>
      <c r="E60" s="7" t="s">
        <v>1679</v>
      </c>
      <c r="F60" s="7"/>
      <c r="G60" s="34"/>
      <c r="I60" s="7"/>
      <c r="J60" s="7" t="s">
        <v>1731</v>
      </c>
      <c r="K60" s="7"/>
      <c r="L60" s="7"/>
      <c r="M60" s="7"/>
      <c r="N60" s="7"/>
      <c r="O60" s="7" t="s">
        <v>3408</v>
      </c>
      <c r="P60" s="7"/>
      <c r="Q60" s="7"/>
      <c r="R60" s="64"/>
      <c r="S60" s="168" t="s">
        <v>3440</v>
      </c>
      <c r="T60" s="64"/>
      <c r="U60" s="64"/>
      <c r="V60" s="64"/>
      <c r="W60" s="64"/>
    </row>
    <row r="61" spans="1:23" ht="30" customHeight="1">
      <c r="A61" s="8">
        <v>17</v>
      </c>
      <c r="B61" s="7" t="s">
        <v>1560</v>
      </c>
      <c r="C61" s="33"/>
      <c r="D61" t="s">
        <v>1671</v>
      </c>
      <c r="E61" s="7" t="s">
        <v>1680</v>
      </c>
      <c r="G61" s="34"/>
      <c r="H61" s="7"/>
      <c r="I61" s="7"/>
      <c r="J61" s="7" t="s">
        <v>1732</v>
      </c>
      <c r="K61" s="7"/>
      <c r="L61" s="7"/>
      <c r="M61" s="7"/>
      <c r="N61" s="7"/>
      <c r="O61" s="7" t="s">
        <v>3409</v>
      </c>
      <c r="P61" s="7"/>
      <c r="Q61" s="7"/>
      <c r="R61" s="64"/>
      <c r="S61" s="168" t="s">
        <v>3441</v>
      </c>
      <c r="T61" s="64"/>
      <c r="U61" s="64"/>
      <c r="V61" s="64"/>
      <c r="W61" s="64"/>
    </row>
    <row r="62" spans="1:23" ht="30" customHeight="1">
      <c r="A62" s="8">
        <v>18</v>
      </c>
      <c r="B62" s="7" t="s">
        <v>1639</v>
      </c>
      <c r="C62" s="33"/>
      <c r="D62" s="32" t="s">
        <v>1663</v>
      </c>
      <c r="E62" s="7"/>
      <c r="G62" s="34"/>
      <c r="H62" s="7"/>
      <c r="I62" s="7"/>
      <c r="J62" s="7" t="s">
        <v>1733</v>
      </c>
      <c r="K62" s="7"/>
      <c r="L62" s="7"/>
      <c r="M62" s="7"/>
      <c r="N62" s="7"/>
      <c r="O62" s="7" t="s">
        <v>3410</v>
      </c>
      <c r="P62" s="7"/>
      <c r="Q62" s="7"/>
      <c r="R62" s="64"/>
      <c r="S62" s="168" t="s">
        <v>3442</v>
      </c>
      <c r="T62" s="64"/>
      <c r="U62" s="64"/>
      <c r="V62" s="64"/>
      <c r="W62" s="64"/>
    </row>
    <row r="63" spans="1:23" ht="30" customHeight="1">
      <c r="A63" s="8">
        <v>19</v>
      </c>
      <c r="B63" s="7" t="s">
        <v>1640</v>
      </c>
      <c r="C63" s="33"/>
      <c r="D63" s="32" t="s">
        <v>1664</v>
      </c>
      <c r="E63" s="7"/>
      <c r="F63" s="7"/>
      <c r="G63" s="34"/>
      <c r="H63" s="7"/>
      <c r="I63" s="7"/>
      <c r="J63" s="7" t="s">
        <v>1734</v>
      </c>
      <c r="K63" s="7"/>
      <c r="L63" s="7"/>
      <c r="N63" s="7"/>
      <c r="O63" s="7" t="s">
        <v>3413</v>
      </c>
      <c r="P63" s="7"/>
      <c r="Q63" s="7"/>
      <c r="R63" s="64"/>
      <c r="S63" s="168" t="s">
        <v>3443</v>
      </c>
      <c r="T63" s="64"/>
      <c r="U63" s="64"/>
      <c r="V63" s="64"/>
      <c r="W63" s="64"/>
    </row>
    <row r="64" spans="1:23" ht="30" customHeight="1">
      <c r="A64" s="8">
        <v>20</v>
      </c>
      <c r="B64" s="7" t="s">
        <v>1641</v>
      </c>
      <c r="C64" s="33"/>
      <c r="D64" s="32" t="s">
        <v>1665</v>
      </c>
      <c r="E64" s="7"/>
      <c r="G64" s="34"/>
      <c r="H64" s="7"/>
      <c r="I64" s="7"/>
      <c r="J64" s="7" t="s">
        <v>1735</v>
      </c>
      <c r="K64" s="7"/>
      <c r="L64" s="7"/>
      <c r="N64" s="7"/>
      <c r="O64" s="7" t="s">
        <v>3414</v>
      </c>
      <c r="P64" s="7"/>
      <c r="Q64" s="7"/>
      <c r="R64" s="64"/>
      <c r="S64" s="168" t="s">
        <v>3444</v>
      </c>
      <c r="T64" s="64"/>
      <c r="U64" s="64"/>
      <c r="V64" s="64"/>
      <c r="W64" s="64"/>
    </row>
    <row r="65" spans="1:23" ht="30" customHeight="1">
      <c r="A65" s="8">
        <v>21</v>
      </c>
      <c r="B65" s="7"/>
      <c r="C65" s="33"/>
      <c r="D65" t="s">
        <v>1669</v>
      </c>
      <c r="E65" s="7"/>
      <c r="F65" s="7"/>
      <c r="G65" s="7"/>
      <c r="H65" s="7"/>
      <c r="I65" s="7"/>
      <c r="J65" s="7"/>
      <c r="K65" s="7"/>
      <c r="L65" s="7"/>
      <c r="N65" s="7"/>
      <c r="O65" s="7" t="s">
        <v>3421</v>
      </c>
      <c r="P65" s="7"/>
      <c r="Q65" s="7"/>
      <c r="R65" s="64"/>
      <c r="S65" s="168" t="s">
        <v>3445</v>
      </c>
      <c r="T65" s="64"/>
      <c r="U65" s="64"/>
      <c r="V65" s="64"/>
      <c r="W65" s="64"/>
    </row>
    <row r="66" spans="1:23" ht="30" customHeight="1">
      <c r="A66" s="8">
        <v>22</v>
      </c>
      <c r="B66" s="7"/>
      <c r="C66" s="33"/>
      <c r="D66" s="7" t="s">
        <v>1666</v>
      </c>
      <c r="E66" s="7"/>
      <c r="G66" s="7"/>
      <c r="H66" s="7"/>
      <c r="I66" s="7"/>
      <c r="J66" s="7"/>
      <c r="K66" s="7"/>
      <c r="L66" s="7"/>
      <c r="N66" s="7"/>
      <c r="O66" s="7" t="s">
        <v>3422</v>
      </c>
      <c r="P66" s="7"/>
      <c r="Q66" s="7"/>
      <c r="R66" s="64"/>
      <c r="S66" s="168" t="s">
        <v>3446</v>
      </c>
      <c r="T66" s="64"/>
      <c r="U66" s="64"/>
      <c r="V66" s="64"/>
      <c r="W66" s="64"/>
    </row>
    <row r="67" spans="1:23" ht="30" customHeight="1">
      <c r="A67" s="8">
        <v>23</v>
      </c>
      <c r="B67" s="7"/>
      <c r="C67" s="33"/>
      <c r="D67" s="7" t="s">
        <v>1667</v>
      </c>
      <c r="E67" s="7"/>
      <c r="G67" s="7"/>
      <c r="H67" s="7"/>
      <c r="I67" s="7"/>
      <c r="J67" s="7"/>
      <c r="K67" s="7"/>
      <c r="L67" s="7"/>
      <c r="N67" s="7"/>
      <c r="O67" s="7" t="s">
        <v>3423</v>
      </c>
      <c r="P67" s="7"/>
      <c r="Q67" s="7"/>
      <c r="R67" s="64"/>
      <c r="S67" s="168" t="s">
        <v>3447</v>
      </c>
      <c r="T67" s="64"/>
      <c r="U67" s="64"/>
      <c r="V67" s="64"/>
      <c r="W67" s="64"/>
    </row>
    <row r="68" spans="1:23" ht="30" customHeight="1">
      <c r="A68" s="8">
        <v>24</v>
      </c>
      <c r="B68" s="7"/>
      <c r="C68" s="33"/>
      <c r="D68" s="7" t="s">
        <v>1668</v>
      </c>
      <c r="E68" s="7"/>
      <c r="F68" s="7"/>
      <c r="G68" s="7"/>
      <c r="H68" s="7"/>
      <c r="I68" s="7"/>
      <c r="J68" s="7"/>
      <c r="K68" s="7"/>
      <c r="L68" s="7"/>
      <c r="N68" s="7"/>
      <c r="O68" s="7" t="s">
        <v>3416</v>
      </c>
      <c r="P68" s="7"/>
      <c r="Q68" s="7"/>
      <c r="R68" s="64"/>
      <c r="S68" s="168" t="s">
        <v>3448</v>
      </c>
      <c r="T68" s="64"/>
      <c r="U68" s="64"/>
      <c r="V68" s="64"/>
      <c r="W68" s="64"/>
    </row>
    <row r="69" spans="1:23" ht="30" customHeight="1">
      <c r="A69" s="8">
        <v>25</v>
      </c>
      <c r="B69" s="7"/>
      <c r="C69" s="33"/>
      <c r="D69" s="7"/>
      <c r="E69" s="7"/>
      <c r="G69" s="7"/>
      <c r="H69" s="7"/>
      <c r="I69" s="7"/>
      <c r="J69" s="7"/>
      <c r="K69" s="7"/>
      <c r="L69" s="7"/>
      <c r="N69" s="7"/>
      <c r="O69" s="7" t="s">
        <v>3417</v>
      </c>
      <c r="P69" s="7"/>
      <c r="Q69" s="7"/>
      <c r="R69" s="64"/>
      <c r="S69" s="168" t="s">
        <v>3449</v>
      </c>
      <c r="T69" s="64"/>
      <c r="U69" s="64"/>
      <c r="V69" s="64"/>
      <c r="W69" s="64"/>
    </row>
    <row r="70" spans="1:23" ht="30" customHeight="1">
      <c r="A70" s="8">
        <v>26</v>
      </c>
      <c r="B70" s="7"/>
      <c r="C70" s="33"/>
      <c r="D70" s="7"/>
      <c r="E70" s="7"/>
      <c r="G70" s="7"/>
      <c r="H70" s="7"/>
      <c r="I70" s="7"/>
      <c r="J70" s="7"/>
      <c r="K70" s="7"/>
      <c r="L70" s="7"/>
      <c r="N70" s="7"/>
      <c r="O70" s="7" t="s">
        <v>3415</v>
      </c>
      <c r="P70" s="7"/>
      <c r="Q70" s="7"/>
      <c r="R70" s="64"/>
      <c r="S70" s="168" t="s">
        <v>3450</v>
      </c>
      <c r="T70" s="64"/>
      <c r="U70" s="64"/>
      <c r="V70" s="64"/>
      <c r="W70" s="64"/>
    </row>
    <row r="71" spans="1:23" ht="30" customHeight="1">
      <c r="A71" s="8">
        <v>27</v>
      </c>
      <c r="B71" s="7"/>
      <c r="C71" s="33"/>
      <c r="D71" s="7"/>
      <c r="E71" s="7"/>
      <c r="G71" s="7"/>
      <c r="H71" s="7"/>
      <c r="I71" s="7"/>
      <c r="J71" s="7"/>
      <c r="K71" s="7"/>
      <c r="L71" s="7"/>
      <c r="N71" s="7"/>
      <c r="O71" s="7" t="s">
        <v>3418</v>
      </c>
      <c r="P71" s="7"/>
      <c r="Q71" s="7"/>
      <c r="R71" s="64"/>
      <c r="S71" s="168" t="s">
        <v>3451</v>
      </c>
      <c r="T71" s="64"/>
      <c r="U71" s="64"/>
      <c r="V71" s="64"/>
      <c r="W71" s="64"/>
    </row>
    <row r="72" spans="1:23" ht="30" customHeight="1">
      <c r="A72" s="8">
        <v>28</v>
      </c>
      <c r="B72" s="7"/>
      <c r="C72" s="33"/>
      <c r="D72" s="7"/>
      <c r="E72" s="7"/>
      <c r="G72" s="7"/>
      <c r="H72" s="7"/>
      <c r="I72" s="7"/>
      <c r="J72" s="7"/>
      <c r="K72" s="7"/>
      <c r="L72" s="7"/>
      <c r="N72" s="7"/>
      <c r="O72" s="7" t="s">
        <v>3419</v>
      </c>
      <c r="P72" s="7"/>
      <c r="Q72" s="7"/>
      <c r="R72" s="64"/>
      <c r="S72" s="168" t="s">
        <v>3452</v>
      </c>
      <c r="T72" s="64"/>
      <c r="U72" s="64"/>
      <c r="V72" s="64"/>
      <c r="W72" s="64"/>
    </row>
    <row r="73" spans="1:23" ht="30" customHeight="1">
      <c r="A73" s="8">
        <v>29</v>
      </c>
      <c r="B73" s="7"/>
      <c r="C73" s="33"/>
      <c r="D73" s="7"/>
      <c r="E73" s="7"/>
      <c r="G73" s="7"/>
      <c r="H73" s="7"/>
      <c r="I73" s="7"/>
      <c r="J73" s="7"/>
      <c r="K73" s="7"/>
      <c r="L73" s="7"/>
      <c r="N73" s="7"/>
      <c r="O73" s="7" t="s">
        <v>3420</v>
      </c>
      <c r="P73" s="7"/>
      <c r="Q73" s="7"/>
      <c r="R73" s="64"/>
      <c r="S73" s="168" t="s">
        <v>3453</v>
      </c>
      <c r="T73" s="64"/>
      <c r="U73" s="64"/>
      <c r="V73" s="64"/>
      <c r="W73" s="64"/>
    </row>
    <row r="74" spans="1:23" ht="30" customHeight="1">
      <c r="A74" s="8"/>
      <c r="B74" s="7"/>
      <c r="C74" s="33"/>
      <c r="D74" s="7"/>
      <c r="E74" s="7"/>
      <c r="G74" s="7"/>
      <c r="H74" s="7"/>
      <c r="I74" s="7"/>
      <c r="J74" s="7"/>
      <c r="K74" s="7"/>
      <c r="L74" s="7"/>
      <c r="M74" s="7"/>
      <c r="N74" s="7"/>
      <c r="P74" s="7"/>
      <c r="Q74" s="7"/>
      <c r="R74" s="64"/>
      <c r="S74" s="168" t="s">
        <v>3454</v>
      </c>
      <c r="T74" s="64"/>
      <c r="U74" s="64"/>
      <c r="V74" s="64"/>
      <c r="W74" s="64"/>
    </row>
    <row r="75" spans="1:23" ht="30" customHeight="1">
      <c r="A75" s="8"/>
      <c r="B75" s="7"/>
      <c r="C75" s="33"/>
      <c r="D75" s="7"/>
      <c r="E75" s="7"/>
      <c r="G75" s="7"/>
      <c r="H75" s="7"/>
      <c r="I75" s="7"/>
      <c r="J75" s="7"/>
      <c r="K75" s="7"/>
      <c r="L75" s="7"/>
      <c r="M75" s="7"/>
      <c r="N75" s="7"/>
      <c r="P75" s="7"/>
      <c r="Q75" s="7"/>
      <c r="R75" s="64"/>
      <c r="S75" s="168" t="s">
        <v>3455</v>
      </c>
      <c r="T75" s="64"/>
      <c r="U75" s="64"/>
      <c r="V75" s="64"/>
      <c r="W75" s="64"/>
    </row>
    <row r="76" spans="1:23" ht="30" customHeight="1">
      <c r="A76" s="8"/>
      <c r="B76" s="7"/>
      <c r="C76" s="33"/>
      <c r="D76" s="7"/>
      <c r="E76" s="7"/>
      <c r="G76" s="7"/>
      <c r="H76" s="7"/>
      <c r="I76" s="7"/>
      <c r="J76" s="7"/>
      <c r="K76" s="7"/>
      <c r="L76" s="7"/>
      <c r="M76" s="7"/>
      <c r="N76" s="7"/>
      <c r="O76" s="7"/>
      <c r="P76" s="7"/>
      <c r="Q76" s="7"/>
      <c r="R76" s="64"/>
      <c r="S76" s="168" t="s">
        <v>3456</v>
      </c>
      <c r="T76" s="64"/>
      <c r="U76" s="64"/>
      <c r="V76" s="64"/>
      <c r="W76" s="64"/>
    </row>
    <row r="77" spans="1:23" ht="30" customHeight="1">
      <c r="A77" s="8"/>
      <c r="B77" s="7"/>
      <c r="C77" s="33"/>
      <c r="D77" s="7"/>
      <c r="E77" s="7"/>
      <c r="G77" s="7"/>
      <c r="H77" s="7"/>
      <c r="I77" s="7"/>
      <c r="J77" s="7"/>
      <c r="K77" s="7"/>
      <c r="L77" s="7"/>
      <c r="M77" s="7"/>
      <c r="N77" s="7"/>
      <c r="O77" s="7"/>
      <c r="P77" s="7"/>
      <c r="Q77" s="7"/>
      <c r="R77" s="64"/>
      <c r="S77" s="168" t="s">
        <v>3457</v>
      </c>
      <c r="T77" s="64"/>
      <c r="U77" s="64"/>
      <c r="V77" s="64"/>
      <c r="W77" s="64"/>
    </row>
    <row r="78" spans="1:23" ht="30" customHeight="1">
      <c r="A78" s="7" t="str">
        <f ca="1">CONCATENATE("You notice a ",INDEX($A$82:$A$101,RANDBETWEEN(1,20))," inside ",INDEX($B$82:$B$91,RANDBETWEEN(1,10)),". It is surrounded by ",INDEX($C$82:$C$101,RANDBETWEEN(1,20))," As you look, you begin hearing ",CHOOSE(RANDBETWEEN(1,4),"low ","deep ","eerie ","unnatural "),INDEX($D$82:$D$93,RANDBETWEEN(1,12)))</f>
        <v>You notice a A huge book of sacred texts or prayers inside a previously hidden alcove. It is surrounded by a rat warren. As you look, you begin hearing low clicking</v>
      </c>
      <c r="B78" s="7"/>
      <c r="C78" s="7"/>
      <c r="D78" s="7"/>
      <c r="E78" s="7"/>
      <c r="G78" s="7"/>
      <c r="H78" s="7"/>
      <c r="I78" s="7"/>
      <c r="J78" s="7"/>
      <c r="K78" s="7"/>
      <c r="L78" s="7"/>
      <c r="M78" s="7"/>
      <c r="N78" s="7"/>
      <c r="O78" s="169" t="s">
        <v>273</v>
      </c>
      <c r="P78" s="7"/>
      <c r="Q78" s="7"/>
      <c r="R78" s="64"/>
      <c r="S78" s="168" t="s">
        <v>3458</v>
      </c>
      <c r="T78" s="64"/>
      <c r="U78" s="64"/>
      <c r="V78" s="64"/>
      <c r="W78" s="64"/>
    </row>
    <row r="79" spans="1:23" ht="30" customHeight="1">
      <c r="A79" s="7"/>
      <c r="B79" s="7"/>
      <c r="C79" s="7"/>
      <c r="D79" s="7"/>
      <c r="E79" s="7"/>
      <c r="G79" s="7"/>
      <c r="H79" s="7"/>
      <c r="I79" s="7"/>
      <c r="J79" s="7"/>
      <c r="K79" s="7"/>
      <c r="L79" s="7"/>
      <c r="M79" s="7"/>
      <c r="N79" s="7"/>
      <c r="O79" s="7"/>
      <c r="P79" s="7"/>
      <c r="Q79" s="7"/>
      <c r="R79" s="64"/>
      <c r="S79" s="168" t="s">
        <v>3459</v>
      </c>
      <c r="T79" s="64"/>
      <c r="U79" s="64"/>
      <c r="V79" s="64"/>
      <c r="W79" s="64"/>
    </row>
    <row r="80" spans="1:23" ht="30" customHeight="1">
      <c r="A80" s="7"/>
      <c r="B80" s="7"/>
      <c r="C80" s="7"/>
      <c r="D80" s="7"/>
      <c r="E80" s="7"/>
      <c r="G80" s="7"/>
      <c r="H80" s="7"/>
      <c r="I80" s="7"/>
      <c r="J80" s="7"/>
      <c r="K80" s="7"/>
      <c r="L80" s="7"/>
      <c r="M80" s="7"/>
      <c r="N80" s="7"/>
      <c r="O80" s="7"/>
      <c r="P80" s="7"/>
      <c r="Q80" s="7"/>
      <c r="R80" s="64"/>
      <c r="S80" s="168" t="s">
        <v>3460</v>
      </c>
      <c r="T80" s="64"/>
      <c r="U80" s="64"/>
      <c r="V80" s="64"/>
      <c r="W80" s="64"/>
    </row>
    <row r="81" spans="1:23" ht="30" customHeight="1">
      <c r="A81" s="7" t="s">
        <v>7174</v>
      </c>
      <c r="B81" s="7" t="s">
        <v>7185</v>
      </c>
      <c r="C81" s="7" t="s">
        <v>7203</v>
      </c>
      <c r="D81" s="32" t="s">
        <v>7225</v>
      </c>
      <c r="E81" s="7"/>
      <c r="F81" s="7"/>
      <c r="G81" s="7"/>
      <c r="H81" s="7"/>
      <c r="I81" s="7"/>
      <c r="J81" s="7"/>
      <c r="K81" s="7"/>
      <c r="L81" s="7"/>
      <c r="M81" s="7"/>
      <c r="N81" s="7"/>
      <c r="O81" s="7"/>
      <c r="P81" s="7"/>
      <c r="Q81" s="7"/>
      <c r="R81" s="64"/>
      <c r="S81" s="168" t="s">
        <v>3461</v>
      </c>
      <c r="T81" s="64"/>
      <c r="U81" s="64"/>
      <c r="V81" s="64"/>
      <c r="W81" s="64"/>
    </row>
    <row r="82" spans="1:23" ht="30" customHeight="1">
      <c r="A82" s="7" t="s">
        <v>7251</v>
      </c>
      <c r="B82" s="32" t="s">
        <v>7245</v>
      </c>
      <c r="C82" s="32" t="s">
        <v>7205</v>
      </c>
      <c r="D82" s="32" t="s">
        <v>6840</v>
      </c>
      <c r="E82" s="7"/>
      <c r="F82" s="7"/>
      <c r="G82" s="7"/>
      <c r="H82" s="7"/>
      <c r="I82" s="7"/>
      <c r="J82" s="7"/>
      <c r="K82" s="7"/>
      <c r="L82" s="7"/>
      <c r="M82" s="7"/>
      <c r="N82" s="7"/>
      <c r="O82" s="7"/>
      <c r="P82" s="7"/>
      <c r="Q82" s="7"/>
      <c r="R82" s="64"/>
      <c r="S82" s="168" t="s">
        <v>3462</v>
      </c>
      <c r="T82" s="64"/>
      <c r="U82" s="64"/>
      <c r="V82" s="64"/>
      <c r="W82" s="64"/>
    </row>
    <row r="83" spans="1:23" ht="30" customHeight="1">
      <c r="A83" s="7" t="s">
        <v>7230</v>
      </c>
      <c r="B83" s="32" t="s">
        <v>7187</v>
      </c>
      <c r="C83" s="32" t="s">
        <v>7206</v>
      </c>
      <c r="D83" s="32" t="s">
        <v>6841</v>
      </c>
      <c r="E83" s="7"/>
      <c r="F83" s="7"/>
      <c r="G83" s="7"/>
      <c r="H83" s="7"/>
      <c r="I83" s="342"/>
      <c r="J83" s="7"/>
      <c r="K83" s="7"/>
      <c r="L83" s="7"/>
      <c r="M83" s="7"/>
      <c r="N83" s="7"/>
      <c r="O83" s="7"/>
      <c r="P83" s="7"/>
      <c r="Q83" s="7"/>
      <c r="R83" s="64"/>
      <c r="S83" s="168" t="s">
        <v>3463</v>
      </c>
      <c r="T83" s="64"/>
      <c r="U83" s="64"/>
      <c r="V83" s="64"/>
      <c r="W83" s="64"/>
    </row>
    <row r="84" spans="1:23" ht="30" customHeight="1">
      <c r="A84" s="7" t="s">
        <v>7231</v>
      </c>
      <c r="B84" s="32" t="s">
        <v>7188</v>
      </c>
      <c r="C84" s="32" t="s">
        <v>7207</v>
      </c>
      <c r="D84" s="32" t="s">
        <v>6846</v>
      </c>
      <c r="E84" s="7"/>
      <c r="F84" s="7"/>
      <c r="G84" s="7"/>
      <c r="H84" s="7"/>
      <c r="I84" s="342"/>
      <c r="J84" s="7"/>
      <c r="K84" s="7"/>
      <c r="L84" s="7"/>
      <c r="M84" s="7"/>
      <c r="N84" s="7"/>
      <c r="O84" s="7"/>
      <c r="P84" s="7"/>
      <c r="Q84" s="7"/>
      <c r="R84" s="64"/>
      <c r="S84" s="168" t="s">
        <v>3464</v>
      </c>
      <c r="T84" s="64"/>
      <c r="U84" s="64"/>
      <c r="V84" s="64"/>
      <c r="W84" s="64"/>
    </row>
    <row r="85" spans="1:23" ht="30" customHeight="1">
      <c r="A85" s="7" t="s">
        <v>7232</v>
      </c>
      <c r="B85" s="32" t="s">
        <v>7246</v>
      </c>
      <c r="C85" s="32" t="s">
        <v>7204</v>
      </c>
      <c r="D85" s="32" t="s">
        <v>6848</v>
      </c>
      <c r="E85" s="7"/>
      <c r="F85" s="7"/>
      <c r="G85" s="7"/>
      <c r="H85" s="7"/>
      <c r="I85" s="342"/>
      <c r="J85" s="7"/>
      <c r="K85" s="7"/>
      <c r="L85" s="7"/>
      <c r="M85" s="7"/>
      <c r="N85" s="7"/>
      <c r="O85" s="7"/>
      <c r="P85" s="7"/>
      <c r="Q85" s="7"/>
      <c r="R85" s="64"/>
      <c r="S85" s="168" t="s">
        <v>3465</v>
      </c>
      <c r="T85" s="64"/>
      <c r="U85" s="64"/>
      <c r="V85" s="64"/>
      <c r="W85" s="64"/>
    </row>
    <row r="86" spans="1:23" ht="30" customHeight="1">
      <c r="A86" s="7" t="s">
        <v>7233</v>
      </c>
      <c r="B86" s="32" t="s">
        <v>7247</v>
      </c>
      <c r="C86" s="32" t="s">
        <v>7214</v>
      </c>
      <c r="D86" s="32" t="s">
        <v>7226</v>
      </c>
      <c r="E86" s="7"/>
      <c r="F86" s="7"/>
      <c r="G86" s="7"/>
      <c r="H86" s="7"/>
      <c r="I86" s="342"/>
      <c r="J86" s="7"/>
      <c r="K86" s="7"/>
      <c r="L86" s="7"/>
      <c r="M86" s="7"/>
      <c r="N86" s="7"/>
      <c r="O86" s="7"/>
      <c r="P86" s="7"/>
      <c r="Q86" s="7"/>
      <c r="R86" s="64"/>
      <c r="S86" s="168" t="s">
        <v>3466</v>
      </c>
      <c r="T86" s="64"/>
      <c r="U86" s="64"/>
      <c r="V86" s="64"/>
      <c r="W86" s="64"/>
    </row>
    <row r="87" spans="1:23" ht="30" customHeight="1">
      <c r="A87" s="7" t="s">
        <v>7252</v>
      </c>
      <c r="B87" s="32" t="s">
        <v>7191</v>
      </c>
      <c r="C87" s="32" t="s">
        <v>7208</v>
      </c>
      <c r="D87" s="32" t="s">
        <v>6857</v>
      </c>
      <c r="E87" s="7"/>
      <c r="F87" s="7"/>
      <c r="G87" s="7"/>
      <c r="H87" s="7"/>
      <c r="I87" s="342"/>
      <c r="J87" s="7"/>
      <c r="K87" s="7"/>
      <c r="L87" s="7"/>
      <c r="M87" s="7"/>
      <c r="N87" s="7"/>
      <c r="O87" s="7"/>
      <c r="P87" s="7"/>
      <c r="Q87" s="7"/>
      <c r="R87" s="64"/>
      <c r="S87" s="168" t="s">
        <v>3467</v>
      </c>
      <c r="T87" s="64"/>
      <c r="U87" s="64"/>
      <c r="V87" s="64"/>
      <c r="W87" s="64"/>
    </row>
    <row r="88" spans="1:23" ht="30" customHeight="1">
      <c r="A88" s="7" t="s">
        <v>7253</v>
      </c>
      <c r="B88" s="32" t="s">
        <v>7195</v>
      </c>
      <c r="C88" s="32" t="s">
        <v>7209</v>
      </c>
      <c r="D88" s="32" t="s">
        <v>6861</v>
      </c>
      <c r="E88" s="7"/>
      <c r="F88" s="7"/>
      <c r="G88" s="7"/>
      <c r="H88" s="7"/>
      <c r="I88" s="342"/>
      <c r="J88" s="7"/>
      <c r="K88" s="7"/>
      <c r="L88" s="7"/>
      <c r="M88" s="7"/>
      <c r="N88" s="7"/>
      <c r="O88" s="7"/>
      <c r="P88" s="7"/>
      <c r="Q88" s="7"/>
      <c r="R88" s="64"/>
      <c r="S88" s="168" t="s">
        <v>3468</v>
      </c>
      <c r="T88" s="64"/>
      <c r="U88" s="64"/>
      <c r="V88" s="64"/>
      <c r="W88" s="64"/>
    </row>
    <row r="89" spans="1:23" ht="30" customHeight="1">
      <c r="A89" s="7" t="s">
        <v>7254</v>
      </c>
      <c r="B89" s="32" t="s">
        <v>7248</v>
      </c>
      <c r="C89" s="32" t="s">
        <v>7210</v>
      </c>
      <c r="D89" s="32" t="s">
        <v>6862</v>
      </c>
      <c r="E89" s="7"/>
      <c r="F89" s="7"/>
      <c r="G89" s="7"/>
      <c r="H89" s="7"/>
      <c r="I89" s="342"/>
      <c r="J89" s="7"/>
      <c r="K89" s="7"/>
      <c r="L89" s="7"/>
      <c r="M89" s="7"/>
      <c r="N89" s="7"/>
      <c r="O89" s="7"/>
      <c r="P89" s="7"/>
      <c r="Q89" s="7"/>
      <c r="R89" s="64"/>
      <c r="S89" s="168" t="s">
        <v>3469</v>
      </c>
      <c r="T89" s="64"/>
      <c r="U89" s="64"/>
      <c r="V89" s="64"/>
      <c r="W89" s="64"/>
    </row>
    <row r="90" spans="1:23" ht="30" customHeight="1">
      <c r="A90" s="7" t="s">
        <v>7234</v>
      </c>
      <c r="B90" s="32" t="s">
        <v>7194</v>
      </c>
      <c r="C90" s="32" t="s">
        <v>7211</v>
      </c>
      <c r="D90" s="32" t="s">
        <v>6876</v>
      </c>
      <c r="E90" s="7"/>
      <c r="F90" s="7"/>
      <c r="G90" s="7"/>
      <c r="H90" s="7"/>
      <c r="I90" s="342"/>
      <c r="J90" s="7"/>
      <c r="K90" s="7"/>
      <c r="L90" s="7"/>
      <c r="M90" s="7"/>
      <c r="N90" s="7"/>
      <c r="O90" s="7"/>
      <c r="P90" s="7"/>
      <c r="Q90" s="7"/>
      <c r="R90" s="64"/>
      <c r="S90" s="168" t="s">
        <v>3470</v>
      </c>
      <c r="T90" s="64"/>
      <c r="U90" s="64"/>
      <c r="V90" s="64"/>
      <c r="W90" s="64"/>
    </row>
    <row r="91" spans="1:23" ht="30" customHeight="1">
      <c r="A91" s="7" t="s">
        <v>7235</v>
      </c>
      <c r="B91" s="32" t="s">
        <v>7192</v>
      </c>
      <c r="C91" s="32" t="s">
        <v>7212</v>
      </c>
      <c r="D91" s="32" t="s">
        <v>6871</v>
      </c>
      <c r="E91" s="7"/>
      <c r="F91" s="7"/>
      <c r="G91" s="7"/>
      <c r="H91" s="7"/>
      <c r="I91" s="342"/>
      <c r="J91" s="7"/>
      <c r="K91" s="7"/>
      <c r="L91" s="7"/>
      <c r="M91" s="7"/>
      <c r="N91" s="7"/>
      <c r="O91" s="7"/>
      <c r="P91" s="7"/>
      <c r="Q91" s="7"/>
      <c r="R91" s="64"/>
      <c r="S91" s="168" t="s">
        <v>3471</v>
      </c>
      <c r="T91" s="64"/>
      <c r="U91" s="64"/>
      <c r="V91" s="64"/>
      <c r="W91" s="64"/>
    </row>
    <row r="92" spans="1:23" ht="30" customHeight="1">
      <c r="A92" s="7" t="s">
        <v>7236</v>
      </c>
      <c r="B92" s="7"/>
      <c r="C92" s="32" t="s">
        <v>7213</v>
      </c>
      <c r="D92" s="32" t="s">
        <v>6861</v>
      </c>
      <c r="E92" s="7"/>
      <c r="F92" s="7"/>
      <c r="G92" s="7"/>
      <c r="H92" s="7"/>
      <c r="I92" s="342"/>
      <c r="J92" s="7"/>
      <c r="K92" s="7"/>
      <c r="L92" s="7"/>
      <c r="M92" s="7"/>
      <c r="N92" s="7"/>
      <c r="O92" s="7"/>
      <c r="P92" s="7"/>
      <c r="Q92" s="7"/>
      <c r="R92" s="64"/>
      <c r="S92" s="168" t="s">
        <v>3472</v>
      </c>
      <c r="T92" s="64"/>
      <c r="U92" s="64"/>
      <c r="V92" s="64"/>
      <c r="W92" s="64"/>
    </row>
    <row r="93" spans="1:23" ht="30" customHeight="1">
      <c r="A93" s="7" t="s">
        <v>7237</v>
      </c>
      <c r="B93" s="7"/>
      <c r="C93" s="32" t="s">
        <v>7215</v>
      </c>
      <c r="D93" s="32" t="s">
        <v>6881</v>
      </c>
      <c r="E93" s="7"/>
      <c r="F93" s="7"/>
      <c r="G93" s="7"/>
      <c r="H93" s="7"/>
      <c r="I93" s="342"/>
      <c r="J93" s="7"/>
      <c r="K93" s="7"/>
      <c r="L93" s="7"/>
      <c r="M93" s="7"/>
      <c r="N93" s="7"/>
      <c r="O93" s="7"/>
      <c r="P93" s="7"/>
      <c r="Q93" s="7"/>
      <c r="R93" s="64"/>
      <c r="S93" s="168" t="s">
        <v>3473</v>
      </c>
      <c r="T93" s="64"/>
      <c r="U93" s="64"/>
      <c r="V93" s="64"/>
      <c r="W93" s="64"/>
    </row>
    <row r="94" spans="1:23" ht="30" customHeight="1">
      <c r="A94" s="7" t="s">
        <v>7250</v>
      </c>
      <c r="B94" s="7"/>
      <c r="C94" s="32" t="s">
        <v>7217</v>
      </c>
      <c r="D94" s="7"/>
      <c r="E94" s="7"/>
      <c r="F94" s="7"/>
      <c r="G94" s="7"/>
      <c r="H94" s="7"/>
      <c r="I94" s="342"/>
      <c r="J94" s="7"/>
      <c r="K94" s="7"/>
      <c r="L94" s="7"/>
      <c r="M94" s="7"/>
      <c r="N94" s="7"/>
      <c r="O94" s="7"/>
      <c r="P94" s="7"/>
      <c r="Q94" s="7"/>
      <c r="R94" s="64"/>
      <c r="S94" s="168" t="s">
        <v>3474</v>
      </c>
      <c r="T94" s="64"/>
      <c r="U94" s="64"/>
      <c r="V94" s="64"/>
      <c r="W94" s="64"/>
    </row>
    <row r="95" spans="1:23" ht="30" customHeight="1">
      <c r="A95" s="32" t="s">
        <v>7238</v>
      </c>
      <c r="B95" s="7"/>
      <c r="C95" s="32" t="s">
        <v>7218</v>
      </c>
      <c r="D95" s="7"/>
      <c r="E95" s="7"/>
      <c r="F95" s="7"/>
      <c r="G95" s="7"/>
      <c r="H95" s="7"/>
      <c r="I95" s="342"/>
      <c r="J95" s="7"/>
      <c r="K95" s="7"/>
      <c r="L95" s="7"/>
      <c r="M95" s="7"/>
      <c r="N95" s="7"/>
      <c r="O95" s="7"/>
      <c r="P95" s="7"/>
      <c r="Q95" s="7"/>
      <c r="R95" s="64"/>
      <c r="S95" s="168" t="s">
        <v>3475</v>
      </c>
      <c r="T95" s="64"/>
      <c r="U95" s="64"/>
      <c r="V95" s="64"/>
      <c r="W95" s="64"/>
    </row>
    <row r="96" spans="1:23" ht="30" customHeight="1">
      <c r="A96" s="32" t="s">
        <v>7239</v>
      </c>
      <c r="B96" s="7"/>
      <c r="C96" s="32" t="s">
        <v>7229</v>
      </c>
      <c r="D96" s="7"/>
      <c r="E96" s="7"/>
      <c r="F96" s="7"/>
      <c r="G96" s="7"/>
      <c r="H96" s="7"/>
      <c r="I96" s="342"/>
      <c r="J96" s="7"/>
      <c r="K96" s="7"/>
      <c r="L96" s="7"/>
      <c r="M96" s="7"/>
      <c r="N96" s="7"/>
      <c r="O96" s="7"/>
      <c r="P96" s="7"/>
      <c r="Q96" s="7"/>
      <c r="R96" s="64"/>
      <c r="S96" s="168" t="s">
        <v>3476</v>
      </c>
      <c r="T96" s="64"/>
      <c r="U96" s="64"/>
      <c r="V96" s="64"/>
      <c r="W96" s="64"/>
    </row>
    <row r="97" spans="1:23" ht="30" customHeight="1">
      <c r="A97" s="32" t="s">
        <v>7240</v>
      </c>
      <c r="B97" s="7"/>
      <c r="C97" s="32" t="s">
        <v>7220</v>
      </c>
      <c r="D97" s="7"/>
      <c r="E97" s="7"/>
      <c r="F97" s="7"/>
      <c r="G97" s="7"/>
      <c r="H97" s="7"/>
      <c r="I97" s="342"/>
      <c r="J97" s="7"/>
      <c r="K97" s="7"/>
      <c r="L97" s="7"/>
      <c r="M97" s="7"/>
      <c r="N97" s="7"/>
      <c r="O97" s="7"/>
      <c r="P97" s="7"/>
      <c r="Q97" s="7"/>
      <c r="R97" s="64"/>
      <c r="S97" s="168" t="s">
        <v>3477</v>
      </c>
      <c r="T97" s="64"/>
      <c r="U97" s="64"/>
      <c r="V97" s="64"/>
      <c r="W97" s="64"/>
    </row>
    <row r="98" spans="1:23" ht="30" customHeight="1">
      <c r="A98" s="32" t="s">
        <v>7241</v>
      </c>
      <c r="B98" s="7"/>
      <c r="C98" s="32" t="s">
        <v>7221</v>
      </c>
      <c r="D98" s="7"/>
      <c r="E98" s="7"/>
      <c r="F98" s="7"/>
      <c r="G98" s="7"/>
      <c r="H98" s="7"/>
      <c r="I98" s="342"/>
      <c r="J98" s="7"/>
      <c r="K98" s="7"/>
      <c r="L98" s="7"/>
      <c r="M98" s="7"/>
      <c r="N98" s="7"/>
      <c r="O98" s="7"/>
      <c r="P98" s="7"/>
      <c r="Q98" s="7"/>
      <c r="R98" s="64"/>
      <c r="S98" s="168" t="s">
        <v>3478</v>
      </c>
      <c r="T98" s="64"/>
      <c r="U98" s="64"/>
      <c r="V98" s="64"/>
      <c r="W98" s="64"/>
    </row>
    <row r="99" spans="1:23" ht="30" customHeight="1">
      <c r="A99" s="32" t="s">
        <v>7242</v>
      </c>
      <c r="B99" s="7"/>
      <c r="C99" s="32" t="s">
        <v>7222</v>
      </c>
      <c r="D99" s="7"/>
      <c r="E99" s="7"/>
      <c r="F99" s="7"/>
      <c r="G99" s="7"/>
      <c r="H99" s="7"/>
      <c r="I99" s="342"/>
      <c r="J99" s="7"/>
      <c r="K99" s="7"/>
      <c r="L99" s="7"/>
      <c r="M99" s="7"/>
      <c r="N99" s="7"/>
      <c r="O99" s="7"/>
      <c r="P99" s="7"/>
      <c r="Q99" s="7"/>
      <c r="R99" s="64"/>
      <c r="S99" s="168" t="s">
        <v>3479</v>
      </c>
      <c r="T99" s="64"/>
      <c r="U99" s="64"/>
      <c r="V99" s="64"/>
      <c r="W99" s="64"/>
    </row>
    <row r="100" spans="1:23" ht="30" customHeight="1">
      <c r="A100" s="32" t="s">
        <v>7243</v>
      </c>
      <c r="B100" s="7"/>
      <c r="C100" s="32" t="s">
        <v>7223</v>
      </c>
      <c r="D100" s="7"/>
      <c r="E100" s="7"/>
      <c r="F100" s="7"/>
      <c r="G100" s="7"/>
      <c r="H100" s="7"/>
      <c r="I100" s="342"/>
      <c r="J100" s="7"/>
      <c r="K100" s="7"/>
      <c r="L100" s="7"/>
      <c r="M100" s="7"/>
      <c r="N100" s="7"/>
      <c r="O100" s="7"/>
      <c r="P100" s="7"/>
      <c r="Q100" s="7"/>
      <c r="R100" s="64"/>
      <c r="S100" s="168" t="s">
        <v>3480</v>
      </c>
      <c r="T100" s="64"/>
      <c r="U100" s="64"/>
      <c r="V100" s="64"/>
      <c r="W100" s="64"/>
    </row>
    <row r="101" spans="1:23" ht="30" customHeight="1">
      <c r="A101" s="32" t="s">
        <v>7244</v>
      </c>
      <c r="B101" s="7"/>
      <c r="C101" s="32" t="s">
        <v>7224</v>
      </c>
      <c r="D101" s="7"/>
      <c r="E101" s="7"/>
      <c r="F101" s="7"/>
      <c r="G101" s="7"/>
      <c r="H101" s="7"/>
      <c r="I101" s="342"/>
      <c r="J101" s="7"/>
      <c r="K101" s="7"/>
      <c r="L101" s="7"/>
      <c r="M101" s="7"/>
      <c r="N101" s="7"/>
      <c r="O101" s="7"/>
      <c r="P101" s="7"/>
      <c r="Q101" s="7"/>
      <c r="R101" s="64"/>
      <c r="S101" s="168" t="s">
        <v>3481</v>
      </c>
      <c r="T101" s="64"/>
      <c r="U101" s="64"/>
      <c r="V101" s="64"/>
      <c r="W101" s="64"/>
    </row>
    <row r="102" spans="1:23" ht="30" customHeight="1">
      <c r="A102" s="8"/>
      <c r="B102" s="7"/>
      <c r="C102" s="33"/>
      <c r="D102" s="7"/>
      <c r="E102" s="7"/>
      <c r="F102" s="7"/>
      <c r="G102" s="7"/>
      <c r="H102" s="7"/>
      <c r="I102" s="342"/>
      <c r="J102" s="7"/>
      <c r="K102" s="7"/>
      <c r="L102" s="7"/>
      <c r="M102" s="7"/>
      <c r="N102" s="7"/>
      <c r="O102" s="7"/>
      <c r="P102" s="7"/>
      <c r="Q102" s="7"/>
      <c r="R102" s="64"/>
      <c r="S102" s="168" t="s">
        <v>3482</v>
      </c>
      <c r="T102" s="64"/>
      <c r="U102" s="64"/>
      <c r="V102" s="64"/>
      <c r="W102" s="64"/>
    </row>
    <row r="103" spans="1:23" ht="30" customHeight="1">
      <c r="A103" s="8"/>
      <c r="B103" s="7"/>
      <c r="C103" s="33"/>
      <c r="D103" s="7"/>
      <c r="E103" s="7"/>
      <c r="F103" s="7"/>
      <c r="G103" s="7"/>
      <c r="H103" s="7"/>
      <c r="I103" s="7"/>
      <c r="J103" s="7"/>
      <c r="K103" s="7"/>
      <c r="L103" s="7"/>
      <c r="M103" s="7"/>
      <c r="N103" s="7"/>
      <c r="O103" s="7"/>
      <c r="P103" s="7"/>
      <c r="Q103" s="7"/>
      <c r="R103" s="64"/>
      <c r="S103" s="168" t="s">
        <v>3483</v>
      </c>
      <c r="T103" s="64"/>
      <c r="U103" s="64"/>
      <c r="V103" s="64"/>
      <c r="W103" s="64"/>
    </row>
    <row r="104" spans="1:23" ht="30" customHeight="1">
      <c r="A104" s="8"/>
      <c r="B104" s="7"/>
      <c r="C104" s="33"/>
      <c r="D104" s="7"/>
      <c r="E104" s="7"/>
      <c r="F104" s="7"/>
      <c r="G104" s="7"/>
      <c r="H104" s="7"/>
      <c r="I104" s="7"/>
      <c r="J104" s="7"/>
      <c r="K104" s="7"/>
      <c r="L104" s="7"/>
      <c r="M104" s="7"/>
      <c r="N104" s="7"/>
      <c r="O104" s="7"/>
      <c r="P104" s="7"/>
      <c r="Q104" s="7"/>
      <c r="R104" s="64"/>
      <c r="S104" s="168" t="s">
        <v>3484</v>
      </c>
      <c r="T104" s="64"/>
      <c r="U104" s="64"/>
      <c r="V104" s="64"/>
      <c r="W104" s="64"/>
    </row>
    <row r="105" spans="1:23" ht="30" customHeight="1">
      <c r="A105" s="8"/>
      <c r="B105" s="7"/>
      <c r="C105" s="33"/>
      <c r="D105" s="7"/>
      <c r="E105" s="7"/>
      <c r="F105" s="7"/>
      <c r="G105" s="7"/>
      <c r="H105" s="7"/>
      <c r="I105" s="7"/>
      <c r="J105" s="7"/>
      <c r="K105" s="7"/>
      <c r="L105" s="7"/>
      <c r="M105" s="7"/>
      <c r="N105" s="7"/>
      <c r="O105" s="7"/>
      <c r="P105" s="7"/>
      <c r="Q105" s="7"/>
      <c r="R105" s="64"/>
      <c r="S105" s="168" t="s">
        <v>3485</v>
      </c>
      <c r="T105" s="64"/>
      <c r="U105" s="64"/>
      <c r="V105" s="64"/>
      <c r="W105" s="64"/>
    </row>
    <row r="106" spans="1:23" ht="30" customHeight="1">
      <c r="A106" s="8"/>
      <c r="B106" s="7"/>
      <c r="C106" s="33"/>
      <c r="D106" s="7"/>
      <c r="E106" s="7"/>
      <c r="F106" s="7"/>
      <c r="G106" s="7"/>
      <c r="H106" s="7"/>
      <c r="I106" s="7"/>
      <c r="J106" s="7"/>
      <c r="K106" s="7"/>
      <c r="L106" s="7"/>
      <c r="M106" s="7"/>
      <c r="N106" s="7"/>
      <c r="O106" s="7"/>
      <c r="P106" s="7"/>
      <c r="Q106" s="7"/>
      <c r="R106" s="64"/>
      <c r="S106" s="168" t="s">
        <v>3486</v>
      </c>
      <c r="T106" s="64"/>
      <c r="U106" s="64"/>
      <c r="V106" s="64"/>
      <c r="W106" s="64"/>
    </row>
    <row r="107" spans="1:23" ht="30" customHeight="1">
      <c r="A107" s="8"/>
      <c r="B107" s="7"/>
      <c r="C107" s="33"/>
      <c r="D107" s="7"/>
      <c r="E107" s="7"/>
      <c r="F107" s="7"/>
      <c r="G107" s="7"/>
      <c r="H107" s="7"/>
      <c r="I107" s="7"/>
      <c r="J107" s="7"/>
      <c r="K107" s="7"/>
      <c r="L107" s="7"/>
      <c r="M107" s="7"/>
      <c r="N107" s="7"/>
      <c r="O107" s="7"/>
      <c r="P107" s="7"/>
      <c r="Q107" s="7"/>
      <c r="R107" s="64"/>
      <c r="S107" s="168" t="s">
        <v>3487</v>
      </c>
      <c r="T107" s="64"/>
      <c r="U107" s="64"/>
      <c r="V107" s="64"/>
      <c r="W107" s="64"/>
    </row>
    <row r="108" spans="1:23" ht="30" customHeight="1">
      <c r="A108" s="8"/>
      <c r="B108" s="7"/>
      <c r="C108" s="33"/>
      <c r="D108" s="7"/>
      <c r="E108" s="7"/>
      <c r="F108" s="7"/>
      <c r="G108" s="7"/>
      <c r="H108" s="7"/>
      <c r="I108" s="7"/>
      <c r="J108" s="7"/>
      <c r="K108" s="7"/>
      <c r="L108" s="7"/>
      <c r="M108" s="7"/>
      <c r="N108" s="7"/>
      <c r="O108" s="7"/>
      <c r="P108" s="7"/>
      <c r="Q108" s="7"/>
      <c r="R108" s="64"/>
      <c r="S108" s="168" t="s">
        <v>3488</v>
      </c>
      <c r="T108" s="64"/>
      <c r="U108" s="64"/>
      <c r="V108" s="64"/>
      <c r="W108" s="64"/>
    </row>
    <row r="109" spans="1:23" ht="30" customHeight="1">
      <c r="A109" s="8"/>
      <c r="B109" s="7"/>
      <c r="C109" s="33"/>
      <c r="D109" s="7"/>
      <c r="E109" s="7"/>
      <c r="F109" s="7"/>
      <c r="G109" s="7"/>
      <c r="H109" s="7"/>
      <c r="I109" s="7"/>
      <c r="J109" s="7"/>
      <c r="K109" s="7"/>
      <c r="L109" s="7"/>
      <c r="M109" s="7"/>
      <c r="N109" s="7"/>
      <c r="O109" s="7"/>
      <c r="P109" s="7"/>
      <c r="Q109" s="7"/>
      <c r="R109" s="64"/>
      <c r="S109" s="168" t="s">
        <v>3489</v>
      </c>
      <c r="T109" s="64"/>
      <c r="U109" s="64"/>
      <c r="V109" s="64"/>
      <c r="W109" s="64"/>
    </row>
    <row r="110" spans="1:23" ht="30" customHeight="1">
      <c r="A110" s="8"/>
      <c r="B110" s="7"/>
      <c r="C110" s="33"/>
      <c r="D110" s="7"/>
      <c r="E110" s="7"/>
      <c r="F110" s="7"/>
      <c r="G110" s="7"/>
      <c r="H110" s="7"/>
      <c r="I110" s="7"/>
      <c r="J110" s="7"/>
      <c r="K110" s="7"/>
      <c r="L110" s="7"/>
      <c r="M110" s="7"/>
      <c r="N110" s="7"/>
      <c r="O110" s="7"/>
      <c r="P110" s="7"/>
      <c r="Q110" s="7"/>
      <c r="R110" s="64"/>
      <c r="S110" s="168" t="s">
        <v>3490</v>
      </c>
      <c r="T110" s="64"/>
      <c r="U110" s="64"/>
      <c r="V110" s="64"/>
      <c r="W110" s="64"/>
    </row>
    <row r="111" spans="1:23" ht="30" customHeight="1">
      <c r="A111" s="8"/>
      <c r="B111" s="7"/>
      <c r="C111" s="33"/>
      <c r="D111" s="7"/>
      <c r="E111" s="7"/>
      <c r="F111" s="7"/>
      <c r="G111" s="7"/>
      <c r="H111" s="7"/>
      <c r="I111" s="7"/>
      <c r="J111" s="7"/>
      <c r="K111" s="7"/>
      <c r="L111" s="7"/>
      <c r="M111" s="7"/>
      <c r="N111" s="7"/>
      <c r="O111" s="7"/>
      <c r="P111" s="7"/>
      <c r="Q111" s="7"/>
      <c r="R111" s="64"/>
      <c r="S111" s="168" t="s">
        <v>3491</v>
      </c>
      <c r="T111" s="64"/>
      <c r="U111" s="64"/>
      <c r="V111" s="64"/>
      <c r="W111" s="64"/>
    </row>
    <row r="112" spans="1:23" ht="30" customHeight="1">
      <c r="A112" s="8"/>
      <c r="B112" s="7"/>
      <c r="C112" s="33"/>
      <c r="D112" s="7"/>
      <c r="E112" s="7"/>
      <c r="F112" s="7"/>
      <c r="G112" s="7"/>
      <c r="H112" s="7"/>
      <c r="I112" s="7"/>
      <c r="J112" s="7"/>
      <c r="K112" s="7"/>
      <c r="L112" s="7"/>
      <c r="M112" s="7"/>
      <c r="N112" s="7"/>
      <c r="O112" s="7"/>
      <c r="P112" s="7"/>
      <c r="Q112" s="7"/>
      <c r="R112" s="64"/>
      <c r="S112" s="168" t="s">
        <v>3492</v>
      </c>
      <c r="T112" s="64"/>
      <c r="U112" s="64"/>
      <c r="V112" s="64"/>
      <c r="W112" s="64"/>
    </row>
    <row r="113" spans="1:23" ht="30" customHeight="1">
      <c r="A113" s="8"/>
      <c r="B113" s="7"/>
      <c r="C113" s="33"/>
      <c r="D113" s="7"/>
      <c r="E113" s="7"/>
      <c r="F113" s="7"/>
      <c r="G113" s="7"/>
      <c r="H113" s="7"/>
      <c r="I113" s="7"/>
      <c r="J113" s="7"/>
      <c r="K113" s="7"/>
      <c r="L113" s="7"/>
      <c r="M113" s="7"/>
      <c r="N113" s="7"/>
      <c r="O113" s="7"/>
      <c r="P113" s="7"/>
      <c r="Q113" s="7"/>
      <c r="R113" s="64"/>
      <c r="S113" s="168" t="s">
        <v>3493</v>
      </c>
      <c r="T113" s="64"/>
      <c r="U113" s="64"/>
      <c r="V113" s="64"/>
      <c r="W113" s="64"/>
    </row>
    <row r="114" spans="1:23" ht="30" customHeight="1">
      <c r="A114" s="8"/>
      <c r="B114" s="7"/>
      <c r="C114" s="33"/>
      <c r="D114" s="7"/>
      <c r="E114" s="7"/>
      <c r="F114" s="7"/>
      <c r="G114" s="7"/>
      <c r="H114" s="7"/>
      <c r="I114" s="7"/>
      <c r="J114" s="7"/>
      <c r="K114" s="7"/>
      <c r="L114" s="7"/>
      <c r="M114" s="7"/>
      <c r="N114" s="7"/>
      <c r="O114" s="7"/>
      <c r="P114" s="7"/>
      <c r="Q114" s="7"/>
      <c r="R114" s="64"/>
      <c r="S114" s="168" t="s">
        <v>3494</v>
      </c>
      <c r="T114" s="64"/>
      <c r="U114" s="64"/>
      <c r="V114" s="64"/>
      <c r="W114" s="64"/>
    </row>
    <row r="115" spans="1:23" ht="30" customHeight="1">
      <c r="A115" s="8"/>
      <c r="B115" s="7"/>
      <c r="C115" s="33"/>
      <c r="D115" s="7"/>
      <c r="E115" s="7"/>
      <c r="F115" s="7"/>
      <c r="G115" s="7"/>
      <c r="H115" s="7"/>
      <c r="I115" s="7"/>
      <c r="J115" s="7"/>
      <c r="K115" s="7"/>
      <c r="L115" s="7"/>
      <c r="M115" s="7"/>
      <c r="N115" s="7"/>
      <c r="O115" s="7"/>
      <c r="P115" s="7"/>
      <c r="Q115" s="7"/>
      <c r="R115" s="64"/>
      <c r="S115" s="168" t="s">
        <v>3495</v>
      </c>
      <c r="T115" s="64"/>
      <c r="U115" s="64"/>
      <c r="V115" s="64"/>
      <c r="W115" s="64"/>
    </row>
    <row r="116" spans="1:23" ht="30" customHeight="1">
      <c r="A116" s="8"/>
      <c r="B116" s="7"/>
      <c r="C116" s="33"/>
      <c r="D116" s="7"/>
      <c r="E116" s="7"/>
      <c r="F116" s="7"/>
      <c r="G116" s="7"/>
      <c r="H116" s="7"/>
      <c r="I116" s="7"/>
      <c r="J116" s="7"/>
      <c r="K116" s="7"/>
      <c r="L116" s="7"/>
      <c r="M116" s="7"/>
      <c r="N116" s="7"/>
      <c r="O116" s="7"/>
      <c r="P116" s="7"/>
      <c r="Q116" s="7"/>
      <c r="R116" s="64"/>
      <c r="S116" s="168" t="s">
        <v>3496</v>
      </c>
      <c r="T116" s="64"/>
      <c r="U116" s="64"/>
      <c r="V116" s="64"/>
      <c r="W116" s="64"/>
    </row>
    <row r="117" spans="1:23" ht="30" customHeight="1">
      <c r="A117" s="8"/>
      <c r="B117" s="7"/>
      <c r="C117" s="33"/>
      <c r="D117" s="7"/>
      <c r="E117" s="7"/>
      <c r="F117" s="7"/>
      <c r="G117" s="7"/>
      <c r="H117" s="7"/>
      <c r="I117" s="7"/>
      <c r="J117" s="7"/>
      <c r="K117" s="7"/>
      <c r="L117" s="7"/>
      <c r="M117" s="7"/>
      <c r="N117" s="7"/>
      <c r="O117" s="7"/>
      <c r="P117" s="7"/>
      <c r="Q117" s="7"/>
      <c r="R117" s="64"/>
      <c r="S117" s="168" t="s">
        <v>3497</v>
      </c>
      <c r="T117" s="64"/>
      <c r="U117" s="64"/>
      <c r="V117" s="64"/>
      <c r="W117" s="64"/>
    </row>
    <row r="118" spans="1:23" ht="30" customHeight="1">
      <c r="A118" s="8"/>
      <c r="B118" s="7"/>
      <c r="C118" s="33"/>
      <c r="D118" s="7"/>
      <c r="E118" s="7"/>
      <c r="F118" s="7"/>
      <c r="G118" s="7"/>
      <c r="H118" s="7"/>
      <c r="I118" s="7"/>
      <c r="J118" s="7"/>
      <c r="K118" s="7"/>
      <c r="L118" s="7"/>
      <c r="M118" s="7"/>
      <c r="N118" s="7"/>
      <c r="O118" s="7"/>
      <c r="P118" s="7"/>
      <c r="Q118" s="7"/>
      <c r="R118" s="64"/>
      <c r="S118" s="168" t="s">
        <v>3498</v>
      </c>
      <c r="T118" s="64"/>
      <c r="U118" s="64"/>
      <c r="V118" s="64"/>
      <c r="W118" s="64"/>
    </row>
    <row r="119" spans="1:23" ht="30" customHeight="1">
      <c r="A119" s="8"/>
      <c r="B119" s="7"/>
      <c r="C119" s="33"/>
      <c r="D119" s="7"/>
      <c r="E119" s="7"/>
      <c r="F119" s="7"/>
      <c r="G119" s="7"/>
      <c r="H119" s="7"/>
      <c r="I119" s="7"/>
      <c r="J119" s="7"/>
      <c r="K119" s="7"/>
      <c r="L119" s="7"/>
      <c r="M119" s="7"/>
      <c r="N119" s="7"/>
      <c r="O119" s="7"/>
      <c r="P119" s="7"/>
      <c r="Q119" s="7"/>
      <c r="R119" s="64"/>
      <c r="S119" s="168" t="s">
        <v>3499</v>
      </c>
      <c r="T119" s="64"/>
      <c r="U119" s="64"/>
      <c r="V119" s="64"/>
      <c r="W119" s="64"/>
    </row>
    <row r="120" spans="1:23" ht="30" customHeight="1">
      <c r="A120" s="8"/>
      <c r="B120" s="7"/>
      <c r="C120" s="33"/>
      <c r="D120" s="7"/>
      <c r="E120" s="7"/>
      <c r="F120" s="7"/>
      <c r="G120" s="7"/>
      <c r="H120" s="7"/>
      <c r="I120" s="7"/>
      <c r="J120" s="7"/>
      <c r="K120" s="7"/>
      <c r="L120" s="7"/>
      <c r="M120" s="7"/>
      <c r="N120" s="7"/>
      <c r="O120" s="7"/>
      <c r="P120" s="7"/>
      <c r="Q120" s="7"/>
      <c r="R120" s="64"/>
      <c r="S120" s="168" t="s">
        <v>3500</v>
      </c>
      <c r="T120" s="64"/>
      <c r="U120" s="64"/>
      <c r="V120" s="64"/>
      <c r="W120" s="64"/>
    </row>
    <row r="121" spans="1:23" ht="30" customHeight="1">
      <c r="A121" s="8"/>
      <c r="B121" s="7"/>
      <c r="C121" s="33"/>
      <c r="D121" s="7"/>
      <c r="E121" s="7"/>
      <c r="F121" s="7"/>
      <c r="G121" s="7"/>
      <c r="H121" s="7"/>
      <c r="I121" s="7"/>
      <c r="J121" s="7"/>
      <c r="K121" s="7"/>
      <c r="L121" s="7"/>
      <c r="M121" s="7"/>
      <c r="N121" s="7"/>
      <c r="O121" s="7"/>
      <c r="P121" s="7"/>
      <c r="Q121" s="7"/>
      <c r="R121" s="64"/>
      <c r="S121" s="168" t="s">
        <v>3501</v>
      </c>
      <c r="T121" s="64"/>
      <c r="U121" s="64"/>
      <c r="V121" s="64"/>
      <c r="W121" s="64"/>
    </row>
    <row r="122" spans="1:23" ht="30" customHeight="1">
      <c r="A122" s="8"/>
      <c r="B122" s="7"/>
      <c r="C122" s="33"/>
      <c r="D122" s="7"/>
      <c r="E122" s="7"/>
      <c r="F122" s="7"/>
      <c r="G122" s="7"/>
      <c r="H122" s="7"/>
      <c r="I122" s="7"/>
      <c r="J122" s="7"/>
      <c r="K122" s="7"/>
      <c r="L122" s="7"/>
      <c r="M122" s="7"/>
      <c r="N122" s="7"/>
      <c r="O122" s="7"/>
      <c r="P122" s="7"/>
      <c r="Q122" s="7"/>
      <c r="R122" s="64"/>
      <c r="S122" s="168" t="s">
        <v>3502</v>
      </c>
      <c r="T122" s="64"/>
      <c r="U122" s="64"/>
      <c r="V122" s="64"/>
      <c r="W122" s="64"/>
    </row>
    <row r="123" spans="1:23" ht="30" customHeight="1">
      <c r="A123" s="8"/>
      <c r="B123" s="7"/>
      <c r="C123" s="33"/>
      <c r="D123" s="7"/>
      <c r="E123" s="7"/>
      <c r="F123" s="7"/>
      <c r="G123" s="7"/>
      <c r="H123" s="7"/>
      <c r="I123" s="7"/>
      <c r="J123" s="7"/>
      <c r="K123" s="7"/>
      <c r="L123" s="7"/>
      <c r="M123" s="7"/>
      <c r="N123" s="7"/>
      <c r="O123" s="7"/>
      <c r="P123" s="7"/>
      <c r="Q123" s="7"/>
      <c r="R123" s="64"/>
      <c r="S123" s="168" t="s">
        <v>3503</v>
      </c>
      <c r="T123" s="64"/>
      <c r="U123" s="64"/>
      <c r="V123" s="64"/>
      <c r="W123" s="64"/>
    </row>
    <row r="124" spans="1:23" ht="30" customHeight="1">
      <c r="A124" s="8"/>
      <c r="B124" s="7"/>
      <c r="C124" s="33"/>
      <c r="D124" s="7"/>
      <c r="E124" s="7"/>
      <c r="F124" s="7"/>
      <c r="G124" s="7"/>
      <c r="H124" s="7"/>
      <c r="I124" s="7"/>
      <c r="J124" s="7"/>
      <c r="K124" s="7"/>
      <c r="L124" s="7"/>
      <c r="M124" s="7"/>
      <c r="N124" s="7"/>
      <c r="O124" s="7"/>
      <c r="P124" s="7"/>
      <c r="Q124" s="7"/>
      <c r="R124" s="64"/>
      <c r="S124" s="168" t="s">
        <v>3504</v>
      </c>
      <c r="T124" s="64"/>
      <c r="U124" s="64"/>
      <c r="V124" s="64"/>
      <c r="W124" s="64"/>
    </row>
    <row r="125" spans="1:23" ht="30" customHeight="1">
      <c r="A125" s="8"/>
      <c r="B125" s="7"/>
      <c r="C125" s="33"/>
      <c r="D125" s="7"/>
      <c r="E125" s="7"/>
      <c r="F125" s="7"/>
      <c r="G125" s="7"/>
      <c r="H125" s="7"/>
      <c r="I125" s="7"/>
      <c r="J125" s="7"/>
      <c r="K125" s="7"/>
      <c r="L125" s="7"/>
      <c r="M125" s="7"/>
      <c r="N125" s="7"/>
      <c r="O125" s="7"/>
      <c r="P125" s="7"/>
      <c r="Q125" s="7"/>
      <c r="R125" s="64"/>
      <c r="S125" s="168" t="s">
        <v>3505</v>
      </c>
      <c r="T125" s="64"/>
      <c r="U125" s="64"/>
      <c r="V125" s="64"/>
      <c r="W125" s="64"/>
    </row>
    <row r="126" spans="1:23" ht="30" customHeight="1">
      <c r="A126" s="8"/>
      <c r="B126" s="7"/>
      <c r="C126" s="33"/>
      <c r="D126" s="7"/>
      <c r="E126" s="7"/>
      <c r="F126" s="7"/>
      <c r="G126" s="7"/>
      <c r="H126" s="7"/>
      <c r="I126" s="7"/>
      <c r="J126" s="7"/>
      <c r="K126" s="7"/>
      <c r="L126" s="7"/>
      <c r="M126" s="7"/>
      <c r="N126" s="7"/>
      <c r="O126" s="7"/>
      <c r="P126" s="7"/>
      <c r="Q126" s="7"/>
      <c r="R126" s="64"/>
      <c r="S126" s="168" t="s">
        <v>3506</v>
      </c>
      <c r="T126" s="64"/>
      <c r="U126" s="64"/>
      <c r="V126" s="64"/>
      <c r="W126" s="64"/>
    </row>
    <row r="127" spans="1:23" ht="30" customHeight="1">
      <c r="A127" s="8"/>
      <c r="B127" s="7"/>
      <c r="C127" s="33"/>
      <c r="D127" s="7"/>
      <c r="E127" s="7"/>
      <c r="F127" s="7"/>
      <c r="G127" s="7"/>
      <c r="H127" s="7"/>
      <c r="I127" s="7"/>
      <c r="J127" s="7"/>
      <c r="K127" s="7"/>
      <c r="L127" s="7"/>
      <c r="M127" s="7"/>
      <c r="N127" s="7"/>
      <c r="O127" s="7"/>
      <c r="P127" s="7"/>
      <c r="Q127" s="7"/>
      <c r="R127" s="64"/>
      <c r="S127" s="168" t="s">
        <v>3507</v>
      </c>
      <c r="T127" s="64"/>
      <c r="U127" s="64"/>
      <c r="V127" s="64"/>
      <c r="W127" s="64"/>
    </row>
    <row r="128" spans="1:23" ht="30" customHeight="1">
      <c r="A128" s="8"/>
      <c r="B128" s="7"/>
      <c r="C128" s="33"/>
      <c r="D128" s="7"/>
      <c r="E128" s="7"/>
      <c r="F128" s="7"/>
      <c r="G128" s="7"/>
      <c r="H128" s="7"/>
      <c r="I128" s="7"/>
      <c r="J128" s="7"/>
      <c r="K128" s="7"/>
      <c r="L128" s="7"/>
      <c r="M128" s="7"/>
      <c r="N128" s="7"/>
      <c r="O128" s="7"/>
      <c r="P128" s="7"/>
      <c r="Q128" s="7"/>
      <c r="R128" s="64"/>
      <c r="S128" s="168" t="s">
        <v>3508</v>
      </c>
      <c r="T128" s="64"/>
      <c r="U128" s="64"/>
      <c r="V128" s="64"/>
      <c r="W128" s="64"/>
    </row>
    <row r="129" spans="1:23" ht="30" customHeight="1">
      <c r="A129" s="8"/>
      <c r="B129" s="7"/>
      <c r="C129" s="33"/>
      <c r="D129" s="7"/>
      <c r="E129" s="7"/>
      <c r="F129" s="7"/>
      <c r="G129" s="7"/>
      <c r="H129" s="7"/>
      <c r="I129" s="7"/>
      <c r="J129" s="7"/>
      <c r="K129" s="7"/>
      <c r="L129" s="7"/>
      <c r="M129" s="7"/>
      <c r="N129" s="7"/>
      <c r="O129" s="7"/>
      <c r="P129" s="7"/>
      <c r="Q129" s="7"/>
      <c r="R129" s="64"/>
      <c r="S129" s="168" t="s">
        <v>3509</v>
      </c>
      <c r="T129" s="64"/>
      <c r="U129" s="64"/>
      <c r="V129" s="64"/>
      <c r="W129" s="64"/>
    </row>
    <row r="130" spans="1:23" ht="30" customHeight="1">
      <c r="A130" s="8"/>
      <c r="B130" s="7"/>
      <c r="C130" s="33"/>
      <c r="D130" s="7"/>
      <c r="E130" s="7"/>
      <c r="F130" s="7"/>
      <c r="G130" s="7"/>
      <c r="H130" s="7"/>
      <c r="I130" s="7"/>
      <c r="J130" s="7"/>
      <c r="K130" s="7"/>
      <c r="L130" s="7"/>
      <c r="M130" s="7"/>
      <c r="N130" s="7"/>
      <c r="O130" s="7"/>
      <c r="P130" s="7"/>
      <c r="Q130" s="7"/>
      <c r="R130" s="64"/>
      <c r="S130" s="168" t="s">
        <v>3510</v>
      </c>
      <c r="T130" s="64"/>
      <c r="U130" s="64"/>
      <c r="V130" s="64"/>
      <c r="W130" s="64"/>
    </row>
    <row r="131" spans="1:23" ht="30" customHeight="1">
      <c r="A131" s="8"/>
      <c r="B131" s="7"/>
      <c r="C131" s="33"/>
      <c r="D131" s="7"/>
      <c r="E131" s="7"/>
      <c r="F131" s="7"/>
      <c r="G131" s="7"/>
      <c r="H131" s="7"/>
      <c r="I131" s="7"/>
      <c r="J131" s="7"/>
      <c r="K131" s="7"/>
      <c r="L131" s="7"/>
      <c r="M131" s="7"/>
      <c r="N131" s="7"/>
      <c r="O131" s="7"/>
      <c r="P131" s="7"/>
      <c r="Q131" s="7"/>
      <c r="R131" s="64"/>
      <c r="S131" s="168" t="s">
        <v>3511</v>
      </c>
      <c r="T131" s="64"/>
      <c r="U131" s="64"/>
      <c r="V131" s="64"/>
      <c r="W131" s="64"/>
    </row>
    <row r="132" spans="1:23" ht="30" customHeight="1">
      <c r="A132" s="8"/>
      <c r="B132" s="7"/>
      <c r="C132" s="33"/>
      <c r="D132" s="7"/>
      <c r="E132" s="7"/>
      <c r="F132" s="7"/>
      <c r="G132" s="7"/>
      <c r="H132" s="7"/>
      <c r="I132" s="7"/>
      <c r="J132" s="7"/>
      <c r="K132" s="7"/>
      <c r="L132" s="7"/>
      <c r="M132" s="7"/>
      <c r="N132" s="7"/>
      <c r="O132" s="7"/>
      <c r="P132" s="7"/>
      <c r="Q132" s="7"/>
      <c r="R132" s="64"/>
      <c r="S132" s="168" t="s">
        <v>3512</v>
      </c>
      <c r="T132" s="64"/>
      <c r="U132" s="64"/>
      <c r="V132" s="64"/>
      <c r="W132" s="64"/>
    </row>
    <row r="133" spans="1:23" ht="30" customHeight="1">
      <c r="A133" s="8"/>
      <c r="B133" s="7"/>
      <c r="C133" s="33"/>
      <c r="D133" s="7"/>
      <c r="E133" s="7"/>
      <c r="F133" s="7"/>
      <c r="G133" s="7"/>
      <c r="H133" s="7"/>
      <c r="I133" s="7"/>
      <c r="J133" s="7"/>
      <c r="K133" s="7"/>
      <c r="L133" s="7"/>
      <c r="M133" s="7"/>
      <c r="N133" s="7"/>
      <c r="O133" s="7"/>
      <c r="P133" s="7"/>
      <c r="Q133" s="7"/>
      <c r="R133" s="64"/>
      <c r="S133" s="168" t="s">
        <v>3513</v>
      </c>
      <c r="T133" s="64"/>
      <c r="U133" s="64"/>
      <c r="V133" s="64"/>
      <c r="W133" s="64"/>
    </row>
    <row r="134" spans="1:23" ht="30" customHeight="1">
      <c r="A134" s="8"/>
      <c r="B134" s="7"/>
      <c r="C134" s="33"/>
      <c r="D134" s="7"/>
      <c r="E134" s="7"/>
      <c r="F134" s="7"/>
      <c r="G134" s="7"/>
      <c r="H134" s="7"/>
      <c r="I134" s="7"/>
      <c r="J134" s="7"/>
      <c r="K134" s="7"/>
      <c r="L134" s="7"/>
      <c r="M134" s="7"/>
      <c r="N134" s="7"/>
      <c r="O134" s="7"/>
      <c r="P134" s="7"/>
      <c r="Q134" s="7"/>
      <c r="R134" s="64"/>
      <c r="S134" s="168" t="s">
        <v>3514</v>
      </c>
      <c r="T134" s="64"/>
      <c r="U134" s="64"/>
      <c r="V134" s="64"/>
      <c r="W134" s="64"/>
    </row>
    <row r="135" spans="1:23" ht="30" customHeight="1">
      <c r="A135" s="8"/>
      <c r="B135" s="7"/>
      <c r="C135" s="33"/>
      <c r="D135" s="7"/>
      <c r="E135" s="7"/>
      <c r="F135" s="7"/>
      <c r="G135" s="7"/>
      <c r="H135" s="7"/>
      <c r="I135" s="7"/>
      <c r="J135" s="7"/>
      <c r="K135" s="7"/>
      <c r="L135" s="7"/>
      <c r="M135" s="7"/>
      <c r="N135" s="7"/>
      <c r="O135" s="7"/>
      <c r="P135" s="7"/>
      <c r="Q135" s="7"/>
      <c r="R135" s="64"/>
      <c r="S135" s="168" t="s">
        <v>3515</v>
      </c>
      <c r="T135" s="64"/>
      <c r="U135" s="64"/>
      <c r="V135" s="64"/>
      <c r="W135" s="64"/>
    </row>
    <row r="136" spans="1:23" ht="30" customHeight="1">
      <c r="A136" s="8"/>
      <c r="B136" s="7"/>
      <c r="C136" s="33"/>
      <c r="D136" s="7"/>
      <c r="E136" s="7"/>
      <c r="F136" s="7"/>
      <c r="G136" s="7"/>
      <c r="H136" s="7"/>
      <c r="I136" s="7"/>
      <c r="J136" s="7"/>
      <c r="K136" s="7"/>
      <c r="L136" s="7"/>
      <c r="M136" s="7"/>
      <c r="N136" s="7"/>
      <c r="O136" s="7"/>
      <c r="P136" s="7"/>
      <c r="Q136" s="7"/>
      <c r="R136" s="64"/>
      <c r="S136" s="168" t="s">
        <v>3516</v>
      </c>
      <c r="T136" s="64"/>
      <c r="U136" s="64"/>
      <c r="V136" s="64"/>
      <c r="W136" s="64"/>
    </row>
    <row r="137" spans="1:23" ht="30" customHeight="1">
      <c r="A137" s="8"/>
      <c r="B137" s="7"/>
      <c r="C137" s="33"/>
      <c r="D137" s="7"/>
      <c r="E137" s="7"/>
      <c r="F137" s="7"/>
      <c r="G137" s="7"/>
      <c r="H137" s="7"/>
      <c r="I137" s="7"/>
      <c r="J137" s="7"/>
      <c r="K137" s="7"/>
      <c r="L137" s="7"/>
      <c r="M137" s="7"/>
      <c r="N137" s="7"/>
      <c r="O137" s="7"/>
      <c r="P137" s="7"/>
      <c r="Q137" s="7"/>
      <c r="R137" s="64"/>
      <c r="S137" s="168" t="s">
        <v>3517</v>
      </c>
      <c r="T137" s="64"/>
      <c r="U137" s="64"/>
      <c r="V137" s="64"/>
      <c r="W137" s="64"/>
    </row>
    <row r="138" spans="1:23" ht="30" customHeight="1">
      <c r="A138" s="8"/>
      <c r="B138" s="7"/>
      <c r="C138" s="33"/>
      <c r="D138" s="7"/>
      <c r="E138" s="7"/>
      <c r="F138" s="7"/>
      <c r="G138" s="7"/>
      <c r="H138" s="7"/>
      <c r="I138" s="7"/>
      <c r="J138" s="7"/>
      <c r="K138" s="7"/>
      <c r="L138" s="7"/>
      <c r="M138" s="7"/>
      <c r="N138" s="7"/>
      <c r="O138" s="7"/>
      <c r="P138" s="7"/>
      <c r="Q138" s="7"/>
      <c r="R138" s="64"/>
      <c r="S138" s="168" t="s">
        <v>3518</v>
      </c>
      <c r="T138" s="64"/>
      <c r="U138" s="64"/>
      <c r="V138" s="64"/>
      <c r="W138" s="64"/>
    </row>
    <row r="139" spans="1:23" ht="30" customHeight="1">
      <c r="A139" s="8"/>
      <c r="B139" s="7"/>
      <c r="C139" s="33"/>
      <c r="D139" s="7"/>
      <c r="E139" s="7"/>
      <c r="F139" s="7"/>
      <c r="G139" s="7"/>
      <c r="H139" s="7"/>
      <c r="I139" s="7"/>
      <c r="J139" s="7"/>
      <c r="K139" s="7"/>
      <c r="L139" s="7"/>
      <c r="M139" s="7"/>
      <c r="N139" s="7"/>
      <c r="O139" s="7"/>
      <c r="P139" s="7"/>
      <c r="Q139" s="7"/>
      <c r="R139" s="64"/>
      <c r="S139" s="168" t="s">
        <v>3519</v>
      </c>
      <c r="T139" s="64"/>
      <c r="U139" s="64"/>
      <c r="V139" s="64"/>
      <c r="W139" s="64"/>
    </row>
    <row r="140" spans="1:23" ht="30" customHeight="1">
      <c r="A140" s="8"/>
      <c r="B140" s="7"/>
      <c r="C140" s="33"/>
      <c r="D140" s="7"/>
      <c r="E140" s="7"/>
      <c r="F140" s="7"/>
      <c r="G140" s="7"/>
      <c r="H140" s="7"/>
      <c r="I140" s="7"/>
      <c r="J140" s="7"/>
      <c r="K140" s="7"/>
      <c r="L140" s="7"/>
      <c r="M140" s="7"/>
      <c r="N140" s="7"/>
      <c r="O140" s="7"/>
      <c r="P140" s="7"/>
      <c r="Q140" s="7"/>
      <c r="R140" s="64"/>
      <c r="S140" s="168" t="s">
        <v>3520</v>
      </c>
      <c r="T140" s="64"/>
      <c r="U140" s="64"/>
      <c r="V140" s="64"/>
      <c r="W140" s="64"/>
    </row>
    <row r="141" spans="1:23" ht="30" customHeight="1">
      <c r="A141" s="8"/>
      <c r="B141" s="7"/>
      <c r="C141" s="33"/>
      <c r="D141" s="7"/>
      <c r="E141" s="7"/>
      <c r="F141" s="7"/>
      <c r="G141" s="7"/>
      <c r="H141" s="7"/>
      <c r="I141" s="7"/>
      <c r="J141" s="7"/>
      <c r="K141" s="7"/>
      <c r="L141" s="7"/>
      <c r="M141" s="7"/>
      <c r="N141" s="7"/>
      <c r="O141" s="7"/>
      <c r="P141" s="7"/>
      <c r="Q141" s="7"/>
      <c r="R141" s="64"/>
      <c r="S141" s="168" t="s">
        <v>3521</v>
      </c>
      <c r="T141" s="64"/>
      <c r="U141" s="64"/>
      <c r="V141" s="64"/>
      <c r="W141" s="64"/>
    </row>
    <row r="142" spans="1:23" ht="30" customHeight="1">
      <c r="A142" s="8"/>
      <c r="B142" s="7"/>
      <c r="C142" s="33"/>
      <c r="D142" s="7"/>
      <c r="E142" s="7"/>
      <c r="F142" s="7"/>
      <c r="G142" s="7"/>
      <c r="H142" s="7"/>
      <c r="I142" s="7"/>
      <c r="J142" s="7"/>
      <c r="K142" s="7"/>
      <c r="L142" s="7"/>
      <c r="M142" s="7"/>
      <c r="N142" s="7"/>
      <c r="O142" s="7"/>
      <c r="P142" s="7"/>
      <c r="Q142" s="7"/>
      <c r="R142" s="64"/>
      <c r="S142" s="168" t="s">
        <v>3522</v>
      </c>
      <c r="T142" s="64"/>
      <c r="U142" s="64"/>
      <c r="V142" s="64"/>
      <c r="W142" s="64"/>
    </row>
    <row r="143" spans="1:23" ht="30" customHeight="1">
      <c r="A143" s="8"/>
      <c r="B143" s="7"/>
      <c r="C143" s="33"/>
      <c r="D143" s="7"/>
      <c r="E143" s="7"/>
      <c r="F143" s="7"/>
      <c r="G143" s="7"/>
      <c r="H143" s="7"/>
      <c r="I143" s="7"/>
      <c r="J143" s="7"/>
      <c r="K143" s="7"/>
      <c r="L143" s="7"/>
      <c r="M143" s="7"/>
      <c r="N143" s="7"/>
      <c r="O143" s="7"/>
      <c r="P143" s="7"/>
      <c r="Q143" s="7"/>
      <c r="R143" s="64"/>
      <c r="S143" s="168" t="s">
        <v>3523</v>
      </c>
      <c r="T143" s="64"/>
      <c r="U143" s="64"/>
      <c r="V143" s="64"/>
      <c r="W143" s="64"/>
    </row>
    <row r="144" spans="1:23" ht="30" customHeight="1">
      <c r="A144" s="8"/>
      <c r="B144" s="7"/>
      <c r="C144" s="33"/>
      <c r="D144" s="7"/>
      <c r="E144" s="7"/>
      <c r="F144" s="7"/>
      <c r="G144" s="7"/>
      <c r="H144" s="7"/>
      <c r="I144" s="7"/>
      <c r="J144" s="7"/>
      <c r="K144" s="7"/>
      <c r="L144" s="7"/>
      <c r="M144" s="7"/>
      <c r="N144" s="7"/>
      <c r="O144" s="7"/>
      <c r="P144" s="7"/>
      <c r="Q144" s="7"/>
      <c r="R144" s="64"/>
      <c r="S144" s="168" t="s">
        <v>3524</v>
      </c>
      <c r="T144" s="64"/>
      <c r="U144" s="64"/>
      <c r="V144" s="64"/>
      <c r="W144" s="64"/>
    </row>
    <row r="145" spans="1:23" ht="30" customHeight="1">
      <c r="A145" s="8"/>
      <c r="B145" s="7"/>
      <c r="C145" s="33"/>
      <c r="D145" s="7"/>
      <c r="E145" s="7"/>
      <c r="F145" s="7"/>
      <c r="G145" s="7"/>
      <c r="H145" s="7"/>
      <c r="I145" s="7"/>
      <c r="J145" s="7"/>
      <c r="K145" s="7"/>
      <c r="L145" s="7"/>
      <c r="M145" s="7"/>
      <c r="N145" s="7"/>
      <c r="O145" s="7"/>
      <c r="P145" s="7"/>
      <c r="Q145" s="7"/>
      <c r="R145" s="64"/>
      <c r="S145" s="168" t="s">
        <v>3525</v>
      </c>
      <c r="T145" s="64"/>
      <c r="U145" s="64"/>
      <c r="V145" s="64"/>
      <c r="W145" s="64"/>
    </row>
    <row r="146" spans="1:23" ht="30" customHeight="1">
      <c r="A146" s="8"/>
      <c r="B146" s="7"/>
      <c r="C146" s="33"/>
      <c r="D146" s="7"/>
      <c r="E146" s="7"/>
      <c r="F146" s="7"/>
      <c r="G146" s="7"/>
      <c r="H146" s="7"/>
      <c r="I146" s="7"/>
      <c r="J146" s="7"/>
      <c r="K146" s="7"/>
      <c r="L146" s="7"/>
      <c r="M146" s="7"/>
      <c r="N146" s="7"/>
      <c r="O146" s="7"/>
      <c r="P146" s="7"/>
      <c r="Q146" s="7"/>
      <c r="R146" s="64"/>
      <c r="S146" s="168" t="s">
        <v>3526</v>
      </c>
      <c r="T146" s="64"/>
      <c r="U146" s="64"/>
      <c r="V146" s="64"/>
      <c r="W146" s="64"/>
    </row>
    <row r="147" spans="1:23" ht="30" customHeight="1">
      <c r="A147" s="8"/>
      <c r="B147" s="7"/>
      <c r="C147" s="33"/>
      <c r="D147" s="7"/>
      <c r="E147" s="7"/>
      <c r="F147" s="7"/>
      <c r="G147" s="7"/>
      <c r="H147" s="7"/>
      <c r="I147" s="7"/>
      <c r="J147" s="7"/>
      <c r="K147" s="7"/>
      <c r="L147" s="7"/>
      <c r="M147" s="7"/>
      <c r="N147" s="7"/>
      <c r="O147" s="7"/>
      <c r="P147" s="7"/>
      <c r="Q147" s="7"/>
      <c r="R147" s="64"/>
      <c r="S147" s="168" t="s">
        <v>3527</v>
      </c>
      <c r="T147" s="64"/>
      <c r="U147" s="64"/>
      <c r="V147" s="64"/>
      <c r="W147" s="64"/>
    </row>
    <row r="148" spans="1:23" ht="30" customHeight="1">
      <c r="A148" s="8"/>
      <c r="B148" s="7"/>
      <c r="C148" s="33"/>
      <c r="D148" s="7"/>
      <c r="E148" s="7"/>
      <c r="F148" s="7"/>
      <c r="G148" s="7"/>
      <c r="H148" s="7"/>
      <c r="I148" s="7"/>
      <c r="J148" s="7"/>
      <c r="K148" s="7"/>
      <c r="L148" s="7"/>
      <c r="M148" s="7"/>
      <c r="N148" s="7"/>
      <c r="O148" s="7"/>
      <c r="P148" s="7"/>
      <c r="Q148" s="7"/>
      <c r="R148" s="64"/>
      <c r="S148" s="168" t="s">
        <v>3528</v>
      </c>
      <c r="T148" s="64"/>
      <c r="U148" s="64"/>
      <c r="V148" s="64"/>
      <c r="W148" s="64"/>
    </row>
    <row r="149" spans="1:23" ht="30" customHeight="1">
      <c r="A149" s="8"/>
      <c r="B149" s="7"/>
      <c r="C149" s="33"/>
      <c r="D149" s="7"/>
      <c r="E149" s="7"/>
      <c r="F149" s="7"/>
      <c r="G149" s="7"/>
      <c r="H149" s="7"/>
      <c r="I149" s="7"/>
      <c r="J149" s="7"/>
      <c r="K149" s="7"/>
      <c r="L149" s="7"/>
      <c r="M149" s="7"/>
      <c r="N149" s="7"/>
      <c r="O149" s="7"/>
      <c r="P149" s="7"/>
      <c r="Q149" s="7"/>
      <c r="R149" s="64"/>
      <c r="S149" s="168" t="s">
        <v>3529</v>
      </c>
      <c r="T149" s="64"/>
      <c r="U149" s="64"/>
      <c r="V149" s="64"/>
      <c r="W149" s="64"/>
    </row>
    <row r="150" spans="1:23" ht="30" customHeight="1">
      <c r="A150" s="8"/>
      <c r="B150" s="7"/>
      <c r="C150" s="33"/>
      <c r="D150" s="7"/>
      <c r="E150" s="7"/>
      <c r="F150" s="7"/>
      <c r="G150" s="7"/>
      <c r="H150" s="7"/>
      <c r="I150" s="7"/>
      <c r="J150" s="7"/>
      <c r="K150" s="7"/>
      <c r="L150" s="7"/>
      <c r="M150" s="7"/>
      <c r="N150" s="7"/>
      <c r="O150" s="7"/>
      <c r="P150" s="7"/>
      <c r="Q150" s="7"/>
      <c r="R150" s="64"/>
      <c r="S150" s="168" t="s">
        <v>3530</v>
      </c>
      <c r="T150" s="64"/>
      <c r="U150" s="64"/>
      <c r="V150" s="64"/>
      <c r="W150" s="64"/>
    </row>
    <row r="151" spans="1:23" ht="30" customHeight="1">
      <c r="A151" s="8"/>
      <c r="B151" s="7"/>
      <c r="C151" s="33"/>
      <c r="D151" s="7"/>
      <c r="E151" s="7"/>
      <c r="F151" s="7"/>
      <c r="G151" s="7"/>
      <c r="H151" s="7"/>
      <c r="I151" s="7"/>
      <c r="J151" s="7"/>
      <c r="K151" s="7"/>
      <c r="L151" s="7"/>
      <c r="M151" s="7"/>
      <c r="N151" s="7"/>
      <c r="O151" s="7"/>
      <c r="P151" s="7"/>
      <c r="Q151" s="7"/>
      <c r="R151" s="64"/>
      <c r="S151" s="168" t="s">
        <v>3531</v>
      </c>
      <c r="T151" s="64"/>
      <c r="U151" s="64"/>
      <c r="V151" s="64"/>
      <c r="W151" s="64"/>
    </row>
    <row r="152" spans="1:23" ht="30" customHeight="1">
      <c r="A152" s="8"/>
      <c r="B152" s="7"/>
      <c r="C152" s="33"/>
      <c r="D152" s="7"/>
      <c r="E152" s="7"/>
      <c r="F152" s="7"/>
      <c r="G152" s="7"/>
      <c r="H152" s="7"/>
      <c r="I152" s="7"/>
      <c r="J152" s="7"/>
      <c r="K152" s="7"/>
      <c r="L152" s="7"/>
      <c r="M152" s="7"/>
      <c r="N152" s="7"/>
      <c r="O152" s="7"/>
      <c r="P152" s="7"/>
      <c r="Q152" s="7"/>
      <c r="R152" s="64"/>
      <c r="S152" s="168" t="s">
        <v>3532</v>
      </c>
      <c r="T152" s="64"/>
      <c r="U152" s="64"/>
      <c r="V152" s="64"/>
      <c r="W152" s="64"/>
    </row>
    <row r="153" spans="1:23" ht="30" customHeight="1">
      <c r="A153" s="8"/>
      <c r="B153" s="7"/>
      <c r="C153" s="33"/>
      <c r="D153" s="7"/>
      <c r="E153" s="7"/>
      <c r="F153" s="7"/>
      <c r="G153" s="7"/>
      <c r="H153" s="7"/>
      <c r="I153" s="7"/>
      <c r="J153" s="7"/>
      <c r="K153" s="7"/>
      <c r="L153" s="7"/>
      <c r="M153" s="7"/>
      <c r="N153" s="7"/>
      <c r="O153" s="7"/>
      <c r="P153" s="7"/>
      <c r="Q153" s="7"/>
      <c r="R153" s="64"/>
      <c r="S153" s="168" t="s">
        <v>3533</v>
      </c>
      <c r="T153" s="64"/>
      <c r="U153" s="64"/>
      <c r="V153" s="64"/>
      <c r="W153" s="64"/>
    </row>
    <row r="154" spans="1:23" ht="30" customHeight="1">
      <c r="A154" s="8"/>
      <c r="B154" s="7"/>
      <c r="C154" s="33"/>
      <c r="D154" s="7"/>
      <c r="E154" s="7"/>
      <c r="F154" s="7"/>
      <c r="G154" s="7"/>
      <c r="H154" s="7"/>
      <c r="I154" s="7"/>
      <c r="J154" s="7"/>
      <c r="K154" s="7"/>
      <c r="L154" s="7"/>
      <c r="M154" s="7"/>
      <c r="N154" s="7"/>
      <c r="O154" s="7"/>
      <c r="P154" s="7"/>
      <c r="Q154" s="7"/>
      <c r="R154" s="64"/>
      <c r="S154" s="168" t="s">
        <v>3534</v>
      </c>
      <c r="T154" s="64"/>
      <c r="U154" s="64"/>
      <c r="V154" s="64"/>
      <c r="W154" s="64"/>
    </row>
    <row r="155" spans="1:23" ht="30" customHeight="1">
      <c r="A155" s="8"/>
      <c r="B155" s="7"/>
      <c r="C155" s="33"/>
      <c r="D155" s="7"/>
      <c r="E155" s="7"/>
      <c r="F155" s="7"/>
      <c r="G155" s="7"/>
      <c r="H155" s="7"/>
      <c r="I155" s="7"/>
      <c r="J155" s="7"/>
      <c r="K155" s="7"/>
      <c r="L155" s="7"/>
      <c r="M155" s="7"/>
      <c r="N155" s="7"/>
      <c r="O155" s="7"/>
      <c r="P155" s="7"/>
      <c r="Q155" s="7"/>
      <c r="R155" s="64"/>
      <c r="S155" s="168" t="s">
        <v>3535</v>
      </c>
      <c r="T155" s="64"/>
      <c r="U155" s="64"/>
      <c r="V155" s="64"/>
      <c r="W155" s="64"/>
    </row>
    <row r="156" spans="1:23" ht="30" customHeight="1">
      <c r="A156" s="8"/>
      <c r="B156" s="7"/>
      <c r="C156" s="33"/>
      <c r="D156" s="7"/>
      <c r="E156" s="7"/>
      <c r="F156" s="7"/>
      <c r="G156" s="7"/>
      <c r="H156" s="7"/>
      <c r="I156" s="7"/>
      <c r="J156" s="7"/>
      <c r="K156" s="7"/>
      <c r="L156" s="7"/>
      <c r="M156" s="7"/>
      <c r="N156" s="7"/>
      <c r="O156" s="7"/>
      <c r="P156" s="7"/>
      <c r="Q156" s="7"/>
      <c r="R156" s="64"/>
      <c r="S156" s="168" t="s">
        <v>3536</v>
      </c>
      <c r="T156" s="64"/>
      <c r="U156" s="64"/>
      <c r="V156" s="64"/>
      <c r="W156" s="64"/>
    </row>
    <row r="157" spans="1:23" ht="30" customHeight="1">
      <c r="A157" s="8"/>
      <c r="B157" s="7"/>
      <c r="C157" s="33"/>
      <c r="D157" s="7"/>
      <c r="E157" s="7"/>
      <c r="F157" s="7"/>
      <c r="G157" s="7"/>
      <c r="H157" s="7"/>
      <c r="I157" s="7"/>
      <c r="J157" s="7"/>
      <c r="K157" s="7"/>
      <c r="L157" s="7"/>
      <c r="M157" s="7"/>
      <c r="N157" s="7"/>
      <c r="O157" s="7"/>
      <c r="P157" s="7"/>
      <c r="Q157" s="7"/>
      <c r="R157" s="64"/>
      <c r="S157" s="168" t="s">
        <v>3537</v>
      </c>
      <c r="T157" s="64"/>
      <c r="U157" s="64"/>
      <c r="V157" s="64"/>
      <c r="W157" s="64"/>
    </row>
    <row r="158" spans="1:23" ht="30" customHeight="1">
      <c r="A158" s="8"/>
      <c r="B158" s="7"/>
      <c r="C158" s="33"/>
      <c r="D158" s="7"/>
      <c r="E158" s="7"/>
      <c r="F158" s="7"/>
      <c r="G158" s="7"/>
      <c r="H158" s="7"/>
      <c r="I158" s="7"/>
      <c r="J158" s="7"/>
      <c r="K158" s="7"/>
      <c r="L158" s="7"/>
      <c r="M158" s="7"/>
      <c r="N158" s="7"/>
      <c r="O158" s="7"/>
      <c r="P158" s="7"/>
      <c r="Q158" s="7"/>
      <c r="R158" s="64"/>
      <c r="S158" s="168" t="s">
        <v>3538</v>
      </c>
      <c r="T158" s="64"/>
      <c r="U158" s="64"/>
      <c r="V158" s="64"/>
      <c r="W158" s="64"/>
    </row>
    <row r="159" spans="1:23" ht="30" customHeight="1">
      <c r="A159" s="8"/>
      <c r="B159" s="7"/>
      <c r="C159" s="33"/>
      <c r="D159" s="7"/>
      <c r="E159" s="7"/>
      <c r="F159" s="7"/>
      <c r="G159" s="7"/>
      <c r="H159" s="7"/>
      <c r="I159" s="7"/>
      <c r="J159" s="7"/>
      <c r="K159" s="7"/>
      <c r="L159" s="7"/>
      <c r="M159" s="7"/>
      <c r="N159" s="7"/>
      <c r="O159" s="7"/>
      <c r="P159" s="7"/>
      <c r="Q159" s="7"/>
      <c r="R159" s="64"/>
      <c r="S159" s="168" t="s">
        <v>3539</v>
      </c>
      <c r="T159" s="64"/>
      <c r="U159" s="64"/>
      <c r="V159" s="64"/>
      <c r="W159" s="64"/>
    </row>
    <row r="160" spans="1:23" ht="30" customHeight="1">
      <c r="A160" s="8"/>
      <c r="B160" s="7"/>
      <c r="C160" s="33"/>
      <c r="D160" s="7"/>
      <c r="E160" s="7"/>
      <c r="F160" s="7"/>
      <c r="G160" s="7"/>
      <c r="H160" s="7"/>
      <c r="I160" s="7"/>
      <c r="J160" s="7"/>
      <c r="K160" s="7"/>
      <c r="L160" s="7"/>
      <c r="M160" s="7"/>
      <c r="N160" s="7"/>
      <c r="O160" s="7"/>
      <c r="P160" s="7"/>
      <c r="Q160" s="7"/>
      <c r="R160" s="64"/>
      <c r="S160" s="168" t="s">
        <v>3540</v>
      </c>
      <c r="T160" s="64"/>
      <c r="U160" s="64"/>
      <c r="V160" s="64"/>
      <c r="W160" s="64"/>
    </row>
    <row r="161" spans="1:23" ht="30" customHeight="1">
      <c r="A161" s="8"/>
      <c r="B161" s="7"/>
      <c r="C161" s="33"/>
      <c r="D161" s="7"/>
      <c r="E161" s="7"/>
      <c r="F161" s="7"/>
      <c r="G161" s="7"/>
      <c r="H161" s="7"/>
      <c r="I161" s="7"/>
      <c r="J161" s="7"/>
      <c r="K161" s="7"/>
      <c r="L161" s="7"/>
      <c r="M161" s="7"/>
      <c r="N161" s="7"/>
      <c r="O161" s="7"/>
      <c r="P161" s="7"/>
      <c r="Q161" s="7"/>
      <c r="R161" s="64"/>
      <c r="S161" s="168" t="s">
        <v>3541</v>
      </c>
      <c r="T161" s="64"/>
      <c r="U161" s="64"/>
      <c r="V161" s="64"/>
      <c r="W161" s="64"/>
    </row>
    <row r="162" spans="1:23" ht="30" customHeight="1">
      <c r="A162" s="8"/>
      <c r="B162" s="7"/>
      <c r="C162" s="33"/>
      <c r="D162" s="7"/>
      <c r="E162" s="7"/>
      <c r="F162" s="7"/>
      <c r="G162" s="7"/>
      <c r="H162" s="7"/>
      <c r="I162" s="7"/>
      <c r="J162" s="7"/>
      <c r="K162" s="7"/>
      <c r="L162" s="7"/>
      <c r="M162" s="7"/>
      <c r="N162" s="7"/>
      <c r="O162" s="7"/>
      <c r="P162" s="7"/>
      <c r="Q162" s="7"/>
      <c r="R162" s="64"/>
      <c r="S162" s="168" t="s">
        <v>3542</v>
      </c>
      <c r="T162" s="64"/>
      <c r="U162" s="64"/>
      <c r="V162" s="64"/>
      <c r="W162" s="64"/>
    </row>
    <row r="163" spans="1:23" ht="30" customHeight="1">
      <c r="A163" s="8"/>
      <c r="B163" s="7"/>
      <c r="C163" s="33"/>
      <c r="D163" s="7"/>
      <c r="E163" s="7"/>
      <c r="F163" s="7"/>
      <c r="G163" s="7"/>
      <c r="H163" s="7"/>
      <c r="I163" s="7"/>
      <c r="J163" s="7"/>
      <c r="K163" s="7"/>
      <c r="L163" s="7"/>
      <c r="M163" s="7"/>
      <c r="N163" s="7"/>
      <c r="O163" s="7"/>
      <c r="P163" s="7"/>
      <c r="Q163" s="7"/>
      <c r="R163" s="64"/>
      <c r="S163" s="168" t="s">
        <v>3543</v>
      </c>
      <c r="T163" s="64"/>
      <c r="U163" s="64"/>
      <c r="V163" s="64"/>
      <c r="W163" s="64"/>
    </row>
    <row r="164" spans="1:23" ht="30" customHeight="1">
      <c r="A164" s="8"/>
      <c r="B164" s="7"/>
      <c r="C164" s="33"/>
      <c r="D164" s="7"/>
      <c r="E164" s="7"/>
      <c r="F164" s="7"/>
      <c r="G164" s="7"/>
      <c r="H164" s="7"/>
      <c r="I164" s="7"/>
      <c r="J164" s="7"/>
      <c r="K164" s="7"/>
      <c r="L164" s="7"/>
      <c r="M164" s="7"/>
      <c r="N164" s="7"/>
      <c r="O164" s="7"/>
      <c r="P164" s="7"/>
      <c r="Q164" s="7"/>
      <c r="R164" s="64"/>
      <c r="S164" s="168" t="s">
        <v>3544</v>
      </c>
      <c r="T164" s="64"/>
      <c r="U164" s="64"/>
      <c r="V164" s="64"/>
      <c r="W164" s="64"/>
    </row>
    <row r="165" spans="1:23" ht="30" customHeight="1">
      <c r="A165" s="8"/>
      <c r="B165" s="7"/>
      <c r="C165" s="33"/>
      <c r="D165" s="7"/>
      <c r="E165" s="7"/>
      <c r="F165" s="7"/>
      <c r="G165" s="7"/>
      <c r="H165" s="7"/>
      <c r="I165" s="7"/>
      <c r="J165" s="7"/>
      <c r="K165" s="7"/>
      <c r="L165" s="7"/>
      <c r="M165" s="7"/>
      <c r="N165" s="7"/>
      <c r="O165" s="7"/>
      <c r="P165" s="7"/>
      <c r="Q165" s="7"/>
      <c r="R165" s="64"/>
      <c r="S165" s="168" t="s">
        <v>3545</v>
      </c>
      <c r="T165" s="64"/>
      <c r="U165" s="64"/>
      <c r="V165" s="64"/>
      <c r="W165" s="64"/>
    </row>
    <row r="166" spans="1:23" ht="30" customHeight="1">
      <c r="A166" s="8"/>
      <c r="B166" s="7"/>
      <c r="C166" s="33"/>
      <c r="D166" s="7"/>
      <c r="E166" s="7"/>
      <c r="F166" s="7"/>
      <c r="G166" s="7"/>
      <c r="H166" s="7"/>
      <c r="I166" s="7"/>
      <c r="J166" s="7"/>
      <c r="K166" s="7"/>
      <c r="L166" s="7"/>
      <c r="M166" s="7"/>
      <c r="N166" s="7"/>
      <c r="O166" s="7"/>
      <c r="P166" s="7"/>
      <c r="Q166" s="7"/>
      <c r="R166" s="64"/>
      <c r="S166" s="168" t="s">
        <v>3546</v>
      </c>
      <c r="T166" s="64"/>
      <c r="U166" s="64"/>
      <c r="V166" s="64"/>
      <c r="W166" s="64"/>
    </row>
    <row r="167" spans="1:23" ht="30" customHeight="1">
      <c r="A167" s="8"/>
      <c r="B167" s="7"/>
      <c r="C167" s="33"/>
      <c r="D167" s="7"/>
      <c r="E167" s="7"/>
      <c r="F167" s="7"/>
      <c r="G167" s="7"/>
      <c r="H167" s="7"/>
      <c r="I167" s="7"/>
      <c r="J167" s="7"/>
      <c r="K167" s="7"/>
      <c r="L167" s="7"/>
      <c r="M167" s="7"/>
      <c r="N167" s="7"/>
      <c r="O167" s="7"/>
      <c r="P167" s="7"/>
      <c r="Q167" s="7"/>
      <c r="R167" s="64"/>
      <c r="S167" s="168" t="s">
        <v>3547</v>
      </c>
      <c r="T167" s="64"/>
      <c r="U167" s="64"/>
      <c r="V167" s="64"/>
      <c r="W167" s="64"/>
    </row>
    <row r="168" spans="1:23" ht="30" customHeight="1">
      <c r="A168" s="8"/>
      <c r="B168" s="7"/>
      <c r="C168" s="33"/>
      <c r="D168" s="7"/>
      <c r="E168" s="7"/>
      <c r="F168" s="7"/>
      <c r="G168" s="7"/>
      <c r="H168" s="7"/>
      <c r="I168" s="7"/>
      <c r="J168" s="7"/>
      <c r="K168" s="7"/>
      <c r="L168" s="7"/>
      <c r="M168" s="7"/>
      <c r="N168" s="7"/>
      <c r="O168" s="7"/>
      <c r="P168" s="7"/>
      <c r="Q168" s="7"/>
      <c r="R168" s="64"/>
      <c r="S168" s="168" t="s">
        <v>3548</v>
      </c>
      <c r="T168" s="64"/>
      <c r="U168" s="64"/>
      <c r="V168" s="64"/>
      <c r="W168" s="64"/>
    </row>
    <row r="169" spans="1:23" ht="30" customHeight="1">
      <c r="A169" s="8"/>
      <c r="B169" s="7"/>
      <c r="C169" s="33"/>
      <c r="D169" s="7"/>
      <c r="E169" s="7"/>
      <c r="F169" s="7"/>
      <c r="G169" s="7"/>
      <c r="H169" s="7"/>
      <c r="I169" s="7"/>
      <c r="J169" s="7"/>
      <c r="K169" s="7"/>
      <c r="L169" s="7"/>
      <c r="M169" s="7"/>
      <c r="N169" s="7"/>
      <c r="O169" s="7"/>
      <c r="P169" s="7"/>
      <c r="Q169" s="7"/>
      <c r="R169" s="64"/>
      <c r="S169" s="168" t="s">
        <v>3549</v>
      </c>
      <c r="T169" s="64"/>
      <c r="U169" s="64"/>
      <c r="V169" s="64"/>
      <c r="W169" s="64"/>
    </row>
    <row r="170" spans="1:23" ht="30" customHeight="1">
      <c r="A170" s="8"/>
      <c r="B170" s="7"/>
      <c r="C170" s="33"/>
      <c r="D170" s="7"/>
      <c r="E170" s="7"/>
      <c r="F170" s="7"/>
      <c r="G170" s="7"/>
      <c r="H170" s="7"/>
      <c r="I170" s="7"/>
      <c r="J170" s="7"/>
      <c r="K170" s="7"/>
      <c r="L170" s="7"/>
      <c r="M170" s="7"/>
      <c r="N170" s="7"/>
      <c r="O170" s="7"/>
      <c r="P170" s="7"/>
      <c r="Q170" s="7"/>
      <c r="R170" s="64"/>
      <c r="S170" s="168" t="s">
        <v>3550</v>
      </c>
      <c r="T170" s="64"/>
      <c r="U170" s="64"/>
      <c r="V170" s="64"/>
      <c r="W170" s="64"/>
    </row>
    <row r="171" spans="1:23" ht="30" customHeight="1">
      <c r="A171" s="8"/>
      <c r="B171" s="7"/>
      <c r="C171" s="33"/>
      <c r="D171" s="7"/>
      <c r="E171" s="7"/>
      <c r="F171" s="7"/>
      <c r="G171" s="7"/>
      <c r="H171" s="7"/>
      <c r="I171" s="7"/>
      <c r="J171" s="7"/>
      <c r="K171" s="7"/>
      <c r="L171" s="7"/>
      <c r="M171" s="7"/>
      <c r="N171" s="7"/>
      <c r="O171" s="7"/>
      <c r="P171" s="7"/>
      <c r="Q171" s="7"/>
      <c r="R171" s="64"/>
      <c r="S171" s="168" t="s">
        <v>3551</v>
      </c>
      <c r="T171" s="64"/>
      <c r="U171" s="64"/>
      <c r="V171" s="64"/>
      <c r="W171" s="64"/>
    </row>
    <row r="172" spans="1:23" ht="30" customHeight="1">
      <c r="A172" s="8"/>
      <c r="B172" s="7"/>
      <c r="C172" s="33"/>
      <c r="D172" s="7"/>
      <c r="E172" s="7"/>
      <c r="F172" s="7"/>
      <c r="G172" s="7"/>
      <c r="H172" s="7"/>
      <c r="I172" s="7"/>
      <c r="J172" s="7"/>
      <c r="K172" s="7"/>
      <c r="L172" s="7"/>
      <c r="M172" s="7"/>
      <c r="N172" s="7"/>
      <c r="O172" s="7"/>
      <c r="P172" s="7"/>
      <c r="Q172" s="7"/>
      <c r="R172" s="64"/>
      <c r="S172" s="168" t="s">
        <v>3552</v>
      </c>
      <c r="T172" s="64"/>
      <c r="U172" s="64"/>
      <c r="V172" s="64"/>
      <c r="W172" s="64"/>
    </row>
    <row r="173" spans="1:23" ht="30" customHeight="1">
      <c r="A173" s="8"/>
      <c r="B173" s="7"/>
      <c r="C173" s="33"/>
      <c r="D173" s="7"/>
      <c r="E173" s="7"/>
      <c r="F173" s="7"/>
      <c r="G173" s="7"/>
      <c r="H173" s="7"/>
      <c r="I173" s="7"/>
      <c r="J173" s="7"/>
      <c r="K173" s="7"/>
      <c r="L173" s="7"/>
      <c r="M173" s="7"/>
      <c r="N173" s="7"/>
      <c r="O173" s="7"/>
      <c r="P173" s="7"/>
      <c r="Q173" s="7"/>
      <c r="R173" s="64"/>
      <c r="S173" s="168" t="s">
        <v>3553</v>
      </c>
      <c r="T173" s="64"/>
      <c r="U173" s="64"/>
      <c r="V173" s="64"/>
      <c r="W173" s="64"/>
    </row>
    <row r="174" spans="1:23" ht="30" customHeight="1">
      <c r="A174" s="8"/>
      <c r="B174" s="7"/>
      <c r="C174" s="33"/>
      <c r="D174" s="7"/>
      <c r="E174" s="7"/>
      <c r="F174" s="7"/>
      <c r="G174" s="7"/>
      <c r="H174" s="7"/>
      <c r="I174" s="7"/>
      <c r="J174" s="7"/>
      <c r="K174" s="7"/>
      <c r="L174" s="7"/>
      <c r="M174" s="7"/>
      <c r="N174" s="7"/>
      <c r="O174" s="7"/>
      <c r="P174" s="7"/>
      <c r="Q174" s="7"/>
      <c r="R174" s="64"/>
      <c r="S174" s="168" t="s">
        <v>3554</v>
      </c>
      <c r="T174" s="64"/>
      <c r="U174" s="64"/>
      <c r="V174" s="64"/>
      <c r="W174" s="64"/>
    </row>
    <row r="175" spans="1:23" ht="30" customHeight="1">
      <c r="A175" s="8"/>
      <c r="B175" s="7"/>
      <c r="C175" s="33"/>
      <c r="D175" s="7"/>
      <c r="E175" s="7"/>
      <c r="F175" s="7"/>
      <c r="G175" s="7"/>
      <c r="H175" s="7"/>
      <c r="I175" s="7"/>
      <c r="J175" s="7"/>
      <c r="K175" s="7"/>
      <c r="L175" s="7"/>
      <c r="M175" s="7"/>
      <c r="N175" s="7"/>
      <c r="O175" s="7"/>
      <c r="P175" s="7"/>
      <c r="Q175" s="7"/>
      <c r="R175" s="64"/>
      <c r="S175" s="168" t="s">
        <v>3555</v>
      </c>
      <c r="T175" s="64"/>
      <c r="U175" s="64"/>
      <c r="V175" s="64"/>
      <c r="W175" s="64"/>
    </row>
    <row r="176" spans="1:23" ht="30" customHeight="1">
      <c r="A176" s="8"/>
      <c r="B176" s="7"/>
      <c r="C176" s="33"/>
      <c r="D176" s="7"/>
      <c r="E176" s="7"/>
      <c r="F176" s="7"/>
      <c r="G176" s="7"/>
      <c r="H176" s="7"/>
      <c r="I176" s="7"/>
      <c r="J176" s="7"/>
      <c r="K176" s="7"/>
      <c r="L176" s="7"/>
      <c r="M176" s="7"/>
      <c r="N176" s="7"/>
      <c r="O176" s="7"/>
      <c r="P176" s="7"/>
      <c r="Q176" s="7"/>
      <c r="R176" s="64"/>
      <c r="S176" s="168" t="s">
        <v>3556</v>
      </c>
      <c r="T176" s="64"/>
      <c r="U176" s="64"/>
      <c r="V176" s="64"/>
      <c r="W176" s="64"/>
    </row>
    <row r="177" spans="1:23" ht="30" customHeight="1">
      <c r="A177" s="8"/>
      <c r="B177" s="7"/>
      <c r="C177" s="33"/>
      <c r="D177" s="7"/>
      <c r="E177" s="7"/>
      <c r="F177" s="7"/>
      <c r="G177" s="7"/>
      <c r="H177" s="7"/>
      <c r="I177" s="7"/>
      <c r="J177" s="7"/>
      <c r="K177" s="7"/>
      <c r="L177" s="7"/>
      <c r="M177" s="7"/>
      <c r="N177" s="7"/>
      <c r="O177" s="7"/>
      <c r="P177" s="7"/>
      <c r="Q177" s="7"/>
      <c r="R177" s="64"/>
      <c r="S177" s="168" t="s">
        <v>3557</v>
      </c>
      <c r="T177" s="64"/>
      <c r="U177" s="64"/>
      <c r="V177" s="64"/>
      <c r="W177" s="64"/>
    </row>
    <row r="178" spans="1:23" ht="30" customHeight="1">
      <c r="A178" s="8"/>
      <c r="B178" s="7"/>
      <c r="C178" s="33"/>
      <c r="D178" s="7"/>
      <c r="E178" s="7"/>
      <c r="F178" s="7"/>
      <c r="G178" s="7"/>
      <c r="H178" s="7"/>
      <c r="I178" s="7"/>
      <c r="J178" s="7"/>
      <c r="K178" s="7"/>
      <c r="L178" s="7"/>
      <c r="M178" s="7"/>
      <c r="N178" s="7"/>
      <c r="O178" s="7"/>
      <c r="P178" s="7"/>
      <c r="Q178" s="7"/>
      <c r="R178" s="64"/>
      <c r="S178" s="168" t="s">
        <v>3558</v>
      </c>
      <c r="T178" s="64"/>
      <c r="U178" s="64"/>
      <c r="V178" s="64"/>
      <c r="W178" s="64"/>
    </row>
    <row r="179" spans="1:23" ht="30" customHeight="1">
      <c r="A179" s="8"/>
      <c r="B179" s="7"/>
      <c r="C179" s="33"/>
      <c r="D179" s="7"/>
      <c r="E179" s="7"/>
      <c r="F179" s="7"/>
      <c r="G179" s="7"/>
      <c r="H179" s="7"/>
      <c r="I179" s="7"/>
      <c r="J179" s="7"/>
      <c r="K179" s="7"/>
      <c r="L179" s="7"/>
      <c r="M179" s="7"/>
      <c r="N179" s="7"/>
      <c r="O179" s="7"/>
      <c r="P179" s="7"/>
      <c r="Q179" s="7"/>
      <c r="R179" s="64"/>
      <c r="S179" s="168" t="s">
        <v>3559</v>
      </c>
      <c r="T179" s="64"/>
      <c r="U179" s="64"/>
      <c r="V179" s="64"/>
      <c r="W179" s="64"/>
    </row>
    <row r="180" spans="1:23" ht="30" customHeight="1">
      <c r="A180" s="8"/>
      <c r="B180" s="7"/>
      <c r="C180" s="33"/>
      <c r="D180" s="7"/>
      <c r="E180" s="7"/>
      <c r="F180" s="7"/>
      <c r="G180" s="7"/>
      <c r="H180" s="7"/>
      <c r="I180" s="7"/>
      <c r="J180" s="7"/>
      <c r="K180" s="7"/>
      <c r="L180" s="7"/>
      <c r="M180" s="7"/>
      <c r="N180" s="7"/>
      <c r="O180" s="7"/>
      <c r="P180" s="7"/>
      <c r="Q180" s="7"/>
      <c r="R180" s="64"/>
      <c r="S180" s="168" t="s">
        <v>3560</v>
      </c>
      <c r="T180" s="64"/>
      <c r="U180" s="64"/>
      <c r="V180" s="64"/>
      <c r="W180" s="64"/>
    </row>
    <row r="181" spans="1:23" ht="30" customHeight="1">
      <c r="A181" s="8"/>
      <c r="B181" s="7"/>
      <c r="C181" s="33"/>
      <c r="D181" s="7"/>
      <c r="E181" s="7"/>
      <c r="F181" s="7"/>
      <c r="G181" s="7"/>
      <c r="H181" s="7"/>
      <c r="I181" s="7"/>
      <c r="J181" s="7"/>
      <c r="K181" s="7"/>
      <c r="L181" s="7"/>
      <c r="M181" s="7"/>
      <c r="N181" s="7"/>
      <c r="O181" s="7"/>
      <c r="P181" s="7"/>
      <c r="Q181" s="7"/>
      <c r="R181" s="64"/>
      <c r="S181" s="168" t="s">
        <v>3561</v>
      </c>
      <c r="T181" s="64"/>
      <c r="U181" s="64"/>
      <c r="V181" s="64"/>
      <c r="W181" s="64"/>
    </row>
    <row r="182" spans="1:23" ht="30" customHeight="1">
      <c r="A182" s="8"/>
      <c r="B182" s="7"/>
      <c r="C182" s="33"/>
      <c r="D182" s="7"/>
      <c r="E182" s="7"/>
      <c r="F182" s="7"/>
      <c r="G182" s="7"/>
      <c r="H182" s="7"/>
      <c r="I182" s="7"/>
      <c r="J182" s="7"/>
      <c r="K182" s="7"/>
      <c r="L182" s="7"/>
      <c r="M182" s="7"/>
      <c r="N182" s="7"/>
      <c r="O182" s="7"/>
      <c r="P182" s="7"/>
      <c r="Q182" s="7"/>
      <c r="R182" s="64"/>
      <c r="S182" s="168" t="s">
        <v>3562</v>
      </c>
      <c r="T182" s="64"/>
      <c r="U182" s="64"/>
      <c r="V182" s="64"/>
      <c r="W182" s="64"/>
    </row>
    <row r="183" spans="1:23" ht="30" customHeight="1">
      <c r="A183" s="8"/>
      <c r="B183" s="7"/>
      <c r="C183" s="33"/>
      <c r="D183" s="7"/>
      <c r="E183" s="7"/>
      <c r="F183" s="7"/>
      <c r="G183" s="7"/>
      <c r="H183" s="7"/>
      <c r="I183" s="7"/>
      <c r="J183" s="7"/>
      <c r="K183" s="7"/>
      <c r="L183" s="7"/>
      <c r="M183" s="7"/>
      <c r="N183" s="7"/>
      <c r="O183" s="7"/>
      <c r="P183" s="7"/>
      <c r="Q183" s="7"/>
      <c r="R183" s="64"/>
      <c r="S183" s="168" t="s">
        <v>3563</v>
      </c>
      <c r="T183" s="64"/>
      <c r="U183" s="64"/>
      <c r="V183" s="64"/>
      <c r="W183" s="64"/>
    </row>
    <row r="184" spans="1:23" ht="30" customHeight="1">
      <c r="A184" s="8"/>
      <c r="B184" s="7"/>
      <c r="C184" s="33"/>
      <c r="D184" s="7"/>
      <c r="E184" s="7"/>
      <c r="F184" s="7"/>
      <c r="G184" s="7"/>
      <c r="H184" s="7"/>
      <c r="I184" s="7"/>
      <c r="J184" s="7"/>
      <c r="K184" s="7"/>
      <c r="L184" s="7"/>
      <c r="M184" s="7"/>
      <c r="N184" s="7"/>
      <c r="O184" s="7"/>
      <c r="P184" s="7"/>
      <c r="Q184" s="7"/>
      <c r="R184" s="64"/>
      <c r="S184" s="168" t="s">
        <v>3564</v>
      </c>
      <c r="T184" s="64"/>
      <c r="U184" s="64"/>
      <c r="V184" s="64"/>
      <c r="W184" s="64"/>
    </row>
    <row r="185" spans="1:23" ht="30" customHeight="1">
      <c r="A185" s="8"/>
      <c r="B185" s="7"/>
      <c r="C185" s="33"/>
      <c r="D185" s="7"/>
      <c r="E185" s="7"/>
      <c r="F185" s="7"/>
      <c r="G185" s="7"/>
      <c r="H185" s="7"/>
      <c r="I185" s="7"/>
      <c r="J185" s="7"/>
      <c r="K185" s="7"/>
      <c r="L185" s="7"/>
      <c r="M185" s="7"/>
      <c r="N185" s="7"/>
      <c r="O185" s="7"/>
      <c r="P185" s="7"/>
      <c r="Q185" s="7"/>
      <c r="R185" s="64"/>
      <c r="S185" s="168" t="s">
        <v>3565</v>
      </c>
      <c r="T185" s="64"/>
      <c r="U185" s="64"/>
      <c r="V185" s="64"/>
      <c r="W185" s="64"/>
    </row>
    <row r="186" spans="1:23" ht="30" customHeight="1">
      <c r="A186" s="8"/>
      <c r="B186" s="7"/>
      <c r="C186" s="33"/>
      <c r="D186" s="7"/>
      <c r="E186" s="7"/>
      <c r="F186" s="7"/>
      <c r="G186" s="7"/>
      <c r="H186" s="7"/>
      <c r="I186" s="7"/>
      <c r="J186" s="7"/>
      <c r="K186" s="7"/>
      <c r="L186" s="7"/>
      <c r="M186" s="7"/>
      <c r="N186" s="7"/>
      <c r="O186" s="7"/>
      <c r="P186" s="7"/>
      <c r="Q186" s="7"/>
      <c r="R186" s="64"/>
      <c r="S186" s="168" t="s">
        <v>3566</v>
      </c>
      <c r="T186" s="64"/>
      <c r="U186" s="64"/>
      <c r="V186" s="64"/>
      <c r="W186" s="64"/>
    </row>
    <row r="187" spans="1:23" ht="30" customHeight="1">
      <c r="A187" s="8"/>
      <c r="B187" s="7"/>
      <c r="C187" s="33"/>
      <c r="D187" s="7"/>
      <c r="E187" s="7"/>
      <c r="F187" s="7"/>
      <c r="G187" s="7"/>
      <c r="H187" s="7"/>
      <c r="I187" s="7"/>
      <c r="J187" s="7"/>
      <c r="K187" s="7"/>
      <c r="L187" s="7"/>
      <c r="M187" s="7"/>
      <c r="N187" s="7"/>
      <c r="O187" s="7"/>
      <c r="P187" s="7"/>
      <c r="Q187" s="7"/>
      <c r="R187" s="64"/>
      <c r="S187" s="168" t="s">
        <v>3567</v>
      </c>
      <c r="T187" s="64"/>
      <c r="U187" s="64"/>
      <c r="V187" s="64"/>
      <c r="W187" s="64"/>
    </row>
    <row r="188" spans="1:23" ht="30" customHeight="1">
      <c r="A188" s="8"/>
      <c r="B188" s="7"/>
      <c r="C188" s="33"/>
      <c r="D188" s="7"/>
      <c r="E188" s="7"/>
      <c r="F188" s="7"/>
      <c r="G188" s="7"/>
      <c r="H188" s="7"/>
      <c r="I188" s="7"/>
      <c r="J188" s="7"/>
      <c r="K188" s="7"/>
      <c r="L188" s="7"/>
      <c r="M188" s="7"/>
      <c r="N188" s="7"/>
      <c r="O188" s="7"/>
      <c r="P188" s="7"/>
      <c r="Q188" s="7"/>
      <c r="R188" s="64"/>
      <c r="S188" s="168" t="s">
        <v>3568</v>
      </c>
      <c r="T188" s="64"/>
      <c r="U188" s="64"/>
      <c r="V188" s="64"/>
      <c r="W188" s="64"/>
    </row>
    <row r="189" spans="1:23" ht="30" customHeight="1">
      <c r="A189" s="8"/>
      <c r="B189" s="7"/>
      <c r="C189" s="33"/>
      <c r="D189" s="7"/>
      <c r="E189" s="7"/>
      <c r="F189" s="7"/>
      <c r="G189" s="7"/>
      <c r="H189" s="7"/>
      <c r="I189" s="7"/>
      <c r="J189" s="7"/>
      <c r="K189" s="7"/>
      <c r="L189" s="7"/>
      <c r="M189" s="7"/>
      <c r="N189" s="7"/>
      <c r="O189" s="7"/>
      <c r="P189" s="7"/>
      <c r="Q189" s="7"/>
      <c r="R189" s="64"/>
      <c r="S189" s="168" t="s">
        <v>3569</v>
      </c>
      <c r="T189" s="64"/>
      <c r="U189" s="64"/>
      <c r="V189" s="64"/>
      <c r="W189" s="64"/>
    </row>
    <row r="190" spans="1:23" ht="30" customHeight="1">
      <c r="A190" s="8"/>
      <c r="B190" s="7"/>
      <c r="C190" s="33"/>
      <c r="D190" s="7"/>
      <c r="E190" s="7"/>
      <c r="F190" s="7"/>
      <c r="G190" s="7"/>
      <c r="H190" s="7"/>
      <c r="I190" s="7"/>
      <c r="J190" s="7"/>
      <c r="K190" s="7"/>
      <c r="L190" s="7"/>
      <c r="M190" s="7"/>
      <c r="N190" s="7"/>
      <c r="O190" s="7"/>
      <c r="P190" s="7"/>
      <c r="Q190" s="7"/>
      <c r="R190" s="64"/>
      <c r="S190" s="168" t="s">
        <v>3570</v>
      </c>
      <c r="T190" s="64"/>
      <c r="U190" s="64"/>
      <c r="V190" s="64"/>
      <c r="W190" s="64"/>
    </row>
    <row r="191" spans="1:23" ht="30" customHeight="1">
      <c r="A191" s="8"/>
      <c r="B191" s="7"/>
      <c r="C191" s="33"/>
      <c r="D191" s="7"/>
      <c r="E191" s="7"/>
      <c r="F191" s="7"/>
      <c r="G191" s="7"/>
      <c r="H191" s="7"/>
      <c r="I191" s="7"/>
      <c r="J191" s="7"/>
      <c r="K191" s="7"/>
      <c r="L191" s="7"/>
      <c r="M191" s="7"/>
      <c r="N191" s="7"/>
      <c r="O191" s="7"/>
      <c r="P191" s="7"/>
      <c r="Q191" s="7"/>
      <c r="R191" s="64"/>
      <c r="S191" s="168" t="s">
        <v>3571</v>
      </c>
      <c r="T191" s="64"/>
      <c r="U191" s="64"/>
      <c r="V191" s="64"/>
      <c r="W191" s="64"/>
    </row>
    <row r="192" spans="1:23" ht="30" customHeight="1">
      <c r="A192" s="8"/>
      <c r="B192" s="7"/>
      <c r="C192" s="33"/>
      <c r="D192" s="7"/>
      <c r="E192" s="7"/>
      <c r="F192" s="7"/>
      <c r="G192" s="7"/>
      <c r="H192" s="7"/>
      <c r="I192" s="7"/>
      <c r="J192" s="7"/>
      <c r="K192" s="7"/>
      <c r="L192" s="7"/>
      <c r="M192" s="7"/>
      <c r="N192" s="7"/>
      <c r="O192" s="7"/>
      <c r="P192" s="7"/>
      <c r="Q192" s="7"/>
      <c r="R192" s="64"/>
      <c r="S192" s="168" t="s">
        <v>3572</v>
      </c>
      <c r="T192" s="64"/>
      <c r="U192" s="64"/>
      <c r="V192" s="64"/>
      <c r="W192" s="64"/>
    </row>
    <row r="193" spans="1:23" ht="30" customHeight="1">
      <c r="A193" s="8"/>
      <c r="B193" s="7"/>
      <c r="C193" s="33"/>
      <c r="D193" s="7"/>
      <c r="E193" s="7"/>
      <c r="F193" s="7"/>
      <c r="G193" s="7"/>
      <c r="H193" s="7"/>
      <c r="I193" s="7"/>
      <c r="J193" s="7"/>
      <c r="K193" s="7"/>
      <c r="L193" s="7"/>
      <c r="M193" s="7"/>
      <c r="N193" s="7"/>
      <c r="O193" s="7"/>
      <c r="P193" s="7"/>
      <c r="Q193" s="7"/>
      <c r="R193" s="64"/>
      <c r="S193" s="168" t="s">
        <v>3573</v>
      </c>
      <c r="T193" s="64"/>
      <c r="U193" s="64"/>
      <c r="V193" s="64"/>
      <c r="W193" s="64"/>
    </row>
    <row r="194" spans="1:23" ht="30" customHeight="1">
      <c r="A194" s="8"/>
      <c r="B194" s="7"/>
      <c r="C194" s="33"/>
      <c r="D194" s="7"/>
      <c r="E194" s="7"/>
      <c r="F194" s="7"/>
      <c r="G194" s="7"/>
      <c r="H194" s="7"/>
      <c r="I194" s="7"/>
      <c r="J194" s="7"/>
      <c r="K194" s="7"/>
      <c r="L194" s="7"/>
      <c r="M194" s="7"/>
      <c r="N194" s="7"/>
      <c r="O194" s="7"/>
      <c r="P194" s="7"/>
      <c r="Q194" s="7"/>
      <c r="R194" s="64"/>
      <c r="S194" s="168" t="s">
        <v>3574</v>
      </c>
      <c r="T194" s="64"/>
      <c r="U194" s="64"/>
      <c r="V194" s="64"/>
      <c r="W194" s="64"/>
    </row>
    <row r="195" spans="1:23" ht="30" customHeight="1">
      <c r="A195" s="8"/>
      <c r="B195" s="7"/>
      <c r="C195" s="33"/>
      <c r="D195" s="7"/>
      <c r="E195" s="7"/>
      <c r="F195" s="7"/>
      <c r="G195" s="7"/>
      <c r="H195" s="7"/>
      <c r="I195" s="7"/>
      <c r="J195" s="7"/>
      <c r="K195" s="7"/>
      <c r="L195" s="7"/>
      <c r="M195" s="7"/>
      <c r="N195" s="7"/>
      <c r="O195" s="7"/>
      <c r="P195" s="7"/>
      <c r="Q195" s="7"/>
      <c r="R195" s="64"/>
      <c r="S195" s="64"/>
      <c r="T195" s="64"/>
      <c r="U195" s="64"/>
      <c r="V195" s="64"/>
      <c r="W195" s="64"/>
    </row>
    <row r="196" spans="1:23" ht="30" customHeight="1">
      <c r="A196" s="8"/>
      <c r="B196" s="7"/>
      <c r="C196" s="33"/>
      <c r="D196" s="7"/>
      <c r="E196" s="7"/>
      <c r="F196" s="7"/>
      <c r="G196" s="7"/>
      <c r="H196" s="7"/>
      <c r="I196" s="7"/>
      <c r="J196" s="7"/>
      <c r="K196" s="7"/>
      <c r="L196" s="7"/>
      <c r="M196" s="7"/>
      <c r="N196" s="7"/>
      <c r="O196" s="7"/>
      <c r="P196" s="7"/>
      <c r="Q196" s="7"/>
      <c r="R196" s="64"/>
      <c r="S196" s="64"/>
      <c r="T196" s="64"/>
      <c r="U196" s="64"/>
      <c r="V196" s="64"/>
      <c r="W196" s="64"/>
    </row>
    <row r="197" spans="1:23" ht="30" customHeight="1">
      <c r="A197" s="8"/>
      <c r="B197" s="7"/>
      <c r="C197" s="33"/>
      <c r="D197" s="7"/>
      <c r="E197" s="7"/>
      <c r="F197" s="7"/>
      <c r="G197" s="7"/>
      <c r="H197" s="7"/>
      <c r="I197" s="7"/>
      <c r="J197" s="7"/>
      <c r="K197" s="7"/>
      <c r="L197" s="7"/>
      <c r="M197" s="7"/>
      <c r="N197" s="7"/>
      <c r="O197" s="7"/>
      <c r="P197" s="7"/>
      <c r="Q197" s="7"/>
      <c r="R197" s="64"/>
      <c r="S197" s="64"/>
      <c r="T197" s="64"/>
      <c r="U197" s="64"/>
      <c r="V197" s="64"/>
      <c r="W197" s="64"/>
    </row>
    <row r="198" spans="1:23" ht="30" customHeight="1">
      <c r="A198" s="8"/>
      <c r="B198" s="7"/>
      <c r="C198" s="33"/>
      <c r="D198" s="7"/>
      <c r="E198" s="7"/>
      <c r="F198" s="7"/>
      <c r="G198" s="7"/>
      <c r="H198" s="7"/>
      <c r="I198" s="7"/>
      <c r="J198" s="7"/>
      <c r="K198" s="7"/>
      <c r="L198" s="7"/>
      <c r="M198" s="7"/>
      <c r="N198" s="7"/>
      <c r="O198" s="7"/>
      <c r="P198" s="7"/>
      <c r="Q198" s="7"/>
      <c r="R198" s="64"/>
      <c r="S198" s="64"/>
      <c r="T198" s="64"/>
      <c r="U198" s="64"/>
      <c r="V198" s="64"/>
      <c r="W198" s="64"/>
    </row>
    <row r="199" spans="1:23" ht="30" customHeight="1">
      <c r="A199" s="8"/>
      <c r="B199" s="7"/>
      <c r="C199" s="33"/>
      <c r="D199" s="7"/>
      <c r="E199" s="7"/>
      <c r="F199" s="7"/>
      <c r="G199" s="7"/>
      <c r="H199" s="7"/>
      <c r="I199" s="7"/>
      <c r="J199" s="7"/>
      <c r="K199" s="7"/>
      <c r="L199" s="7"/>
      <c r="M199" s="7"/>
      <c r="N199" s="7"/>
      <c r="O199" s="7"/>
      <c r="P199" s="7"/>
      <c r="Q199" s="7"/>
      <c r="R199" s="64"/>
      <c r="S199" s="64"/>
      <c r="T199" s="64"/>
      <c r="U199" s="64"/>
      <c r="V199" s="64"/>
      <c r="W199" s="64"/>
    </row>
    <row r="200" spans="1:23" ht="30" customHeight="1">
      <c r="A200" s="8"/>
      <c r="B200" s="7"/>
      <c r="C200" s="33"/>
      <c r="D200" s="7"/>
      <c r="E200" s="7"/>
      <c r="F200" s="7"/>
      <c r="G200" s="7"/>
      <c r="H200" s="7"/>
      <c r="I200" s="7"/>
      <c r="J200" s="7"/>
      <c r="K200" s="7"/>
      <c r="L200" s="7"/>
      <c r="M200" s="7"/>
      <c r="N200" s="7"/>
      <c r="O200" s="7"/>
      <c r="P200" s="7"/>
      <c r="Q200" s="7"/>
      <c r="R200" s="64"/>
      <c r="S200" s="64"/>
      <c r="T200" s="64"/>
      <c r="U200" s="64"/>
      <c r="V200" s="64"/>
      <c r="W200" s="64"/>
    </row>
    <row r="201" spans="1:23" ht="30" customHeight="1">
      <c r="A201" s="8"/>
      <c r="B201" s="7"/>
      <c r="C201" s="33"/>
      <c r="D201" s="7"/>
      <c r="E201" s="7"/>
      <c r="F201" s="7"/>
      <c r="G201" s="7"/>
      <c r="H201" s="7"/>
      <c r="I201" s="7"/>
      <c r="J201" s="7"/>
      <c r="K201" s="7"/>
      <c r="L201" s="7"/>
      <c r="M201" s="7"/>
      <c r="N201" s="7"/>
      <c r="O201" s="7"/>
      <c r="P201" s="7"/>
      <c r="Q201" s="7"/>
      <c r="R201" s="64"/>
      <c r="S201" s="64"/>
      <c r="T201" s="64"/>
      <c r="U201" s="64"/>
      <c r="V201" s="64"/>
      <c r="W201" s="64"/>
    </row>
    <row r="202" spans="1:23" ht="30" customHeight="1">
      <c r="A202" s="8"/>
      <c r="B202" s="7"/>
      <c r="C202" s="33"/>
      <c r="D202" s="7"/>
      <c r="E202" s="7"/>
      <c r="F202" s="7"/>
      <c r="G202" s="7"/>
      <c r="H202" s="7"/>
      <c r="I202" s="7"/>
      <c r="J202" s="7"/>
      <c r="K202" s="7"/>
      <c r="L202" s="7"/>
      <c r="M202" s="7"/>
      <c r="N202" s="7"/>
      <c r="O202" s="7"/>
      <c r="P202" s="7"/>
      <c r="Q202" s="7"/>
      <c r="R202" s="64"/>
      <c r="S202" s="64"/>
      <c r="T202" s="64"/>
      <c r="U202" s="64"/>
      <c r="V202" s="64"/>
      <c r="W202" s="64"/>
    </row>
    <row r="203" spans="1:23" ht="30" customHeight="1">
      <c r="A203" s="8"/>
      <c r="B203" s="7"/>
      <c r="C203" s="33"/>
      <c r="D203" s="7"/>
      <c r="E203" s="7"/>
      <c r="F203" s="7"/>
      <c r="G203" s="7"/>
      <c r="H203" s="7"/>
      <c r="I203" s="7"/>
      <c r="J203" s="7"/>
      <c r="K203" s="7"/>
      <c r="L203" s="7"/>
      <c r="M203" s="7"/>
      <c r="N203" s="7"/>
      <c r="O203" s="7"/>
      <c r="P203" s="7"/>
      <c r="Q203" s="7"/>
      <c r="R203" s="64"/>
      <c r="S203" s="64"/>
      <c r="T203" s="64"/>
      <c r="U203" s="64"/>
      <c r="V203" s="64"/>
      <c r="W203" s="64"/>
    </row>
    <row r="204" spans="1:23" ht="30" customHeight="1">
      <c r="A204" s="8"/>
      <c r="B204" s="7"/>
      <c r="C204" s="33"/>
      <c r="D204" s="7"/>
      <c r="E204" s="7"/>
      <c r="F204" s="7"/>
      <c r="G204" s="7"/>
      <c r="H204" s="7"/>
      <c r="I204" s="7"/>
      <c r="J204" s="7"/>
      <c r="K204" s="7"/>
      <c r="L204" s="7"/>
      <c r="M204" s="7"/>
      <c r="N204" s="7"/>
      <c r="O204" s="7"/>
      <c r="P204" s="7"/>
      <c r="Q204" s="7"/>
      <c r="R204" s="64"/>
      <c r="S204" s="64"/>
      <c r="T204" s="64"/>
      <c r="U204" s="64"/>
      <c r="V204" s="64"/>
      <c r="W204" s="64"/>
    </row>
    <row r="205" spans="1:23" ht="30" customHeight="1">
      <c r="A205" s="8"/>
      <c r="B205" s="7"/>
      <c r="C205" s="33"/>
      <c r="D205" s="7"/>
      <c r="E205" s="7"/>
      <c r="F205" s="7"/>
      <c r="G205" s="7"/>
      <c r="H205" s="7"/>
      <c r="I205" s="7"/>
      <c r="J205" s="7"/>
      <c r="K205" s="7"/>
      <c r="L205" s="7"/>
      <c r="M205" s="7"/>
      <c r="N205" s="7"/>
      <c r="O205" s="7"/>
      <c r="P205" s="7"/>
      <c r="Q205" s="7"/>
      <c r="R205" s="64"/>
      <c r="S205" s="64"/>
      <c r="T205" s="64"/>
      <c r="U205" s="64"/>
      <c r="V205" s="64"/>
      <c r="W205" s="64"/>
    </row>
    <row r="206" spans="1:23" ht="30" customHeight="1">
      <c r="A206" s="8"/>
      <c r="B206" s="7"/>
      <c r="C206" s="33"/>
      <c r="D206" s="7"/>
      <c r="E206" s="7"/>
      <c r="F206" s="7"/>
      <c r="G206" s="7"/>
      <c r="H206" s="7"/>
      <c r="I206" s="7"/>
      <c r="J206" s="7"/>
      <c r="K206" s="7"/>
      <c r="L206" s="7"/>
      <c r="M206" s="7"/>
      <c r="N206" s="7"/>
      <c r="O206" s="7"/>
      <c r="P206" s="7"/>
      <c r="Q206" s="7"/>
      <c r="R206" s="64"/>
      <c r="S206" s="64"/>
      <c r="T206" s="64"/>
      <c r="U206" s="64"/>
      <c r="V206" s="64"/>
      <c r="W206" s="64"/>
    </row>
    <row r="207" spans="1:23" ht="30" customHeight="1">
      <c r="A207" s="8"/>
      <c r="B207" s="7"/>
      <c r="C207" s="33"/>
      <c r="D207" s="7"/>
      <c r="E207" s="7"/>
      <c r="F207" s="7"/>
      <c r="G207" s="7"/>
      <c r="H207" s="7"/>
      <c r="I207" s="7"/>
      <c r="J207" s="7"/>
      <c r="K207" s="7"/>
      <c r="L207" s="7"/>
      <c r="M207" s="7"/>
      <c r="N207" s="7"/>
      <c r="O207" s="7"/>
      <c r="P207" s="7"/>
      <c r="Q207" s="7"/>
      <c r="R207" s="64"/>
      <c r="S207" s="64"/>
      <c r="T207" s="64"/>
      <c r="U207" s="64"/>
      <c r="V207" s="64"/>
      <c r="W207" s="64"/>
    </row>
    <row r="208" spans="1:23" ht="30" customHeight="1">
      <c r="A208" s="8"/>
      <c r="B208" s="7"/>
      <c r="C208" s="33"/>
      <c r="D208" s="7"/>
      <c r="E208" s="7"/>
      <c r="F208" s="7"/>
      <c r="G208" s="7"/>
      <c r="H208" s="7"/>
      <c r="I208" s="7"/>
      <c r="J208" s="7"/>
      <c r="K208" s="7"/>
      <c r="L208" s="7"/>
      <c r="M208" s="7"/>
      <c r="N208" s="7"/>
      <c r="O208" s="7"/>
      <c r="P208" s="7"/>
      <c r="Q208" s="7"/>
      <c r="R208" s="64"/>
      <c r="S208" s="64"/>
      <c r="T208" s="64"/>
      <c r="U208" s="64"/>
      <c r="V208" s="64"/>
      <c r="W208" s="64"/>
    </row>
    <row r="209" spans="1:23" ht="30" customHeight="1">
      <c r="A209" s="8"/>
      <c r="B209" s="7"/>
      <c r="C209" s="33"/>
      <c r="D209" s="7"/>
      <c r="E209" s="7"/>
      <c r="F209" s="7"/>
      <c r="G209" s="7"/>
      <c r="H209" s="7"/>
      <c r="I209" s="7"/>
      <c r="J209" s="7"/>
      <c r="K209" s="7"/>
      <c r="L209" s="7"/>
      <c r="M209" s="7"/>
      <c r="N209" s="7"/>
      <c r="O209" s="7"/>
      <c r="P209" s="7"/>
      <c r="Q209" s="7"/>
      <c r="R209" s="64"/>
      <c r="S209" s="64"/>
      <c r="T209" s="64"/>
      <c r="U209" s="64"/>
      <c r="V209" s="64"/>
      <c r="W209" s="64"/>
    </row>
    <row r="210" spans="1:23" ht="30" customHeight="1">
      <c r="A210" s="8"/>
      <c r="B210" s="7"/>
      <c r="C210" s="33"/>
      <c r="D210" s="7"/>
      <c r="E210" s="7"/>
      <c r="F210" s="7"/>
      <c r="G210" s="7"/>
      <c r="H210" s="7"/>
      <c r="I210" s="7"/>
      <c r="J210" s="7"/>
      <c r="K210" s="7"/>
      <c r="L210" s="7"/>
      <c r="M210" s="7"/>
      <c r="N210" s="7"/>
      <c r="O210" s="7"/>
      <c r="P210" s="7"/>
      <c r="Q210" s="7"/>
      <c r="R210" s="64"/>
      <c r="S210" s="64"/>
      <c r="T210" s="64"/>
      <c r="U210" s="64"/>
      <c r="V210" s="64"/>
      <c r="W210" s="64"/>
    </row>
    <row r="211" spans="1:23" ht="30" customHeight="1">
      <c r="A211" s="8"/>
      <c r="B211" s="7"/>
      <c r="C211" s="33"/>
      <c r="D211" s="7"/>
      <c r="E211" s="7"/>
      <c r="F211" s="7"/>
      <c r="G211" s="7"/>
      <c r="H211" s="7"/>
      <c r="I211" s="7"/>
      <c r="J211" s="7"/>
      <c r="K211" s="7"/>
      <c r="L211" s="7"/>
      <c r="M211" s="7"/>
      <c r="N211" s="7"/>
      <c r="O211" s="7"/>
      <c r="P211" s="7"/>
      <c r="Q211" s="7"/>
      <c r="R211" s="64"/>
      <c r="S211" s="64"/>
      <c r="T211" s="64"/>
      <c r="U211" s="64"/>
      <c r="V211" s="64"/>
      <c r="W211" s="64"/>
    </row>
    <row r="212" spans="1:23" ht="30" customHeight="1">
      <c r="A212" s="8"/>
      <c r="B212" s="7"/>
      <c r="C212" s="33"/>
      <c r="D212" s="7"/>
      <c r="E212" s="7"/>
      <c r="F212" s="7"/>
      <c r="G212" s="7"/>
      <c r="H212" s="7"/>
      <c r="I212" s="7"/>
      <c r="J212" s="7"/>
      <c r="K212" s="7"/>
      <c r="L212" s="7"/>
      <c r="M212" s="7"/>
      <c r="N212" s="7"/>
      <c r="O212" s="7"/>
      <c r="P212" s="7"/>
      <c r="Q212" s="7"/>
      <c r="R212" s="64"/>
      <c r="S212" s="64"/>
      <c r="T212" s="64"/>
      <c r="U212" s="64"/>
      <c r="V212" s="64"/>
      <c r="W212" s="64"/>
    </row>
    <row r="213" spans="1:23" ht="30" customHeight="1">
      <c r="A213" s="8"/>
      <c r="B213" s="7"/>
      <c r="C213" s="33"/>
      <c r="D213" s="7"/>
      <c r="E213" s="7"/>
      <c r="F213" s="7"/>
      <c r="G213" s="7"/>
      <c r="H213" s="7"/>
      <c r="I213" s="7"/>
      <c r="J213" s="7"/>
      <c r="K213" s="7"/>
      <c r="L213" s="7"/>
      <c r="M213" s="7"/>
      <c r="N213" s="7"/>
      <c r="O213" s="7"/>
      <c r="P213" s="7"/>
      <c r="Q213" s="7"/>
      <c r="R213" s="64"/>
      <c r="S213" s="64"/>
      <c r="T213" s="64"/>
      <c r="U213" s="64"/>
      <c r="V213" s="64"/>
      <c r="W213" s="64"/>
    </row>
    <row r="214" spans="1:23" ht="30" customHeight="1">
      <c r="A214" s="8"/>
      <c r="B214" s="7"/>
      <c r="C214" s="33"/>
      <c r="D214" s="7"/>
      <c r="E214" s="7"/>
      <c r="F214" s="7"/>
      <c r="G214" s="7"/>
      <c r="H214" s="7"/>
      <c r="I214" s="7"/>
      <c r="J214" s="7"/>
      <c r="K214" s="7"/>
      <c r="L214" s="7"/>
      <c r="M214" s="7"/>
      <c r="N214" s="7"/>
      <c r="O214" s="7"/>
      <c r="P214" s="7"/>
      <c r="Q214" s="7"/>
      <c r="R214" s="64"/>
      <c r="S214" s="64"/>
      <c r="T214" s="64"/>
      <c r="U214" s="64"/>
      <c r="V214" s="64"/>
      <c r="W214" s="64"/>
    </row>
    <row r="215" spans="1:23" ht="30" customHeight="1">
      <c r="A215" s="8"/>
      <c r="B215" s="7"/>
      <c r="C215" s="33"/>
      <c r="D215" s="7"/>
      <c r="E215" s="7"/>
      <c r="F215" s="7"/>
      <c r="G215" s="7"/>
      <c r="H215" s="7"/>
      <c r="I215" s="7"/>
      <c r="J215" s="7"/>
      <c r="K215" s="7"/>
      <c r="L215" s="7"/>
      <c r="M215" s="7"/>
      <c r="N215" s="7"/>
      <c r="O215" s="7"/>
      <c r="P215" s="7"/>
      <c r="Q215" s="7"/>
      <c r="R215" s="64"/>
      <c r="S215" s="64"/>
      <c r="T215" s="64"/>
      <c r="U215" s="64"/>
      <c r="V215" s="64"/>
      <c r="W215" s="64"/>
    </row>
    <row r="216" spans="1:23" ht="30" customHeight="1">
      <c r="A216" s="8"/>
      <c r="B216" s="7"/>
      <c r="C216" s="33"/>
      <c r="D216" s="7"/>
      <c r="E216" s="7"/>
      <c r="F216" s="7"/>
      <c r="G216" s="7"/>
      <c r="H216" s="7"/>
      <c r="I216" s="7"/>
      <c r="J216" s="7"/>
      <c r="K216" s="7"/>
      <c r="L216" s="7"/>
      <c r="M216" s="7"/>
      <c r="N216" s="7"/>
      <c r="O216" s="7"/>
      <c r="P216" s="7"/>
      <c r="Q216" s="7"/>
      <c r="R216" s="64"/>
      <c r="S216" s="64"/>
      <c r="T216" s="64"/>
      <c r="U216" s="64"/>
      <c r="V216" s="64"/>
      <c r="W216" s="64"/>
    </row>
    <row r="217" spans="1:23" ht="30" customHeight="1">
      <c r="A217" s="8"/>
      <c r="B217" s="7"/>
      <c r="C217" s="33"/>
      <c r="D217" s="7"/>
      <c r="E217" s="7"/>
      <c r="F217" s="7"/>
      <c r="G217" s="7"/>
      <c r="H217" s="7"/>
      <c r="I217" s="7"/>
      <c r="J217" s="7"/>
      <c r="K217" s="7"/>
      <c r="L217" s="7"/>
      <c r="M217" s="7"/>
      <c r="N217" s="7"/>
      <c r="O217" s="7"/>
      <c r="P217" s="7"/>
      <c r="Q217" s="7"/>
      <c r="R217" s="64"/>
      <c r="S217" s="64"/>
      <c r="T217" s="64"/>
      <c r="U217" s="64"/>
      <c r="V217" s="64"/>
      <c r="W217" s="64"/>
    </row>
    <row r="218" spans="1:23" ht="30" customHeight="1">
      <c r="A218" s="8"/>
      <c r="B218" s="7"/>
      <c r="C218" s="33"/>
      <c r="D218" s="7"/>
      <c r="E218" s="7"/>
      <c r="F218" s="7"/>
      <c r="G218" s="7"/>
      <c r="H218" s="7"/>
      <c r="I218" s="7"/>
      <c r="J218" s="7"/>
      <c r="K218" s="7"/>
      <c r="L218" s="7"/>
      <c r="M218" s="7"/>
      <c r="N218" s="7"/>
      <c r="O218" s="7"/>
      <c r="P218" s="7"/>
      <c r="Q218" s="7"/>
      <c r="R218" s="64"/>
      <c r="S218" s="64"/>
      <c r="T218" s="64"/>
      <c r="U218" s="64"/>
      <c r="V218" s="64"/>
      <c r="W218" s="64"/>
    </row>
    <row r="219" spans="1:23" ht="30" customHeight="1">
      <c r="A219" s="8"/>
      <c r="B219" s="7"/>
      <c r="C219" s="33"/>
      <c r="D219" s="7"/>
      <c r="E219" s="7"/>
      <c r="F219" s="7"/>
      <c r="G219" s="7"/>
      <c r="H219" s="7"/>
      <c r="I219" s="7"/>
      <c r="J219" s="7"/>
      <c r="K219" s="7"/>
      <c r="L219" s="7"/>
      <c r="M219" s="7"/>
      <c r="N219" s="7"/>
      <c r="O219" s="7"/>
      <c r="P219" s="7"/>
      <c r="Q219" s="7"/>
      <c r="R219" s="64"/>
      <c r="S219" s="64"/>
      <c r="T219" s="64"/>
      <c r="U219" s="64"/>
      <c r="V219" s="64"/>
      <c r="W219" s="64"/>
    </row>
    <row r="220" spans="1:23" ht="30" customHeight="1">
      <c r="A220" s="8"/>
      <c r="B220" s="7"/>
      <c r="C220" s="33"/>
      <c r="D220" s="7"/>
      <c r="E220" s="7"/>
      <c r="F220" s="7"/>
      <c r="G220" s="7"/>
      <c r="H220" s="7"/>
      <c r="I220" s="7"/>
      <c r="J220" s="7"/>
      <c r="K220" s="7"/>
      <c r="L220" s="7"/>
      <c r="M220" s="7"/>
      <c r="N220" s="7"/>
      <c r="O220" s="7"/>
      <c r="P220" s="7"/>
      <c r="Q220" s="7"/>
      <c r="R220" s="64"/>
      <c r="S220" s="64"/>
      <c r="T220" s="64"/>
      <c r="U220" s="64"/>
      <c r="V220" s="64"/>
      <c r="W220" s="64"/>
    </row>
    <row r="221" spans="1:23" ht="30" customHeight="1">
      <c r="A221" s="8"/>
      <c r="B221" s="7"/>
      <c r="C221" s="33"/>
      <c r="D221" s="7"/>
      <c r="E221" s="7"/>
      <c r="F221" s="7"/>
      <c r="G221" s="7"/>
      <c r="H221" s="7"/>
      <c r="I221" s="7"/>
      <c r="J221" s="7"/>
      <c r="K221" s="7"/>
      <c r="L221" s="7"/>
      <c r="M221" s="7"/>
      <c r="N221" s="7"/>
      <c r="O221" s="7"/>
      <c r="P221" s="7"/>
      <c r="Q221" s="7"/>
      <c r="R221" s="64"/>
      <c r="S221" s="64"/>
      <c r="T221" s="64"/>
      <c r="U221" s="64"/>
      <c r="V221" s="64"/>
      <c r="W221" s="64"/>
    </row>
    <row r="222" spans="1:23" ht="30" customHeight="1">
      <c r="A222" s="8"/>
      <c r="B222" s="7"/>
      <c r="C222" s="33"/>
      <c r="D222" s="7"/>
      <c r="E222" s="7"/>
      <c r="F222" s="7"/>
      <c r="G222" s="7"/>
      <c r="H222" s="7"/>
      <c r="I222" s="7"/>
      <c r="J222" s="7"/>
      <c r="K222" s="7"/>
      <c r="L222" s="7"/>
      <c r="M222" s="7"/>
      <c r="N222" s="7"/>
      <c r="O222" s="7"/>
      <c r="P222" s="7"/>
      <c r="Q222" s="7"/>
      <c r="R222" s="64"/>
      <c r="S222" s="64"/>
      <c r="T222" s="64"/>
      <c r="U222" s="64"/>
      <c r="V222" s="64"/>
      <c r="W222" s="64"/>
    </row>
    <row r="223" spans="1:23" ht="30" customHeight="1">
      <c r="A223" s="8"/>
      <c r="B223" s="7"/>
      <c r="C223" s="33"/>
      <c r="D223" s="7"/>
      <c r="E223" s="7"/>
      <c r="F223" s="7"/>
      <c r="G223" s="7"/>
      <c r="H223" s="7"/>
      <c r="I223" s="7"/>
      <c r="J223" s="7"/>
      <c r="K223" s="7"/>
      <c r="L223" s="7"/>
      <c r="M223" s="7"/>
      <c r="N223" s="7"/>
      <c r="O223" s="7"/>
      <c r="P223" s="7"/>
      <c r="Q223" s="7"/>
      <c r="R223" s="64"/>
      <c r="S223" s="64"/>
      <c r="T223" s="64"/>
      <c r="U223" s="64"/>
      <c r="V223" s="64"/>
      <c r="W223" s="64"/>
    </row>
    <row r="224" spans="1:23" ht="30" customHeight="1">
      <c r="A224" s="8"/>
      <c r="B224" s="7"/>
      <c r="C224" s="33"/>
      <c r="D224" s="7"/>
      <c r="E224" s="7"/>
      <c r="F224" s="7"/>
      <c r="G224" s="7"/>
      <c r="H224" s="7"/>
      <c r="I224" s="7"/>
      <c r="J224" s="7"/>
      <c r="K224" s="7"/>
      <c r="L224" s="7"/>
      <c r="M224" s="7"/>
      <c r="N224" s="7"/>
      <c r="O224" s="7"/>
      <c r="P224" s="7"/>
      <c r="Q224" s="7"/>
      <c r="R224" s="64"/>
      <c r="S224" s="64"/>
      <c r="T224" s="64"/>
      <c r="U224" s="64"/>
      <c r="V224" s="64"/>
      <c r="W224" s="64"/>
    </row>
    <row r="225" spans="1:23" ht="30" customHeight="1">
      <c r="A225" s="8"/>
      <c r="B225" s="7"/>
      <c r="C225" s="33"/>
      <c r="D225" s="7"/>
      <c r="E225" s="7"/>
      <c r="F225" s="7"/>
      <c r="G225" s="7"/>
      <c r="H225" s="7"/>
      <c r="I225" s="7"/>
      <c r="J225" s="7"/>
      <c r="K225" s="7"/>
      <c r="L225" s="7"/>
      <c r="M225" s="7"/>
      <c r="N225" s="7"/>
      <c r="O225" s="7"/>
      <c r="P225" s="7"/>
      <c r="Q225" s="7"/>
      <c r="R225" s="64"/>
      <c r="S225" s="64"/>
      <c r="T225" s="64"/>
      <c r="U225" s="64"/>
      <c r="V225" s="64"/>
      <c r="W225" s="64"/>
    </row>
    <row r="226" spans="1:23" ht="30" customHeight="1">
      <c r="A226" s="8"/>
      <c r="B226" s="7"/>
      <c r="C226" s="33"/>
      <c r="D226" s="7"/>
      <c r="E226" s="7"/>
      <c r="F226" s="7"/>
      <c r="G226" s="7"/>
      <c r="H226" s="7"/>
      <c r="I226" s="7"/>
      <c r="J226" s="7"/>
      <c r="K226" s="7"/>
      <c r="L226" s="7"/>
      <c r="M226" s="7"/>
      <c r="N226" s="7"/>
      <c r="O226" s="7"/>
      <c r="P226" s="7"/>
      <c r="Q226" s="7"/>
      <c r="R226" s="64"/>
      <c r="S226" s="64"/>
      <c r="T226" s="64"/>
      <c r="U226" s="64"/>
      <c r="V226" s="64"/>
      <c r="W226" s="64"/>
    </row>
    <row r="227" spans="1:23" ht="30" customHeight="1">
      <c r="A227" s="8"/>
      <c r="B227" s="7"/>
      <c r="C227" s="33"/>
      <c r="D227" s="7"/>
      <c r="E227" s="7"/>
      <c r="F227" s="7"/>
      <c r="G227" s="7"/>
      <c r="H227" s="7"/>
      <c r="I227" s="7"/>
      <c r="J227" s="7"/>
      <c r="K227" s="7"/>
      <c r="L227" s="7"/>
      <c r="M227" s="7"/>
      <c r="N227" s="7"/>
      <c r="O227" s="7"/>
      <c r="P227" s="7"/>
      <c r="Q227" s="7"/>
      <c r="R227" s="64"/>
      <c r="S227" s="64"/>
      <c r="T227" s="64"/>
      <c r="U227" s="64"/>
      <c r="V227" s="64"/>
      <c r="W227" s="64"/>
    </row>
    <row r="228" spans="1:23" ht="30" customHeight="1">
      <c r="A228" s="8"/>
      <c r="B228" s="7"/>
      <c r="C228" s="33"/>
      <c r="D228" s="7"/>
      <c r="E228" s="7"/>
      <c r="F228" s="7"/>
      <c r="G228" s="7"/>
      <c r="H228" s="7"/>
      <c r="I228" s="7"/>
      <c r="J228" s="7"/>
      <c r="K228" s="7"/>
      <c r="L228" s="7"/>
      <c r="M228" s="7"/>
      <c r="N228" s="7"/>
      <c r="O228" s="7"/>
      <c r="P228" s="7"/>
      <c r="Q228" s="7"/>
      <c r="R228" s="64"/>
      <c r="S228" s="64"/>
      <c r="T228" s="64"/>
      <c r="U228" s="64"/>
      <c r="V228" s="64"/>
      <c r="W228" s="64"/>
    </row>
    <row r="229" spans="1:23" ht="30" customHeight="1">
      <c r="A229" s="8"/>
      <c r="B229" s="7"/>
      <c r="C229" s="33"/>
      <c r="D229" s="7"/>
      <c r="E229" s="7"/>
      <c r="F229" s="7"/>
      <c r="G229" s="7"/>
      <c r="H229" s="7"/>
      <c r="I229" s="7"/>
      <c r="J229" s="7"/>
      <c r="K229" s="7"/>
      <c r="L229" s="7"/>
      <c r="M229" s="7"/>
      <c r="N229" s="7"/>
      <c r="O229" s="7"/>
      <c r="P229" s="7"/>
      <c r="Q229" s="7"/>
      <c r="R229" s="64"/>
      <c r="S229" s="64"/>
      <c r="T229" s="64"/>
      <c r="U229" s="64"/>
      <c r="V229" s="64"/>
      <c r="W229" s="64"/>
    </row>
    <row r="230" spans="1:23" ht="30" customHeight="1">
      <c r="A230" s="8"/>
      <c r="B230" s="7"/>
      <c r="C230" s="33"/>
      <c r="D230" s="7"/>
      <c r="E230" s="7"/>
      <c r="F230" s="7"/>
      <c r="G230" s="7"/>
      <c r="H230" s="7"/>
      <c r="I230" s="7"/>
      <c r="J230" s="7"/>
      <c r="K230" s="7"/>
      <c r="L230" s="7"/>
      <c r="M230" s="7"/>
      <c r="N230" s="7"/>
      <c r="O230" s="7"/>
      <c r="P230" s="7"/>
      <c r="Q230" s="7"/>
      <c r="R230" s="64"/>
      <c r="S230" s="64"/>
      <c r="T230" s="64"/>
      <c r="U230" s="64"/>
      <c r="V230" s="64"/>
      <c r="W230" s="64"/>
    </row>
    <row r="231" spans="1:23" ht="30" customHeight="1">
      <c r="A231" s="8"/>
      <c r="B231" s="7"/>
      <c r="C231" s="33"/>
      <c r="D231" s="7"/>
      <c r="E231" s="7"/>
      <c r="F231" s="7"/>
      <c r="G231" s="7"/>
      <c r="H231" s="7"/>
      <c r="I231" s="7"/>
      <c r="J231" s="7"/>
      <c r="K231" s="7"/>
      <c r="L231" s="7"/>
      <c r="M231" s="7"/>
      <c r="N231" s="7"/>
      <c r="O231" s="7"/>
      <c r="P231" s="7"/>
      <c r="Q231" s="7"/>
      <c r="R231" s="64"/>
      <c r="S231" s="64"/>
      <c r="T231" s="64"/>
      <c r="U231" s="64"/>
      <c r="V231" s="64"/>
      <c r="W231" s="64"/>
    </row>
    <row r="232" spans="1:23" ht="30" customHeight="1">
      <c r="A232" s="8"/>
      <c r="B232" s="7"/>
      <c r="C232" s="33"/>
      <c r="D232" s="7"/>
      <c r="E232" s="7"/>
      <c r="F232" s="7"/>
      <c r="G232" s="7"/>
      <c r="H232" s="7"/>
      <c r="I232" s="7"/>
      <c r="J232" s="7"/>
      <c r="K232" s="7"/>
      <c r="L232" s="7"/>
      <c r="M232" s="7"/>
      <c r="N232" s="7"/>
      <c r="O232" s="7"/>
      <c r="P232" s="7"/>
      <c r="Q232" s="7"/>
      <c r="R232" s="64"/>
      <c r="S232" s="64"/>
      <c r="T232" s="64"/>
      <c r="U232" s="64"/>
      <c r="V232" s="64"/>
      <c r="W232" s="64"/>
    </row>
    <row r="233" spans="1:23" ht="30" customHeight="1">
      <c r="A233" s="8"/>
      <c r="B233" s="7"/>
      <c r="C233" s="33"/>
      <c r="D233" s="7"/>
      <c r="E233" s="7"/>
      <c r="F233" s="7"/>
      <c r="G233" s="7"/>
      <c r="H233" s="7"/>
      <c r="I233" s="7"/>
      <c r="J233" s="7"/>
      <c r="K233" s="7"/>
      <c r="L233" s="7"/>
      <c r="M233" s="7"/>
      <c r="N233" s="7"/>
      <c r="O233" s="7"/>
      <c r="P233" s="7"/>
      <c r="Q233" s="7"/>
      <c r="R233" s="64"/>
      <c r="S233" s="64"/>
      <c r="T233" s="64"/>
      <c r="U233" s="64"/>
      <c r="V233" s="64"/>
      <c r="W233" s="64"/>
    </row>
    <row r="234" spans="1:23" ht="30" customHeight="1">
      <c r="A234" s="8"/>
      <c r="B234" s="7"/>
      <c r="C234" s="33"/>
      <c r="D234" s="7"/>
      <c r="E234" s="7"/>
      <c r="F234" s="7"/>
      <c r="G234" s="7"/>
      <c r="H234" s="7"/>
      <c r="I234" s="7"/>
      <c r="J234" s="7"/>
      <c r="K234" s="7"/>
      <c r="L234" s="7"/>
      <c r="M234" s="7"/>
      <c r="N234" s="7"/>
      <c r="O234" s="7"/>
      <c r="P234" s="7"/>
      <c r="Q234" s="7"/>
      <c r="R234" s="64"/>
      <c r="S234" s="64"/>
      <c r="T234" s="64"/>
      <c r="U234" s="64"/>
      <c r="V234" s="64"/>
      <c r="W234" s="64"/>
    </row>
    <row r="235" spans="1:23" ht="30" customHeight="1">
      <c r="A235" s="8"/>
      <c r="B235" s="7"/>
      <c r="C235" s="33"/>
      <c r="D235" s="7"/>
      <c r="E235" s="7"/>
      <c r="F235" s="7"/>
      <c r="G235" s="7"/>
      <c r="H235" s="7"/>
      <c r="I235" s="7"/>
      <c r="J235" s="7"/>
      <c r="K235" s="7"/>
      <c r="L235" s="7"/>
      <c r="M235" s="7"/>
      <c r="N235" s="7"/>
      <c r="O235" s="7"/>
      <c r="P235" s="7"/>
      <c r="Q235" s="7"/>
      <c r="R235" s="64"/>
      <c r="S235" s="64"/>
      <c r="T235" s="64"/>
      <c r="U235" s="64"/>
      <c r="V235" s="64"/>
      <c r="W235" s="64"/>
    </row>
    <row r="236" spans="1:23" ht="30" customHeight="1">
      <c r="A236" s="8"/>
      <c r="B236" s="7"/>
      <c r="C236" s="33"/>
      <c r="D236" s="7"/>
      <c r="E236" s="7"/>
      <c r="F236" s="7"/>
      <c r="G236" s="7"/>
      <c r="H236" s="7"/>
      <c r="I236" s="7"/>
      <c r="J236" s="7"/>
      <c r="K236" s="7"/>
      <c r="L236" s="7"/>
      <c r="M236" s="7"/>
      <c r="N236" s="7"/>
      <c r="O236" s="7"/>
      <c r="P236" s="7"/>
      <c r="Q236" s="7"/>
      <c r="R236" s="64"/>
      <c r="S236" s="64"/>
      <c r="T236" s="64"/>
      <c r="U236" s="64"/>
      <c r="V236" s="64"/>
      <c r="W236" s="64"/>
    </row>
    <row r="237" spans="1:23" ht="30" customHeight="1">
      <c r="A237" s="8"/>
      <c r="B237" s="7"/>
      <c r="C237" s="33"/>
      <c r="D237" s="7"/>
      <c r="E237" s="7"/>
      <c r="F237" s="7"/>
      <c r="G237" s="7"/>
      <c r="H237" s="7"/>
      <c r="I237" s="7"/>
      <c r="J237" s="7"/>
      <c r="K237" s="7"/>
      <c r="L237" s="7"/>
      <c r="M237" s="7"/>
      <c r="N237" s="7"/>
      <c r="O237" s="7"/>
      <c r="P237" s="7"/>
      <c r="Q237" s="7"/>
      <c r="R237" s="64"/>
      <c r="S237" s="64"/>
      <c r="T237" s="64"/>
      <c r="U237" s="64"/>
      <c r="V237" s="64"/>
      <c r="W237" s="64"/>
    </row>
    <row r="238" spans="1:23" ht="30" customHeight="1">
      <c r="A238" s="8"/>
      <c r="B238" s="7"/>
      <c r="C238" s="33"/>
      <c r="D238" s="7"/>
      <c r="E238" s="7"/>
      <c r="F238" s="7"/>
      <c r="G238" s="7"/>
      <c r="H238" s="7"/>
      <c r="I238" s="7"/>
      <c r="J238" s="7"/>
      <c r="K238" s="7"/>
      <c r="L238" s="7"/>
      <c r="M238" s="7"/>
      <c r="N238" s="7"/>
      <c r="O238" s="7"/>
      <c r="P238" s="7"/>
      <c r="Q238" s="7"/>
      <c r="R238" s="64"/>
      <c r="S238" s="64"/>
      <c r="T238" s="64"/>
      <c r="U238" s="64"/>
      <c r="V238" s="64"/>
      <c r="W238" s="64"/>
    </row>
    <row r="239" spans="1:23" ht="30" customHeight="1">
      <c r="A239" s="8"/>
      <c r="B239" s="7"/>
      <c r="C239" s="33"/>
      <c r="D239" s="7"/>
      <c r="E239" s="7"/>
      <c r="F239" s="7"/>
      <c r="G239" s="7"/>
      <c r="H239" s="7"/>
      <c r="I239" s="7"/>
      <c r="J239" s="7"/>
      <c r="K239" s="7"/>
      <c r="L239" s="7"/>
      <c r="M239" s="7"/>
      <c r="N239" s="7"/>
      <c r="O239" s="7"/>
      <c r="P239" s="7"/>
      <c r="Q239" s="7"/>
      <c r="R239" s="64"/>
      <c r="S239" s="64"/>
      <c r="T239" s="64"/>
      <c r="U239" s="64"/>
      <c r="V239" s="64"/>
      <c r="W239" s="64"/>
    </row>
    <row r="240" spans="1:23" ht="30" customHeight="1">
      <c r="A240" s="8"/>
      <c r="B240" s="7"/>
      <c r="C240" s="33"/>
      <c r="D240" s="7"/>
      <c r="E240" s="7"/>
      <c r="F240" s="7"/>
      <c r="G240" s="7"/>
      <c r="H240" s="7"/>
      <c r="I240" s="7"/>
      <c r="J240" s="7"/>
      <c r="K240" s="7"/>
      <c r="L240" s="7"/>
      <c r="M240" s="7"/>
      <c r="N240" s="7"/>
      <c r="O240" s="7"/>
      <c r="P240" s="7"/>
      <c r="Q240" s="7"/>
      <c r="R240" s="64"/>
      <c r="S240" s="64"/>
      <c r="T240" s="64"/>
      <c r="U240" s="64"/>
      <c r="V240" s="64"/>
      <c r="W240" s="64"/>
    </row>
    <row r="241" spans="1:23" ht="30" customHeight="1">
      <c r="A241" s="8"/>
      <c r="B241" s="7"/>
      <c r="C241" s="33"/>
      <c r="D241" s="7"/>
      <c r="E241" s="7"/>
      <c r="F241" s="7"/>
      <c r="G241" s="7"/>
      <c r="H241" s="7"/>
      <c r="I241" s="7"/>
      <c r="J241" s="7"/>
      <c r="K241" s="7"/>
      <c r="L241" s="7"/>
      <c r="M241" s="7"/>
      <c r="N241" s="7"/>
      <c r="O241" s="7"/>
      <c r="P241" s="7"/>
      <c r="Q241" s="7"/>
      <c r="R241" s="64"/>
      <c r="S241" s="64"/>
      <c r="T241" s="64"/>
      <c r="U241" s="64"/>
      <c r="V241" s="64"/>
      <c r="W241" s="64"/>
    </row>
    <row r="242" spans="1:23" ht="30" customHeight="1">
      <c r="A242" s="8"/>
      <c r="B242" s="7"/>
      <c r="C242" s="33"/>
      <c r="D242" s="7"/>
      <c r="E242" s="7"/>
      <c r="F242" s="7"/>
      <c r="G242" s="7"/>
      <c r="H242" s="7"/>
      <c r="I242" s="7"/>
      <c r="J242" s="7"/>
      <c r="K242" s="7"/>
      <c r="L242" s="7"/>
      <c r="M242" s="7"/>
      <c r="N242" s="7"/>
      <c r="O242" s="7"/>
      <c r="P242" s="7"/>
      <c r="Q242" s="7"/>
      <c r="R242" s="64"/>
      <c r="S242" s="64"/>
      <c r="T242" s="64"/>
      <c r="U242" s="64"/>
      <c r="V242" s="64"/>
      <c r="W242" s="64"/>
    </row>
    <row r="243" spans="1:23" ht="30" customHeight="1">
      <c r="A243" s="8"/>
      <c r="B243" s="7"/>
      <c r="C243" s="33"/>
      <c r="D243" s="7"/>
      <c r="E243" s="7"/>
      <c r="F243" s="7"/>
      <c r="G243" s="7"/>
      <c r="H243" s="7"/>
      <c r="I243" s="7"/>
      <c r="J243" s="7"/>
      <c r="K243" s="7"/>
      <c r="L243" s="7"/>
      <c r="M243" s="7"/>
      <c r="N243" s="7"/>
      <c r="O243" s="7"/>
      <c r="P243" s="7"/>
      <c r="Q243" s="7"/>
      <c r="R243" s="64"/>
      <c r="S243" s="64"/>
      <c r="T243" s="64"/>
      <c r="U243" s="64"/>
      <c r="V243" s="64"/>
      <c r="W243" s="64"/>
    </row>
    <row r="244" spans="1:23" ht="30" customHeight="1">
      <c r="A244" s="8"/>
      <c r="B244" s="7"/>
      <c r="C244" s="33"/>
      <c r="D244" s="7"/>
      <c r="E244" s="7"/>
      <c r="F244" s="7"/>
      <c r="G244" s="7"/>
      <c r="H244" s="7"/>
      <c r="I244" s="7"/>
      <c r="J244" s="7"/>
      <c r="K244" s="7"/>
      <c r="L244" s="7"/>
      <c r="M244" s="7"/>
      <c r="N244" s="7"/>
      <c r="O244" s="7"/>
      <c r="P244" s="7"/>
      <c r="Q244" s="7"/>
      <c r="R244" s="64"/>
      <c r="S244" s="64"/>
      <c r="T244" s="64"/>
      <c r="U244" s="64"/>
      <c r="V244" s="64"/>
      <c r="W244" s="64"/>
    </row>
    <row r="245" spans="1:23" ht="30" customHeight="1">
      <c r="A245" s="8"/>
      <c r="B245" s="7"/>
      <c r="C245" s="33"/>
      <c r="D245" s="7"/>
      <c r="E245" s="7"/>
      <c r="F245" s="7"/>
      <c r="G245" s="7"/>
      <c r="H245" s="7"/>
      <c r="I245" s="7"/>
      <c r="J245" s="7"/>
      <c r="K245" s="7"/>
      <c r="L245" s="7"/>
      <c r="M245" s="7"/>
      <c r="N245" s="7"/>
      <c r="O245" s="7"/>
      <c r="P245" s="7"/>
      <c r="Q245" s="7"/>
      <c r="R245" s="64"/>
      <c r="S245" s="64"/>
      <c r="T245" s="64"/>
      <c r="U245" s="64"/>
      <c r="V245" s="64"/>
      <c r="W245" s="64"/>
    </row>
    <row r="246" spans="1:23" ht="30" customHeight="1">
      <c r="A246" s="8"/>
      <c r="B246" s="7"/>
      <c r="C246" s="33"/>
      <c r="D246" s="7"/>
      <c r="E246" s="7"/>
      <c r="F246" s="7"/>
      <c r="G246" s="7"/>
      <c r="H246" s="7"/>
      <c r="I246" s="7"/>
      <c r="J246" s="7"/>
      <c r="K246" s="7"/>
      <c r="L246" s="7"/>
      <c r="M246" s="7"/>
      <c r="N246" s="7"/>
      <c r="O246" s="7"/>
      <c r="P246" s="7"/>
      <c r="Q246" s="7"/>
      <c r="R246" s="64"/>
      <c r="S246" s="64"/>
      <c r="T246" s="64"/>
      <c r="U246" s="64"/>
      <c r="V246" s="64"/>
      <c r="W246" s="64"/>
    </row>
    <row r="247" spans="1:23" ht="30" customHeight="1">
      <c r="A247" s="8"/>
      <c r="B247" s="7"/>
      <c r="C247" s="33"/>
      <c r="D247" s="7"/>
      <c r="E247" s="7"/>
      <c r="F247" s="7"/>
      <c r="G247" s="7"/>
      <c r="H247" s="7"/>
      <c r="I247" s="7"/>
      <c r="J247" s="7"/>
      <c r="K247" s="7"/>
      <c r="L247" s="7"/>
      <c r="M247" s="7"/>
      <c r="N247" s="7"/>
      <c r="O247" s="7"/>
      <c r="P247" s="7"/>
      <c r="Q247" s="7"/>
      <c r="R247" s="64"/>
      <c r="S247" s="64"/>
      <c r="T247" s="64"/>
      <c r="U247" s="64"/>
      <c r="V247" s="64"/>
      <c r="W247" s="64"/>
    </row>
    <row r="248" spans="1:23" ht="30" customHeight="1">
      <c r="A248" s="8"/>
      <c r="B248" s="7"/>
      <c r="C248" s="33"/>
      <c r="D248" s="7"/>
      <c r="E248" s="7"/>
      <c r="F248" s="7"/>
      <c r="G248" s="7"/>
      <c r="H248" s="7"/>
      <c r="I248" s="7"/>
      <c r="J248" s="7"/>
      <c r="K248" s="7"/>
      <c r="L248" s="7"/>
      <c r="M248" s="7"/>
      <c r="N248" s="7"/>
      <c r="O248" s="7"/>
      <c r="P248" s="7"/>
      <c r="Q248" s="7"/>
      <c r="R248" s="64"/>
      <c r="S248" s="64"/>
      <c r="T248" s="64"/>
      <c r="U248" s="64"/>
      <c r="V248" s="64"/>
      <c r="W248" s="64"/>
    </row>
    <row r="249" spans="1:23" ht="30" customHeight="1">
      <c r="A249" s="8"/>
      <c r="B249" s="7"/>
      <c r="C249" s="33"/>
      <c r="D249" s="7"/>
      <c r="E249" s="7"/>
      <c r="F249" s="7"/>
      <c r="G249" s="7"/>
      <c r="H249" s="7"/>
      <c r="I249" s="7"/>
      <c r="J249" s="7"/>
      <c r="K249" s="7"/>
      <c r="L249" s="7"/>
      <c r="M249" s="7"/>
      <c r="N249" s="7"/>
      <c r="O249" s="7"/>
      <c r="P249" s="7"/>
      <c r="Q249" s="7"/>
      <c r="R249" s="64"/>
      <c r="S249" s="64"/>
      <c r="T249" s="64"/>
      <c r="U249" s="64"/>
      <c r="V249" s="64"/>
      <c r="W249" s="64"/>
    </row>
    <row r="250" spans="1:23" ht="30" customHeight="1">
      <c r="A250" s="8"/>
      <c r="B250" s="7"/>
      <c r="C250" s="33"/>
      <c r="D250" s="7"/>
      <c r="E250" s="7"/>
      <c r="F250" s="7"/>
      <c r="G250" s="7"/>
      <c r="H250" s="7"/>
      <c r="I250" s="7"/>
      <c r="J250" s="7"/>
      <c r="K250" s="7"/>
      <c r="L250" s="7"/>
      <c r="M250" s="7"/>
      <c r="N250" s="7"/>
      <c r="O250" s="7"/>
      <c r="P250" s="7"/>
      <c r="Q250" s="7"/>
      <c r="R250" s="64"/>
      <c r="S250" s="64"/>
      <c r="T250" s="64"/>
      <c r="U250" s="64"/>
      <c r="V250" s="64"/>
      <c r="W250" s="64"/>
    </row>
    <row r="251" spans="1:23" ht="30" customHeight="1">
      <c r="A251" s="8"/>
      <c r="B251" s="7"/>
      <c r="C251" s="33"/>
      <c r="D251" s="7"/>
      <c r="E251" s="7"/>
      <c r="F251" s="7"/>
      <c r="G251" s="7"/>
      <c r="H251" s="7"/>
      <c r="I251" s="7"/>
      <c r="J251" s="7"/>
      <c r="K251" s="7"/>
      <c r="L251" s="7"/>
      <c r="M251" s="7"/>
      <c r="N251" s="7"/>
      <c r="O251" s="7"/>
      <c r="P251" s="7"/>
      <c r="Q251" s="7"/>
      <c r="R251" s="64"/>
      <c r="S251" s="64"/>
      <c r="T251" s="64"/>
      <c r="U251" s="64"/>
      <c r="V251" s="64"/>
      <c r="W251" s="64"/>
    </row>
    <row r="252" spans="1:23" ht="30" customHeight="1">
      <c r="A252" s="8"/>
      <c r="B252" s="7"/>
      <c r="C252" s="33"/>
      <c r="D252" s="7"/>
      <c r="E252" s="7"/>
      <c r="F252" s="7"/>
      <c r="G252" s="7"/>
      <c r="H252" s="7"/>
      <c r="I252" s="7"/>
      <c r="J252" s="7"/>
      <c r="K252" s="7"/>
      <c r="L252" s="7"/>
      <c r="M252" s="7"/>
      <c r="N252" s="7"/>
      <c r="O252" s="7"/>
      <c r="P252" s="7"/>
      <c r="Q252" s="7"/>
      <c r="R252" s="64"/>
      <c r="S252" s="64"/>
      <c r="T252" s="64"/>
      <c r="U252" s="64"/>
      <c r="V252" s="64"/>
      <c r="W252" s="64"/>
    </row>
    <row r="253" spans="1:23" ht="30" customHeight="1">
      <c r="A253" s="8"/>
      <c r="B253" s="7"/>
      <c r="C253" s="33"/>
      <c r="D253" s="7"/>
      <c r="E253" s="7"/>
      <c r="F253" s="7"/>
      <c r="G253" s="7"/>
      <c r="H253" s="7"/>
      <c r="I253" s="7"/>
      <c r="J253" s="7"/>
      <c r="K253" s="7"/>
      <c r="L253" s="7"/>
      <c r="M253" s="7"/>
      <c r="N253" s="7"/>
      <c r="O253" s="7"/>
      <c r="P253" s="7"/>
      <c r="Q253" s="7"/>
      <c r="R253" s="64"/>
      <c r="S253" s="64"/>
      <c r="T253" s="64"/>
      <c r="U253" s="64"/>
      <c r="V253" s="64"/>
      <c r="W253" s="64"/>
    </row>
    <row r="254" spans="1:23" ht="30" customHeight="1">
      <c r="A254" s="8"/>
      <c r="B254" s="7"/>
      <c r="C254" s="33"/>
      <c r="D254" s="7"/>
      <c r="E254" s="7"/>
      <c r="F254" s="7"/>
      <c r="G254" s="7"/>
      <c r="H254" s="7"/>
      <c r="I254" s="7"/>
      <c r="J254" s="7"/>
      <c r="K254" s="7"/>
      <c r="L254" s="7"/>
      <c r="M254" s="7"/>
      <c r="N254" s="7"/>
      <c r="O254" s="7"/>
      <c r="P254" s="7"/>
      <c r="Q254" s="7"/>
      <c r="R254" s="64"/>
      <c r="S254" s="64"/>
      <c r="T254" s="64"/>
      <c r="U254" s="64"/>
      <c r="V254" s="64"/>
      <c r="W254" s="64"/>
    </row>
    <row r="255" spans="1:23" ht="30" customHeight="1">
      <c r="A255" s="8"/>
      <c r="B255" s="7"/>
      <c r="C255" s="33"/>
      <c r="D255" s="7"/>
      <c r="E255" s="7"/>
      <c r="F255" s="7"/>
      <c r="G255" s="7"/>
      <c r="H255" s="7"/>
      <c r="I255" s="7"/>
      <c r="J255" s="7"/>
      <c r="K255" s="7"/>
      <c r="L255" s="7"/>
      <c r="M255" s="7"/>
      <c r="N255" s="7"/>
      <c r="O255" s="7"/>
      <c r="P255" s="7"/>
      <c r="Q255" s="7"/>
      <c r="R255" s="64"/>
      <c r="S255" s="64"/>
      <c r="T255" s="64"/>
      <c r="U255" s="64"/>
      <c r="V255" s="64"/>
      <c r="W255" s="64"/>
    </row>
    <row r="256" spans="1:23" ht="30" customHeight="1">
      <c r="A256" s="8"/>
      <c r="B256" s="7"/>
      <c r="C256" s="33"/>
      <c r="D256" s="7"/>
      <c r="E256" s="7"/>
      <c r="F256" s="7"/>
      <c r="G256" s="7"/>
      <c r="H256" s="7"/>
      <c r="I256" s="7"/>
      <c r="J256" s="7"/>
      <c r="K256" s="7"/>
      <c r="L256" s="7"/>
      <c r="M256" s="7"/>
      <c r="N256" s="7"/>
      <c r="O256" s="7"/>
      <c r="P256" s="7"/>
      <c r="Q256" s="7"/>
      <c r="R256" s="64"/>
      <c r="S256" s="64"/>
      <c r="T256" s="64"/>
      <c r="U256" s="64"/>
      <c r="V256" s="64"/>
      <c r="W256" s="64"/>
    </row>
    <row r="257" spans="1:23" ht="30" customHeight="1">
      <c r="A257" s="8"/>
      <c r="B257" s="7"/>
      <c r="C257" s="33"/>
      <c r="D257" s="7"/>
      <c r="E257" s="7"/>
      <c r="F257" s="7"/>
      <c r="G257" s="7"/>
      <c r="H257" s="7"/>
      <c r="I257" s="7"/>
      <c r="J257" s="7"/>
      <c r="K257" s="7"/>
      <c r="L257" s="7"/>
      <c r="M257" s="7"/>
      <c r="N257" s="7"/>
      <c r="O257" s="7"/>
      <c r="P257" s="7"/>
      <c r="Q257" s="7"/>
      <c r="R257" s="64"/>
      <c r="S257" s="64"/>
      <c r="T257" s="64"/>
      <c r="U257" s="64"/>
      <c r="V257" s="64"/>
      <c r="W257" s="64"/>
    </row>
    <row r="258" spans="1:23" ht="30" customHeight="1">
      <c r="A258" s="8"/>
      <c r="B258" s="7"/>
      <c r="C258" s="33"/>
      <c r="D258" s="7"/>
      <c r="E258" s="7"/>
      <c r="F258" s="7"/>
      <c r="G258" s="7"/>
      <c r="H258" s="7"/>
      <c r="I258" s="7"/>
      <c r="J258" s="7"/>
      <c r="K258" s="7"/>
      <c r="L258" s="7"/>
      <c r="M258" s="7"/>
      <c r="N258" s="7"/>
      <c r="O258" s="7"/>
      <c r="P258" s="7"/>
      <c r="Q258" s="7"/>
      <c r="R258" s="64"/>
      <c r="S258" s="64"/>
      <c r="T258" s="64"/>
      <c r="U258" s="64"/>
      <c r="V258" s="64"/>
      <c r="W258" s="64"/>
    </row>
    <row r="259" spans="1:23" ht="30" customHeight="1">
      <c r="A259" s="8"/>
      <c r="B259" s="7"/>
      <c r="C259" s="33"/>
      <c r="D259" s="7"/>
      <c r="E259" s="7"/>
      <c r="F259" s="7"/>
      <c r="G259" s="7"/>
      <c r="H259" s="7"/>
      <c r="I259" s="7"/>
      <c r="J259" s="7"/>
      <c r="K259" s="7"/>
      <c r="L259" s="7"/>
      <c r="M259" s="7"/>
      <c r="N259" s="7"/>
      <c r="O259" s="7"/>
      <c r="P259" s="7"/>
      <c r="Q259" s="7"/>
      <c r="R259" s="64"/>
      <c r="S259" s="64"/>
      <c r="T259" s="64"/>
      <c r="U259" s="64"/>
      <c r="V259" s="64"/>
      <c r="W259" s="64"/>
    </row>
    <row r="260" spans="1:23" ht="30" customHeight="1">
      <c r="A260" s="8"/>
      <c r="B260" s="7"/>
      <c r="C260" s="33"/>
      <c r="D260" s="7"/>
      <c r="E260" s="7"/>
      <c r="F260" s="7"/>
      <c r="G260" s="7"/>
      <c r="H260" s="7"/>
      <c r="I260" s="7"/>
      <c r="J260" s="7"/>
      <c r="K260" s="7"/>
      <c r="L260" s="7"/>
      <c r="M260" s="7"/>
      <c r="N260" s="7"/>
      <c r="O260" s="7"/>
      <c r="P260" s="7"/>
      <c r="Q260" s="7"/>
      <c r="R260" s="64"/>
      <c r="S260" s="64"/>
      <c r="T260" s="64"/>
      <c r="U260" s="64"/>
      <c r="V260" s="64"/>
      <c r="W260" s="64"/>
    </row>
    <row r="261" spans="1:23" ht="30" customHeight="1">
      <c r="A261" s="8"/>
      <c r="B261" s="7"/>
      <c r="C261" s="33"/>
      <c r="D261" s="7"/>
      <c r="E261" s="7"/>
      <c r="F261" s="7"/>
      <c r="G261" s="7"/>
      <c r="H261" s="7"/>
      <c r="I261" s="7"/>
      <c r="J261" s="7"/>
      <c r="K261" s="7"/>
      <c r="L261" s="7"/>
      <c r="M261" s="7"/>
      <c r="N261" s="7"/>
      <c r="O261" s="7"/>
      <c r="P261" s="7"/>
      <c r="Q261" s="7"/>
      <c r="R261" s="64"/>
      <c r="S261" s="64"/>
      <c r="T261" s="64"/>
      <c r="U261" s="64"/>
      <c r="V261" s="64"/>
      <c r="W261" s="64"/>
    </row>
    <row r="262" spans="1:23" ht="30" customHeight="1">
      <c r="A262" s="8"/>
      <c r="B262" s="7"/>
      <c r="C262" s="33"/>
      <c r="D262" s="7"/>
      <c r="E262" s="7"/>
      <c r="F262" s="7"/>
      <c r="G262" s="7"/>
      <c r="H262" s="7"/>
      <c r="I262" s="7"/>
      <c r="J262" s="7"/>
      <c r="K262" s="7"/>
      <c r="L262" s="7"/>
      <c r="M262" s="7"/>
      <c r="N262" s="7"/>
      <c r="O262" s="7"/>
      <c r="P262" s="7"/>
      <c r="Q262" s="7"/>
      <c r="R262" s="64"/>
      <c r="S262" s="64"/>
      <c r="T262" s="64"/>
      <c r="U262" s="64"/>
      <c r="V262" s="64"/>
      <c r="W262" s="64"/>
    </row>
    <row r="263" spans="1:23" ht="30" customHeight="1">
      <c r="A263" s="8"/>
      <c r="B263" s="7"/>
      <c r="C263" s="33"/>
      <c r="D263" s="7"/>
      <c r="E263" s="7"/>
      <c r="F263" s="7"/>
      <c r="G263" s="7"/>
      <c r="H263" s="7"/>
      <c r="I263" s="7"/>
      <c r="J263" s="7"/>
      <c r="K263" s="7"/>
      <c r="L263" s="7"/>
      <c r="M263" s="7"/>
      <c r="N263" s="7"/>
      <c r="O263" s="7"/>
      <c r="P263" s="7"/>
      <c r="Q263" s="7"/>
      <c r="R263" s="64"/>
      <c r="S263" s="64"/>
      <c r="T263" s="64"/>
      <c r="U263" s="64"/>
      <c r="V263" s="64"/>
      <c r="W263" s="64"/>
    </row>
    <row r="264" spans="1:23" ht="30" customHeight="1">
      <c r="A264" s="8"/>
      <c r="B264" s="7"/>
      <c r="C264" s="33"/>
      <c r="D264" s="7"/>
      <c r="E264" s="7"/>
      <c r="F264" s="7"/>
      <c r="G264" s="7"/>
      <c r="H264" s="7"/>
      <c r="I264" s="7"/>
      <c r="J264" s="7"/>
      <c r="K264" s="7"/>
      <c r="L264" s="7"/>
      <c r="M264" s="7"/>
      <c r="N264" s="7"/>
      <c r="O264" s="7"/>
      <c r="P264" s="7"/>
      <c r="Q264" s="7"/>
      <c r="R264" s="64"/>
      <c r="S264" s="64"/>
      <c r="T264" s="64"/>
      <c r="U264" s="64"/>
      <c r="V264" s="64"/>
      <c r="W264" s="64"/>
    </row>
    <row r="265" spans="1:23" ht="30" customHeight="1">
      <c r="A265" s="8"/>
      <c r="B265" s="7"/>
      <c r="C265" s="33"/>
      <c r="D265" s="7"/>
      <c r="E265" s="7"/>
      <c r="F265" s="7"/>
      <c r="G265" s="7"/>
      <c r="H265" s="7"/>
      <c r="I265" s="7"/>
      <c r="J265" s="7"/>
      <c r="K265" s="7"/>
      <c r="L265" s="7"/>
      <c r="M265" s="7"/>
      <c r="N265" s="7"/>
      <c r="O265" s="7"/>
      <c r="P265" s="7"/>
      <c r="Q265" s="7"/>
      <c r="R265" s="64"/>
      <c r="S265" s="64"/>
      <c r="T265" s="64"/>
      <c r="U265" s="64"/>
      <c r="V265" s="64"/>
      <c r="W265" s="64"/>
    </row>
    <row r="266" spans="1:23" ht="30" customHeight="1">
      <c r="A266" s="8"/>
      <c r="B266" s="7"/>
      <c r="C266" s="33"/>
      <c r="D266" s="7"/>
      <c r="E266" s="7"/>
      <c r="F266" s="7"/>
      <c r="G266" s="7"/>
      <c r="H266" s="7"/>
      <c r="I266" s="7"/>
      <c r="J266" s="7"/>
      <c r="K266" s="7"/>
      <c r="L266" s="7"/>
      <c r="M266" s="7"/>
      <c r="N266" s="7"/>
      <c r="O266" s="7"/>
      <c r="P266" s="7"/>
      <c r="Q266" s="7"/>
      <c r="R266" s="64"/>
      <c r="S266" s="64"/>
      <c r="T266" s="64"/>
      <c r="U266" s="64"/>
      <c r="V266" s="64"/>
      <c r="W266" s="64"/>
    </row>
    <row r="267" spans="1:23" ht="30" customHeight="1">
      <c r="A267" s="8"/>
      <c r="B267" s="7"/>
      <c r="C267" s="33"/>
      <c r="D267" s="7"/>
      <c r="E267" s="7"/>
      <c r="F267" s="7"/>
      <c r="G267" s="7"/>
      <c r="H267" s="7"/>
      <c r="I267" s="7"/>
      <c r="J267" s="7"/>
      <c r="K267" s="7"/>
      <c r="L267" s="7"/>
      <c r="M267" s="7"/>
      <c r="N267" s="7"/>
      <c r="O267" s="7"/>
      <c r="P267" s="7"/>
      <c r="Q267" s="7"/>
      <c r="R267" s="64"/>
      <c r="S267" s="64"/>
      <c r="T267" s="64"/>
      <c r="U267" s="64"/>
      <c r="V267" s="64"/>
      <c r="W267" s="64"/>
    </row>
    <row r="268" spans="1:23" ht="30" customHeight="1">
      <c r="A268" s="8"/>
      <c r="B268" s="7"/>
      <c r="C268" s="33"/>
      <c r="D268" s="7"/>
      <c r="E268" s="7"/>
      <c r="F268" s="7"/>
      <c r="G268" s="7"/>
      <c r="H268" s="7"/>
      <c r="I268" s="7"/>
      <c r="J268" s="7"/>
      <c r="K268" s="7"/>
      <c r="L268" s="7"/>
      <c r="M268" s="7"/>
      <c r="N268" s="7"/>
      <c r="O268" s="7"/>
      <c r="P268" s="7"/>
      <c r="Q268" s="7"/>
      <c r="R268" s="64"/>
      <c r="S268" s="64"/>
      <c r="T268" s="64"/>
      <c r="U268" s="64"/>
      <c r="V268" s="64"/>
      <c r="W268" s="64"/>
    </row>
    <row r="269" spans="1:23" ht="30" customHeight="1">
      <c r="A269" s="8"/>
      <c r="B269" s="7"/>
      <c r="C269" s="33"/>
      <c r="D269" s="7"/>
      <c r="E269" s="7"/>
      <c r="F269" s="7"/>
      <c r="G269" s="7"/>
      <c r="H269" s="7"/>
      <c r="I269" s="7"/>
      <c r="J269" s="7"/>
      <c r="K269" s="7"/>
      <c r="L269" s="7"/>
      <c r="M269" s="7"/>
      <c r="N269" s="7"/>
      <c r="O269" s="7"/>
      <c r="P269" s="7"/>
      <c r="Q269" s="7"/>
      <c r="R269" s="64"/>
      <c r="S269" s="64"/>
      <c r="T269" s="64"/>
      <c r="U269" s="64"/>
      <c r="V269" s="64"/>
      <c r="W269" s="64"/>
    </row>
    <row r="270" spans="1:23" ht="30" customHeight="1">
      <c r="A270" s="8"/>
      <c r="B270" s="7"/>
      <c r="C270" s="33"/>
      <c r="D270" s="7"/>
      <c r="E270" s="7"/>
      <c r="F270" s="7"/>
      <c r="G270" s="7"/>
      <c r="H270" s="7"/>
      <c r="I270" s="7"/>
      <c r="J270" s="7"/>
      <c r="K270" s="7"/>
      <c r="L270" s="7"/>
      <c r="M270" s="7"/>
      <c r="N270" s="7"/>
      <c r="O270" s="7"/>
      <c r="P270" s="7"/>
      <c r="Q270" s="7"/>
      <c r="R270" s="64"/>
      <c r="S270" s="64"/>
      <c r="T270" s="64"/>
      <c r="U270" s="64"/>
      <c r="V270" s="64"/>
      <c r="W270" s="64"/>
    </row>
    <row r="271" spans="1:23" ht="30" customHeight="1">
      <c r="A271" s="8"/>
      <c r="B271" s="7"/>
      <c r="C271" s="33"/>
      <c r="D271" s="7"/>
      <c r="E271" s="7"/>
      <c r="F271" s="7"/>
      <c r="G271" s="7"/>
      <c r="H271" s="7"/>
      <c r="I271" s="7"/>
      <c r="J271" s="7"/>
      <c r="K271" s="7"/>
      <c r="L271" s="7"/>
      <c r="M271" s="7"/>
      <c r="N271" s="7"/>
      <c r="O271" s="7"/>
      <c r="P271" s="7"/>
      <c r="Q271" s="7"/>
      <c r="R271" s="64"/>
      <c r="S271" s="64"/>
      <c r="T271" s="64"/>
      <c r="U271" s="64"/>
      <c r="V271" s="64"/>
      <c r="W271" s="64"/>
    </row>
    <row r="272" spans="1:23" ht="30" customHeight="1">
      <c r="A272" s="8"/>
      <c r="B272" s="7"/>
      <c r="C272" s="33"/>
      <c r="D272" s="7"/>
      <c r="E272" s="7"/>
      <c r="F272" s="7"/>
      <c r="G272" s="7"/>
      <c r="H272" s="7"/>
      <c r="I272" s="7"/>
      <c r="J272" s="7"/>
      <c r="K272" s="7"/>
      <c r="L272" s="7"/>
      <c r="M272" s="7"/>
      <c r="N272" s="7"/>
      <c r="O272" s="7"/>
      <c r="P272" s="7"/>
      <c r="Q272" s="7"/>
      <c r="R272" s="64"/>
      <c r="S272" s="64"/>
      <c r="T272" s="64"/>
      <c r="U272" s="64"/>
      <c r="V272" s="64"/>
      <c r="W272" s="64"/>
    </row>
    <row r="273" spans="1:23" ht="30" customHeight="1">
      <c r="A273" s="8"/>
      <c r="B273" s="7"/>
      <c r="C273" s="33"/>
      <c r="D273" s="7"/>
      <c r="E273" s="7"/>
      <c r="F273" s="7"/>
      <c r="G273" s="7"/>
      <c r="H273" s="7"/>
      <c r="I273" s="7"/>
      <c r="J273" s="7"/>
      <c r="K273" s="7"/>
      <c r="L273" s="7"/>
      <c r="M273" s="7"/>
      <c r="N273" s="7"/>
      <c r="O273" s="7"/>
      <c r="P273" s="7"/>
      <c r="Q273" s="7"/>
      <c r="R273" s="64"/>
      <c r="S273" s="64"/>
      <c r="T273" s="64"/>
      <c r="U273" s="64"/>
      <c r="V273" s="64"/>
      <c r="W273" s="64"/>
    </row>
    <row r="274" spans="1:23" ht="30" customHeight="1">
      <c r="A274" s="8"/>
      <c r="B274" s="7"/>
      <c r="C274" s="33"/>
      <c r="D274" s="7"/>
      <c r="E274" s="7"/>
      <c r="F274" s="7"/>
      <c r="G274" s="7"/>
      <c r="H274" s="7"/>
      <c r="I274" s="7"/>
      <c r="J274" s="7"/>
      <c r="K274" s="7"/>
      <c r="L274" s="7"/>
      <c r="M274" s="7"/>
      <c r="N274" s="7"/>
      <c r="O274" s="7"/>
      <c r="P274" s="7"/>
      <c r="Q274" s="7"/>
      <c r="R274" s="64"/>
      <c r="S274" s="64"/>
      <c r="T274" s="64"/>
      <c r="U274" s="64"/>
      <c r="V274" s="64"/>
      <c r="W274" s="64"/>
    </row>
    <row r="275" spans="1:23" ht="30" customHeight="1">
      <c r="A275" s="8"/>
      <c r="B275" s="7"/>
      <c r="C275" s="33"/>
      <c r="D275" s="7"/>
      <c r="E275" s="7"/>
      <c r="F275" s="7"/>
      <c r="G275" s="7"/>
      <c r="H275" s="7"/>
      <c r="I275" s="7"/>
      <c r="J275" s="7"/>
      <c r="K275" s="7"/>
      <c r="L275" s="7"/>
      <c r="M275" s="7"/>
      <c r="N275" s="7"/>
      <c r="O275" s="7"/>
      <c r="P275" s="7"/>
      <c r="Q275" s="7"/>
      <c r="R275" s="64"/>
      <c r="S275" s="64"/>
      <c r="T275" s="64"/>
      <c r="U275" s="64"/>
      <c r="V275" s="64"/>
      <c r="W275" s="64"/>
    </row>
    <row r="276" spans="1:23" ht="30" customHeight="1">
      <c r="A276" s="8"/>
      <c r="B276" s="7"/>
      <c r="C276" s="33"/>
      <c r="D276" s="7"/>
      <c r="E276" s="7"/>
      <c r="F276" s="7"/>
      <c r="G276" s="7"/>
      <c r="H276" s="7"/>
      <c r="I276" s="7"/>
      <c r="J276" s="7"/>
      <c r="K276" s="7"/>
      <c r="L276" s="7"/>
      <c r="M276" s="7"/>
      <c r="N276" s="7"/>
      <c r="O276" s="7"/>
      <c r="P276" s="7"/>
      <c r="Q276" s="7"/>
      <c r="R276" s="64"/>
      <c r="S276" s="64"/>
      <c r="T276" s="64"/>
      <c r="U276" s="64"/>
      <c r="V276" s="64"/>
      <c r="W276" s="64"/>
    </row>
    <row r="277" spans="1:23" ht="30" customHeight="1">
      <c r="A277" s="8"/>
      <c r="B277" s="7"/>
      <c r="C277" s="33"/>
      <c r="D277" s="7"/>
      <c r="E277" s="7"/>
      <c r="F277" s="7"/>
      <c r="G277" s="7"/>
      <c r="H277" s="7"/>
      <c r="I277" s="7"/>
      <c r="J277" s="7"/>
      <c r="K277" s="7"/>
      <c r="L277" s="7"/>
      <c r="M277" s="7"/>
      <c r="N277" s="7"/>
      <c r="O277" s="7"/>
      <c r="P277" s="7"/>
      <c r="Q277" s="7"/>
      <c r="R277" s="64"/>
      <c r="S277" s="64"/>
      <c r="T277" s="64"/>
      <c r="U277" s="64"/>
      <c r="V277" s="64"/>
      <c r="W277" s="64"/>
    </row>
    <row r="278" spans="1:23" ht="30" customHeight="1">
      <c r="A278" s="8"/>
      <c r="B278" s="7"/>
      <c r="C278" s="33"/>
      <c r="D278" s="7"/>
      <c r="E278" s="7"/>
      <c r="F278" s="7"/>
      <c r="G278" s="7"/>
      <c r="H278" s="7"/>
      <c r="I278" s="7"/>
      <c r="J278" s="7"/>
      <c r="K278" s="7"/>
      <c r="L278" s="7"/>
      <c r="M278" s="7"/>
      <c r="N278" s="7"/>
      <c r="O278" s="7"/>
      <c r="P278" s="7"/>
      <c r="Q278" s="7"/>
      <c r="R278" s="64"/>
      <c r="S278" s="64"/>
      <c r="T278" s="64"/>
      <c r="U278" s="64"/>
      <c r="V278" s="64"/>
      <c r="W278" s="64"/>
    </row>
    <row r="279" spans="1:23" ht="30" customHeight="1">
      <c r="A279" s="8"/>
      <c r="B279" s="7"/>
      <c r="C279" s="33"/>
      <c r="D279" s="7"/>
      <c r="E279" s="7"/>
      <c r="F279" s="7"/>
      <c r="G279" s="7"/>
      <c r="H279" s="7"/>
      <c r="I279" s="7"/>
      <c r="J279" s="7"/>
      <c r="K279" s="7"/>
      <c r="L279" s="7"/>
      <c r="M279" s="7"/>
      <c r="N279" s="7"/>
      <c r="O279" s="7"/>
      <c r="P279" s="7"/>
      <c r="Q279" s="7"/>
      <c r="R279" s="64"/>
      <c r="S279" s="64"/>
      <c r="T279" s="64"/>
      <c r="U279" s="64"/>
      <c r="V279" s="64"/>
      <c r="W279" s="64"/>
    </row>
    <row r="280" spans="1:23" ht="30" customHeight="1">
      <c r="A280" s="8"/>
      <c r="B280" s="7"/>
      <c r="C280" s="33"/>
      <c r="D280" s="7"/>
      <c r="E280" s="7"/>
      <c r="F280" s="7"/>
      <c r="G280" s="7"/>
      <c r="H280" s="7"/>
      <c r="I280" s="7"/>
      <c r="J280" s="7"/>
      <c r="K280" s="7"/>
      <c r="L280" s="7"/>
      <c r="M280" s="7"/>
      <c r="N280" s="7"/>
      <c r="O280" s="7"/>
      <c r="P280" s="7"/>
      <c r="Q280" s="7"/>
      <c r="R280" s="64"/>
      <c r="S280" s="64"/>
      <c r="T280" s="64"/>
      <c r="U280" s="64"/>
      <c r="V280" s="64"/>
      <c r="W280" s="64"/>
    </row>
    <row r="281" spans="1:23" ht="30" customHeight="1">
      <c r="A281" s="8"/>
      <c r="B281" s="7"/>
      <c r="C281" s="33"/>
      <c r="D281" s="7"/>
      <c r="E281" s="7"/>
      <c r="F281" s="7"/>
      <c r="G281" s="7"/>
      <c r="H281" s="7"/>
      <c r="I281" s="7"/>
      <c r="J281" s="7"/>
      <c r="K281" s="7"/>
      <c r="L281" s="7"/>
      <c r="M281" s="7"/>
      <c r="N281" s="7"/>
      <c r="O281" s="7"/>
      <c r="P281" s="7"/>
      <c r="Q281" s="7"/>
      <c r="R281" s="64"/>
      <c r="S281" s="64"/>
      <c r="T281" s="64"/>
      <c r="U281" s="64"/>
      <c r="V281" s="64"/>
      <c r="W281" s="64"/>
    </row>
    <row r="282" spans="1:23" ht="30" customHeight="1">
      <c r="A282" s="8"/>
      <c r="B282" s="7"/>
      <c r="C282" s="33"/>
      <c r="D282" s="7"/>
      <c r="E282" s="7"/>
      <c r="F282" s="7"/>
      <c r="G282" s="7"/>
      <c r="H282" s="7"/>
      <c r="I282" s="7"/>
      <c r="J282" s="7"/>
      <c r="K282" s="7"/>
      <c r="L282" s="7"/>
      <c r="M282" s="7"/>
      <c r="N282" s="7"/>
      <c r="O282" s="7"/>
      <c r="P282" s="7"/>
      <c r="Q282" s="7"/>
      <c r="R282" s="64"/>
      <c r="S282" s="64"/>
      <c r="T282" s="64"/>
      <c r="U282" s="64"/>
      <c r="V282" s="64"/>
      <c r="W282" s="64"/>
    </row>
    <row r="283" spans="1:23" ht="30" customHeight="1">
      <c r="A283" s="8"/>
      <c r="B283" s="7"/>
      <c r="C283" s="33"/>
      <c r="D283" s="7"/>
      <c r="E283" s="7"/>
      <c r="F283" s="7"/>
      <c r="G283" s="7"/>
      <c r="H283" s="7"/>
      <c r="I283" s="7"/>
      <c r="J283" s="7"/>
      <c r="K283" s="7"/>
      <c r="L283" s="7"/>
      <c r="M283" s="7"/>
      <c r="N283" s="7"/>
      <c r="O283" s="7"/>
      <c r="P283" s="7"/>
      <c r="Q283" s="7"/>
      <c r="R283" s="64"/>
      <c r="S283" s="64"/>
      <c r="T283" s="64"/>
      <c r="U283" s="64"/>
      <c r="V283" s="64"/>
      <c r="W283" s="64"/>
    </row>
    <row r="284" spans="1:23" ht="30" customHeight="1">
      <c r="A284" s="8"/>
      <c r="B284" s="7"/>
      <c r="C284" s="33"/>
      <c r="D284" s="7"/>
      <c r="E284" s="7"/>
      <c r="F284" s="7"/>
      <c r="G284" s="7"/>
      <c r="H284" s="7"/>
      <c r="I284" s="7"/>
      <c r="J284" s="7"/>
      <c r="K284" s="7"/>
      <c r="L284" s="7"/>
      <c r="M284" s="7"/>
      <c r="N284" s="7"/>
      <c r="O284" s="7"/>
      <c r="P284" s="7"/>
      <c r="Q284" s="7"/>
      <c r="R284" s="64"/>
      <c r="S284" s="64"/>
      <c r="T284" s="64"/>
      <c r="U284" s="64"/>
      <c r="V284" s="64"/>
      <c r="W284" s="64"/>
    </row>
    <row r="285" spans="1:23" ht="30" customHeight="1">
      <c r="A285" s="8"/>
      <c r="B285" s="7"/>
      <c r="C285" s="33"/>
      <c r="D285" s="7"/>
      <c r="E285" s="7"/>
      <c r="F285" s="7"/>
      <c r="G285" s="7"/>
      <c r="H285" s="7"/>
      <c r="I285" s="7"/>
      <c r="J285" s="7"/>
      <c r="K285" s="7"/>
      <c r="L285" s="7"/>
      <c r="M285" s="7"/>
      <c r="N285" s="7"/>
      <c r="O285" s="7"/>
      <c r="P285" s="7"/>
      <c r="Q285" s="7"/>
      <c r="R285" s="64"/>
      <c r="S285" s="64"/>
      <c r="T285" s="64"/>
      <c r="U285" s="64"/>
      <c r="V285" s="64"/>
      <c r="W285" s="64"/>
    </row>
    <row r="286" spans="1:23" ht="30" customHeight="1">
      <c r="A286" s="8"/>
      <c r="B286" s="7"/>
      <c r="C286" s="33"/>
      <c r="D286" s="7"/>
      <c r="E286" s="7"/>
      <c r="F286" s="7"/>
      <c r="G286" s="7"/>
      <c r="H286" s="7"/>
      <c r="I286" s="7"/>
      <c r="J286" s="7"/>
      <c r="K286" s="7"/>
      <c r="L286" s="7"/>
      <c r="M286" s="7"/>
      <c r="N286" s="7"/>
      <c r="O286" s="7"/>
      <c r="P286" s="7"/>
      <c r="Q286" s="7"/>
      <c r="R286" s="64"/>
      <c r="S286" s="64"/>
      <c r="T286" s="64"/>
      <c r="U286" s="64"/>
      <c r="V286" s="64"/>
      <c r="W286" s="64"/>
    </row>
    <row r="287" spans="1:23" ht="30" customHeight="1">
      <c r="A287" s="8"/>
      <c r="B287" s="7"/>
      <c r="C287" s="33"/>
      <c r="D287" s="7"/>
      <c r="E287" s="7"/>
      <c r="F287" s="7"/>
      <c r="G287" s="7"/>
      <c r="H287" s="7"/>
      <c r="I287" s="7"/>
      <c r="J287" s="7"/>
      <c r="K287" s="7"/>
      <c r="L287" s="7"/>
      <c r="M287" s="7"/>
      <c r="N287" s="7"/>
      <c r="O287" s="7"/>
      <c r="P287" s="7"/>
      <c r="Q287" s="7"/>
      <c r="R287" s="64"/>
      <c r="S287" s="64"/>
      <c r="T287" s="64"/>
      <c r="U287" s="64"/>
      <c r="V287" s="64"/>
      <c r="W287" s="64"/>
    </row>
    <row r="288" spans="1:23" ht="30" customHeight="1">
      <c r="A288" s="8"/>
      <c r="B288" s="7"/>
      <c r="C288" s="33"/>
      <c r="D288" s="7"/>
      <c r="E288" s="7"/>
      <c r="F288" s="7"/>
      <c r="G288" s="7"/>
      <c r="H288" s="7"/>
      <c r="I288" s="7"/>
      <c r="J288" s="7"/>
      <c r="K288" s="7"/>
      <c r="L288" s="7"/>
      <c r="M288" s="7"/>
      <c r="N288" s="7"/>
      <c r="O288" s="7"/>
      <c r="P288" s="7"/>
      <c r="Q288" s="7"/>
      <c r="R288" s="64"/>
      <c r="S288" s="64"/>
      <c r="T288" s="64"/>
      <c r="U288" s="64"/>
      <c r="V288" s="64"/>
      <c r="W288" s="64"/>
    </row>
    <row r="289" spans="1:23" ht="30" customHeight="1">
      <c r="A289" s="8"/>
      <c r="B289" s="7"/>
      <c r="C289" s="33"/>
      <c r="D289" s="7"/>
      <c r="E289" s="7"/>
      <c r="F289" s="7"/>
      <c r="G289" s="7"/>
      <c r="H289" s="7"/>
      <c r="I289" s="7"/>
      <c r="J289" s="7"/>
      <c r="K289" s="7"/>
      <c r="L289" s="7"/>
      <c r="M289" s="7"/>
      <c r="N289" s="7"/>
      <c r="O289" s="7"/>
      <c r="P289" s="7"/>
      <c r="Q289" s="7"/>
      <c r="R289" s="64"/>
      <c r="S289" s="64"/>
      <c r="T289" s="64"/>
      <c r="U289" s="64"/>
      <c r="V289" s="64"/>
      <c r="W289" s="64"/>
    </row>
    <row r="290" spans="1:23" ht="30" customHeight="1">
      <c r="A290" s="8"/>
      <c r="B290" s="7"/>
      <c r="C290" s="33"/>
      <c r="D290" s="7"/>
      <c r="E290" s="7"/>
      <c r="F290" s="7"/>
      <c r="G290" s="7"/>
      <c r="H290" s="7"/>
      <c r="I290" s="7"/>
      <c r="J290" s="7"/>
      <c r="K290" s="7"/>
      <c r="L290" s="7"/>
      <c r="M290" s="7"/>
      <c r="N290" s="7"/>
      <c r="O290" s="7"/>
      <c r="P290" s="7"/>
      <c r="Q290" s="7"/>
      <c r="R290" s="64"/>
      <c r="S290" s="64"/>
      <c r="T290" s="64"/>
      <c r="U290" s="64"/>
      <c r="V290" s="64"/>
      <c r="W290" s="64"/>
    </row>
    <row r="291" spans="1:23" ht="30" customHeight="1">
      <c r="A291" s="8"/>
      <c r="B291" s="7"/>
      <c r="C291" s="33"/>
      <c r="D291" s="7"/>
      <c r="E291" s="7"/>
      <c r="F291" s="7"/>
      <c r="G291" s="7"/>
      <c r="H291" s="7"/>
      <c r="I291" s="7"/>
      <c r="J291" s="7"/>
      <c r="K291" s="7"/>
      <c r="L291" s="7"/>
      <c r="M291" s="7"/>
      <c r="N291" s="7"/>
      <c r="O291" s="7"/>
      <c r="P291" s="7"/>
      <c r="Q291" s="7"/>
      <c r="R291" s="64"/>
      <c r="S291" s="64"/>
      <c r="T291" s="64"/>
      <c r="U291" s="64"/>
      <c r="V291" s="64"/>
      <c r="W291" s="64"/>
    </row>
    <row r="292" spans="1:23" ht="30" customHeight="1">
      <c r="A292" s="8"/>
      <c r="B292" s="7"/>
      <c r="C292" s="33"/>
      <c r="D292" s="7"/>
      <c r="E292" s="7"/>
      <c r="F292" s="7"/>
      <c r="G292" s="7"/>
      <c r="H292" s="7"/>
      <c r="I292" s="7"/>
      <c r="J292" s="7"/>
      <c r="K292" s="7"/>
      <c r="L292" s="7"/>
      <c r="M292" s="7"/>
      <c r="N292" s="7"/>
      <c r="O292" s="7"/>
      <c r="P292" s="7"/>
      <c r="Q292" s="7"/>
      <c r="R292" s="64"/>
      <c r="S292" s="64"/>
      <c r="T292" s="64"/>
      <c r="U292" s="64"/>
      <c r="V292" s="64"/>
      <c r="W292" s="64"/>
    </row>
    <row r="293" spans="1:23" ht="30" customHeight="1">
      <c r="A293" s="8"/>
      <c r="B293" s="7"/>
      <c r="C293" s="33"/>
      <c r="D293" s="7"/>
      <c r="E293" s="7"/>
      <c r="F293" s="7"/>
      <c r="G293" s="7"/>
      <c r="H293" s="7"/>
      <c r="I293" s="7"/>
      <c r="J293" s="7"/>
      <c r="K293" s="7"/>
      <c r="L293" s="7"/>
      <c r="M293" s="7"/>
      <c r="N293" s="7"/>
      <c r="O293" s="7"/>
      <c r="P293" s="7"/>
      <c r="Q293" s="7"/>
      <c r="R293" s="64"/>
      <c r="S293" s="64"/>
      <c r="T293" s="64"/>
      <c r="U293" s="64"/>
      <c r="V293" s="64"/>
      <c r="W293" s="64"/>
    </row>
    <row r="294" spans="1:23" ht="30" customHeight="1">
      <c r="A294" s="8"/>
      <c r="B294" s="7"/>
      <c r="C294" s="33"/>
      <c r="D294" s="7"/>
      <c r="E294" s="7"/>
      <c r="F294" s="7"/>
      <c r="G294" s="7"/>
      <c r="H294" s="7"/>
      <c r="I294" s="7"/>
      <c r="J294" s="7"/>
      <c r="K294" s="7"/>
      <c r="L294" s="7"/>
      <c r="M294" s="7"/>
      <c r="N294" s="7"/>
      <c r="O294" s="7"/>
      <c r="P294" s="7"/>
      <c r="Q294" s="7"/>
      <c r="R294" s="64"/>
      <c r="S294" s="64"/>
      <c r="T294" s="64"/>
      <c r="U294" s="64"/>
      <c r="V294" s="64"/>
      <c r="W294" s="64"/>
    </row>
    <row r="295" spans="1:23" ht="30" customHeight="1">
      <c r="A295" s="8"/>
      <c r="B295" s="7"/>
      <c r="C295" s="33"/>
      <c r="D295" s="7"/>
      <c r="E295" s="7"/>
      <c r="F295" s="7"/>
      <c r="G295" s="7"/>
      <c r="H295" s="7"/>
      <c r="I295" s="7"/>
      <c r="J295" s="7"/>
      <c r="K295" s="7"/>
      <c r="L295" s="7"/>
      <c r="M295" s="7"/>
      <c r="N295" s="7"/>
      <c r="O295" s="7"/>
      <c r="P295" s="7"/>
      <c r="Q295" s="7"/>
      <c r="R295" s="64"/>
      <c r="S295" s="64"/>
      <c r="T295" s="64"/>
      <c r="U295" s="64"/>
      <c r="V295" s="64"/>
      <c r="W295" s="64"/>
    </row>
    <row r="296" spans="1:23" ht="30" customHeight="1">
      <c r="A296" s="8"/>
      <c r="B296" s="7"/>
      <c r="C296" s="33"/>
      <c r="D296" s="7"/>
      <c r="E296" s="7"/>
      <c r="F296" s="7"/>
      <c r="G296" s="7"/>
      <c r="H296" s="7"/>
      <c r="I296" s="7"/>
      <c r="J296" s="7"/>
      <c r="K296" s="7"/>
      <c r="L296" s="7"/>
      <c r="M296" s="7"/>
      <c r="N296" s="7"/>
      <c r="O296" s="7"/>
      <c r="P296" s="7"/>
      <c r="Q296" s="7"/>
      <c r="R296" s="64"/>
      <c r="S296" s="64"/>
      <c r="T296" s="64"/>
      <c r="U296" s="64"/>
      <c r="V296" s="64"/>
      <c r="W296" s="64"/>
    </row>
    <row r="297" spans="1:23" ht="30" customHeight="1">
      <c r="A297" s="8"/>
      <c r="B297" s="7"/>
      <c r="C297" s="33"/>
      <c r="D297" s="7"/>
      <c r="E297" s="7"/>
      <c r="F297" s="7"/>
      <c r="G297" s="7"/>
      <c r="H297" s="7"/>
      <c r="I297" s="7"/>
      <c r="J297" s="7"/>
      <c r="K297" s="7"/>
      <c r="L297" s="7"/>
      <c r="M297" s="7"/>
      <c r="N297" s="7"/>
      <c r="O297" s="7"/>
      <c r="P297" s="7"/>
      <c r="Q297" s="7"/>
      <c r="R297" s="64"/>
      <c r="S297" s="64"/>
      <c r="T297" s="64"/>
      <c r="U297" s="64"/>
      <c r="V297" s="64"/>
      <c r="W297" s="64"/>
    </row>
    <row r="298" spans="1:23" ht="30" customHeight="1">
      <c r="A298" s="8"/>
      <c r="B298" s="7"/>
      <c r="C298" s="33"/>
      <c r="D298" s="7"/>
      <c r="E298" s="7"/>
      <c r="F298" s="7"/>
      <c r="G298" s="7"/>
      <c r="H298" s="7"/>
      <c r="I298" s="7"/>
      <c r="J298" s="7"/>
      <c r="K298" s="7"/>
      <c r="L298" s="7"/>
      <c r="M298" s="7"/>
      <c r="N298" s="7"/>
      <c r="O298" s="7"/>
      <c r="P298" s="7"/>
      <c r="Q298" s="7"/>
      <c r="R298" s="64"/>
      <c r="S298" s="64"/>
      <c r="T298" s="64"/>
      <c r="U298" s="64"/>
      <c r="V298" s="64"/>
      <c r="W298" s="64"/>
    </row>
    <row r="299" spans="1:23" ht="30" customHeight="1">
      <c r="A299" s="8"/>
      <c r="B299" s="7"/>
      <c r="C299" s="33"/>
      <c r="D299" s="7"/>
      <c r="E299" s="7"/>
      <c r="F299" s="7"/>
      <c r="G299" s="7"/>
      <c r="H299" s="7"/>
      <c r="I299" s="7"/>
      <c r="J299" s="7"/>
      <c r="K299" s="7"/>
      <c r="L299" s="7"/>
      <c r="M299" s="7"/>
      <c r="N299" s="7"/>
      <c r="O299" s="7"/>
      <c r="P299" s="7"/>
      <c r="Q299" s="7"/>
      <c r="R299" s="64"/>
      <c r="S299" s="64"/>
      <c r="T299" s="64"/>
      <c r="U299" s="64"/>
      <c r="V299" s="64"/>
      <c r="W299" s="64"/>
    </row>
    <row r="300" spans="1:23" ht="30" customHeight="1">
      <c r="A300" s="8"/>
      <c r="B300" s="7"/>
      <c r="C300" s="33"/>
      <c r="D300" s="7"/>
      <c r="E300" s="7"/>
      <c r="F300" s="7"/>
      <c r="G300" s="7"/>
      <c r="H300" s="7"/>
      <c r="I300" s="7"/>
      <c r="J300" s="7"/>
      <c r="K300" s="7"/>
      <c r="L300" s="7"/>
      <c r="M300" s="7"/>
      <c r="N300" s="7"/>
      <c r="O300" s="7"/>
      <c r="P300" s="7"/>
      <c r="Q300" s="7"/>
      <c r="R300" s="64"/>
      <c r="S300" s="64"/>
      <c r="T300" s="64"/>
      <c r="U300" s="64"/>
      <c r="V300" s="64"/>
      <c r="W300" s="64"/>
    </row>
    <row r="301" spans="1:23" ht="30" customHeight="1">
      <c r="A301" s="8"/>
      <c r="B301" s="7"/>
      <c r="C301" s="33"/>
      <c r="D301" s="7"/>
      <c r="E301" s="7"/>
      <c r="F301" s="7"/>
      <c r="G301" s="7"/>
      <c r="H301" s="7"/>
      <c r="I301" s="7"/>
      <c r="J301" s="7"/>
      <c r="K301" s="7"/>
      <c r="L301" s="7"/>
      <c r="M301" s="7"/>
      <c r="N301" s="7"/>
      <c r="O301" s="7"/>
      <c r="P301" s="7"/>
      <c r="Q301" s="7"/>
      <c r="R301" s="64"/>
      <c r="S301" s="64"/>
      <c r="T301" s="64"/>
      <c r="U301" s="64"/>
      <c r="V301" s="64"/>
      <c r="W301" s="64"/>
    </row>
    <row r="302" spans="1:23" ht="30" customHeight="1">
      <c r="A302" s="8"/>
      <c r="B302" s="7"/>
      <c r="C302" s="33"/>
      <c r="D302" s="7"/>
      <c r="E302" s="7"/>
      <c r="F302" s="7"/>
      <c r="G302" s="7"/>
      <c r="H302" s="7"/>
      <c r="I302" s="7"/>
      <c r="J302" s="7"/>
      <c r="K302" s="7"/>
      <c r="L302" s="7"/>
      <c r="M302" s="7"/>
      <c r="N302" s="7"/>
      <c r="O302" s="7"/>
      <c r="P302" s="7"/>
      <c r="Q302" s="7"/>
      <c r="R302" s="64"/>
      <c r="S302" s="64"/>
      <c r="T302" s="64"/>
      <c r="U302" s="64"/>
      <c r="V302" s="64"/>
      <c r="W302" s="64"/>
    </row>
    <row r="303" spans="1:23" ht="30" customHeight="1">
      <c r="A303" s="8"/>
      <c r="B303" s="7"/>
      <c r="C303" s="33"/>
      <c r="D303" s="7"/>
      <c r="E303" s="7"/>
      <c r="F303" s="7"/>
      <c r="G303" s="7"/>
      <c r="H303" s="7"/>
      <c r="I303" s="7"/>
      <c r="J303" s="7"/>
      <c r="K303" s="7"/>
      <c r="L303" s="7"/>
      <c r="M303" s="7"/>
      <c r="N303" s="7"/>
      <c r="O303" s="7"/>
      <c r="P303" s="7"/>
      <c r="Q303" s="7"/>
      <c r="R303" s="64"/>
      <c r="S303" s="64"/>
      <c r="T303" s="64"/>
      <c r="U303" s="64"/>
      <c r="V303" s="64"/>
      <c r="W303" s="64"/>
    </row>
    <row r="304" spans="1:23" ht="30" customHeight="1">
      <c r="A304" s="8"/>
      <c r="B304" s="7"/>
      <c r="C304" s="33"/>
      <c r="D304" s="7"/>
      <c r="E304" s="7"/>
      <c r="F304" s="7"/>
      <c r="G304" s="7"/>
      <c r="H304" s="7"/>
      <c r="I304" s="7"/>
      <c r="J304" s="7"/>
      <c r="K304" s="7"/>
      <c r="L304" s="7"/>
      <c r="M304" s="7"/>
      <c r="N304" s="7"/>
      <c r="O304" s="7"/>
      <c r="P304" s="7"/>
      <c r="Q304" s="7"/>
      <c r="R304" s="64"/>
      <c r="S304" s="64"/>
      <c r="T304" s="64"/>
      <c r="U304" s="64"/>
      <c r="V304" s="64"/>
      <c r="W304" s="64"/>
    </row>
    <row r="305" spans="1:23" ht="30" customHeight="1">
      <c r="A305" s="8"/>
      <c r="B305" s="7"/>
      <c r="C305" s="33"/>
      <c r="D305" s="7"/>
      <c r="E305" s="7"/>
      <c r="F305" s="7"/>
      <c r="G305" s="7"/>
      <c r="H305" s="7"/>
      <c r="I305" s="7"/>
      <c r="J305" s="7"/>
      <c r="K305" s="7"/>
      <c r="L305" s="7"/>
      <c r="M305" s="7"/>
      <c r="N305" s="7"/>
      <c r="O305" s="7"/>
      <c r="P305" s="7"/>
      <c r="Q305" s="7"/>
      <c r="R305" s="64"/>
      <c r="S305" s="64"/>
      <c r="T305" s="64"/>
      <c r="U305" s="64"/>
      <c r="V305" s="64"/>
      <c r="W305" s="64"/>
    </row>
    <row r="306" spans="1:23" ht="30" customHeight="1">
      <c r="A306" s="8"/>
      <c r="B306" s="7"/>
      <c r="C306" s="33"/>
      <c r="D306" s="7"/>
      <c r="E306" s="7"/>
      <c r="F306" s="7"/>
      <c r="G306" s="7"/>
      <c r="H306" s="7"/>
      <c r="I306" s="7"/>
      <c r="J306" s="7"/>
      <c r="K306" s="7"/>
      <c r="L306" s="7"/>
      <c r="M306" s="7"/>
      <c r="N306" s="7"/>
      <c r="O306" s="7"/>
      <c r="P306" s="7"/>
      <c r="Q306" s="7"/>
      <c r="R306" s="64"/>
      <c r="S306" s="64"/>
      <c r="T306" s="64"/>
      <c r="U306" s="64"/>
      <c r="V306" s="64"/>
      <c r="W306" s="64"/>
    </row>
    <row r="307" spans="1:23" ht="30" customHeight="1">
      <c r="A307" s="8"/>
      <c r="B307" s="7"/>
      <c r="C307" s="33"/>
      <c r="D307" s="7"/>
      <c r="E307" s="7"/>
      <c r="F307" s="7"/>
      <c r="G307" s="7"/>
      <c r="H307" s="7"/>
      <c r="I307" s="7"/>
      <c r="J307" s="7"/>
      <c r="K307" s="7"/>
      <c r="L307" s="7"/>
      <c r="M307" s="7"/>
      <c r="N307" s="7"/>
      <c r="O307" s="7"/>
      <c r="P307" s="7"/>
      <c r="Q307" s="7"/>
      <c r="R307" s="64"/>
      <c r="S307" s="64"/>
      <c r="T307" s="64"/>
      <c r="U307" s="64"/>
      <c r="V307" s="64"/>
      <c r="W307" s="64"/>
    </row>
    <row r="308" spans="1:23" ht="30" customHeight="1">
      <c r="A308" s="8"/>
      <c r="B308" s="7"/>
      <c r="C308" s="33"/>
      <c r="D308" s="7"/>
      <c r="E308" s="7"/>
      <c r="F308" s="7"/>
      <c r="G308" s="7"/>
      <c r="H308" s="7"/>
      <c r="I308" s="7"/>
      <c r="J308" s="7"/>
      <c r="K308" s="7"/>
      <c r="L308" s="7"/>
      <c r="M308" s="7"/>
      <c r="N308" s="7"/>
      <c r="O308" s="7"/>
      <c r="P308" s="7"/>
      <c r="Q308" s="7"/>
      <c r="R308" s="64"/>
      <c r="S308" s="64"/>
      <c r="T308" s="64"/>
      <c r="U308" s="64"/>
      <c r="V308" s="64"/>
      <c r="W308" s="64"/>
    </row>
    <row r="309" spans="1:23" ht="30" customHeight="1">
      <c r="A309" s="8"/>
      <c r="B309" s="7"/>
      <c r="C309" s="33"/>
      <c r="D309" s="7"/>
      <c r="E309" s="7"/>
      <c r="F309" s="7"/>
      <c r="G309" s="7"/>
      <c r="H309" s="7"/>
      <c r="I309" s="7"/>
      <c r="J309" s="7"/>
      <c r="K309" s="7"/>
      <c r="L309" s="7"/>
      <c r="M309" s="7"/>
      <c r="N309" s="7"/>
      <c r="O309" s="7"/>
      <c r="P309" s="7"/>
      <c r="Q309" s="7"/>
      <c r="R309" s="64"/>
      <c r="S309" s="64"/>
      <c r="T309" s="64"/>
      <c r="U309" s="64"/>
      <c r="V309" s="64"/>
      <c r="W309" s="64"/>
    </row>
    <row r="310" spans="1:23" ht="30" customHeight="1">
      <c r="A310" s="8"/>
      <c r="B310" s="7"/>
      <c r="C310" s="33"/>
      <c r="D310" s="7"/>
      <c r="E310" s="7"/>
      <c r="F310" s="7"/>
      <c r="G310" s="7"/>
      <c r="H310" s="7"/>
      <c r="I310" s="7"/>
      <c r="J310" s="7"/>
      <c r="K310" s="7"/>
      <c r="L310" s="7"/>
      <c r="M310" s="7"/>
      <c r="N310" s="7"/>
      <c r="O310" s="7"/>
      <c r="P310" s="7"/>
      <c r="Q310" s="7"/>
      <c r="R310" s="64"/>
      <c r="S310" s="64"/>
      <c r="T310" s="64"/>
      <c r="U310" s="64"/>
      <c r="V310" s="64"/>
      <c r="W310" s="64"/>
    </row>
    <row r="311" spans="1:23" ht="30" customHeight="1">
      <c r="A311" s="8"/>
      <c r="B311" s="7"/>
      <c r="C311" s="33"/>
      <c r="D311" s="7"/>
      <c r="E311" s="7"/>
      <c r="F311" s="7"/>
      <c r="G311" s="7"/>
      <c r="H311" s="7"/>
      <c r="I311" s="7"/>
      <c r="J311" s="7"/>
      <c r="K311" s="7"/>
      <c r="L311" s="7"/>
      <c r="M311" s="7"/>
      <c r="N311" s="7"/>
      <c r="O311" s="7"/>
      <c r="P311" s="7"/>
      <c r="Q311" s="7"/>
      <c r="R311" s="64"/>
      <c r="S311" s="64"/>
      <c r="T311" s="64"/>
      <c r="U311" s="64"/>
      <c r="V311" s="64"/>
      <c r="W311" s="64"/>
    </row>
    <row r="312" spans="1:23" ht="30" customHeight="1">
      <c r="A312" s="8"/>
      <c r="B312" s="7"/>
      <c r="C312" s="33"/>
      <c r="D312" s="7"/>
      <c r="E312" s="7"/>
      <c r="F312" s="7"/>
      <c r="G312" s="7"/>
      <c r="H312" s="7"/>
      <c r="I312" s="7"/>
      <c r="J312" s="7"/>
      <c r="K312" s="7"/>
      <c r="L312" s="7"/>
      <c r="M312" s="7"/>
      <c r="N312" s="7"/>
      <c r="O312" s="7"/>
      <c r="P312" s="7"/>
      <c r="Q312" s="7"/>
      <c r="R312" s="64"/>
      <c r="S312" s="64"/>
      <c r="T312" s="64"/>
      <c r="U312" s="64"/>
      <c r="V312" s="64"/>
      <c r="W312" s="64"/>
    </row>
    <row r="313" spans="1:23" ht="30" customHeight="1">
      <c r="A313" s="8"/>
      <c r="B313" s="7"/>
      <c r="C313" s="33"/>
      <c r="D313" s="7"/>
      <c r="E313" s="7"/>
      <c r="F313" s="7"/>
      <c r="G313" s="7"/>
      <c r="H313" s="7"/>
      <c r="I313" s="7"/>
      <c r="J313" s="7"/>
      <c r="K313" s="7"/>
      <c r="L313" s="7"/>
      <c r="M313" s="7"/>
      <c r="N313" s="7"/>
      <c r="O313" s="7"/>
      <c r="P313" s="7"/>
      <c r="Q313" s="7"/>
      <c r="R313" s="64"/>
      <c r="S313" s="64"/>
      <c r="T313" s="64"/>
      <c r="U313" s="64"/>
      <c r="V313" s="64"/>
      <c r="W313" s="64"/>
    </row>
    <row r="314" spans="1:23" ht="30" customHeight="1">
      <c r="A314" s="8"/>
      <c r="B314" s="7"/>
      <c r="C314" s="33"/>
      <c r="D314" s="7"/>
      <c r="E314" s="7"/>
      <c r="F314" s="7"/>
      <c r="G314" s="7"/>
      <c r="H314" s="7"/>
      <c r="I314" s="7"/>
      <c r="J314" s="7"/>
      <c r="K314" s="7"/>
      <c r="L314" s="7"/>
      <c r="M314" s="7"/>
      <c r="N314" s="7"/>
      <c r="O314" s="7"/>
      <c r="P314" s="7"/>
      <c r="Q314" s="7"/>
      <c r="R314" s="64"/>
      <c r="S314" s="64"/>
      <c r="T314" s="64"/>
      <c r="U314" s="64"/>
      <c r="V314" s="64"/>
      <c r="W314" s="64"/>
    </row>
    <row r="315" spans="1:23" ht="30" customHeight="1">
      <c r="A315" s="8"/>
      <c r="B315" s="7"/>
      <c r="C315" s="33"/>
      <c r="D315" s="7"/>
      <c r="E315" s="7"/>
      <c r="F315" s="7"/>
      <c r="G315" s="7"/>
      <c r="H315" s="7"/>
      <c r="I315" s="7"/>
      <c r="J315" s="7"/>
      <c r="K315" s="7"/>
      <c r="L315" s="7"/>
      <c r="M315" s="7"/>
      <c r="N315" s="7"/>
      <c r="O315" s="7"/>
      <c r="P315" s="7"/>
      <c r="Q315" s="7"/>
      <c r="R315" s="64"/>
      <c r="S315" s="64"/>
      <c r="T315" s="64"/>
      <c r="U315" s="64"/>
      <c r="V315" s="64"/>
      <c r="W315" s="64"/>
    </row>
    <row r="316" spans="1:23" ht="30" customHeight="1">
      <c r="A316" s="8"/>
      <c r="B316" s="7"/>
      <c r="C316" s="33"/>
      <c r="D316" s="7"/>
      <c r="E316" s="7"/>
      <c r="F316" s="7"/>
      <c r="G316" s="7"/>
      <c r="H316" s="7"/>
      <c r="I316" s="7"/>
      <c r="J316" s="7"/>
      <c r="K316" s="7"/>
      <c r="L316" s="7"/>
      <c r="M316" s="7"/>
      <c r="N316" s="7"/>
      <c r="O316" s="7"/>
      <c r="P316" s="7"/>
      <c r="Q316" s="7"/>
      <c r="R316" s="64"/>
      <c r="S316" s="64"/>
      <c r="T316" s="64"/>
      <c r="U316" s="64"/>
      <c r="V316" s="64"/>
      <c r="W316" s="64"/>
    </row>
    <row r="317" spans="1:23" ht="30" customHeight="1">
      <c r="A317" s="8"/>
      <c r="B317" s="7"/>
      <c r="C317" s="33"/>
      <c r="D317" s="7"/>
      <c r="E317" s="7"/>
      <c r="F317" s="7"/>
      <c r="G317" s="7"/>
      <c r="H317" s="7"/>
      <c r="I317" s="7"/>
      <c r="J317" s="7"/>
      <c r="K317" s="7"/>
      <c r="L317" s="7"/>
      <c r="M317" s="7"/>
      <c r="N317" s="7"/>
      <c r="O317" s="7"/>
      <c r="P317" s="7"/>
      <c r="Q317" s="7"/>
      <c r="R317" s="64"/>
      <c r="S317" s="64"/>
      <c r="T317" s="64"/>
      <c r="U317" s="64"/>
      <c r="V317" s="64"/>
      <c r="W317" s="64"/>
    </row>
    <row r="318" spans="1:23" ht="30" customHeight="1">
      <c r="A318" s="8"/>
      <c r="B318" s="7"/>
      <c r="C318" s="33"/>
      <c r="D318" s="7"/>
      <c r="E318" s="7"/>
      <c r="F318" s="7"/>
      <c r="G318" s="7"/>
      <c r="H318" s="7"/>
      <c r="I318" s="7"/>
      <c r="J318" s="7"/>
      <c r="K318" s="7"/>
      <c r="L318" s="7"/>
      <c r="M318" s="7"/>
      <c r="N318" s="7"/>
      <c r="O318" s="7"/>
      <c r="P318" s="7"/>
      <c r="Q318" s="7"/>
      <c r="R318" s="64"/>
      <c r="S318" s="64"/>
      <c r="T318" s="64"/>
      <c r="U318" s="64"/>
      <c r="V318" s="64"/>
      <c r="W318" s="64"/>
    </row>
    <row r="319" spans="1:23" ht="30" customHeight="1">
      <c r="A319" s="8"/>
      <c r="B319" s="7"/>
      <c r="C319" s="33"/>
      <c r="D319" s="7"/>
      <c r="E319" s="7"/>
      <c r="F319" s="7"/>
      <c r="G319" s="7"/>
      <c r="H319" s="7"/>
      <c r="I319" s="7"/>
      <c r="J319" s="7"/>
      <c r="K319" s="7"/>
      <c r="L319" s="7"/>
      <c r="M319" s="7"/>
      <c r="N319" s="7"/>
      <c r="O319" s="7"/>
      <c r="P319" s="7"/>
      <c r="Q319" s="7"/>
      <c r="R319" s="64"/>
      <c r="S319" s="64"/>
      <c r="T319" s="64"/>
      <c r="U319" s="64"/>
      <c r="V319" s="64"/>
      <c r="W319" s="64"/>
    </row>
    <row r="320" spans="1:23" ht="30" customHeight="1">
      <c r="A320" s="8"/>
      <c r="B320" s="7"/>
      <c r="C320" s="33"/>
      <c r="D320" s="7"/>
      <c r="E320" s="7"/>
      <c r="F320" s="7"/>
      <c r="G320" s="7"/>
      <c r="H320" s="7"/>
      <c r="I320" s="7"/>
      <c r="J320" s="7"/>
      <c r="K320" s="7"/>
      <c r="L320" s="7"/>
      <c r="M320" s="7"/>
      <c r="N320" s="7"/>
      <c r="O320" s="7"/>
      <c r="P320" s="7"/>
      <c r="Q320" s="7"/>
      <c r="R320" s="64"/>
      <c r="S320" s="64"/>
      <c r="T320" s="64"/>
      <c r="U320" s="64"/>
      <c r="V320" s="64"/>
      <c r="W320" s="64"/>
    </row>
    <row r="321" spans="1:23" ht="30" customHeight="1">
      <c r="A321" s="8"/>
      <c r="B321" s="7"/>
      <c r="C321" s="33"/>
      <c r="D321" s="7"/>
      <c r="E321" s="7"/>
      <c r="F321" s="7"/>
      <c r="G321" s="7"/>
      <c r="H321" s="7"/>
      <c r="I321" s="7"/>
      <c r="J321" s="7"/>
      <c r="K321" s="7"/>
      <c r="L321" s="7"/>
      <c r="M321" s="7"/>
      <c r="N321" s="7"/>
      <c r="O321" s="7"/>
      <c r="P321" s="7"/>
      <c r="Q321" s="7"/>
      <c r="R321" s="64"/>
      <c r="S321" s="64"/>
      <c r="T321" s="64"/>
      <c r="U321" s="64"/>
      <c r="V321" s="64"/>
      <c r="W321" s="64"/>
    </row>
    <row r="322" spans="1:23" ht="30" customHeight="1">
      <c r="A322" s="8"/>
      <c r="B322" s="7"/>
      <c r="C322" s="33"/>
      <c r="D322" s="7"/>
      <c r="E322" s="7"/>
      <c r="F322" s="7"/>
      <c r="G322" s="7"/>
      <c r="H322" s="7"/>
      <c r="I322" s="7"/>
      <c r="J322" s="7"/>
      <c r="K322" s="7"/>
      <c r="L322" s="7"/>
      <c r="M322" s="7"/>
      <c r="N322" s="7"/>
      <c r="O322" s="7"/>
      <c r="P322" s="7"/>
      <c r="Q322" s="7"/>
      <c r="R322" s="64"/>
      <c r="S322" s="64"/>
      <c r="T322" s="64"/>
      <c r="U322" s="64"/>
      <c r="V322" s="64"/>
      <c r="W322" s="64"/>
    </row>
    <row r="323" spans="1:23" ht="30" customHeight="1">
      <c r="A323" s="8"/>
      <c r="B323" s="7"/>
      <c r="C323" s="33"/>
      <c r="D323" s="7"/>
      <c r="E323" s="7"/>
      <c r="F323" s="7"/>
      <c r="G323" s="7"/>
      <c r="H323" s="7"/>
      <c r="I323" s="7"/>
      <c r="J323" s="7"/>
      <c r="K323" s="7"/>
      <c r="L323" s="7"/>
      <c r="M323" s="7"/>
      <c r="N323" s="7"/>
      <c r="O323" s="7"/>
      <c r="P323" s="7"/>
      <c r="Q323" s="7"/>
      <c r="R323" s="64"/>
      <c r="S323" s="64"/>
      <c r="T323" s="64"/>
      <c r="U323" s="64"/>
      <c r="V323" s="64"/>
      <c r="W323" s="64"/>
    </row>
    <row r="324" spans="1:23" ht="30" customHeight="1">
      <c r="A324" s="8"/>
      <c r="B324" s="7"/>
      <c r="C324" s="33"/>
      <c r="D324" s="7"/>
      <c r="E324" s="7"/>
      <c r="F324" s="7"/>
      <c r="G324" s="7"/>
      <c r="H324" s="7"/>
      <c r="I324" s="7"/>
      <c r="J324" s="7"/>
      <c r="K324" s="7"/>
      <c r="L324" s="7"/>
      <c r="M324" s="7"/>
      <c r="N324" s="7"/>
      <c r="O324" s="7"/>
      <c r="P324" s="7"/>
      <c r="Q324" s="7"/>
      <c r="R324" s="64"/>
      <c r="S324" s="64"/>
      <c r="T324" s="64"/>
      <c r="U324" s="64"/>
      <c r="V324" s="64"/>
      <c r="W324" s="64"/>
    </row>
    <row r="325" spans="1:23" ht="30" customHeight="1">
      <c r="A325" s="8"/>
      <c r="B325" s="7"/>
      <c r="C325" s="33"/>
      <c r="D325" s="7"/>
      <c r="E325" s="7"/>
      <c r="F325" s="7"/>
      <c r="G325" s="7"/>
      <c r="H325" s="7"/>
      <c r="I325" s="7"/>
      <c r="J325" s="7"/>
      <c r="K325" s="7"/>
      <c r="L325" s="7"/>
      <c r="M325" s="7"/>
      <c r="N325" s="7"/>
      <c r="O325" s="7"/>
      <c r="P325" s="7"/>
      <c r="Q325" s="7"/>
      <c r="R325" s="64"/>
      <c r="S325" s="64"/>
      <c r="T325" s="64"/>
      <c r="U325" s="64"/>
      <c r="V325" s="64"/>
      <c r="W325" s="64"/>
    </row>
    <row r="326" spans="1:23" ht="30" customHeight="1">
      <c r="A326" s="8"/>
      <c r="B326" s="7"/>
      <c r="C326" s="33"/>
      <c r="D326" s="7"/>
      <c r="E326" s="7"/>
      <c r="F326" s="7"/>
      <c r="G326" s="7"/>
      <c r="H326" s="7"/>
      <c r="I326" s="7"/>
      <c r="J326" s="7"/>
      <c r="K326" s="7"/>
      <c r="L326" s="7"/>
      <c r="M326" s="7"/>
      <c r="N326" s="7"/>
      <c r="O326" s="7"/>
      <c r="P326" s="7"/>
      <c r="Q326" s="7"/>
      <c r="R326" s="64"/>
      <c r="S326" s="64"/>
      <c r="T326" s="64"/>
      <c r="U326" s="64"/>
      <c r="V326" s="64"/>
      <c r="W326" s="64"/>
    </row>
    <row r="327" spans="1:23" ht="30" customHeight="1">
      <c r="A327" s="8"/>
      <c r="B327" s="7"/>
      <c r="C327" s="33"/>
      <c r="D327" s="7"/>
      <c r="E327" s="7"/>
      <c r="F327" s="7"/>
      <c r="G327" s="7"/>
      <c r="H327" s="7"/>
      <c r="I327" s="7"/>
      <c r="J327" s="7"/>
      <c r="K327" s="7"/>
      <c r="L327" s="7"/>
      <c r="M327" s="7"/>
      <c r="N327" s="7"/>
      <c r="O327" s="7"/>
      <c r="P327" s="7"/>
      <c r="Q327" s="7"/>
      <c r="R327" s="64"/>
      <c r="S327" s="64"/>
      <c r="T327" s="64"/>
      <c r="U327" s="64"/>
      <c r="V327" s="64"/>
      <c r="W327" s="64"/>
    </row>
    <row r="328" spans="1:23" ht="30" customHeight="1">
      <c r="A328" s="8"/>
      <c r="B328" s="7"/>
      <c r="C328" s="33"/>
      <c r="D328" s="7"/>
      <c r="E328" s="7"/>
      <c r="F328" s="7"/>
      <c r="G328" s="7"/>
      <c r="H328" s="7"/>
      <c r="I328" s="7"/>
      <c r="J328" s="7"/>
      <c r="K328" s="7"/>
      <c r="L328" s="7"/>
      <c r="M328" s="7"/>
      <c r="N328" s="7"/>
      <c r="O328" s="7"/>
      <c r="P328" s="7"/>
      <c r="Q328" s="7"/>
      <c r="R328" s="64"/>
      <c r="S328" s="64"/>
      <c r="T328" s="64"/>
      <c r="U328" s="64"/>
      <c r="V328" s="64"/>
      <c r="W328" s="64"/>
    </row>
    <row r="329" spans="1:23" ht="30" customHeight="1">
      <c r="A329" s="8"/>
      <c r="B329" s="7"/>
      <c r="C329" s="33"/>
      <c r="D329" s="7"/>
      <c r="E329" s="7"/>
      <c r="F329" s="7"/>
      <c r="G329" s="7"/>
      <c r="H329" s="7"/>
      <c r="I329" s="7"/>
      <c r="J329" s="7"/>
      <c r="K329" s="7"/>
      <c r="L329" s="7"/>
      <c r="M329" s="7"/>
      <c r="N329" s="7"/>
      <c r="O329" s="7"/>
      <c r="P329" s="7"/>
      <c r="Q329" s="7"/>
      <c r="R329" s="64"/>
      <c r="S329" s="64"/>
      <c r="T329" s="64"/>
      <c r="U329" s="64"/>
      <c r="V329" s="64"/>
      <c r="W329" s="64"/>
    </row>
    <row r="330" spans="1:23" ht="30" customHeight="1">
      <c r="A330" s="8"/>
      <c r="B330" s="7"/>
      <c r="C330" s="33"/>
      <c r="D330" s="7"/>
      <c r="E330" s="7"/>
      <c r="F330" s="7"/>
      <c r="G330" s="7"/>
      <c r="H330" s="7"/>
      <c r="I330" s="7"/>
      <c r="J330" s="7"/>
      <c r="K330" s="7"/>
      <c r="L330" s="7"/>
      <c r="M330" s="7"/>
      <c r="N330" s="7"/>
      <c r="O330" s="7"/>
      <c r="P330" s="7"/>
      <c r="Q330" s="7"/>
      <c r="R330" s="64"/>
      <c r="S330" s="64"/>
      <c r="T330" s="64"/>
      <c r="U330" s="64"/>
      <c r="V330" s="64"/>
      <c r="W330" s="64"/>
    </row>
    <row r="331" spans="1:23" ht="30" customHeight="1">
      <c r="A331" s="8"/>
      <c r="B331" s="7"/>
      <c r="C331" s="33"/>
      <c r="D331" s="7"/>
      <c r="E331" s="7"/>
      <c r="F331" s="7"/>
      <c r="G331" s="7"/>
      <c r="H331" s="7"/>
      <c r="I331" s="7"/>
      <c r="J331" s="7"/>
      <c r="K331" s="7"/>
      <c r="L331" s="7"/>
      <c r="M331" s="7"/>
      <c r="N331" s="7"/>
      <c r="O331" s="7"/>
      <c r="P331" s="7"/>
      <c r="Q331" s="7"/>
      <c r="R331" s="64"/>
      <c r="S331" s="64"/>
      <c r="T331" s="64"/>
      <c r="U331" s="64"/>
      <c r="V331" s="64"/>
      <c r="W331" s="64"/>
    </row>
    <row r="332" spans="1:23" ht="30" customHeight="1">
      <c r="A332" s="8"/>
      <c r="B332" s="7"/>
      <c r="C332" s="33"/>
      <c r="D332" s="7"/>
      <c r="E332" s="7"/>
      <c r="F332" s="7"/>
      <c r="G332" s="7"/>
      <c r="H332" s="7"/>
      <c r="I332" s="7"/>
      <c r="J332" s="7"/>
      <c r="K332" s="7"/>
      <c r="L332" s="7"/>
      <c r="M332" s="7"/>
      <c r="N332" s="7"/>
      <c r="O332" s="7"/>
      <c r="P332" s="7"/>
      <c r="Q332" s="7"/>
      <c r="R332" s="64"/>
      <c r="S332" s="64"/>
      <c r="T332" s="64"/>
      <c r="U332" s="64"/>
      <c r="V332" s="64"/>
      <c r="W332" s="64"/>
    </row>
    <row r="333" spans="1:23" ht="30" customHeight="1">
      <c r="A333" s="8"/>
      <c r="B333" s="7"/>
      <c r="C333" s="33"/>
      <c r="D333" s="7"/>
      <c r="E333" s="7"/>
      <c r="F333" s="7"/>
      <c r="G333" s="7"/>
      <c r="H333" s="7"/>
      <c r="I333" s="7"/>
      <c r="J333" s="7"/>
      <c r="K333" s="7"/>
      <c r="L333" s="7"/>
      <c r="M333" s="7"/>
      <c r="N333" s="7"/>
      <c r="O333" s="7"/>
      <c r="P333" s="7"/>
      <c r="Q333" s="7"/>
      <c r="R333" s="64"/>
      <c r="S333" s="64"/>
      <c r="T333" s="64"/>
      <c r="U333" s="64"/>
      <c r="V333" s="64"/>
      <c r="W333" s="64"/>
    </row>
    <row r="334" spans="1:23" ht="30" customHeight="1">
      <c r="A334" s="8"/>
      <c r="B334" s="7"/>
      <c r="C334" s="33"/>
      <c r="D334" s="7"/>
      <c r="E334" s="7"/>
      <c r="F334" s="7"/>
      <c r="G334" s="7"/>
      <c r="H334" s="7"/>
      <c r="I334" s="7"/>
      <c r="J334" s="7"/>
      <c r="K334" s="7"/>
      <c r="L334" s="7"/>
      <c r="M334" s="7"/>
      <c r="N334" s="7"/>
      <c r="O334" s="7"/>
      <c r="P334" s="7"/>
      <c r="Q334" s="7"/>
      <c r="R334" s="64"/>
      <c r="S334" s="64"/>
      <c r="T334" s="64"/>
      <c r="U334" s="64"/>
      <c r="V334" s="64"/>
      <c r="W334" s="64"/>
    </row>
    <row r="335" spans="1:23" ht="30" customHeight="1">
      <c r="A335" s="8"/>
      <c r="B335" s="7"/>
      <c r="C335" s="33"/>
      <c r="D335" s="7"/>
      <c r="E335" s="7"/>
      <c r="F335" s="7"/>
      <c r="G335" s="7"/>
      <c r="H335" s="7"/>
      <c r="I335" s="7"/>
      <c r="J335" s="7"/>
      <c r="K335" s="7"/>
      <c r="L335" s="7"/>
      <c r="M335" s="7"/>
      <c r="N335" s="7"/>
      <c r="O335" s="7"/>
      <c r="P335" s="7"/>
      <c r="Q335" s="7"/>
      <c r="R335" s="64"/>
      <c r="S335" s="64"/>
      <c r="T335" s="64"/>
      <c r="U335" s="64"/>
      <c r="V335" s="64"/>
      <c r="W335" s="64"/>
    </row>
    <row r="336" spans="1:23" ht="30" customHeight="1">
      <c r="A336" s="8"/>
      <c r="B336" s="7"/>
      <c r="C336" s="33"/>
      <c r="D336" s="7"/>
      <c r="E336" s="7"/>
      <c r="F336" s="7"/>
      <c r="G336" s="7"/>
      <c r="H336" s="7"/>
      <c r="I336" s="7"/>
      <c r="J336" s="7"/>
      <c r="K336" s="7"/>
      <c r="L336" s="7"/>
      <c r="M336" s="7"/>
      <c r="N336" s="7"/>
      <c r="O336" s="7"/>
      <c r="P336" s="7"/>
      <c r="Q336" s="7"/>
      <c r="R336" s="64"/>
      <c r="S336" s="64"/>
      <c r="T336" s="64"/>
      <c r="U336" s="64"/>
      <c r="V336" s="64"/>
      <c r="W336" s="64"/>
    </row>
    <row r="337" spans="1:23" ht="30" customHeight="1">
      <c r="A337" s="8"/>
      <c r="B337" s="7"/>
      <c r="C337" s="33"/>
      <c r="D337" s="7"/>
      <c r="E337" s="7"/>
      <c r="F337" s="7"/>
      <c r="G337" s="7"/>
      <c r="H337" s="7"/>
      <c r="I337" s="7"/>
      <c r="J337" s="7"/>
      <c r="K337" s="7"/>
      <c r="L337" s="7"/>
      <c r="M337" s="7"/>
      <c r="N337" s="7"/>
      <c r="O337" s="7"/>
      <c r="P337" s="7"/>
      <c r="Q337" s="7"/>
      <c r="R337" s="64"/>
      <c r="S337" s="64"/>
      <c r="T337" s="64"/>
      <c r="U337" s="64"/>
      <c r="V337" s="64"/>
      <c r="W337" s="64"/>
    </row>
    <row r="338" spans="1:23" ht="30" customHeight="1">
      <c r="A338" s="8"/>
      <c r="B338" s="7"/>
      <c r="C338" s="33"/>
      <c r="D338" s="7"/>
      <c r="E338" s="7"/>
      <c r="F338" s="7"/>
      <c r="G338" s="7"/>
      <c r="H338" s="7"/>
      <c r="I338" s="7"/>
      <c r="J338" s="7"/>
      <c r="K338" s="7"/>
      <c r="L338" s="7"/>
      <c r="M338" s="7"/>
      <c r="N338" s="7"/>
      <c r="O338" s="7"/>
      <c r="P338" s="7"/>
      <c r="Q338" s="7"/>
      <c r="R338" s="64"/>
      <c r="S338" s="64"/>
      <c r="T338" s="64"/>
      <c r="U338" s="64"/>
      <c r="V338" s="64"/>
      <c r="W338" s="64"/>
    </row>
    <row r="339" spans="1:23" ht="30" customHeight="1">
      <c r="A339" s="8"/>
      <c r="B339" s="7"/>
      <c r="C339" s="33"/>
      <c r="D339" s="7"/>
      <c r="E339" s="7"/>
      <c r="F339" s="7"/>
      <c r="G339" s="7"/>
      <c r="H339" s="7"/>
      <c r="I339" s="7"/>
      <c r="J339" s="7"/>
      <c r="K339" s="7"/>
      <c r="L339" s="7"/>
      <c r="M339" s="7"/>
      <c r="N339" s="7"/>
      <c r="O339" s="7"/>
      <c r="P339" s="7"/>
      <c r="Q339" s="7"/>
      <c r="R339" s="64"/>
      <c r="S339" s="64"/>
      <c r="T339" s="64"/>
      <c r="U339" s="64"/>
      <c r="V339" s="64"/>
      <c r="W339" s="64"/>
    </row>
    <row r="340" spans="1:23" ht="30" customHeight="1">
      <c r="A340" s="8"/>
      <c r="B340" s="7"/>
      <c r="C340" s="33"/>
      <c r="D340" s="7"/>
      <c r="E340" s="7"/>
      <c r="F340" s="7"/>
      <c r="G340" s="7"/>
      <c r="H340" s="7"/>
      <c r="I340" s="7"/>
      <c r="J340" s="7"/>
      <c r="K340" s="7"/>
      <c r="L340" s="7"/>
      <c r="M340" s="7"/>
      <c r="N340" s="7"/>
      <c r="O340" s="7"/>
      <c r="P340" s="7"/>
      <c r="Q340" s="7"/>
      <c r="R340" s="64"/>
      <c r="S340" s="64"/>
      <c r="T340" s="64"/>
      <c r="U340" s="64"/>
      <c r="V340" s="64"/>
      <c r="W340" s="64"/>
    </row>
    <row r="341" spans="1:23" ht="30" customHeight="1">
      <c r="A341" s="8"/>
      <c r="B341" s="7"/>
      <c r="C341" s="33"/>
      <c r="D341" s="7"/>
      <c r="E341" s="7"/>
      <c r="F341" s="7"/>
      <c r="G341" s="7"/>
      <c r="H341" s="7"/>
      <c r="I341" s="7"/>
      <c r="J341" s="7"/>
      <c r="K341" s="7"/>
      <c r="L341" s="7"/>
      <c r="M341" s="7"/>
      <c r="N341" s="7"/>
      <c r="O341" s="7"/>
      <c r="P341" s="7"/>
      <c r="Q341" s="7"/>
      <c r="R341" s="64"/>
      <c r="S341" s="64"/>
      <c r="T341" s="64"/>
      <c r="U341" s="64"/>
      <c r="V341" s="64"/>
      <c r="W341" s="64"/>
    </row>
    <row r="342" spans="1:23" ht="30" customHeight="1">
      <c r="A342" s="8"/>
      <c r="B342" s="7"/>
      <c r="C342" s="33"/>
      <c r="D342" s="7"/>
      <c r="E342" s="7"/>
      <c r="F342" s="7"/>
      <c r="G342" s="7"/>
      <c r="H342" s="7"/>
      <c r="I342" s="7"/>
      <c r="J342" s="7"/>
      <c r="K342" s="7"/>
      <c r="L342" s="7"/>
      <c r="M342" s="7"/>
      <c r="N342" s="7"/>
      <c r="O342" s="7"/>
      <c r="P342" s="7"/>
      <c r="Q342" s="7"/>
      <c r="R342" s="64"/>
      <c r="S342" s="64"/>
      <c r="T342" s="64"/>
      <c r="U342" s="64"/>
      <c r="V342" s="64"/>
      <c r="W342" s="64"/>
    </row>
    <row r="343" spans="1:23" ht="30" customHeight="1">
      <c r="A343" s="8"/>
      <c r="B343" s="7"/>
      <c r="C343" s="33"/>
      <c r="D343" s="7"/>
      <c r="E343" s="7"/>
      <c r="F343" s="7"/>
      <c r="G343" s="7"/>
      <c r="H343" s="7"/>
      <c r="I343" s="7"/>
      <c r="J343" s="7"/>
      <c r="K343" s="7"/>
      <c r="L343" s="7"/>
      <c r="M343" s="7"/>
      <c r="N343" s="7"/>
      <c r="O343" s="7"/>
      <c r="P343" s="7"/>
      <c r="Q343" s="7"/>
      <c r="R343" s="64"/>
      <c r="S343" s="64"/>
      <c r="T343" s="64"/>
      <c r="U343" s="64"/>
      <c r="V343" s="64"/>
      <c r="W343" s="64"/>
    </row>
    <row r="344" spans="1:23" ht="30" customHeight="1">
      <c r="A344" s="8"/>
      <c r="B344" s="7"/>
      <c r="C344" s="33"/>
      <c r="D344" s="7"/>
      <c r="E344" s="7"/>
      <c r="F344" s="7"/>
      <c r="G344" s="7"/>
      <c r="H344" s="7"/>
      <c r="I344" s="7"/>
      <c r="J344" s="7"/>
      <c r="K344" s="7"/>
      <c r="L344" s="7"/>
      <c r="M344" s="7"/>
      <c r="N344" s="7"/>
      <c r="O344" s="7"/>
      <c r="P344" s="7"/>
      <c r="Q344" s="7"/>
      <c r="R344" s="64"/>
      <c r="S344" s="64"/>
      <c r="T344" s="64"/>
      <c r="U344" s="64"/>
      <c r="V344" s="64"/>
      <c r="W344" s="64"/>
    </row>
    <row r="345" spans="1:23" ht="30" customHeight="1">
      <c r="A345" s="8"/>
      <c r="B345" s="7"/>
      <c r="C345" s="33"/>
      <c r="D345" s="7"/>
      <c r="E345" s="7"/>
      <c r="F345" s="7"/>
      <c r="G345" s="7"/>
      <c r="H345" s="7"/>
      <c r="I345" s="7"/>
      <c r="J345" s="7"/>
      <c r="K345" s="7"/>
      <c r="L345" s="7"/>
      <c r="M345" s="7"/>
      <c r="N345" s="7"/>
      <c r="O345" s="7"/>
      <c r="P345" s="7"/>
      <c r="Q345" s="7"/>
      <c r="R345" s="64"/>
      <c r="S345" s="64"/>
      <c r="T345" s="64"/>
      <c r="U345" s="64"/>
      <c r="V345" s="64"/>
      <c r="W345" s="64"/>
    </row>
    <row r="346" spans="1:23" ht="30" customHeight="1">
      <c r="A346" s="8"/>
      <c r="B346" s="7"/>
      <c r="C346" s="33"/>
      <c r="D346" s="7"/>
      <c r="E346" s="7"/>
      <c r="F346" s="7"/>
      <c r="G346" s="7"/>
      <c r="H346" s="7"/>
      <c r="I346" s="7"/>
      <c r="J346" s="7"/>
      <c r="K346" s="7"/>
      <c r="L346" s="7"/>
      <c r="M346" s="7"/>
      <c r="N346" s="7"/>
      <c r="O346" s="7"/>
      <c r="P346" s="7"/>
      <c r="Q346" s="7"/>
      <c r="R346" s="64"/>
      <c r="S346" s="64"/>
      <c r="T346" s="64"/>
      <c r="U346" s="64"/>
      <c r="V346" s="64"/>
      <c r="W346" s="64"/>
    </row>
    <row r="347" spans="1:23" ht="30" customHeight="1">
      <c r="A347" s="8"/>
      <c r="B347" s="7"/>
      <c r="C347" s="33"/>
      <c r="D347" s="7"/>
      <c r="E347" s="7"/>
      <c r="F347" s="7"/>
      <c r="G347" s="7"/>
      <c r="H347" s="7"/>
      <c r="I347" s="7"/>
      <c r="J347" s="7"/>
      <c r="K347" s="7"/>
      <c r="L347" s="7"/>
      <c r="M347" s="7"/>
      <c r="N347" s="7"/>
      <c r="O347" s="7"/>
      <c r="P347" s="7"/>
      <c r="Q347" s="7"/>
      <c r="R347" s="64"/>
      <c r="S347" s="64"/>
      <c r="T347" s="64"/>
      <c r="U347" s="64"/>
      <c r="V347" s="64"/>
      <c r="W347" s="64"/>
    </row>
    <row r="348" spans="1:23" ht="30" customHeight="1">
      <c r="A348" s="8"/>
      <c r="B348" s="7"/>
      <c r="C348" s="33"/>
      <c r="D348" s="7"/>
      <c r="E348" s="7"/>
      <c r="F348" s="7"/>
      <c r="G348" s="7"/>
      <c r="H348" s="7"/>
      <c r="I348" s="7"/>
      <c r="J348" s="7"/>
      <c r="K348" s="7"/>
      <c r="L348" s="7"/>
      <c r="M348" s="7"/>
      <c r="N348" s="7"/>
      <c r="O348" s="7"/>
      <c r="P348" s="7"/>
      <c r="Q348" s="7"/>
      <c r="R348" s="64"/>
      <c r="S348" s="64"/>
      <c r="T348" s="64"/>
      <c r="U348" s="64"/>
      <c r="V348" s="64"/>
      <c r="W348" s="64"/>
    </row>
    <row r="349" spans="1:23" ht="30" customHeight="1">
      <c r="A349" s="8"/>
      <c r="B349" s="7"/>
      <c r="C349" s="33"/>
      <c r="D349" s="7"/>
      <c r="E349" s="7"/>
      <c r="F349" s="7"/>
      <c r="G349" s="7"/>
      <c r="H349" s="7"/>
      <c r="I349" s="7"/>
      <c r="J349" s="7"/>
      <c r="K349" s="7"/>
      <c r="L349" s="7"/>
      <c r="M349" s="7"/>
      <c r="N349" s="7"/>
      <c r="O349" s="7"/>
      <c r="P349" s="7"/>
      <c r="Q349" s="7"/>
      <c r="R349" s="64"/>
      <c r="S349" s="64"/>
      <c r="T349" s="64"/>
      <c r="U349" s="64"/>
      <c r="V349" s="64"/>
      <c r="W349" s="64"/>
    </row>
    <row r="350" spans="1:23" ht="30" customHeight="1">
      <c r="A350" s="8"/>
      <c r="B350" s="7"/>
      <c r="C350" s="33"/>
      <c r="D350" s="7"/>
      <c r="E350" s="7"/>
      <c r="F350" s="7"/>
      <c r="G350" s="7"/>
      <c r="H350" s="7"/>
      <c r="I350" s="7"/>
      <c r="J350" s="7"/>
      <c r="K350" s="7"/>
      <c r="L350" s="7"/>
      <c r="M350" s="7"/>
      <c r="N350" s="7"/>
      <c r="O350" s="7"/>
      <c r="P350" s="7"/>
      <c r="Q350" s="7"/>
      <c r="R350" s="64"/>
      <c r="S350" s="64"/>
      <c r="T350" s="64"/>
      <c r="U350" s="64"/>
      <c r="V350" s="64"/>
      <c r="W350" s="64"/>
    </row>
    <row r="351" spans="1:23" ht="30" customHeight="1">
      <c r="A351" s="8"/>
      <c r="B351" s="7"/>
      <c r="C351" s="33"/>
      <c r="D351" s="7"/>
      <c r="E351" s="7"/>
      <c r="F351" s="7"/>
      <c r="G351" s="7"/>
      <c r="H351" s="7"/>
      <c r="I351" s="7"/>
      <c r="J351" s="7"/>
      <c r="K351" s="7"/>
      <c r="L351" s="7"/>
      <c r="M351" s="7"/>
      <c r="N351" s="7"/>
      <c r="O351" s="7"/>
      <c r="P351" s="7"/>
      <c r="Q351" s="7"/>
      <c r="R351" s="64"/>
      <c r="S351" s="64"/>
      <c r="T351" s="64"/>
      <c r="U351" s="64"/>
      <c r="V351" s="64"/>
      <c r="W351" s="64"/>
    </row>
    <row r="352" spans="1:23" ht="30" customHeight="1">
      <c r="A352" s="8"/>
      <c r="B352" s="7"/>
      <c r="C352" s="33"/>
      <c r="D352" s="7"/>
      <c r="E352" s="7"/>
      <c r="F352" s="7"/>
      <c r="G352" s="7"/>
      <c r="H352" s="7"/>
      <c r="I352" s="7"/>
      <c r="J352" s="7"/>
      <c r="K352" s="7"/>
      <c r="L352" s="7"/>
      <c r="M352" s="7"/>
      <c r="N352" s="7"/>
      <c r="O352" s="7"/>
      <c r="P352" s="7"/>
      <c r="Q352" s="7"/>
      <c r="R352" s="64"/>
      <c r="S352" s="64"/>
      <c r="T352" s="64"/>
      <c r="U352" s="64"/>
      <c r="V352" s="64"/>
      <c r="W352" s="64"/>
    </row>
    <row r="353" spans="1:23" ht="30" customHeight="1">
      <c r="A353" s="8"/>
      <c r="B353" s="7"/>
      <c r="C353" s="33"/>
      <c r="D353" s="7"/>
      <c r="E353" s="7"/>
      <c r="F353" s="7"/>
      <c r="G353" s="7"/>
      <c r="H353" s="7"/>
      <c r="I353" s="7"/>
      <c r="J353" s="7"/>
      <c r="K353" s="7"/>
      <c r="L353" s="7"/>
      <c r="M353" s="7"/>
      <c r="N353" s="7"/>
      <c r="O353" s="7"/>
      <c r="P353" s="7"/>
      <c r="Q353" s="7"/>
      <c r="R353" s="64"/>
      <c r="S353" s="64"/>
      <c r="T353" s="64"/>
      <c r="U353" s="64"/>
      <c r="V353" s="64"/>
      <c r="W353" s="64"/>
    </row>
    <row r="354" spans="1:23" ht="30" customHeight="1">
      <c r="A354" s="8"/>
      <c r="B354" s="7"/>
      <c r="C354" s="33"/>
      <c r="D354" s="7"/>
      <c r="E354" s="7"/>
      <c r="F354" s="7"/>
      <c r="G354" s="7"/>
      <c r="H354" s="7"/>
      <c r="I354" s="7"/>
      <c r="J354" s="7"/>
      <c r="K354" s="7"/>
      <c r="L354" s="7"/>
      <c r="M354" s="7"/>
      <c r="N354" s="7"/>
      <c r="O354" s="7"/>
      <c r="P354" s="7"/>
      <c r="Q354" s="7"/>
      <c r="R354" s="64"/>
      <c r="S354" s="64"/>
      <c r="T354" s="64"/>
      <c r="U354" s="64"/>
      <c r="V354" s="64"/>
      <c r="W354" s="64"/>
    </row>
    <row r="355" spans="1:23" ht="30" customHeight="1">
      <c r="A355" s="8"/>
      <c r="B355" s="7"/>
      <c r="C355" s="33"/>
      <c r="D355" s="7"/>
      <c r="E355" s="7"/>
      <c r="F355" s="7"/>
      <c r="G355" s="7"/>
      <c r="H355" s="7"/>
      <c r="I355" s="7"/>
      <c r="J355" s="7"/>
      <c r="K355" s="7"/>
      <c r="L355" s="7"/>
      <c r="M355" s="7"/>
      <c r="N355" s="7"/>
      <c r="O355" s="7"/>
      <c r="P355" s="7"/>
      <c r="Q355" s="7"/>
      <c r="R355" s="64"/>
      <c r="S355" s="64"/>
      <c r="T355" s="64"/>
      <c r="U355" s="64"/>
      <c r="V355" s="64"/>
      <c r="W355" s="64"/>
    </row>
    <row r="356" spans="1:23" ht="30" customHeight="1">
      <c r="A356" s="8"/>
      <c r="B356" s="7"/>
      <c r="C356" s="33"/>
      <c r="D356" s="7"/>
      <c r="E356" s="7"/>
      <c r="F356" s="7"/>
      <c r="G356" s="7"/>
      <c r="H356" s="7"/>
      <c r="I356" s="7"/>
      <c r="J356" s="7"/>
      <c r="K356" s="7"/>
      <c r="L356" s="7"/>
      <c r="M356" s="7"/>
      <c r="N356" s="7"/>
      <c r="O356" s="7"/>
      <c r="P356" s="7"/>
      <c r="Q356" s="7"/>
      <c r="R356" s="64"/>
      <c r="S356" s="64"/>
      <c r="T356" s="64"/>
      <c r="U356" s="64"/>
      <c r="V356" s="64"/>
      <c r="W356" s="64"/>
    </row>
    <row r="357" spans="1:23" ht="30" customHeight="1">
      <c r="A357" s="8"/>
      <c r="B357" s="7"/>
      <c r="C357" s="33"/>
      <c r="D357" s="7"/>
      <c r="E357" s="7"/>
      <c r="F357" s="7"/>
      <c r="G357" s="7"/>
      <c r="H357" s="7"/>
      <c r="I357" s="7"/>
      <c r="J357" s="7"/>
      <c r="K357" s="7"/>
      <c r="L357" s="7"/>
      <c r="M357" s="7"/>
      <c r="N357" s="7"/>
      <c r="O357" s="7"/>
      <c r="P357" s="7"/>
      <c r="Q357" s="7"/>
      <c r="R357" s="64"/>
      <c r="S357" s="64"/>
      <c r="T357" s="64"/>
      <c r="U357" s="64"/>
      <c r="V357" s="64"/>
      <c r="W357" s="64"/>
    </row>
    <row r="358" spans="1:23" ht="30" customHeight="1">
      <c r="A358" s="8"/>
      <c r="B358" s="7"/>
      <c r="C358" s="33"/>
      <c r="D358" s="7"/>
      <c r="E358" s="7"/>
      <c r="F358" s="7"/>
      <c r="G358" s="7"/>
      <c r="H358" s="7"/>
      <c r="I358" s="7"/>
      <c r="J358" s="7"/>
      <c r="K358" s="7"/>
      <c r="L358" s="7"/>
      <c r="M358" s="7"/>
      <c r="N358" s="7"/>
      <c r="O358" s="7"/>
      <c r="P358" s="7"/>
      <c r="Q358" s="7"/>
      <c r="R358" s="64"/>
      <c r="S358" s="64"/>
      <c r="T358" s="64"/>
      <c r="U358" s="64"/>
      <c r="V358" s="64"/>
      <c r="W358" s="64"/>
    </row>
    <row r="359" spans="1:23" ht="30" customHeight="1">
      <c r="A359" s="8"/>
      <c r="B359" s="7"/>
      <c r="C359" s="33"/>
      <c r="D359" s="7"/>
      <c r="E359" s="7"/>
      <c r="F359" s="7"/>
      <c r="G359" s="7"/>
      <c r="H359" s="7"/>
      <c r="I359" s="7"/>
      <c r="J359" s="7"/>
      <c r="K359" s="7"/>
      <c r="L359" s="7"/>
      <c r="M359" s="7"/>
      <c r="N359" s="7"/>
      <c r="O359" s="7"/>
      <c r="P359" s="7"/>
      <c r="Q359" s="7"/>
      <c r="R359" s="64"/>
      <c r="S359" s="64"/>
      <c r="T359" s="64"/>
      <c r="U359" s="64"/>
      <c r="V359" s="64"/>
      <c r="W359" s="64"/>
    </row>
    <row r="360" spans="1:23" ht="30" customHeight="1">
      <c r="A360" s="8"/>
      <c r="B360" s="7"/>
      <c r="C360" s="33"/>
      <c r="D360" s="7"/>
      <c r="E360" s="7"/>
      <c r="F360" s="7"/>
      <c r="G360" s="7"/>
      <c r="H360" s="7"/>
      <c r="I360" s="7"/>
      <c r="J360" s="7"/>
      <c r="K360" s="7"/>
      <c r="L360" s="7"/>
      <c r="M360" s="7"/>
      <c r="N360" s="7"/>
      <c r="O360" s="7"/>
      <c r="P360" s="7"/>
      <c r="Q360" s="7"/>
      <c r="R360" s="64"/>
      <c r="S360" s="64"/>
      <c r="T360" s="64"/>
      <c r="U360" s="64"/>
      <c r="V360" s="64"/>
      <c r="W360" s="64"/>
    </row>
    <row r="361" spans="1:23" ht="30" customHeight="1">
      <c r="A361" s="8"/>
      <c r="B361" s="7"/>
      <c r="C361" s="33"/>
      <c r="D361" s="7"/>
      <c r="E361" s="7"/>
      <c r="F361" s="7"/>
      <c r="G361" s="7"/>
      <c r="H361" s="7"/>
      <c r="I361" s="7"/>
      <c r="J361" s="7"/>
      <c r="K361" s="7"/>
      <c r="L361" s="7"/>
      <c r="M361" s="7"/>
      <c r="N361" s="7"/>
      <c r="O361" s="7"/>
      <c r="P361" s="7"/>
      <c r="Q361" s="7"/>
      <c r="R361" s="64"/>
      <c r="S361" s="64"/>
      <c r="T361" s="64"/>
      <c r="U361" s="64"/>
      <c r="V361" s="64"/>
      <c r="W361" s="64"/>
    </row>
    <row r="362" spans="1:23" ht="30" customHeight="1">
      <c r="A362" s="8"/>
      <c r="B362" s="7"/>
      <c r="C362" s="33"/>
      <c r="D362" s="7"/>
      <c r="E362" s="7"/>
      <c r="F362" s="7"/>
      <c r="G362" s="7"/>
      <c r="H362" s="7"/>
      <c r="I362" s="7"/>
      <c r="J362" s="7"/>
      <c r="K362" s="7"/>
      <c r="L362" s="7"/>
      <c r="M362" s="7"/>
      <c r="N362" s="7"/>
      <c r="O362" s="7"/>
      <c r="P362" s="7"/>
      <c r="Q362" s="7"/>
      <c r="R362" s="64"/>
      <c r="S362" s="64"/>
      <c r="T362" s="64"/>
      <c r="U362" s="64"/>
      <c r="V362" s="64"/>
      <c r="W362" s="64"/>
    </row>
    <row r="363" spans="1:23" ht="30" customHeight="1">
      <c r="A363" s="8"/>
      <c r="B363" s="7"/>
      <c r="C363" s="33"/>
      <c r="D363" s="7"/>
      <c r="E363" s="7"/>
      <c r="F363" s="7"/>
      <c r="G363" s="7"/>
      <c r="H363" s="7"/>
      <c r="I363" s="7"/>
      <c r="J363" s="7"/>
      <c r="K363" s="7"/>
      <c r="L363" s="7"/>
      <c r="M363" s="7"/>
      <c r="N363" s="7"/>
      <c r="O363" s="7"/>
      <c r="P363" s="7"/>
      <c r="Q363" s="7"/>
      <c r="R363" s="64"/>
      <c r="S363" s="64"/>
      <c r="T363" s="64"/>
      <c r="U363" s="64"/>
      <c r="V363" s="64"/>
      <c r="W363" s="64"/>
    </row>
    <row r="364" spans="1:23" ht="30" customHeight="1">
      <c r="A364" s="8"/>
      <c r="B364" s="7"/>
      <c r="C364" s="33"/>
      <c r="D364" s="7"/>
      <c r="E364" s="7"/>
      <c r="F364" s="7"/>
      <c r="G364" s="7"/>
      <c r="H364" s="7"/>
      <c r="I364" s="7"/>
      <c r="J364" s="7"/>
      <c r="K364" s="7"/>
      <c r="L364" s="7"/>
      <c r="M364" s="7"/>
      <c r="N364" s="7"/>
      <c r="O364" s="7"/>
      <c r="P364" s="7"/>
      <c r="Q364" s="7"/>
      <c r="R364" s="64"/>
      <c r="S364" s="64"/>
      <c r="T364" s="64"/>
      <c r="U364" s="64"/>
      <c r="V364" s="64"/>
      <c r="W364" s="64"/>
    </row>
    <row r="365" spans="1:23" ht="30" customHeight="1">
      <c r="A365" s="8"/>
      <c r="B365" s="7"/>
      <c r="C365" s="33"/>
      <c r="D365" s="7"/>
      <c r="E365" s="7"/>
      <c r="F365" s="7"/>
      <c r="G365" s="7"/>
      <c r="H365" s="7"/>
      <c r="I365" s="7"/>
      <c r="J365" s="7"/>
      <c r="K365" s="7"/>
      <c r="L365" s="7"/>
      <c r="M365" s="7"/>
      <c r="N365" s="7"/>
      <c r="O365" s="7"/>
      <c r="P365" s="7"/>
      <c r="Q365" s="7"/>
      <c r="R365" s="64"/>
      <c r="S365" s="64"/>
      <c r="T365" s="64"/>
      <c r="U365" s="64"/>
      <c r="V365" s="64"/>
      <c r="W365" s="64"/>
    </row>
    <row r="366" spans="1:23" ht="30" customHeight="1">
      <c r="A366" s="8"/>
      <c r="B366" s="7"/>
      <c r="C366" s="33"/>
      <c r="D366" s="7"/>
      <c r="E366" s="7"/>
      <c r="F366" s="7"/>
      <c r="G366" s="7"/>
      <c r="H366" s="7"/>
      <c r="I366" s="7"/>
      <c r="J366" s="7"/>
      <c r="K366" s="7"/>
      <c r="L366" s="7"/>
      <c r="M366" s="7"/>
      <c r="N366" s="7"/>
      <c r="O366" s="7"/>
      <c r="P366" s="7"/>
      <c r="Q366" s="7"/>
      <c r="R366" s="64"/>
      <c r="S366" s="64"/>
      <c r="T366" s="64"/>
      <c r="U366" s="64"/>
      <c r="V366" s="64"/>
      <c r="W366" s="64"/>
    </row>
    <row r="367" spans="1:23" ht="30" customHeight="1">
      <c r="A367" s="8"/>
      <c r="B367" s="7"/>
      <c r="C367" s="33"/>
      <c r="D367" s="7"/>
      <c r="E367" s="7"/>
      <c r="F367" s="7"/>
      <c r="G367" s="7"/>
      <c r="H367" s="7"/>
      <c r="I367" s="7"/>
      <c r="J367" s="7"/>
      <c r="K367" s="7"/>
      <c r="L367" s="7"/>
      <c r="M367" s="7"/>
      <c r="N367" s="7"/>
      <c r="O367" s="7"/>
      <c r="P367" s="7"/>
      <c r="Q367" s="7"/>
      <c r="R367" s="64"/>
      <c r="S367" s="64"/>
      <c r="T367" s="64"/>
      <c r="U367" s="64"/>
      <c r="V367" s="64"/>
      <c r="W367" s="64"/>
    </row>
    <row r="368" spans="1:23" ht="30" customHeight="1">
      <c r="A368" s="8"/>
      <c r="B368" s="7"/>
      <c r="C368" s="33"/>
      <c r="D368" s="7"/>
      <c r="E368" s="7"/>
      <c r="F368" s="7"/>
      <c r="G368" s="7"/>
      <c r="H368" s="7"/>
      <c r="I368" s="7"/>
      <c r="J368" s="7"/>
      <c r="K368" s="7"/>
      <c r="L368" s="7"/>
      <c r="M368" s="7"/>
      <c r="N368" s="7"/>
      <c r="O368" s="7"/>
      <c r="P368" s="7"/>
      <c r="Q368" s="7"/>
      <c r="R368" s="64"/>
      <c r="S368" s="64"/>
      <c r="T368" s="64"/>
      <c r="U368" s="64"/>
      <c r="V368" s="64"/>
      <c r="W368" s="64"/>
    </row>
    <row r="369" spans="1:23" ht="30" customHeight="1">
      <c r="A369" s="8"/>
      <c r="B369" s="7"/>
      <c r="C369" s="33"/>
      <c r="D369" s="7"/>
      <c r="E369" s="7"/>
      <c r="F369" s="7"/>
      <c r="G369" s="7"/>
      <c r="H369" s="7"/>
      <c r="I369" s="7"/>
      <c r="J369" s="7"/>
      <c r="K369" s="7"/>
      <c r="L369" s="7"/>
      <c r="M369" s="7"/>
      <c r="N369" s="7"/>
      <c r="O369" s="7"/>
      <c r="P369" s="7"/>
      <c r="Q369" s="7"/>
      <c r="R369" s="64"/>
      <c r="S369" s="64"/>
      <c r="T369" s="64"/>
      <c r="U369" s="64"/>
      <c r="V369" s="64"/>
      <c r="W369" s="64"/>
    </row>
    <row r="370" spans="1:23" ht="30" customHeight="1">
      <c r="A370" s="8"/>
      <c r="B370" s="7"/>
      <c r="C370" s="33"/>
      <c r="D370" s="7"/>
      <c r="E370" s="7"/>
      <c r="F370" s="7"/>
      <c r="G370" s="7"/>
      <c r="H370" s="7"/>
      <c r="I370" s="7"/>
      <c r="J370" s="7"/>
      <c r="K370" s="7"/>
      <c r="L370" s="7"/>
      <c r="M370" s="7"/>
      <c r="N370" s="7"/>
      <c r="O370" s="7"/>
      <c r="P370" s="7"/>
      <c r="Q370" s="7"/>
      <c r="R370" s="64"/>
      <c r="S370" s="64"/>
      <c r="T370" s="64"/>
      <c r="U370" s="64"/>
      <c r="V370" s="64"/>
      <c r="W370" s="64"/>
    </row>
    <row r="371" spans="1:23" ht="30" customHeight="1">
      <c r="A371" s="8"/>
      <c r="B371" s="7"/>
      <c r="C371" s="33"/>
      <c r="D371" s="7"/>
      <c r="E371" s="7"/>
      <c r="F371" s="7"/>
      <c r="G371" s="7"/>
      <c r="H371" s="7"/>
      <c r="I371" s="7"/>
      <c r="J371" s="7"/>
      <c r="K371" s="7"/>
      <c r="L371" s="7"/>
      <c r="M371" s="7"/>
      <c r="N371" s="7"/>
      <c r="O371" s="7"/>
      <c r="P371" s="7"/>
      <c r="Q371" s="7"/>
      <c r="R371" s="64"/>
      <c r="S371" s="64"/>
      <c r="T371" s="64"/>
      <c r="U371" s="64"/>
      <c r="V371" s="64"/>
      <c r="W371" s="64"/>
    </row>
    <row r="372" spans="1:23" ht="30" customHeight="1">
      <c r="A372" s="8"/>
      <c r="B372" s="7"/>
      <c r="C372" s="33"/>
      <c r="D372" s="7"/>
      <c r="E372" s="7"/>
      <c r="F372" s="7"/>
      <c r="G372" s="7"/>
      <c r="H372" s="7"/>
      <c r="I372" s="7"/>
      <c r="J372" s="7"/>
      <c r="K372" s="7"/>
      <c r="L372" s="7"/>
      <c r="M372" s="7"/>
      <c r="N372" s="7"/>
      <c r="O372" s="7"/>
      <c r="P372" s="7"/>
      <c r="Q372" s="7"/>
      <c r="R372" s="64"/>
      <c r="S372" s="64"/>
      <c r="T372" s="64"/>
      <c r="U372" s="64"/>
      <c r="V372" s="64"/>
      <c r="W372" s="64"/>
    </row>
    <row r="373" spans="1:23" ht="30" customHeight="1">
      <c r="A373" s="8"/>
      <c r="B373" s="7"/>
      <c r="C373" s="33"/>
      <c r="D373" s="7"/>
      <c r="E373" s="7"/>
      <c r="F373" s="7"/>
      <c r="G373" s="7"/>
      <c r="H373" s="7"/>
      <c r="I373" s="7"/>
      <c r="J373" s="7"/>
      <c r="K373" s="7"/>
      <c r="L373" s="7"/>
      <c r="M373" s="7"/>
      <c r="N373" s="7"/>
      <c r="O373" s="7"/>
      <c r="P373" s="7"/>
      <c r="Q373" s="7"/>
      <c r="R373" s="64"/>
      <c r="S373" s="64"/>
      <c r="T373" s="64"/>
      <c r="U373" s="64"/>
      <c r="V373" s="64"/>
      <c r="W373" s="64"/>
    </row>
    <row r="374" spans="1:23" ht="30" customHeight="1">
      <c r="A374" s="8"/>
      <c r="B374" s="7"/>
      <c r="C374" s="33"/>
      <c r="D374" s="7"/>
      <c r="E374" s="7"/>
      <c r="F374" s="7"/>
      <c r="G374" s="7"/>
      <c r="H374" s="7"/>
      <c r="I374" s="7"/>
      <c r="J374" s="7"/>
      <c r="K374" s="7"/>
      <c r="L374" s="7"/>
      <c r="M374" s="7"/>
      <c r="N374" s="7"/>
      <c r="O374" s="7"/>
      <c r="P374" s="7"/>
      <c r="Q374" s="7"/>
      <c r="R374" s="64"/>
      <c r="S374" s="64"/>
      <c r="T374" s="64"/>
      <c r="U374" s="64"/>
      <c r="V374" s="64"/>
      <c r="W374" s="64"/>
    </row>
    <row r="375" spans="1:23" ht="30" customHeight="1">
      <c r="A375" s="8"/>
      <c r="B375" s="7"/>
      <c r="C375" s="33"/>
      <c r="D375" s="7"/>
      <c r="E375" s="7"/>
      <c r="F375" s="7"/>
      <c r="G375" s="7"/>
      <c r="H375" s="7"/>
      <c r="I375" s="7"/>
      <c r="J375" s="7"/>
      <c r="K375" s="7"/>
      <c r="L375" s="7"/>
      <c r="M375" s="7"/>
      <c r="N375" s="7"/>
      <c r="O375" s="7"/>
      <c r="P375" s="7"/>
      <c r="Q375" s="7"/>
      <c r="R375" s="64"/>
      <c r="S375" s="64"/>
      <c r="T375" s="64"/>
      <c r="U375" s="64"/>
      <c r="V375" s="64"/>
      <c r="W375" s="64"/>
    </row>
    <row r="376" spans="1:23" ht="30" customHeight="1">
      <c r="A376" s="8"/>
      <c r="B376" s="7"/>
      <c r="C376" s="33"/>
      <c r="D376" s="7"/>
      <c r="E376" s="7"/>
      <c r="F376" s="7"/>
      <c r="G376" s="7"/>
      <c r="H376" s="7"/>
      <c r="I376" s="7"/>
      <c r="J376" s="7"/>
      <c r="K376" s="7"/>
      <c r="L376" s="7"/>
      <c r="M376" s="7"/>
      <c r="N376" s="7"/>
      <c r="O376" s="7"/>
      <c r="P376" s="7"/>
      <c r="Q376" s="7"/>
      <c r="R376" s="64"/>
      <c r="S376" s="64"/>
      <c r="T376" s="64"/>
      <c r="U376" s="64"/>
      <c r="V376" s="64"/>
      <c r="W376" s="64"/>
    </row>
    <row r="377" spans="1:23" ht="30" customHeight="1">
      <c r="A377" s="8"/>
      <c r="B377" s="7"/>
      <c r="C377" s="33"/>
      <c r="D377" s="7"/>
      <c r="E377" s="7"/>
      <c r="F377" s="7"/>
      <c r="G377" s="7"/>
      <c r="H377" s="7"/>
      <c r="I377" s="7"/>
      <c r="J377" s="7"/>
      <c r="K377" s="7"/>
      <c r="L377" s="7"/>
      <c r="M377" s="7"/>
      <c r="N377" s="7"/>
      <c r="O377" s="7"/>
      <c r="P377" s="7"/>
      <c r="Q377" s="7"/>
      <c r="R377" s="64"/>
      <c r="S377" s="64"/>
      <c r="T377" s="64"/>
      <c r="U377" s="64"/>
      <c r="V377" s="64"/>
      <c r="W377" s="64"/>
    </row>
    <row r="378" spans="1:23" ht="30" customHeight="1">
      <c r="A378" s="8"/>
      <c r="B378" s="7"/>
      <c r="C378" s="33"/>
      <c r="D378" s="7"/>
      <c r="E378" s="7"/>
      <c r="F378" s="7"/>
      <c r="G378" s="7"/>
      <c r="H378" s="7"/>
      <c r="I378" s="7"/>
      <c r="J378" s="7"/>
      <c r="K378" s="7"/>
      <c r="L378" s="7"/>
      <c r="M378" s="7"/>
      <c r="N378" s="7"/>
      <c r="O378" s="7"/>
      <c r="P378" s="7"/>
      <c r="Q378" s="7"/>
      <c r="R378" s="64"/>
      <c r="S378" s="64"/>
      <c r="T378" s="64"/>
      <c r="U378" s="64"/>
      <c r="V378" s="64"/>
      <c r="W378" s="64"/>
    </row>
    <row r="379" spans="1:23" ht="30" customHeight="1">
      <c r="A379" s="8"/>
      <c r="B379" s="7"/>
      <c r="C379" s="33"/>
      <c r="D379" s="7"/>
      <c r="E379" s="7"/>
      <c r="F379" s="7"/>
      <c r="G379" s="7"/>
      <c r="H379" s="7"/>
      <c r="I379" s="7"/>
      <c r="J379" s="7"/>
      <c r="K379" s="7"/>
      <c r="L379" s="7"/>
      <c r="M379" s="7"/>
      <c r="N379" s="7"/>
      <c r="O379" s="7"/>
      <c r="P379" s="7"/>
      <c r="Q379" s="7"/>
      <c r="R379" s="64"/>
      <c r="S379" s="64"/>
      <c r="T379" s="64"/>
      <c r="U379" s="64"/>
      <c r="V379" s="64"/>
      <c r="W379" s="64"/>
    </row>
    <row r="380" spans="1:23" ht="30" customHeight="1">
      <c r="A380" s="8"/>
      <c r="B380" s="7"/>
      <c r="C380" s="33"/>
      <c r="D380" s="7"/>
      <c r="E380" s="7"/>
      <c r="F380" s="7"/>
      <c r="G380" s="7"/>
      <c r="H380" s="7"/>
      <c r="I380" s="7"/>
      <c r="J380" s="7"/>
      <c r="K380" s="7"/>
      <c r="L380" s="7"/>
      <c r="M380" s="7"/>
      <c r="N380" s="7"/>
      <c r="O380" s="7"/>
      <c r="P380" s="7"/>
      <c r="Q380" s="7"/>
      <c r="R380" s="64"/>
      <c r="S380" s="64"/>
      <c r="T380" s="64"/>
      <c r="U380" s="64"/>
      <c r="V380" s="64"/>
      <c r="W380" s="64"/>
    </row>
    <row r="381" spans="1:23" ht="30" customHeight="1">
      <c r="A381" s="8"/>
      <c r="B381" s="7"/>
      <c r="C381" s="33"/>
      <c r="D381" s="7"/>
      <c r="E381" s="7"/>
      <c r="F381" s="7"/>
      <c r="G381" s="7"/>
      <c r="H381" s="7"/>
      <c r="I381" s="7"/>
      <c r="J381" s="7"/>
      <c r="K381" s="7"/>
      <c r="L381" s="7"/>
      <c r="M381" s="7"/>
      <c r="N381" s="7"/>
      <c r="O381" s="7"/>
      <c r="P381" s="7"/>
      <c r="Q381" s="7"/>
      <c r="R381" s="64"/>
      <c r="S381" s="64"/>
      <c r="T381" s="64"/>
      <c r="U381" s="64"/>
      <c r="V381" s="64"/>
      <c r="W381" s="64"/>
    </row>
    <row r="382" spans="1:23" ht="30" customHeight="1">
      <c r="A382" s="8"/>
      <c r="B382" s="7"/>
      <c r="C382" s="33"/>
      <c r="D382" s="7"/>
      <c r="E382" s="7"/>
      <c r="F382" s="7"/>
      <c r="G382" s="7"/>
      <c r="H382" s="7"/>
      <c r="I382" s="7"/>
      <c r="J382" s="7"/>
      <c r="K382" s="7"/>
      <c r="L382" s="7"/>
      <c r="M382" s="7"/>
      <c r="N382" s="7"/>
      <c r="O382" s="7"/>
      <c r="P382" s="7"/>
      <c r="Q382" s="7"/>
      <c r="R382" s="64"/>
      <c r="S382" s="64"/>
      <c r="T382" s="64"/>
      <c r="U382" s="64"/>
      <c r="V382" s="64"/>
      <c r="W382" s="64"/>
    </row>
    <row r="383" spans="1:23" ht="30" customHeight="1">
      <c r="A383" s="8"/>
      <c r="B383" s="7"/>
      <c r="C383" s="33"/>
      <c r="D383" s="7"/>
      <c r="E383" s="7"/>
      <c r="F383" s="7"/>
      <c r="G383" s="7"/>
      <c r="H383" s="7"/>
      <c r="I383" s="7"/>
      <c r="J383" s="7"/>
      <c r="K383" s="7"/>
      <c r="L383" s="7"/>
      <c r="M383" s="7"/>
      <c r="N383" s="7"/>
      <c r="O383" s="7"/>
      <c r="P383" s="7"/>
      <c r="Q383" s="7"/>
      <c r="R383" s="64"/>
      <c r="S383" s="64"/>
      <c r="T383" s="64"/>
      <c r="U383" s="64"/>
      <c r="V383" s="64"/>
      <c r="W383" s="64"/>
    </row>
    <row r="384" spans="1:23" ht="30" customHeight="1">
      <c r="A384" s="8"/>
      <c r="B384" s="7"/>
      <c r="C384" s="33"/>
      <c r="D384" s="7"/>
      <c r="E384" s="7"/>
      <c r="F384" s="7"/>
      <c r="G384" s="7"/>
      <c r="H384" s="7"/>
      <c r="I384" s="7"/>
      <c r="J384" s="7"/>
      <c r="K384" s="7"/>
      <c r="L384" s="7"/>
      <c r="M384" s="7"/>
      <c r="N384" s="7"/>
      <c r="O384" s="7"/>
      <c r="P384" s="7"/>
      <c r="Q384" s="7"/>
      <c r="R384" s="64"/>
      <c r="S384" s="64"/>
      <c r="T384" s="64"/>
      <c r="U384" s="64"/>
      <c r="V384" s="64"/>
      <c r="W384" s="64"/>
    </row>
    <row r="385" spans="1:23" ht="30" customHeight="1">
      <c r="A385" s="8"/>
      <c r="B385" s="7"/>
      <c r="C385" s="33"/>
      <c r="D385" s="7"/>
      <c r="E385" s="7"/>
      <c r="F385" s="7"/>
      <c r="G385" s="7"/>
      <c r="H385" s="7"/>
      <c r="I385" s="7"/>
      <c r="J385" s="7"/>
      <c r="K385" s="7"/>
      <c r="L385" s="7"/>
      <c r="M385" s="7"/>
      <c r="N385" s="7"/>
      <c r="O385" s="7"/>
      <c r="P385" s="7"/>
      <c r="Q385" s="7"/>
      <c r="R385" s="64"/>
      <c r="S385" s="64"/>
      <c r="T385" s="64"/>
      <c r="U385" s="64"/>
      <c r="V385" s="64"/>
      <c r="W385" s="64"/>
    </row>
    <row r="386" spans="1:23" ht="30" customHeight="1">
      <c r="A386" s="8"/>
      <c r="B386" s="7"/>
      <c r="C386" s="33"/>
      <c r="D386" s="7"/>
      <c r="E386" s="7"/>
      <c r="F386" s="7"/>
      <c r="G386" s="7"/>
      <c r="H386" s="7"/>
      <c r="I386" s="7"/>
      <c r="J386" s="7"/>
      <c r="K386" s="7"/>
      <c r="L386" s="7"/>
      <c r="M386" s="7"/>
      <c r="N386" s="7"/>
      <c r="O386" s="7"/>
      <c r="P386" s="7"/>
      <c r="Q386" s="7"/>
      <c r="R386" s="64"/>
      <c r="S386" s="64"/>
      <c r="T386" s="64"/>
      <c r="U386" s="64"/>
      <c r="V386" s="64"/>
      <c r="W386" s="64"/>
    </row>
    <row r="387" spans="1:23" ht="30" customHeight="1">
      <c r="A387" s="8"/>
      <c r="B387" s="7"/>
      <c r="C387" s="33"/>
      <c r="D387" s="7"/>
      <c r="E387" s="7"/>
      <c r="F387" s="7"/>
      <c r="G387" s="7"/>
      <c r="H387" s="7"/>
      <c r="I387" s="7"/>
      <c r="J387" s="7"/>
      <c r="K387" s="7"/>
      <c r="L387" s="7"/>
      <c r="M387" s="7"/>
      <c r="N387" s="7"/>
      <c r="O387" s="7"/>
      <c r="P387" s="7"/>
      <c r="Q387" s="7"/>
      <c r="R387" s="64"/>
      <c r="S387" s="64"/>
      <c r="T387" s="64"/>
      <c r="U387" s="64"/>
      <c r="V387" s="64"/>
      <c r="W387" s="64"/>
    </row>
    <row r="388" spans="1:23" ht="30" customHeight="1">
      <c r="A388" s="8"/>
      <c r="B388" s="7"/>
      <c r="C388" s="33"/>
      <c r="D388" s="7"/>
      <c r="E388" s="7"/>
      <c r="F388" s="7"/>
      <c r="G388" s="7"/>
      <c r="H388" s="7"/>
      <c r="I388" s="7"/>
      <c r="J388" s="7"/>
      <c r="K388" s="7"/>
      <c r="L388" s="7"/>
      <c r="M388" s="7"/>
      <c r="N388" s="7"/>
      <c r="O388" s="7"/>
      <c r="P388" s="7"/>
      <c r="Q388" s="7"/>
      <c r="R388" s="64"/>
      <c r="S388" s="64"/>
      <c r="T388" s="64"/>
      <c r="U388" s="64"/>
      <c r="V388" s="64"/>
      <c r="W388" s="64"/>
    </row>
    <row r="389" spans="1:23" ht="30" customHeight="1">
      <c r="A389" s="8"/>
      <c r="B389" s="7"/>
      <c r="C389" s="33"/>
      <c r="D389" s="7"/>
      <c r="E389" s="7"/>
      <c r="F389" s="7"/>
      <c r="G389" s="7"/>
      <c r="H389" s="7"/>
      <c r="I389" s="7"/>
      <c r="J389" s="7"/>
      <c r="K389" s="7"/>
      <c r="L389" s="7"/>
      <c r="M389" s="7"/>
      <c r="N389" s="7"/>
      <c r="O389" s="7"/>
      <c r="P389" s="7"/>
      <c r="Q389" s="7"/>
      <c r="R389" s="64"/>
      <c r="S389" s="64"/>
      <c r="T389" s="64"/>
      <c r="U389" s="64"/>
      <c r="V389" s="64"/>
      <c r="W389" s="64"/>
    </row>
    <row r="390" spans="1:23" ht="30" customHeight="1">
      <c r="A390" s="8"/>
      <c r="B390" s="7"/>
      <c r="C390" s="33"/>
      <c r="D390" s="7"/>
      <c r="E390" s="7"/>
      <c r="F390" s="7"/>
      <c r="G390" s="7"/>
      <c r="H390" s="7"/>
      <c r="I390" s="7"/>
      <c r="J390" s="7"/>
      <c r="K390" s="7"/>
      <c r="L390" s="7"/>
      <c r="M390" s="7"/>
      <c r="N390" s="7"/>
      <c r="O390" s="7"/>
      <c r="P390" s="7"/>
      <c r="Q390" s="7"/>
      <c r="R390" s="64"/>
      <c r="S390" s="64"/>
      <c r="T390" s="64"/>
      <c r="U390" s="64"/>
      <c r="V390" s="64"/>
      <c r="W390" s="64"/>
    </row>
    <row r="391" spans="1:23" ht="30" customHeight="1">
      <c r="A391" s="8"/>
      <c r="B391" s="7"/>
      <c r="C391" s="33"/>
      <c r="D391" s="7"/>
      <c r="E391" s="7"/>
      <c r="F391" s="7"/>
      <c r="G391" s="7"/>
      <c r="H391" s="7"/>
      <c r="I391" s="7"/>
      <c r="J391" s="7"/>
      <c r="K391" s="7"/>
      <c r="L391" s="7"/>
      <c r="M391" s="7"/>
      <c r="N391" s="7"/>
      <c r="O391" s="7"/>
      <c r="P391" s="7"/>
      <c r="Q391" s="7"/>
      <c r="R391" s="64"/>
      <c r="S391" s="64"/>
      <c r="T391" s="64"/>
      <c r="U391" s="64"/>
      <c r="V391" s="64"/>
      <c r="W391" s="64"/>
    </row>
    <row r="392" spans="1:23" ht="30" customHeight="1">
      <c r="A392" s="8"/>
      <c r="B392" s="7"/>
      <c r="C392" s="33"/>
      <c r="D392" s="7"/>
      <c r="E392" s="7"/>
      <c r="F392" s="7"/>
      <c r="G392" s="7"/>
      <c r="H392" s="7"/>
      <c r="I392" s="7"/>
      <c r="J392" s="7"/>
      <c r="K392" s="7"/>
      <c r="L392" s="7"/>
      <c r="M392" s="7"/>
      <c r="N392" s="7"/>
      <c r="O392" s="7"/>
      <c r="P392" s="7"/>
      <c r="Q392" s="7"/>
      <c r="R392" s="64"/>
      <c r="S392" s="64"/>
      <c r="T392" s="64"/>
      <c r="U392" s="64"/>
      <c r="V392" s="64"/>
      <c r="W392" s="64"/>
    </row>
    <row r="393" spans="1:23" ht="30" customHeight="1">
      <c r="A393" s="8"/>
      <c r="B393" s="7"/>
      <c r="C393" s="33"/>
      <c r="D393" s="7"/>
      <c r="E393" s="7"/>
      <c r="F393" s="7"/>
      <c r="G393" s="7"/>
      <c r="H393" s="7"/>
      <c r="I393" s="7"/>
      <c r="J393" s="7"/>
      <c r="K393" s="7"/>
      <c r="L393" s="7"/>
      <c r="M393" s="7"/>
      <c r="N393" s="7"/>
      <c r="O393" s="7"/>
      <c r="P393" s="7"/>
      <c r="Q393" s="7"/>
      <c r="R393" s="64"/>
      <c r="S393" s="64"/>
      <c r="T393" s="64"/>
      <c r="U393" s="64"/>
      <c r="V393" s="64"/>
      <c r="W393" s="64"/>
    </row>
    <row r="394" spans="1:23" ht="30" customHeight="1">
      <c r="A394" s="8"/>
      <c r="B394" s="7"/>
      <c r="C394" s="33"/>
      <c r="D394" s="7"/>
      <c r="E394" s="7"/>
      <c r="F394" s="7"/>
      <c r="G394" s="7"/>
      <c r="H394" s="7"/>
      <c r="I394" s="7"/>
      <c r="J394" s="7"/>
      <c r="K394" s="7"/>
      <c r="L394" s="7"/>
      <c r="M394" s="7"/>
      <c r="N394" s="7"/>
      <c r="O394" s="7"/>
      <c r="P394" s="7"/>
      <c r="Q394" s="7"/>
      <c r="R394" s="64"/>
      <c r="S394" s="64"/>
      <c r="T394" s="64"/>
      <c r="U394" s="64"/>
      <c r="V394" s="64"/>
      <c r="W394" s="64"/>
    </row>
    <row r="395" spans="1:23" ht="30" customHeight="1">
      <c r="A395" s="8"/>
      <c r="B395" s="7"/>
      <c r="C395" s="33"/>
      <c r="D395" s="7"/>
      <c r="E395" s="7"/>
      <c r="F395" s="7"/>
      <c r="G395" s="7"/>
      <c r="H395" s="7"/>
      <c r="I395" s="7"/>
      <c r="J395" s="7"/>
      <c r="K395" s="7"/>
      <c r="L395" s="7"/>
      <c r="M395" s="7"/>
      <c r="N395" s="7"/>
      <c r="O395" s="7"/>
      <c r="P395" s="7"/>
      <c r="Q395" s="7"/>
      <c r="R395" s="64"/>
      <c r="S395" s="64"/>
      <c r="T395" s="64"/>
      <c r="U395" s="64"/>
      <c r="V395" s="64"/>
      <c r="W395" s="64"/>
    </row>
    <row r="396" spans="1:23" ht="30" customHeight="1">
      <c r="A396" s="8"/>
      <c r="B396" s="7"/>
      <c r="C396" s="33"/>
      <c r="D396" s="7"/>
      <c r="E396" s="7"/>
      <c r="F396" s="7"/>
      <c r="G396" s="7"/>
      <c r="H396" s="7"/>
      <c r="I396" s="7"/>
      <c r="J396" s="7"/>
      <c r="K396" s="7"/>
      <c r="L396" s="7"/>
      <c r="M396" s="7"/>
      <c r="N396" s="7"/>
      <c r="O396" s="7"/>
      <c r="P396" s="7"/>
      <c r="Q396" s="7"/>
      <c r="R396" s="64"/>
      <c r="S396" s="64"/>
      <c r="T396" s="64"/>
      <c r="U396" s="64"/>
      <c r="V396" s="64"/>
      <c r="W396" s="64"/>
    </row>
    <row r="397" spans="1:23" ht="30" customHeight="1">
      <c r="A397" s="8"/>
      <c r="B397" s="7"/>
      <c r="C397" s="33"/>
      <c r="D397" s="7"/>
      <c r="E397" s="7"/>
      <c r="F397" s="7"/>
      <c r="G397" s="7"/>
      <c r="H397" s="7"/>
      <c r="I397" s="7"/>
      <c r="J397" s="7"/>
      <c r="K397" s="7"/>
      <c r="L397" s="7"/>
      <c r="M397" s="7"/>
      <c r="N397" s="7"/>
      <c r="O397" s="7"/>
      <c r="P397" s="7"/>
      <c r="Q397" s="7"/>
      <c r="R397" s="64"/>
      <c r="S397" s="64"/>
      <c r="T397" s="64"/>
      <c r="U397" s="64"/>
      <c r="V397" s="64"/>
      <c r="W397" s="64"/>
    </row>
    <row r="398" spans="1:23" ht="30" customHeight="1">
      <c r="A398" s="8"/>
      <c r="B398" s="7"/>
      <c r="C398" s="33"/>
      <c r="D398" s="7"/>
      <c r="E398" s="7"/>
      <c r="F398" s="7"/>
      <c r="G398" s="7"/>
      <c r="H398" s="7"/>
      <c r="I398" s="7"/>
      <c r="J398" s="7"/>
      <c r="K398" s="7"/>
      <c r="L398" s="7"/>
      <c r="M398" s="7"/>
      <c r="N398" s="7"/>
      <c r="O398" s="7"/>
      <c r="P398" s="7"/>
      <c r="Q398" s="7"/>
      <c r="R398" s="64"/>
      <c r="S398" s="64"/>
      <c r="T398" s="64"/>
      <c r="U398" s="64"/>
      <c r="V398" s="64"/>
      <c r="W398" s="64"/>
    </row>
    <row r="399" spans="1:23" ht="30" customHeight="1">
      <c r="A399" s="8"/>
      <c r="B399" s="7"/>
      <c r="C399" s="33"/>
      <c r="D399" s="7"/>
      <c r="E399" s="7"/>
      <c r="F399" s="7"/>
      <c r="G399" s="7"/>
      <c r="H399" s="7"/>
      <c r="I399" s="7"/>
      <c r="J399" s="7"/>
      <c r="K399" s="7"/>
      <c r="L399" s="7"/>
      <c r="M399" s="7"/>
      <c r="N399" s="7"/>
      <c r="O399" s="7"/>
      <c r="P399" s="7"/>
      <c r="Q399" s="7"/>
      <c r="R399" s="64"/>
      <c r="S399" s="64"/>
      <c r="T399" s="64"/>
      <c r="U399" s="64"/>
      <c r="V399" s="64"/>
      <c r="W399" s="64"/>
    </row>
    <row r="400" spans="1:23" ht="30" customHeight="1">
      <c r="A400" s="8"/>
      <c r="B400" s="7"/>
      <c r="C400" s="33"/>
      <c r="D400" s="7"/>
      <c r="E400" s="7"/>
      <c r="F400" s="7"/>
      <c r="G400" s="7"/>
      <c r="H400" s="7"/>
      <c r="I400" s="7"/>
      <c r="J400" s="7"/>
      <c r="K400" s="7"/>
      <c r="L400" s="7"/>
      <c r="M400" s="7"/>
      <c r="N400" s="7"/>
      <c r="O400" s="7"/>
      <c r="P400" s="7"/>
      <c r="Q400" s="7"/>
      <c r="R400" s="64"/>
      <c r="S400" s="64"/>
      <c r="T400" s="64"/>
      <c r="U400" s="64"/>
      <c r="V400" s="64"/>
      <c r="W400" s="64"/>
    </row>
    <row r="401" spans="1:23" ht="30" customHeight="1">
      <c r="A401" s="8"/>
      <c r="B401" s="7"/>
      <c r="C401" s="33"/>
      <c r="D401" s="7"/>
      <c r="E401" s="7"/>
      <c r="F401" s="7"/>
      <c r="G401" s="7"/>
      <c r="H401" s="7"/>
      <c r="I401" s="7"/>
      <c r="J401" s="7"/>
      <c r="K401" s="7"/>
      <c r="L401" s="7"/>
      <c r="M401" s="7"/>
      <c r="N401" s="7"/>
      <c r="O401" s="7"/>
      <c r="P401" s="7"/>
      <c r="Q401" s="7"/>
      <c r="R401" s="64"/>
      <c r="S401" s="64"/>
      <c r="T401" s="64"/>
      <c r="U401" s="64"/>
      <c r="V401" s="64"/>
      <c r="W401" s="64"/>
    </row>
    <row r="402" spans="1:23" ht="30" customHeight="1">
      <c r="A402" s="8"/>
      <c r="B402" s="7"/>
      <c r="C402" s="33"/>
      <c r="D402" s="7"/>
      <c r="E402" s="7"/>
      <c r="F402" s="7"/>
      <c r="G402" s="7"/>
      <c r="H402" s="7"/>
      <c r="I402" s="7"/>
      <c r="J402" s="7"/>
      <c r="K402" s="7"/>
      <c r="L402" s="7"/>
      <c r="M402" s="7"/>
      <c r="N402" s="7"/>
      <c r="O402" s="7"/>
      <c r="P402" s="7"/>
      <c r="Q402" s="7"/>
      <c r="R402" s="64"/>
      <c r="S402" s="64"/>
      <c r="T402" s="64"/>
      <c r="U402" s="64"/>
      <c r="V402" s="64"/>
      <c r="W402" s="64"/>
    </row>
    <row r="403" spans="1:23" ht="30" customHeight="1">
      <c r="A403" s="8"/>
      <c r="B403" s="7"/>
      <c r="C403" s="33"/>
      <c r="D403" s="7"/>
      <c r="E403" s="7"/>
      <c r="F403" s="7"/>
      <c r="G403" s="7"/>
      <c r="H403" s="7"/>
      <c r="I403" s="7"/>
      <c r="J403" s="7"/>
      <c r="K403" s="7"/>
      <c r="L403" s="7"/>
      <c r="M403" s="7"/>
      <c r="N403" s="7"/>
      <c r="O403" s="7"/>
      <c r="P403" s="7"/>
      <c r="Q403" s="7"/>
      <c r="R403" s="64"/>
      <c r="S403" s="64"/>
      <c r="T403" s="64"/>
      <c r="U403" s="64"/>
      <c r="V403" s="64"/>
      <c r="W403" s="64"/>
    </row>
    <row r="404" spans="1:23" ht="30" customHeight="1">
      <c r="A404" s="8"/>
      <c r="B404" s="7"/>
      <c r="C404" s="33"/>
      <c r="D404" s="7"/>
      <c r="E404" s="7"/>
      <c r="F404" s="7"/>
      <c r="G404" s="7"/>
      <c r="H404" s="7"/>
      <c r="I404" s="7"/>
      <c r="J404" s="7"/>
      <c r="K404" s="7"/>
      <c r="L404" s="7"/>
      <c r="M404" s="7"/>
      <c r="N404" s="7"/>
      <c r="O404" s="7"/>
      <c r="P404" s="7"/>
      <c r="Q404" s="7"/>
      <c r="R404" s="64"/>
      <c r="S404" s="64"/>
      <c r="T404" s="64"/>
      <c r="U404" s="64"/>
      <c r="V404" s="64"/>
      <c r="W404" s="64"/>
    </row>
    <row r="405" spans="1:23" ht="30" customHeight="1">
      <c r="A405" s="8"/>
      <c r="B405" s="7"/>
      <c r="C405" s="33"/>
      <c r="D405" s="7"/>
      <c r="E405" s="7"/>
      <c r="F405" s="7"/>
      <c r="G405" s="7"/>
      <c r="H405" s="7"/>
      <c r="I405" s="7"/>
      <c r="J405" s="7"/>
      <c r="K405" s="7"/>
      <c r="L405" s="7"/>
      <c r="M405" s="7"/>
      <c r="N405" s="7"/>
      <c r="O405" s="7"/>
      <c r="P405" s="7"/>
      <c r="Q405" s="7"/>
      <c r="R405" s="64"/>
      <c r="S405" s="64"/>
      <c r="T405" s="64"/>
      <c r="U405" s="64"/>
      <c r="V405" s="64"/>
      <c r="W405" s="64"/>
    </row>
    <row r="406" spans="1:23" ht="30" customHeight="1">
      <c r="A406" s="8"/>
      <c r="B406" s="7"/>
      <c r="C406" s="33"/>
      <c r="D406" s="7"/>
      <c r="E406" s="7"/>
      <c r="F406" s="7"/>
      <c r="G406" s="7"/>
      <c r="H406" s="7"/>
      <c r="I406" s="7"/>
      <c r="J406" s="7"/>
      <c r="K406" s="7"/>
      <c r="L406" s="7"/>
      <c r="M406" s="7"/>
      <c r="N406" s="7"/>
      <c r="O406" s="7"/>
      <c r="P406" s="7"/>
      <c r="Q406" s="7"/>
      <c r="R406" s="64"/>
      <c r="S406" s="64"/>
      <c r="T406" s="64"/>
      <c r="U406" s="64"/>
      <c r="V406" s="64"/>
      <c r="W406" s="64"/>
    </row>
    <row r="407" spans="1:23" ht="30" customHeight="1">
      <c r="A407" s="8"/>
      <c r="B407" s="7"/>
      <c r="C407" s="33"/>
      <c r="D407" s="7"/>
      <c r="E407" s="7"/>
      <c r="F407" s="7"/>
      <c r="G407" s="7"/>
      <c r="H407" s="7"/>
      <c r="I407" s="7"/>
      <c r="J407" s="7"/>
      <c r="K407" s="7"/>
      <c r="L407" s="7"/>
      <c r="M407" s="7"/>
      <c r="N407" s="7"/>
      <c r="O407" s="7"/>
      <c r="P407" s="7"/>
      <c r="Q407" s="7"/>
      <c r="R407" s="64"/>
      <c r="S407" s="64"/>
      <c r="T407" s="64"/>
      <c r="U407" s="64"/>
      <c r="V407" s="64"/>
      <c r="W407" s="64"/>
    </row>
    <row r="408" spans="1:23" ht="30" customHeight="1">
      <c r="A408" s="8"/>
      <c r="B408" s="7"/>
      <c r="C408" s="33"/>
      <c r="D408" s="7"/>
      <c r="E408" s="7"/>
      <c r="F408" s="7"/>
      <c r="G408" s="7"/>
      <c r="H408" s="7"/>
      <c r="I408" s="7"/>
      <c r="J408" s="7"/>
      <c r="K408" s="7"/>
      <c r="L408" s="7"/>
      <c r="M408" s="7"/>
      <c r="N408" s="7"/>
      <c r="O408" s="7"/>
      <c r="P408" s="7"/>
      <c r="Q408" s="7"/>
      <c r="R408" s="64"/>
      <c r="S408" s="64"/>
      <c r="T408" s="64"/>
      <c r="U408" s="64"/>
      <c r="V408" s="64"/>
      <c r="W408" s="64"/>
    </row>
    <row r="409" spans="1:23" ht="30" customHeight="1">
      <c r="A409" s="8"/>
      <c r="B409" s="7"/>
      <c r="C409" s="33"/>
      <c r="D409" s="7"/>
      <c r="E409" s="7"/>
      <c r="F409" s="7"/>
      <c r="G409" s="7"/>
      <c r="H409" s="7"/>
      <c r="I409" s="7"/>
      <c r="J409" s="7"/>
      <c r="K409" s="7"/>
      <c r="L409" s="7"/>
      <c r="M409" s="7"/>
      <c r="N409" s="7"/>
      <c r="O409" s="7"/>
      <c r="P409" s="7"/>
      <c r="Q409" s="7"/>
      <c r="R409" s="64"/>
      <c r="S409" s="64"/>
      <c r="T409" s="64"/>
      <c r="U409" s="64"/>
      <c r="V409" s="64"/>
      <c r="W409" s="64"/>
    </row>
    <row r="410" spans="1:23" ht="30" customHeight="1">
      <c r="A410" s="8"/>
      <c r="B410" s="7"/>
      <c r="C410" s="33"/>
      <c r="D410" s="7"/>
      <c r="E410" s="7"/>
      <c r="F410" s="7"/>
      <c r="G410" s="7"/>
      <c r="H410" s="7"/>
      <c r="I410" s="7"/>
      <c r="J410" s="7"/>
      <c r="K410" s="7"/>
      <c r="L410" s="7"/>
      <c r="M410" s="7"/>
      <c r="N410" s="7"/>
      <c r="O410" s="7"/>
      <c r="P410" s="7"/>
      <c r="Q410" s="7"/>
      <c r="R410" s="64"/>
      <c r="S410" s="64"/>
      <c r="T410" s="64"/>
      <c r="U410" s="64"/>
      <c r="V410" s="64"/>
      <c r="W410" s="64"/>
    </row>
    <row r="411" spans="1:23" ht="30" customHeight="1">
      <c r="A411" s="8"/>
      <c r="B411" s="7"/>
      <c r="C411" s="33"/>
      <c r="D411" s="7"/>
      <c r="E411" s="7"/>
      <c r="F411" s="7"/>
      <c r="G411" s="7"/>
      <c r="H411" s="7"/>
      <c r="I411" s="7"/>
      <c r="J411" s="7"/>
      <c r="K411" s="7"/>
      <c r="L411" s="7"/>
      <c r="M411" s="7"/>
      <c r="N411" s="7"/>
      <c r="O411" s="7"/>
      <c r="P411" s="7"/>
      <c r="Q411" s="7"/>
      <c r="R411" s="64"/>
      <c r="S411" s="64"/>
      <c r="T411" s="64"/>
      <c r="U411" s="64"/>
      <c r="V411" s="64"/>
      <c r="W411" s="64"/>
    </row>
    <row r="412" spans="1:23" ht="30" customHeight="1">
      <c r="A412" s="8"/>
      <c r="B412" s="7"/>
      <c r="C412" s="33"/>
      <c r="D412" s="7"/>
      <c r="E412" s="7"/>
      <c r="F412" s="7"/>
      <c r="G412" s="7"/>
      <c r="H412" s="7"/>
      <c r="I412" s="7"/>
      <c r="J412" s="7"/>
      <c r="K412" s="7"/>
      <c r="L412" s="7"/>
      <c r="M412" s="7"/>
      <c r="N412" s="7"/>
      <c r="O412" s="7"/>
      <c r="P412" s="7"/>
      <c r="Q412" s="7"/>
      <c r="R412" s="64"/>
      <c r="S412" s="64"/>
      <c r="T412" s="64"/>
      <c r="U412" s="64"/>
      <c r="V412" s="64"/>
      <c r="W412" s="64"/>
    </row>
    <row r="413" spans="1:23" ht="30" customHeight="1">
      <c r="A413" s="8"/>
      <c r="B413" s="7"/>
      <c r="C413" s="33"/>
      <c r="D413" s="7"/>
      <c r="E413" s="7"/>
      <c r="F413" s="7"/>
      <c r="G413" s="7"/>
      <c r="H413" s="7"/>
      <c r="I413" s="7"/>
      <c r="J413" s="7"/>
      <c r="K413" s="7"/>
      <c r="L413" s="7"/>
      <c r="M413" s="7"/>
      <c r="N413" s="7"/>
      <c r="O413" s="7"/>
      <c r="P413" s="7"/>
      <c r="Q413" s="7"/>
      <c r="R413" s="64"/>
      <c r="S413" s="64"/>
      <c r="T413" s="64"/>
      <c r="U413" s="64"/>
      <c r="V413" s="64"/>
      <c r="W413" s="64"/>
    </row>
    <row r="414" spans="1:23" ht="30" customHeight="1">
      <c r="A414" s="8"/>
      <c r="B414" s="7"/>
      <c r="C414" s="33"/>
      <c r="D414" s="7"/>
      <c r="E414" s="7"/>
      <c r="F414" s="7"/>
      <c r="G414" s="7"/>
      <c r="H414" s="7"/>
      <c r="I414" s="7"/>
      <c r="J414" s="7"/>
      <c r="K414" s="7"/>
      <c r="L414" s="7"/>
      <c r="M414" s="7"/>
      <c r="N414" s="7"/>
      <c r="O414" s="7"/>
      <c r="P414" s="7"/>
      <c r="Q414" s="7"/>
      <c r="R414" s="64"/>
      <c r="S414" s="64"/>
      <c r="T414" s="64"/>
      <c r="U414" s="64"/>
      <c r="V414" s="64"/>
      <c r="W414" s="64"/>
    </row>
    <row r="415" spans="1:23" ht="30" customHeight="1">
      <c r="A415" s="8"/>
      <c r="B415" s="7"/>
      <c r="C415" s="33"/>
      <c r="D415" s="7"/>
      <c r="E415" s="7"/>
      <c r="F415" s="7"/>
      <c r="G415" s="7"/>
      <c r="H415" s="7"/>
      <c r="I415" s="7"/>
      <c r="J415" s="7"/>
      <c r="K415" s="7"/>
      <c r="L415" s="7"/>
      <c r="M415" s="7"/>
      <c r="N415" s="7"/>
      <c r="O415" s="7"/>
      <c r="P415" s="7"/>
      <c r="Q415" s="7"/>
      <c r="R415" s="64"/>
      <c r="S415" s="64"/>
      <c r="T415" s="64"/>
      <c r="U415" s="64"/>
      <c r="V415" s="64"/>
      <c r="W415" s="64"/>
    </row>
    <row r="416" spans="1:23" ht="30" customHeight="1">
      <c r="A416" s="8"/>
      <c r="B416" s="7"/>
      <c r="C416" s="33"/>
      <c r="D416" s="7"/>
      <c r="E416" s="7"/>
      <c r="F416" s="7"/>
      <c r="G416" s="7"/>
      <c r="H416" s="7"/>
      <c r="I416" s="7"/>
      <c r="J416" s="7"/>
      <c r="K416" s="7"/>
      <c r="L416" s="7"/>
      <c r="M416" s="7"/>
      <c r="N416" s="7"/>
      <c r="O416" s="7"/>
      <c r="P416" s="7"/>
      <c r="Q416" s="7"/>
      <c r="R416" s="64"/>
      <c r="S416" s="64"/>
      <c r="T416" s="64"/>
      <c r="U416" s="64"/>
      <c r="V416" s="64"/>
      <c r="W416" s="64"/>
    </row>
    <row r="417" spans="1:23" ht="30" customHeight="1">
      <c r="A417" s="8"/>
      <c r="B417" s="7"/>
      <c r="C417" s="33"/>
      <c r="D417" s="7"/>
      <c r="E417" s="7"/>
      <c r="F417" s="7"/>
      <c r="G417" s="7"/>
      <c r="H417" s="7"/>
      <c r="I417" s="7"/>
      <c r="J417" s="7"/>
      <c r="K417" s="7"/>
      <c r="L417" s="7"/>
      <c r="M417" s="7"/>
      <c r="N417" s="7"/>
      <c r="O417" s="7"/>
      <c r="P417" s="7"/>
      <c r="Q417" s="7"/>
      <c r="R417" s="64"/>
      <c r="S417" s="64"/>
      <c r="T417" s="64"/>
      <c r="U417" s="64"/>
      <c r="V417" s="64"/>
      <c r="W417" s="64"/>
    </row>
    <row r="418" spans="1:23" ht="30" customHeight="1">
      <c r="A418" s="8"/>
      <c r="B418" s="7"/>
      <c r="C418" s="33"/>
      <c r="D418" s="7"/>
      <c r="E418" s="7"/>
      <c r="F418" s="7"/>
      <c r="G418" s="7"/>
      <c r="H418" s="7"/>
      <c r="I418" s="7"/>
      <c r="J418" s="7"/>
      <c r="K418" s="7"/>
      <c r="L418" s="7"/>
      <c r="M418" s="7"/>
      <c r="N418" s="7"/>
      <c r="O418" s="7"/>
      <c r="P418" s="7"/>
      <c r="Q418" s="7"/>
      <c r="R418" s="64"/>
      <c r="S418" s="64"/>
      <c r="T418" s="64"/>
      <c r="U418" s="64"/>
      <c r="V418" s="64"/>
      <c r="W418" s="64"/>
    </row>
    <row r="419" spans="1:23" ht="30" customHeight="1">
      <c r="A419" s="8"/>
      <c r="B419" s="7"/>
      <c r="C419" s="33"/>
      <c r="D419" s="7"/>
      <c r="E419" s="7"/>
      <c r="F419" s="7"/>
      <c r="G419" s="7"/>
      <c r="H419" s="7"/>
      <c r="I419" s="7"/>
      <c r="J419" s="7"/>
      <c r="K419" s="7"/>
      <c r="L419" s="7"/>
      <c r="M419" s="7"/>
      <c r="N419" s="7"/>
      <c r="O419" s="7"/>
      <c r="P419" s="7"/>
      <c r="Q419" s="7"/>
      <c r="R419" s="64"/>
      <c r="S419" s="64"/>
      <c r="T419" s="64"/>
      <c r="U419" s="64"/>
      <c r="V419" s="64"/>
      <c r="W419" s="64"/>
    </row>
    <row r="420" spans="1:23" ht="30" customHeight="1">
      <c r="A420" s="8"/>
      <c r="B420" s="7"/>
      <c r="C420" s="33"/>
      <c r="D420" s="7"/>
      <c r="E420" s="7"/>
      <c r="F420" s="7"/>
      <c r="G420" s="7"/>
      <c r="H420" s="7"/>
      <c r="I420" s="7"/>
      <c r="J420" s="7"/>
      <c r="K420" s="7"/>
      <c r="L420" s="7"/>
      <c r="M420" s="7"/>
      <c r="N420" s="7"/>
      <c r="O420" s="7"/>
      <c r="P420" s="7"/>
      <c r="Q420" s="7"/>
      <c r="R420" s="64"/>
      <c r="S420" s="64"/>
      <c r="T420" s="64"/>
      <c r="U420" s="64"/>
      <c r="V420" s="64"/>
      <c r="W420" s="64"/>
    </row>
    <row r="421" spans="1:23" ht="30" customHeight="1">
      <c r="A421" s="8"/>
      <c r="B421" s="7"/>
      <c r="C421" s="33"/>
      <c r="D421" s="7"/>
      <c r="E421" s="7"/>
      <c r="F421" s="7"/>
      <c r="G421" s="7"/>
      <c r="H421" s="7"/>
      <c r="I421" s="7"/>
      <c r="J421" s="7"/>
      <c r="K421" s="7"/>
      <c r="L421" s="7"/>
      <c r="M421" s="7"/>
      <c r="N421" s="7"/>
      <c r="O421" s="7"/>
      <c r="P421" s="7"/>
      <c r="Q421" s="7"/>
      <c r="R421" s="64"/>
      <c r="S421" s="64"/>
      <c r="T421" s="64"/>
      <c r="U421" s="64"/>
      <c r="V421" s="64"/>
      <c r="W421" s="64"/>
    </row>
    <row r="422" spans="1:23" ht="30" customHeight="1">
      <c r="A422" s="8"/>
      <c r="B422" s="7"/>
      <c r="C422" s="33"/>
      <c r="D422" s="7"/>
      <c r="E422" s="7"/>
      <c r="F422" s="7"/>
      <c r="G422" s="7"/>
      <c r="H422" s="7"/>
      <c r="I422" s="7"/>
      <c r="J422" s="7"/>
      <c r="K422" s="7"/>
      <c r="L422" s="7"/>
      <c r="M422" s="7"/>
      <c r="N422" s="7"/>
      <c r="O422" s="7"/>
      <c r="P422" s="7"/>
      <c r="Q422" s="7"/>
      <c r="R422" s="64"/>
      <c r="S422" s="64"/>
      <c r="T422" s="64"/>
      <c r="U422" s="64"/>
      <c r="V422" s="64"/>
      <c r="W422" s="64"/>
    </row>
    <row r="423" spans="1:23" ht="30" customHeight="1">
      <c r="A423" s="8"/>
      <c r="B423" s="7"/>
      <c r="C423" s="33"/>
      <c r="D423" s="7"/>
      <c r="E423" s="7"/>
      <c r="F423" s="7"/>
      <c r="G423" s="7"/>
      <c r="H423" s="7"/>
      <c r="I423" s="7"/>
      <c r="J423" s="7"/>
      <c r="K423" s="7"/>
      <c r="L423" s="7"/>
      <c r="M423" s="7"/>
      <c r="N423" s="7"/>
      <c r="O423" s="7"/>
      <c r="P423" s="7"/>
      <c r="Q423" s="7"/>
      <c r="R423" s="64"/>
      <c r="S423" s="64"/>
      <c r="T423" s="64"/>
      <c r="U423" s="64"/>
      <c r="V423" s="64"/>
      <c r="W423" s="64"/>
    </row>
    <row r="424" spans="1:23" ht="30" customHeight="1">
      <c r="A424" s="8"/>
      <c r="B424" s="7"/>
      <c r="C424" s="33"/>
      <c r="D424" s="7"/>
      <c r="E424" s="7"/>
      <c r="F424" s="7"/>
      <c r="G424" s="7"/>
      <c r="H424" s="7"/>
      <c r="I424" s="7"/>
      <c r="J424" s="7"/>
      <c r="K424" s="7"/>
      <c r="L424" s="7"/>
      <c r="M424" s="7"/>
      <c r="N424" s="7"/>
      <c r="O424" s="7"/>
      <c r="P424" s="7"/>
      <c r="Q424" s="7"/>
      <c r="R424" s="64"/>
      <c r="S424" s="64"/>
      <c r="T424" s="64"/>
      <c r="U424" s="64"/>
      <c r="V424" s="64"/>
      <c r="W424" s="64"/>
    </row>
    <row r="425" spans="1:23" ht="30" customHeight="1">
      <c r="A425" s="8"/>
      <c r="B425" s="7"/>
      <c r="C425" s="33"/>
      <c r="D425" s="7"/>
      <c r="E425" s="7"/>
      <c r="F425" s="7"/>
      <c r="G425" s="7"/>
      <c r="H425" s="7"/>
      <c r="I425" s="7"/>
      <c r="J425" s="7"/>
      <c r="K425" s="7"/>
      <c r="L425" s="7"/>
      <c r="M425" s="7"/>
      <c r="N425" s="7"/>
      <c r="O425" s="7"/>
      <c r="P425" s="7"/>
      <c r="Q425" s="7"/>
      <c r="R425" s="64"/>
      <c r="S425" s="64"/>
      <c r="T425" s="64"/>
      <c r="U425" s="64"/>
      <c r="V425" s="64"/>
      <c r="W425" s="64"/>
    </row>
    <row r="426" spans="1:23" ht="30" customHeight="1">
      <c r="A426" s="8"/>
      <c r="B426" s="7"/>
      <c r="C426" s="33"/>
      <c r="D426" s="7"/>
      <c r="E426" s="7"/>
      <c r="F426" s="7"/>
      <c r="G426" s="7"/>
      <c r="H426" s="7"/>
      <c r="I426" s="7"/>
      <c r="J426" s="7"/>
      <c r="K426" s="7"/>
      <c r="L426" s="7"/>
      <c r="M426" s="7"/>
      <c r="N426" s="7"/>
      <c r="O426" s="7"/>
      <c r="P426" s="7"/>
      <c r="Q426" s="7"/>
      <c r="R426" s="64"/>
      <c r="S426" s="64"/>
      <c r="T426" s="64"/>
      <c r="U426" s="64"/>
      <c r="V426" s="64"/>
      <c r="W426" s="64"/>
    </row>
    <row r="427" spans="1:23" ht="30" customHeight="1">
      <c r="A427" s="8"/>
      <c r="B427" s="7"/>
      <c r="C427" s="33"/>
      <c r="D427" s="7"/>
      <c r="E427" s="7"/>
      <c r="F427" s="7"/>
      <c r="G427" s="7"/>
      <c r="H427" s="7"/>
      <c r="I427" s="7"/>
      <c r="J427" s="7"/>
      <c r="K427" s="7"/>
      <c r="L427" s="7"/>
      <c r="M427" s="7"/>
      <c r="N427" s="7"/>
      <c r="O427" s="7"/>
      <c r="P427" s="7"/>
      <c r="Q427" s="7"/>
      <c r="R427" s="64"/>
      <c r="S427" s="64"/>
      <c r="T427" s="64"/>
      <c r="U427" s="64"/>
      <c r="V427" s="64"/>
      <c r="W427" s="64"/>
    </row>
    <row r="428" spans="1:23" ht="30" customHeight="1">
      <c r="A428" s="8"/>
      <c r="B428" s="7"/>
      <c r="C428" s="33"/>
      <c r="D428" s="7"/>
      <c r="E428" s="7"/>
      <c r="F428" s="7"/>
      <c r="G428" s="7"/>
      <c r="H428" s="7"/>
      <c r="I428" s="7"/>
      <c r="J428" s="7"/>
      <c r="K428" s="7"/>
      <c r="L428" s="7"/>
      <c r="M428" s="7"/>
      <c r="N428" s="7"/>
      <c r="O428" s="7"/>
      <c r="P428" s="7"/>
      <c r="Q428" s="7"/>
      <c r="R428" s="64"/>
      <c r="S428" s="64"/>
      <c r="T428" s="64"/>
      <c r="U428" s="64"/>
      <c r="V428" s="64"/>
      <c r="W428" s="64"/>
    </row>
    <row r="429" spans="1:23" ht="30" customHeight="1">
      <c r="A429" s="8"/>
      <c r="B429" s="7"/>
      <c r="C429" s="33"/>
      <c r="D429" s="7"/>
      <c r="E429" s="7"/>
      <c r="F429" s="7"/>
      <c r="G429" s="7"/>
      <c r="H429" s="7"/>
      <c r="I429" s="7"/>
      <c r="J429" s="7"/>
      <c r="K429" s="7"/>
      <c r="L429" s="7"/>
      <c r="M429" s="7"/>
      <c r="N429" s="7"/>
      <c r="O429" s="7"/>
      <c r="P429" s="7"/>
      <c r="Q429" s="7"/>
      <c r="R429" s="64"/>
      <c r="S429" s="64"/>
      <c r="T429" s="64"/>
      <c r="U429" s="64"/>
      <c r="V429" s="64"/>
      <c r="W429" s="64"/>
    </row>
    <row r="430" spans="1:23" ht="30" customHeight="1">
      <c r="A430" s="8"/>
      <c r="B430" s="7"/>
      <c r="C430" s="33"/>
      <c r="D430" s="7"/>
      <c r="E430" s="7"/>
      <c r="F430" s="7"/>
      <c r="G430" s="7"/>
      <c r="H430" s="7"/>
      <c r="I430" s="7"/>
      <c r="J430" s="7"/>
      <c r="K430" s="7"/>
      <c r="L430" s="7"/>
      <c r="M430" s="7"/>
      <c r="N430" s="7"/>
      <c r="O430" s="7"/>
      <c r="P430" s="7"/>
      <c r="Q430" s="7"/>
      <c r="R430" s="64"/>
      <c r="S430" s="64"/>
      <c r="T430" s="64"/>
      <c r="U430" s="64"/>
      <c r="V430" s="64"/>
      <c r="W430" s="64"/>
    </row>
    <row r="431" spans="1:23" ht="30" customHeight="1">
      <c r="A431" s="8"/>
      <c r="B431" s="7"/>
      <c r="C431" s="33"/>
      <c r="D431" s="7"/>
      <c r="E431" s="7"/>
      <c r="F431" s="7"/>
      <c r="G431" s="7"/>
      <c r="H431" s="7"/>
      <c r="I431" s="7"/>
      <c r="J431" s="7"/>
      <c r="K431" s="7"/>
      <c r="L431" s="7"/>
      <c r="M431" s="7"/>
      <c r="N431" s="7"/>
      <c r="O431" s="7"/>
      <c r="P431" s="7"/>
      <c r="Q431" s="7"/>
      <c r="R431" s="64"/>
      <c r="S431" s="64"/>
      <c r="T431" s="64"/>
      <c r="U431" s="64"/>
      <c r="V431" s="64"/>
      <c r="W431" s="64"/>
    </row>
    <row r="432" spans="1:23" ht="30" customHeight="1">
      <c r="A432" s="8"/>
      <c r="B432" s="7"/>
      <c r="C432" s="33"/>
      <c r="D432" s="7"/>
      <c r="E432" s="7"/>
      <c r="F432" s="7"/>
      <c r="G432" s="7"/>
      <c r="H432" s="7"/>
      <c r="I432" s="7"/>
      <c r="J432" s="7"/>
      <c r="K432" s="7"/>
      <c r="L432" s="7"/>
      <c r="M432" s="7"/>
      <c r="N432" s="7"/>
      <c r="O432" s="7"/>
      <c r="P432" s="7"/>
      <c r="Q432" s="7"/>
      <c r="R432" s="64"/>
      <c r="S432" s="64"/>
      <c r="T432" s="64"/>
      <c r="U432" s="64"/>
      <c r="V432" s="64"/>
      <c r="W432" s="64"/>
    </row>
    <row r="433" spans="1:23" ht="30" customHeight="1">
      <c r="A433" s="8"/>
      <c r="B433" s="7"/>
      <c r="C433" s="33"/>
      <c r="D433" s="7"/>
      <c r="E433" s="7"/>
      <c r="F433" s="7"/>
      <c r="G433" s="7"/>
      <c r="H433" s="7"/>
      <c r="I433" s="7"/>
      <c r="J433" s="7"/>
      <c r="K433" s="7"/>
      <c r="L433" s="7"/>
      <c r="M433" s="7"/>
      <c r="N433" s="7"/>
      <c r="O433" s="7"/>
      <c r="P433" s="7"/>
      <c r="Q433" s="7"/>
      <c r="R433" s="64"/>
      <c r="S433" s="64"/>
      <c r="T433" s="64"/>
      <c r="U433" s="64"/>
      <c r="V433" s="64"/>
      <c r="W433" s="64"/>
    </row>
    <row r="434" spans="1:23" ht="30" customHeight="1">
      <c r="A434" s="8"/>
      <c r="B434" s="7"/>
      <c r="C434" s="33"/>
      <c r="D434" s="7"/>
      <c r="E434" s="7"/>
      <c r="F434" s="7"/>
      <c r="G434" s="7"/>
      <c r="H434" s="7"/>
      <c r="I434" s="7"/>
      <c r="J434" s="7"/>
      <c r="K434" s="7"/>
      <c r="L434" s="7"/>
      <c r="M434" s="7"/>
      <c r="N434" s="7"/>
      <c r="O434" s="7"/>
      <c r="P434" s="7"/>
      <c r="Q434" s="7"/>
      <c r="R434" s="64"/>
      <c r="S434" s="64"/>
      <c r="T434" s="64"/>
      <c r="U434" s="64"/>
      <c r="V434" s="64"/>
      <c r="W434" s="64"/>
    </row>
    <row r="435" spans="1:23" ht="30" customHeight="1">
      <c r="A435" s="8"/>
      <c r="B435" s="7"/>
      <c r="C435" s="33"/>
      <c r="D435" s="7"/>
      <c r="E435" s="7"/>
      <c r="F435" s="7"/>
      <c r="G435" s="7"/>
      <c r="H435" s="7"/>
      <c r="I435" s="7"/>
      <c r="J435" s="7"/>
      <c r="K435" s="7"/>
      <c r="L435" s="7"/>
      <c r="M435" s="7"/>
      <c r="N435" s="7"/>
      <c r="O435" s="7"/>
      <c r="P435" s="7"/>
      <c r="Q435" s="7"/>
      <c r="R435" s="64"/>
      <c r="S435" s="64"/>
      <c r="T435" s="64"/>
      <c r="U435" s="64"/>
      <c r="V435" s="64"/>
      <c r="W435" s="64"/>
    </row>
    <row r="436" spans="1:23" ht="30" customHeight="1">
      <c r="A436" s="8"/>
      <c r="B436" s="7"/>
      <c r="C436" s="33"/>
      <c r="D436" s="7"/>
      <c r="E436" s="7"/>
      <c r="F436" s="7"/>
      <c r="G436" s="7"/>
      <c r="H436" s="7"/>
      <c r="I436" s="7"/>
      <c r="J436" s="7"/>
      <c r="K436" s="7"/>
      <c r="L436" s="7"/>
      <c r="M436" s="7"/>
      <c r="N436" s="7"/>
      <c r="O436" s="7"/>
      <c r="P436" s="7"/>
      <c r="Q436" s="7"/>
      <c r="R436" s="64"/>
      <c r="S436" s="64"/>
      <c r="T436" s="64"/>
      <c r="U436" s="64"/>
      <c r="V436" s="64"/>
      <c r="W436" s="64"/>
    </row>
    <row r="437" spans="1:23" ht="30" customHeight="1">
      <c r="A437" s="8"/>
      <c r="B437" s="7"/>
      <c r="C437" s="33"/>
      <c r="D437" s="7"/>
      <c r="E437" s="7"/>
      <c r="F437" s="7"/>
      <c r="G437" s="7"/>
      <c r="H437" s="7"/>
      <c r="I437" s="7"/>
      <c r="J437" s="7"/>
      <c r="K437" s="7"/>
      <c r="L437" s="7"/>
      <c r="M437" s="7"/>
      <c r="N437" s="7"/>
      <c r="O437" s="7"/>
      <c r="P437" s="7"/>
      <c r="Q437" s="7"/>
      <c r="R437" s="64"/>
      <c r="S437" s="64"/>
      <c r="T437" s="64"/>
      <c r="U437" s="64"/>
      <c r="V437" s="64"/>
      <c r="W437" s="64"/>
    </row>
    <row r="438" spans="1:23" ht="30" customHeight="1">
      <c r="A438" s="8"/>
      <c r="B438" s="7"/>
      <c r="C438" s="33"/>
      <c r="D438" s="7"/>
      <c r="E438" s="7"/>
      <c r="F438" s="7"/>
      <c r="G438" s="7"/>
      <c r="H438" s="7"/>
      <c r="I438" s="7"/>
      <c r="J438" s="7"/>
      <c r="K438" s="7"/>
      <c r="L438" s="7"/>
      <c r="M438" s="7"/>
      <c r="N438" s="7"/>
      <c r="O438" s="7"/>
      <c r="P438" s="7"/>
      <c r="Q438" s="7"/>
      <c r="R438" s="64"/>
      <c r="S438" s="64"/>
      <c r="T438" s="64"/>
      <c r="U438" s="64"/>
      <c r="V438" s="64"/>
      <c r="W438" s="64"/>
    </row>
    <row r="439" spans="1:23" ht="30" customHeight="1">
      <c r="A439" s="8"/>
      <c r="B439" s="7"/>
      <c r="C439" s="33"/>
      <c r="D439" s="7"/>
      <c r="E439" s="7"/>
      <c r="F439" s="7"/>
      <c r="G439" s="7"/>
      <c r="H439" s="7"/>
      <c r="I439" s="7"/>
      <c r="J439" s="7"/>
      <c r="K439" s="7"/>
      <c r="L439" s="7"/>
      <c r="M439" s="7"/>
      <c r="N439" s="7"/>
      <c r="O439" s="7"/>
      <c r="P439" s="7"/>
      <c r="Q439" s="7"/>
      <c r="R439" s="64"/>
      <c r="S439" s="64"/>
      <c r="T439" s="64"/>
      <c r="U439" s="64"/>
      <c r="V439" s="64"/>
      <c r="W439" s="64"/>
    </row>
    <row r="440" spans="1:23" ht="30" customHeight="1">
      <c r="A440" s="8"/>
      <c r="B440" s="7"/>
      <c r="C440" s="33"/>
      <c r="D440" s="7"/>
      <c r="E440" s="7"/>
      <c r="F440" s="7"/>
      <c r="G440" s="7"/>
      <c r="H440" s="7"/>
      <c r="I440" s="7"/>
      <c r="J440" s="7"/>
      <c r="K440" s="7"/>
      <c r="L440" s="7"/>
      <c r="M440" s="7"/>
      <c r="N440" s="7"/>
      <c r="O440" s="7"/>
      <c r="P440" s="7"/>
      <c r="Q440" s="7"/>
      <c r="R440" s="64"/>
      <c r="S440" s="64"/>
      <c r="T440" s="64"/>
      <c r="U440" s="64"/>
      <c r="V440" s="64"/>
      <c r="W440" s="64"/>
    </row>
    <row r="441" spans="1:23" ht="30" customHeight="1">
      <c r="A441" s="8"/>
      <c r="B441" s="7"/>
      <c r="C441" s="33"/>
      <c r="D441" s="7"/>
      <c r="E441" s="7"/>
      <c r="F441" s="7"/>
      <c r="G441" s="7"/>
      <c r="H441" s="7"/>
      <c r="I441" s="7"/>
      <c r="J441" s="7"/>
      <c r="K441" s="7"/>
      <c r="L441" s="7"/>
      <c r="M441" s="7"/>
      <c r="N441" s="7"/>
      <c r="O441" s="7"/>
      <c r="P441" s="7"/>
      <c r="Q441" s="7"/>
      <c r="R441" s="64"/>
      <c r="S441" s="64"/>
      <c r="T441" s="64"/>
      <c r="U441" s="64"/>
      <c r="V441" s="64"/>
      <c r="W441" s="64"/>
    </row>
    <row r="442" spans="1:23" ht="30" customHeight="1">
      <c r="A442" s="8"/>
      <c r="B442" s="7"/>
      <c r="C442" s="33"/>
      <c r="D442" s="7"/>
      <c r="E442" s="7"/>
      <c r="F442" s="7"/>
      <c r="G442" s="7"/>
      <c r="H442" s="7"/>
      <c r="I442" s="7"/>
      <c r="J442" s="7"/>
      <c r="K442" s="7"/>
      <c r="L442" s="7"/>
      <c r="M442" s="7"/>
      <c r="N442" s="7"/>
      <c r="O442" s="7"/>
      <c r="P442" s="7"/>
      <c r="Q442" s="7"/>
      <c r="R442" s="64"/>
      <c r="S442" s="64"/>
      <c r="T442" s="64"/>
      <c r="U442" s="64"/>
      <c r="V442" s="64"/>
      <c r="W442" s="64"/>
    </row>
    <row r="443" spans="1:23" ht="30" customHeight="1">
      <c r="A443" s="8"/>
      <c r="B443" s="7"/>
      <c r="C443" s="33"/>
      <c r="D443" s="7"/>
      <c r="E443" s="7"/>
      <c r="F443" s="7"/>
      <c r="G443" s="7"/>
      <c r="H443" s="7"/>
      <c r="I443" s="7"/>
      <c r="J443" s="7"/>
      <c r="K443" s="7"/>
      <c r="L443" s="7"/>
      <c r="M443" s="7"/>
      <c r="N443" s="7"/>
      <c r="O443" s="7"/>
      <c r="P443" s="7"/>
      <c r="Q443" s="7"/>
      <c r="R443" s="64"/>
      <c r="S443" s="64"/>
      <c r="T443" s="64"/>
      <c r="U443" s="64"/>
      <c r="V443" s="64"/>
      <c r="W443" s="64"/>
    </row>
    <row r="444" spans="1:23" ht="30" customHeight="1">
      <c r="A444" s="8"/>
      <c r="B444" s="7"/>
      <c r="C444" s="33"/>
      <c r="D444" s="7"/>
      <c r="E444" s="7"/>
      <c r="F444" s="7"/>
      <c r="G444" s="7"/>
      <c r="H444" s="7"/>
      <c r="I444" s="7"/>
      <c r="J444" s="7"/>
      <c r="K444" s="7"/>
      <c r="L444" s="7"/>
      <c r="M444" s="7"/>
      <c r="N444" s="7"/>
      <c r="O444" s="7"/>
      <c r="P444" s="7"/>
      <c r="Q444" s="7"/>
      <c r="R444" s="64"/>
      <c r="S444" s="64"/>
      <c r="T444" s="64"/>
      <c r="U444" s="64"/>
      <c r="V444" s="64"/>
      <c r="W444" s="64"/>
    </row>
    <row r="445" spans="1:23" ht="30" customHeight="1">
      <c r="A445" s="8"/>
      <c r="B445" s="7"/>
      <c r="C445" s="33"/>
      <c r="D445" s="7"/>
      <c r="E445" s="7"/>
      <c r="F445" s="7"/>
      <c r="G445" s="7"/>
      <c r="H445" s="7"/>
      <c r="I445" s="7"/>
      <c r="J445" s="7"/>
      <c r="K445" s="7"/>
      <c r="L445" s="7"/>
      <c r="M445" s="7"/>
      <c r="N445" s="7"/>
      <c r="O445" s="7"/>
      <c r="P445" s="7"/>
      <c r="Q445" s="7"/>
      <c r="R445" s="64"/>
      <c r="S445" s="64"/>
      <c r="T445" s="64"/>
      <c r="U445" s="64"/>
      <c r="V445" s="64"/>
      <c r="W445" s="64"/>
    </row>
    <row r="446" spans="1:23" ht="30" customHeight="1">
      <c r="A446" s="8"/>
      <c r="B446" s="7"/>
      <c r="C446" s="33"/>
      <c r="D446" s="7"/>
      <c r="E446" s="7"/>
      <c r="F446" s="7"/>
      <c r="G446" s="7"/>
      <c r="H446" s="7"/>
      <c r="I446" s="7"/>
      <c r="J446" s="7"/>
      <c r="K446" s="7"/>
      <c r="L446" s="7"/>
      <c r="M446" s="7"/>
      <c r="N446" s="7"/>
      <c r="O446" s="7"/>
      <c r="P446" s="7"/>
      <c r="Q446" s="7"/>
      <c r="R446" s="64"/>
      <c r="S446" s="64"/>
      <c r="T446" s="64"/>
      <c r="U446" s="64"/>
      <c r="V446" s="64"/>
      <c r="W446" s="64"/>
    </row>
    <row r="447" spans="1:23" ht="30" customHeight="1">
      <c r="A447" s="8"/>
      <c r="B447" s="7"/>
      <c r="C447" s="33"/>
      <c r="D447" s="7"/>
      <c r="E447" s="7"/>
      <c r="F447" s="7"/>
      <c r="G447" s="7"/>
      <c r="H447" s="7"/>
      <c r="I447" s="7"/>
      <c r="J447" s="7"/>
      <c r="K447" s="7"/>
      <c r="L447" s="7"/>
      <c r="M447" s="7"/>
      <c r="N447" s="7"/>
      <c r="O447" s="7"/>
      <c r="P447" s="7"/>
      <c r="Q447" s="7"/>
      <c r="R447" s="64"/>
      <c r="S447" s="64"/>
      <c r="T447" s="64"/>
      <c r="U447" s="64"/>
      <c r="V447" s="64"/>
      <c r="W447" s="64"/>
    </row>
    <row r="448" spans="1:23" ht="30" customHeight="1">
      <c r="A448" s="8"/>
      <c r="B448" s="7"/>
      <c r="C448" s="33"/>
      <c r="D448" s="7"/>
      <c r="E448" s="7"/>
      <c r="F448" s="7"/>
      <c r="G448" s="7"/>
      <c r="H448" s="7"/>
      <c r="I448" s="7"/>
      <c r="J448" s="7"/>
      <c r="K448" s="7"/>
      <c r="L448" s="7"/>
      <c r="M448" s="7"/>
      <c r="N448" s="7"/>
      <c r="O448" s="7"/>
      <c r="P448" s="7"/>
      <c r="Q448" s="7"/>
      <c r="R448" s="64"/>
      <c r="S448" s="64"/>
      <c r="T448" s="64"/>
      <c r="U448" s="64"/>
      <c r="V448" s="64"/>
      <c r="W448" s="64"/>
    </row>
    <row r="449" spans="1:23" ht="30" customHeight="1">
      <c r="A449" s="8"/>
      <c r="B449" s="7"/>
      <c r="C449" s="33"/>
      <c r="D449" s="7"/>
      <c r="E449" s="7"/>
      <c r="F449" s="7"/>
      <c r="G449" s="7"/>
      <c r="H449" s="7"/>
      <c r="I449" s="7"/>
      <c r="J449" s="7"/>
      <c r="K449" s="7"/>
      <c r="L449" s="7"/>
      <c r="M449" s="7"/>
      <c r="N449" s="7"/>
      <c r="O449" s="7"/>
      <c r="P449" s="7"/>
      <c r="Q449" s="7"/>
      <c r="R449" s="64"/>
      <c r="S449" s="64"/>
      <c r="T449" s="64"/>
      <c r="U449" s="64"/>
      <c r="V449" s="64"/>
      <c r="W449" s="64"/>
    </row>
    <row r="450" spans="1:23" ht="30" customHeight="1">
      <c r="A450" s="8"/>
      <c r="B450" s="7"/>
      <c r="C450" s="33"/>
      <c r="D450" s="7"/>
      <c r="E450" s="7"/>
      <c r="F450" s="7"/>
      <c r="G450" s="7"/>
      <c r="H450" s="7"/>
      <c r="I450" s="7"/>
      <c r="J450" s="7"/>
      <c r="K450" s="7"/>
      <c r="L450" s="7"/>
      <c r="M450" s="7"/>
      <c r="N450" s="7"/>
      <c r="O450" s="7"/>
      <c r="P450" s="7"/>
      <c r="Q450" s="7"/>
      <c r="R450" s="64"/>
      <c r="S450" s="64"/>
      <c r="T450" s="64"/>
      <c r="U450" s="64"/>
      <c r="V450" s="64"/>
      <c r="W450" s="64"/>
    </row>
    <row r="451" spans="1:23" ht="30" customHeight="1">
      <c r="A451" s="8"/>
      <c r="B451" s="7"/>
      <c r="C451" s="33"/>
      <c r="D451" s="7"/>
      <c r="E451" s="7"/>
      <c r="F451" s="7"/>
      <c r="G451" s="7"/>
      <c r="H451" s="7"/>
      <c r="I451" s="7"/>
      <c r="J451" s="7"/>
      <c r="K451" s="7"/>
      <c r="L451" s="7"/>
      <c r="M451" s="7"/>
      <c r="N451" s="7"/>
      <c r="O451" s="7"/>
      <c r="P451" s="7"/>
      <c r="Q451" s="7"/>
      <c r="R451" s="64"/>
      <c r="S451" s="64"/>
      <c r="T451" s="64"/>
      <c r="U451" s="64"/>
      <c r="V451" s="64"/>
      <c r="W451" s="64"/>
    </row>
    <row r="452" spans="1:23" ht="30" customHeight="1">
      <c r="A452" s="8"/>
      <c r="B452" s="7"/>
      <c r="C452" s="33"/>
      <c r="D452" s="7"/>
      <c r="E452" s="7"/>
      <c r="F452" s="7"/>
      <c r="G452" s="7"/>
      <c r="H452" s="7"/>
      <c r="I452" s="7"/>
      <c r="J452" s="7"/>
      <c r="K452" s="7"/>
      <c r="L452" s="7"/>
      <c r="M452" s="7"/>
      <c r="N452" s="7"/>
      <c r="O452" s="7"/>
      <c r="P452" s="7"/>
      <c r="Q452" s="7"/>
      <c r="R452" s="64"/>
      <c r="S452" s="64"/>
      <c r="T452" s="64"/>
      <c r="U452" s="64"/>
      <c r="V452" s="64"/>
      <c r="W452" s="64"/>
    </row>
    <row r="453" spans="1:23" ht="30" customHeight="1">
      <c r="A453" s="8"/>
      <c r="B453" s="7"/>
      <c r="C453" s="33"/>
      <c r="D453" s="7"/>
      <c r="E453" s="7"/>
      <c r="F453" s="7"/>
      <c r="G453" s="7"/>
      <c r="H453" s="7"/>
      <c r="I453" s="7"/>
      <c r="J453" s="7"/>
      <c r="K453" s="7"/>
      <c r="L453" s="7"/>
      <c r="M453" s="7"/>
      <c r="N453" s="7"/>
      <c r="O453" s="7"/>
      <c r="P453" s="7"/>
      <c r="Q453" s="7"/>
      <c r="R453" s="64"/>
      <c r="S453" s="64"/>
      <c r="T453" s="64"/>
      <c r="U453" s="64"/>
      <c r="V453" s="64"/>
      <c r="W453" s="64"/>
    </row>
    <row r="454" spans="1:23" ht="30" customHeight="1">
      <c r="A454" s="8"/>
      <c r="B454" s="7"/>
      <c r="C454" s="33"/>
      <c r="D454" s="7"/>
      <c r="E454" s="7"/>
      <c r="F454" s="7"/>
      <c r="G454" s="7"/>
      <c r="H454" s="7"/>
      <c r="I454" s="7"/>
      <c r="J454" s="7"/>
      <c r="K454" s="7"/>
      <c r="L454" s="7"/>
      <c r="M454" s="7"/>
      <c r="N454" s="7"/>
      <c r="O454" s="7"/>
      <c r="P454" s="7"/>
      <c r="Q454" s="7"/>
      <c r="R454" s="64"/>
      <c r="S454" s="64"/>
      <c r="T454" s="64"/>
      <c r="U454" s="64"/>
      <c r="V454" s="64"/>
      <c r="W454" s="64"/>
    </row>
    <row r="455" spans="1:23" ht="30" customHeight="1">
      <c r="A455" s="8"/>
      <c r="B455" s="7"/>
      <c r="C455" s="33"/>
      <c r="D455" s="7"/>
      <c r="E455" s="7"/>
      <c r="F455" s="7"/>
      <c r="G455" s="7"/>
      <c r="H455" s="7"/>
      <c r="I455" s="7"/>
      <c r="J455" s="7"/>
      <c r="K455" s="7"/>
      <c r="L455" s="7"/>
      <c r="M455" s="7"/>
      <c r="N455" s="7"/>
      <c r="O455" s="7"/>
      <c r="P455" s="7"/>
      <c r="Q455" s="7"/>
      <c r="R455" s="64"/>
      <c r="S455" s="64"/>
      <c r="T455" s="64"/>
      <c r="U455" s="64"/>
      <c r="V455" s="64"/>
      <c r="W455" s="64"/>
    </row>
    <row r="456" spans="1:23" ht="30" customHeight="1">
      <c r="A456" s="8"/>
      <c r="B456" s="7"/>
      <c r="C456" s="33"/>
      <c r="D456" s="7"/>
      <c r="E456" s="7"/>
      <c r="F456" s="7"/>
      <c r="G456" s="7"/>
      <c r="H456" s="7"/>
      <c r="I456" s="7"/>
      <c r="J456" s="7"/>
      <c r="K456" s="7"/>
      <c r="L456" s="7"/>
      <c r="M456" s="7"/>
      <c r="N456" s="7"/>
      <c r="O456" s="7"/>
      <c r="P456" s="7"/>
      <c r="Q456" s="7"/>
      <c r="R456" s="64"/>
      <c r="S456" s="64"/>
      <c r="T456" s="64"/>
      <c r="U456" s="64"/>
      <c r="V456" s="64"/>
      <c r="W456" s="64"/>
    </row>
    <row r="457" spans="1:23" ht="30" customHeight="1">
      <c r="A457" s="8"/>
      <c r="B457" s="7"/>
      <c r="C457" s="33"/>
      <c r="D457" s="7"/>
      <c r="E457" s="7"/>
      <c r="F457" s="7"/>
      <c r="G457" s="7"/>
      <c r="H457" s="7"/>
      <c r="I457" s="7"/>
      <c r="J457" s="7"/>
      <c r="K457" s="7"/>
      <c r="L457" s="7"/>
      <c r="M457" s="7"/>
      <c r="N457" s="7"/>
      <c r="O457" s="7"/>
      <c r="P457" s="7"/>
      <c r="Q457" s="7"/>
      <c r="R457" s="64"/>
      <c r="S457" s="64"/>
      <c r="T457" s="64"/>
      <c r="U457" s="64"/>
      <c r="V457" s="64"/>
      <c r="W457" s="64"/>
    </row>
    <row r="458" spans="1:23" ht="30" customHeight="1">
      <c r="A458" s="8"/>
      <c r="B458" s="7"/>
      <c r="C458" s="33"/>
      <c r="D458" s="7"/>
      <c r="E458" s="7"/>
      <c r="F458" s="7"/>
      <c r="G458" s="7"/>
      <c r="H458" s="7"/>
      <c r="I458" s="7"/>
      <c r="J458" s="7"/>
      <c r="K458" s="7"/>
      <c r="L458" s="7"/>
      <c r="M458" s="7"/>
      <c r="N458" s="7"/>
      <c r="O458" s="7"/>
      <c r="P458" s="7"/>
      <c r="Q458" s="7"/>
      <c r="R458" s="64"/>
      <c r="S458" s="64"/>
      <c r="T458" s="64"/>
      <c r="U458" s="64"/>
      <c r="V458" s="64"/>
      <c r="W458" s="64"/>
    </row>
    <row r="459" spans="1:23" ht="30" customHeight="1">
      <c r="A459" s="8"/>
      <c r="B459" s="7"/>
      <c r="C459" s="33"/>
      <c r="D459" s="7"/>
      <c r="E459" s="7"/>
      <c r="F459" s="7"/>
      <c r="G459" s="7"/>
      <c r="H459" s="7"/>
      <c r="I459" s="7"/>
      <c r="J459" s="7"/>
      <c r="K459" s="7"/>
      <c r="L459" s="7"/>
      <c r="M459" s="7"/>
      <c r="N459" s="7"/>
      <c r="O459" s="7"/>
      <c r="P459" s="7"/>
      <c r="Q459" s="7"/>
      <c r="R459" s="64"/>
      <c r="S459" s="64"/>
      <c r="T459" s="64"/>
      <c r="U459" s="64"/>
      <c r="V459" s="64"/>
      <c r="W459" s="64"/>
    </row>
    <row r="460" spans="1:23" ht="30" customHeight="1">
      <c r="A460" s="8"/>
      <c r="B460" s="7"/>
      <c r="C460" s="33"/>
      <c r="D460" s="7"/>
      <c r="E460" s="7"/>
      <c r="F460" s="7"/>
      <c r="G460" s="7"/>
      <c r="H460" s="7"/>
      <c r="I460" s="7"/>
      <c r="J460" s="7"/>
      <c r="K460" s="7"/>
      <c r="L460" s="7"/>
      <c r="M460" s="7"/>
      <c r="N460" s="7"/>
      <c r="O460" s="7"/>
      <c r="P460" s="7"/>
      <c r="Q460" s="7"/>
      <c r="R460" s="64"/>
      <c r="S460" s="64"/>
      <c r="T460" s="64"/>
      <c r="U460" s="64"/>
      <c r="V460" s="64"/>
      <c r="W460" s="64"/>
    </row>
    <row r="461" spans="1:23" ht="30" customHeight="1">
      <c r="A461" s="8"/>
      <c r="B461" s="7"/>
      <c r="C461" s="33"/>
      <c r="D461" s="7"/>
      <c r="E461" s="7"/>
      <c r="F461" s="7"/>
      <c r="G461" s="7"/>
      <c r="H461" s="7"/>
      <c r="I461" s="7"/>
      <c r="J461" s="7"/>
      <c r="K461" s="7"/>
      <c r="L461" s="7"/>
      <c r="M461" s="7"/>
      <c r="N461" s="7"/>
      <c r="O461" s="7"/>
      <c r="P461" s="7"/>
      <c r="Q461" s="7"/>
      <c r="R461" s="64"/>
      <c r="S461" s="64"/>
      <c r="T461" s="64"/>
      <c r="U461" s="64"/>
      <c r="V461" s="64"/>
      <c r="W461" s="64"/>
    </row>
    <row r="462" spans="1:23" ht="30" customHeight="1">
      <c r="A462" s="8"/>
      <c r="B462" s="7"/>
      <c r="C462" s="33"/>
      <c r="D462" s="7"/>
      <c r="E462" s="7"/>
      <c r="F462" s="7"/>
      <c r="G462" s="7"/>
      <c r="H462" s="7"/>
      <c r="I462" s="7"/>
      <c r="J462" s="7"/>
      <c r="K462" s="7"/>
      <c r="L462" s="7"/>
      <c r="M462" s="7"/>
      <c r="N462" s="7"/>
      <c r="O462" s="7"/>
      <c r="P462" s="7"/>
      <c r="Q462" s="7"/>
      <c r="R462" s="64"/>
      <c r="S462" s="64"/>
      <c r="T462" s="64"/>
      <c r="U462" s="64"/>
      <c r="V462" s="64"/>
      <c r="W462" s="64"/>
    </row>
    <row r="463" spans="1:23" ht="30" customHeight="1">
      <c r="A463" s="8"/>
      <c r="B463" s="7"/>
      <c r="C463" s="33"/>
      <c r="D463" s="7"/>
      <c r="E463" s="7"/>
      <c r="F463" s="7"/>
      <c r="G463" s="7"/>
      <c r="H463" s="7"/>
      <c r="I463" s="7"/>
      <c r="J463" s="7"/>
      <c r="K463" s="7"/>
      <c r="L463" s="7"/>
      <c r="M463" s="7"/>
      <c r="N463" s="7"/>
      <c r="O463" s="7"/>
      <c r="P463" s="7"/>
      <c r="Q463" s="7"/>
      <c r="R463" s="64"/>
      <c r="S463" s="64"/>
      <c r="T463" s="64"/>
      <c r="U463" s="64"/>
      <c r="V463" s="64"/>
      <c r="W463" s="64"/>
    </row>
    <row r="464" spans="1:23" ht="30" customHeight="1">
      <c r="A464" s="8"/>
      <c r="B464" s="7"/>
      <c r="C464" s="33"/>
      <c r="D464" s="7"/>
      <c r="E464" s="7"/>
      <c r="F464" s="7"/>
      <c r="G464" s="7"/>
      <c r="H464" s="7"/>
      <c r="I464" s="7"/>
      <c r="J464" s="7"/>
      <c r="K464" s="7"/>
      <c r="L464" s="7"/>
      <c r="M464" s="7"/>
      <c r="N464" s="7"/>
      <c r="O464" s="7"/>
      <c r="P464" s="7"/>
      <c r="Q464" s="7"/>
      <c r="R464" s="64"/>
      <c r="S464" s="64"/>
      <c r="T464" s="64"/>
      <c r="U464" s="64"/>
      <c r="V464" s="64"/>
      <c r="W464" s="64"/>
    </row>
    <row r="465" spans="1:23" ht="30" customHeight="1">
      <c r="A465" s="8"/>
      <c r="B465" s="7"/>
      <c r="C465" s="33"/>
      <c r="D465" s="7"/>
      <c r="E465" s="7"/>
      <c r="F465" s="7"/>
      <c r="G465" s="7"/>
      <c r="H465" s="7"/>
      <c r="I465" s="7"/>
      <c r="J465" s="7"/>
      <c r="K465" s="7"/>
      <c r="L465" s="7"/>
      <c r="M465" s="7"/>
      <c r="N465" s="7"/>
      <c r="O465" s="7"/>
      <c r="P465" s="7"/>
      <c r="Q465" s="7"/>
      <c r="R465" s="64"/>
      <c r="S465" s="64"/>
      <c r="T465" s="64"/>
      <c r="U465" s="64"/>
      <c r="V465" s="64"/>
      <c r="W465" s="64"/>
    </row>
    <row r="466" spans="1:23" ht="30" customHeight="1">
      <c r="A466" s="8"/>
      <c r="B466" s="7"/>
      <c r="C466" s="33"/>
      <c r="D466" s="7"/>
      <c r="E466" s="7"/>
      <c r="F466" s="7"/>
      <c r="G466" s="7"/>
      <c r="H466" s="7"/>
      <c r="I466" s="7"/>
      <c r="J466" s="7"/>
      <c r="K466" s="7"/>
      <c r="L466" s="7"/>
      <c r="M466" s="7"/>
      <c r="N466" s="7"/>
      <c r="O466" s="7"/>
      <c r="P466" s="7"/>
      <c r="Q466" s="7"/>
      <c r="R466" s="64"/>
      <c r="S466" s="64"/>
      <c r="T466" s="64"/>
      <c r="U466" s="64"/>
      <c r="V466" s="64"/>
      <c r="W466" s="64"/>
    </row>
    <row r="467" spans="1:23" ht="30" customHeight="1">
      <c r="A467" s="8"/>
      <c r="B467" s="7"/>
      <c r="C467" s="33"/>
      <c r="D467" s="7"/>
      <c r="E467" s="7"/>
      <c r="F467" s="7"/>
      <c r="G467" s="7"/>
      <c r="H467" s="7"/>
      <c r="I467" s="7"/>
      <c r="J467" s="7"/>
      <c r="K467" s="7"/>
      <c r="L467" s="7"/>
      <c r="M467" s="7"/>
      <c r="N467" s="7"/>
      <c r="O467" s="7"/>
      <c r="P467" s="7"/>
      <c r="Q467" s="7"/>
      <c r="R467" s="64"/>
      <c r="S467" s="64"/>
      <c r="T467" s="64"/>
      <c r="U467" s="64"/>
      <c r="V467" s="64"/>
      <c r="W467" s="64"/>
    </row>
    <row r="468" spans="1:23" ht="30" customHeight="1">
      <c r="A468" s="8"/>
      <c r="B468" s="7"/>
      <c r="C468" s="33"/>
      <c r="D468" s="7"/>
      <c r="E468" s="7"/>
      <c r="F468" s="7"/>
      <c r="G468" s="7"/>
      <c r="H468" s="7"/>
      <c r="I468" s="7"/>
      <c r="J468" s="7"/>
      <c r="K468" s="7"/>
      <c r="L468" s="7"/>
      <c r="M468" s="7"/>
      <c r="N468" s="7"/>
      <c r="O468" s="7"/>
      <c r="P468" s="7"/>
      <c r="Q468" s="7"/>
      <c r="R468" s="64"/>
      <c r="S468" s="64"/>
      <c r="T468" s="64"/>
      <c r="U468" s="64"/>
      <c r="V468" s="64"/>
      <c r="W468" s="64"/>
    </row>
    <row r="469" spans="1:23" ht="30" customHeight="1">
      <c r="A469" s="8"/>
      <c r="B469" s="7"/>
      <c r="C469" s="33"/>
      <c r="D469" s="7"/>
      <c r="E469" s="7"/>
      <c r="F469" s="7"/>
      <c r="G469" s="7"/>
      <c r="H469" s="7"/>
      <c r="I469" s="7"/>
      <c r="J469" s="7"/>
      <c r="K469" s="7"/>
      <c r="L469" s="7"/>
      <c r="M469" s="7"/>
      <c r="N469" s="7"/>
      <c r="O469" s="7"/>
      <c r="P469" s="7"/>
      <c r="Q469" s="7"/>
      <c r="R469" s="64"/>
      <c r="S469" s="64"/>
      <c r="T469" s="64"/>
      <c r="U469" s="64"/>
      <c r="V469" s="64"/>
      <c r="W469" s="64"/>
    </row>
    <row r="470" spans="1:23" ht="30" customHeight="1">
      <c r="A470" s="8"/>
      <c r="B470" s="7"/>
      <c r="C470" s="33"/>
      <c r="D470" s="7"/>
      <c r="E470" s="7"/>
      <c r="F470" s="7"/>
      <c r="G470" s="7"/>
      <c r="H470" s="7"/>
      <c r="I470" s="7"/>
      <c r="J470" s="7"/>
      <c r="K470" s="7"/>
      <c r="L470" s="7"/>
      <c r="M470" s="7"/>
      <c r="N470" s="7"/>
      <c r="O470" s="7"/>
      <c r="P470" s="7"/>
      <c r="Q470" s="7"/>
      <c r="R470" s="64"/>
      <c r="S470" s="64"/>
      <c r="T470" s="64"/>
      <c r="U470" s="64"/>
      <c r="V470" s="64"/>
      <c r="W470" s="64"/>
    </row>
    <row r="471" spans="1:23" ht="30" customHeight="1">
      <c r="A471" s="8"/>
      <c r="B471" s="7"/>
      <c r="C471" s="33"/>
      <c r="D471" s="7"/>
      <c r="E471" s="7"/>
      <c r="F471" s="7"/>
      <c r="G471" s="7"/>
      <c r="H471" s="7"/>
      <c r="I471" s="7"/>
      <c r="J471" s="7"/>
      <c r="K471" s="7"/>
      <c r="L471" s="7"/>
      <c r="M471" s="7"/>
      <c r="N471" s="7"/>
      <c r="O471" s="7"/>
      <c r="P471" s="7"/>
      <c r="Q471" s="7"/>
      <c r="R471" s="64"/>
      <c r="S471" s="64"/>
      <c r="T471" s="64"/>
      <c r="U471" s="64"/>
      <c r="V471" s="64"/>
      <c r="W471" s="64"/>
    </row>
    <row r="472" spans="1:23" ht="30" customHeight="1">
      <c r="A472" s="8"/>
      <c r="B472" s="7"/>
      <c r="C472" s="33"/>
      <c r="D472" s="7"/>
      <c r="E472" s="7"/>
      <c r="F472" s="7"/>
      <c r="G472" s="7"/>
      <c r="H472" s="7"/>
      <c r="I472" s="7"/>
      <c r="J472" s="7"/>
      <c r="K472" s="7"/>
      <c r="L472" s="7"/>
      <c r="M472" s="7"/>
      <c r="N472" s="7"/>
      <c r="O472" s="7"/>
      <c r="P472" s="7"/>
      <c r="Q472" s="7"/>
      <c r="R472" s="64"/>
      <c r="S472" s="64"/>
      <c r="T472" s="64"/>
      <c r="U472" s="64"/>
      <c r="V472" s="64"/>
      <c r="W472" s="64"/>
    </row>
    <row r="473" spans="1:23" ht="30" customHeight="1">
      <c r="A473" s="8"/>
      <c r="B473" s="7"/>
      <c r="C473" s="33"/>
      <c r="D473" s="7"/>
      <c r="E473" s="7"/>
      <c r="F473" s="7"/>
      <c r="G473" s="7"/>
      <c r="H473" s="7"/>
      <c r="I473" s="7"/>
      <c r="J473" s="7"/>
      <c r="K473" s="7"/>
      <c r="L473" s="7"/>
      <c r="M473" s="7"/>
      <c r="N473" s="7"/>
      <c r="O473" s="7"/>
      <c r="P473" s="7"/>
      <c r="Q473" s="7"/>
      <c r="R473" s="64"/>
      <c r="S473" s="64"/>
      <c r="T473" s="64"/>
      <c r="U473" s="64"/>
      <c r="V473" s="64"/>
      <c r="W473" s="64"/>
    </row>
    <row r="474" spans="1:23" ht="30" customHeight="1">
      <c r="A474" s="8"/>
      <c r="B474" s="7"/>
      <c r="C474" s="33"/>
      <c r="D474" s="7"/>
      <c r="E474" s="7"/>
      <c r="F474" s="7"/>
      <c r="G474" s="7"/>
      <c r="H474" s="7"/>
      <c r="I474" s="7"/>
      <c r="J474" s="7"/>
      <c r="K474" s="7"/>
      <c r="L474" s="7"/>
      <c r="M474" s="7"/>
      <c r="N474" s="7"/>
      <c r="O474" s="7"/>
      <c r="P474" s="7"/>
      <c r="Q474" s="7"/>
      <c r="R474" s="64"/>
      <c r="S474" s="64"/>
      <c r="T474" s="64"/>
      <c r="U474" s="64"/>
      <c r="V474" s="64"/>
      <c r="W474" s="64"/>
    </row>
    <row r="475" spans="1:23" ht="30" customHeight="1">
      <c r="A475" s="8"/>
      <c r="B475" s="7"/>
      <c r="C475" s="33"/>
      <c r="D475" s="7"/>
      <c r="E475" s="7"/>
      <c r="F475" s="7"/>
      <c r="G475" s="7"/>
      <c r="H475" s="7"/>
      <c r="I475" s="7"/>
      <c r="J475" s="7"/>
      <c r="K475" s="7"/>
      <c r="L475" s="7"/>
      <c r="M475" s="7"/>
      <c r="N475" s="7"/>
      <c r="O475" s="7"/>
      <c r="P475" s="7"/>
      <c r="Q475" s="7"/>
      <c r="R475" s="64"/>
      <c r="S475" s="64"/>
      <c r="T475" s="64"/>
      <c r="U475" s="64"/>
      <c r="V475" s="64"/>
      <c r="W475" s="64"/>
    </row>
    <row r="476" spans="1:23" ht="30" customHeight="1">
      <c r="A476" s="8"/>
      <c r="B476" s="7"/>
      <c r="C476" s="33"/>
      <c r="D476" s="7"/>
      <c r="E476" s="7"/>
      <c r="F476" s="7"/>
      <c r="G476" s="7"/>
      <c r="H476" s="7"/>
      <c r="I476" s="7"/>
      <c r="J476" s="7"/>
      <c r="K476" s="7"/>
      <c r="L476" s="7"/>
      <c r="M476" s="7"/>
      <c r="N476" s="7"/>
      <c r="O476" s="7"/>
      <c r="P476" s="7"/>
      <c r="Q476" s="7"/>
      <c r="R476" s="64"/>
      <c r="S476" s="64"/>
      <c r="T476" s="64"/>
      <c r="U476" s="64"/>
      <c r="V476" s="64"/>
      <c r="W476" s="64"/>
    </row>
    <row r="477" spans="1:23" ht="30" customHeight="1">
      <c r="A477" s="8"/>
      <c r="B477" s="7"/>
      <c r="C477" s="33"/>
      <c r="D477" s="7"/>
      <c r="E477" s="7"/>
      <c r="F477" s="7"/>
      <c r="G477" s="7"/>
      <c r="H477" s="7"/>
      <c r="I477" s="7"/>
      <c r="J477" s="7"/>
      <c r="K477" s="7"/>
      <c r="L477" s="7"/>
      <c r="M477" s="7"/>
      <c r="N477" s="7"/>
      <c r="O477" s="7"/>
      <c r="P477" s="7"/>
      <c r="Q477" s="7"/>
      <c r="R477" s="64"/>
      <c r="S477" s="64"/>
      <c r="T477" s="64"/>
      <c r="U477" s="64"/>
      <c r="V477" s="64"/>
      <c r="W477" s="64"/>
    </row>
    <row r="478" spans="1:23" ht="30" customHeight="1">
      <c r="A478" s="8"/>
      <c r="B478" s="7"/>
      <c r="C478" s="33"/>
      <c r="D478" s="7"/>
      <c r="E478" s="7"/>
      <c r="F478" s="7"/>
      <c r="G478" s="7"/>
      <c r="H478" s="7"/>
      <c r="I478" s="7"/>
      <c r="J478" s="7"/>
      <c r="K478" s="7"/>
      <c r="L478" s="7"/>
      <c r="M478" s="7"/>
      <c r="N478" s="7"/>
      <c r="O478" s="7"/>
      <c r="P478" s="7"/>
      <c r="Q478" s="7"/>
      <c r="R478" s="64"/>
      <c r="S478" s="64"/>
      <c r="T478" s="64"/>
      <c r="U478" s="64"/>
      <c r="V478" s="64"/>
      <c r="W478" s="64"/>
    </row>
    <row r="479" spans="1:23" ht="30" customHeight="1">
      <c r="A479" s="8"/>
      <c r="B479" s="7"/>
      <c r="C479" s="33"/>
      <c r="D479" s="7"/>
      <c r="E479" s="7"/>
      <c r="F479" s="7"/>
      <c r="G479" s="7"/>
      <c r="H479" s="7"/>
      <c r="I479" s="7"/>
      <c r="J479" s="7"/>
      <c r="K479" s="7"/>
      <c r="L479" s="7"/>
      <c r="M479" s="7"/>
      <c r="N479" s="7"/>
      <c r="O479" s="7"/>
      <c r="P479" s="7"/>
      <c r="Q479" s="7"/>
      <c r="R479" s="64"/>
      <c r="S479" s="64"/>
      <c r="T479" s="64"/>
      <c r="U479" s="64"/>
      <c r="V479" s="64"/>
      <c r="W479" s="64"/>
    </row>
    <row r="480" spans="1:23" ht="30" customHeight="1">
      <c r="A480" s="8"/>
      <c r="B480" s="7"/>
      <c r="C480" s="33"/>
      <c r="D480" s="7"/>
      <c r="E480" s="7"/>
      <c r="F480" s="7"/>
      <c r="G480" s="7"/>
      <c r="H480" s="7"/>
      <c r="I480" s="7"/>
      <c r="J480" s="7"/>
      <c r="K480" s="7"/>
      <c r="L480" s="7"/>
      <c r="M480" s="7"/>
      <c r="N480" s="7"/>
      <c r="O480" s="7"/>
      <c r="P480" s="7"/>
      <c r="Q480" s="7"/>
      <c r="R480" s="64"/>
      <c r="S480" s="64"/>
      <c r="T480" s="64"/>
      <c r="U480" s="64"/>
      <c r="V480" s="64"/>
      <c r="W480" s="64"/>
    </row>
    <row r="481" spans="1:23" ht="30" customHeight="1">
      <c r="A481" s="8"/>
      <c r="B481" s="7"/>
      <c r="C481" s="33"/>
      <c r="D481" s="7"/>
      <c r="E481" s="7"/>
      <c r="F481" s="7"/>
      <c r="G481" s="7"/>
      <c r="H481" s="7"/>
      <c r="I481" s="7"/>
      <c r="J481" s="7"/>
      <c r="K481" s="7"/>
      <c r="L481" s="7"/>
      <c r="M481" s="7"/>
      <c r="N481" s="7"/>
      <c r="O481" s="7"/>
      <c r="P481" s="7"/>
      <c r="Q481" s="7"/>
      <c r="R481" s="64"/>
      <c r="S481" s="64"/>
      <c r="T481" s="64"/>
      <c r="U481" s="64"/>
      <c r="V481" s="64"/>
      <c r="W481" s="64"/>
    </row>
    <row r="482" spans="1:23" ht="30" customHeight="1">
      <c r="A482" s="8"/>
      <c r="B482" s="7"/>
      <c r="C482" s="33"/>
      <c r="D482" s="7"/>
      <c r="E482" s="7"/>
      <c r="F482" s="7"/>
      <c r="G482" s="7"/>
      <c r="H482" s="7"/>
      <c r="I482" s="7"/>
      <c r="J482" s="7"/>
      <c r="K482" s="7"/>
      <c r="L482" s="7"/>
      <c r="M482" s="7"/>
      <c r="N482" s="7"/>
      <c r="O482" s="7"/>
      <c r="P482" s="7"/>
      <c r="Q482" s="7"/>
      <c r="R482" s="64"/>
      <c r="S482" s="64"/>
      <c r="T482" s="64"/>
      <c r="U482" s="64"/>
      <c r="V482" s="64"/>
      <c r="W482" s="64"/>
    </row>
    <row r="483" spans="1:23" ht="30" customHeight="1">
      <c r="A483" s="8"/>
      <c r="B483" s="7"/>
      <c r="C483" s="33"/>
      <c r="D483" s="7"/>
      <c r="E483" s="7"/>
      <c r="F483" s="7"/>
      <c r="G483" s="7"/>
      <c r="H483" s="7"/>
      <c r="I483" s="7"/>
      <c r="J483" s="7"/>
      <c r="K483" s="7"/>
      <c r="L483" s="7"/>
      <c r="M483" s="7"/>
      <c r="N483" s="7"/>
      <c r="O483" s="7"/>
      <c r="P483" s="7"/>
      <c r="Q483" s="7"/>
      <c r="R483" s="64"/>
      <c r="S483" s="64"/>
      <c r="T483" s="64"/>
      <c r="U483" s="64"/>
      <c r="V483" s="64"/>
      <c r="W483" s="64"/>
    </row>
    <row r="484" spans="1:23" ht="30" customHeight="1">
      <c r="A484" s="8"/>
      <c r="B484" s="7"/>
      <c r="C484" s="33"/>
      <c r="D484" s="7"/>
      <c r="E484" s="7"/>
      <c r="F484" s="7"/>
      <c r="G484" s="7"/>
      <c r="H484" s="7"/>
      <c r="I484" s="7"/>
      <c r="J484" s="7"/>
      <c r="K484" s="7"/>
      <c r="L484" s="7"/>
      <c r="M484" s="7"/>
      <c r="N484" s="7"/>
      <c r="O484" s="7"/>
      <c r="P484" s="7"/>
      <c r="Q484" s="7"/>
      <c r="R484" s="64"/>
      <c r="S484" s="64"/>
      <c r="T484" s="64"/>
      <c r="U484" s="64"/>
      <c r="V484" s="64"/>
      <c r="W484" s="64"/>
    </row>
    <row r="485" spans="1:23" ht="30" customHeight="1">
      <c r="A485" s="8"/>
      <c r="B485" s="7"/>
      <c r="C485" s="33"/>
      <c r="D485" s="7"/>
      <c r="E485" s="7"/>
      <c r="F485" s="7"/>
      <c r="G485" s="7"/>
      <c r="H485" s="7"/>
      <c r="I485" s="7"/>
      <c r="J485" s="7"/>
      <c r="K485" s="7"/>
      <c r="L485" s="7"/>
      <c r="M485" s="7"/>
      <c r="N485" s="7"/>
      <c r="O485" s="7"/>
      <c r="P485" s="7"/>
      <c r="Q485" s="7"/>
      <c r="R485" s="64"/>
      <c r="S485" s="64"/>
      <c r="T485" s="64"/>
      <c r="U485" s="64"/>
      <c r="V485" s="64"/>
      <c r="W485" s="64"/>
    </row>
    <row r="486" spans="1:23" ht="30" customHeight="1">
      <c r="A486" s="8"/>
      <c r="B486" s="7"/>
      <c r="C486" s="33"/>
      <c r="D486" s="7"/>
      <c r="E486" s="7"/>
      <c r="F486" s="7"/>
      <c r="G486" s="7"/>
      <c r="H486" s="7"/>
      <c r="I486" s="7"/>
      <c r="J486" s="7"/>
      <c r="K486" s="7"/>
      <c r="L486" s="7"/>
      <c r="M486" s="7"/>
      <c r="N486" s="7"/>
      <c r="O486" s="7"/>
      <c r="P486" s="7"/>
      <c r="Q486" s="7"/>
      <c r="R486" s="64"/>
      <c r="S486" s="64"/>
      <c r="T486" s="64"/>
      <c r="U486" s="64"/>
      <c r="V486" s="64"/>
      <c r="W486" s="64"/>
    </row>
    <row r="487" spans="1:23" ht="30" customHeight="1">
      <c r="A487" s="8"/>
      <c r="B487" s="7"/>
      <c r="C487" s="33"/>
      <c r="D487" s="7"/>
      <c r="E487" s="7"/>
      <c r="F487" s="7"/>
      <c r="G487" s="7"/>
      <c r="H487" s="7"/>
      <c r="I487" s="7"/>
      <c r="J487" s="7"/>
      <c r="K487" s="7"/>
      <c r="L487" s="7"/>
      <c r="M487" s="7"/>
      <c r="N487" s="7"/>
      <c r="O487" s="7"/>
      <c r="P487" s="7"/>
      <c r="Q487" s="7"/>
      <c r="R487" s="64"/>
      <c r="S487" s="64"/>
      <c r="T487" s="64"/>
      <c r="U487" s="64"/>
      <c r="V487" s="64"/>
      <c r="W487" s="64"/>
    </row>
    <row r="488" spans="1:23" ht="30" customHeight="1">
      <c r="A488" s="8"/>
      <c r="B488" s="7"/>
      <c r="C488" s="33"/>
      <c r="D488" s="7"/>
      <c r="E488" s="7"/>
      <c r="F488" s="7"/>
      <c r="G488" s="7"/>
      <c r="H488" s="7"/>
      <c r="I488" s="7"/>
      <c r="J488" s="7"/>
      <c r="K488" s="7"/>
      <c r="L488" s="7"/>
      <c r="M488" s="7"/>
      <c r="N488" s="7"/>
      <c r="O488" s="7"/>
      <c r="P488" s="7"/>
      <c r="Q488" s="7"/>
      <c r="R488" s="64"/>
      <c r="S488" s="64"/>
      <c r="T488" s="64"/>
      <c r="U488" s="64"/>
      <c r="V488" s="64"/>
      <c r="W488" s="64"/>
    </row>
    <row r="489" spans="1:23" ht="30" customHeight="1">
      <c r="A489" s="8"/>
      <c r="B489" s="7"/>
      <c r="C489" s="33"/>
      <c r="D489" s="7"/>
      <c r="E489" s="7"/>
      <c r="F489" s="7"/>
      <c r="G489" s="7"/>
      <c r="H489" s="7"/>
      <c r="I489" s="7"/>
      <c r="J489" s="7"/>
      <c r="K489" s="7"/>
      <c r="L489" s="7"/>
      <c r="M489" s="7"/>
      <c r="N489" s="7"/>
      <c r="O489" s="7"/>
      <c r="P489" s="7"/>
      <c r="Q489" s="7"/>
      <c r="R489" s="64"/>
      <c r="S489" s="64"/>
      <c r="T489" s="64"/>
      <c r="U489" s="64"/>
      <c r="V489" s="64"/>
      <c r="W489" s="64"/>
    </row>
    <row r="490" spans="1:23" ht="30" customHeight="1">
      <c r="A490" s="8"/>
      <c r="B490" s="7"/>
      <c r="C490" s="33"/>
      <c r="D490" s="7"/>
      <c r="E490" s="7"/>
      <c r="F490" s="7"/>
      <c r="G490" s="7"/>
      <c r="H490" s="7"/>
      <c r="I490" s="7"/>
      <c r="J490" s="7"/>
      <c r="K490" s="7"/>
      <c r="L490" s="7"/>
      <c r="M490" s="7"/>
      <c r="N490" s="7"/>
      <c r="O490" s="7"/>
      <c r="P490" s="7"/>
      <c r="Q490" s="7"/>
      <c r="R490" s="64"/>
      <c r="S490" s="64"/>
      <c r="T490" s="64"/>
      <c r="U490" s="64"/>
      <c r="V490" s="64"/>
      <c r="W490" s="64"/>
    </row>
    <row r="491" spans="1:23" ht="30" customHeight="1">
      <c r="A491" s="8"/>
      <c r="B491" s="7"/>
      <c r="C491" s="33"/>
      <c r="D491" s="7"/>
      <c r="E491" s="7"/>
      <c r="F491" s="7"/>
      <c r="G491" s="7"/>
      <c r="H491" s="7"/>
      <c r="I491" s="7"/>
      <c r="J491" s="7"/>
      <c r="K491" s="7"/>
      <c r="L491" s="7"/>
      <c r="M491" s="7"/>
      <c r="N491" s="7"/>
      <c r="O491" s="7"/>
      <c r="P491" s="7"/>
      <c r="Q491" s="7"/>
      <c r="R491" s="64"/>
      <c r="S491" s="64"/>
      <c r="T491" s="64"/>
      <c r="U491" s="64"/>
      <c r="V491" s="64"/>
      <c r="W491" s="64"/>
    </row>
    <row r="492" spans="1:23" ht="30" customHeight="1">
      <c r="A492" s="8"/>
      <c r="B492" s="7"/>
      <c r="C492" s="33"/>
      <c r="D492" s="7"/>
      <c r="E492" s="7"/>
      <c r="F492" s="7"/>
      <c r="G492" s="7"/>
      <c r="H492" s="7"/>
      <c r="I492" s="7"/>
      <c r="J492" s="7"/>
      <c r="K492" s="7"/>
      <c r="L492" s="7"/>
      <c r="M492" s="7"/>
      <c r="N492" s="7"/>
      <c r="O492" s="7"/>
      <c r="P492" s="7"/>
      <c r="Q492" s="7"/>
      <c r="R492" s="64"/>
      <c r="S492" s="64"/>
      <c r="T492" s="64"/>
      <c r="U492" s="64"/>
      <c r="V492" s="64"/>
      <c r="W492" s="64"/>
    </row>
    <row r="493" spans="1:23" ht="30" customHeight="1">
      <c r="A493" s="8"/>
      <c r="B493" s="7"/>
      <c r="C493" s="33"/>
      <c r="D493" s="7"/>
      <c r="E493" s="7"/>
      <c r="F493" s="7"/>
      <c r="G493" s="7"/>
      <c r="H493" s="7"/>
      <c r="I493" s="7"/>
      <c r="J493" s="7"/>
      <c r="K493" s="7"/>
      <c r="L493" s="7"/>
      <c r="M493" s="7"/>
      <c r="N493" s="7"/>
      <c r="O493" s="7"/>
      <c r="P493" s="7"/>
      <c r="Q493" s="7"/>
      <c r="R493" s="64"/>
      <c r="S493" s="64"/>
      <c r="T493" s="64"/>
      <c r="U493" s="64"/>
      <c r="V493" s="64"/>
      <c r="W493" s="64"/>
    </row>
    <row r="494" spans="1:23" ht="30" customHeight="1">
      <c r="A494" s="8"/>
      <c r="B494" s="7"/>
      <c r="C494" s="33"/>
      <c r="D494" s="7"/>
      <c r="E494" s="7"/>
      <c r="F494" s="7"/>
      <c r="G494" s="7"/>
      <c r="H494" s="7"/>
      <c r="I494" s="7"/>
      <c r="J494" s="7"/>
      <c r="K494" s="7"/>
      <c r="L494" s="7"/>
      <c r="M494" s="7"/>
      <c r="N494" s="7"/>
      <c r="O494" s="7"/>
      <c r="P494" s="7"/>
      <c r="Q494" s="7"/>
      <c r="R494" s="64"/>
      <c r="S494" s="64"/>
      <c r="T494" s="64"/>
      <c r="U494" s="64"/>
      <c r="V494" s="64"/>
      <c r="W494" s="64"/>
    </row>
    <row r="495" spans="1:23" ht="30" customHeight="1">
      <c r="A495" s="8"/>
      <c r="B495" s="7"/>
      <c r="C495" s="33"/>
      <c r="D495" s="7"/>
      <c r="E495" s="7"/>
      <c r="F495" s="7"/>
      <c r="G495" s="7"/>
      <c r="H495" s="7"/>
      <c r="I495" s="7"/>
      <c r="J495" s="7"/>
      <c r="K495" s="7"/>
      <c r="L495" s="7"/>
      <c r="M495" s="7"/>
      <c r="N495" s="7"/>
      <c r="O495" s="7"/>
      <c r="P495" s="7"/>
      <c r="Q495" s="7"/>
      <c r="R495" s="64"/>
      <c r="S495" s="64"/>
      <c r="T495" s="64"/>
      <c r="U495" s="64"/>
      <c r="V495" s="64"/>
      <c r="W495" s="64"/>
    </row>
    <row r="496" spans="1:23" ht="30" customHeight="1">
      <c r="A496" s="8"/>
      <c r="B496" s="7"/>
      <c r="C496" s="33"/>
      <c r="D496" s="7"/>
      <c r="E496" s="7"/>
      <c r="F496" s="7"/>
      <c r="G496" s="7"/>
      <c r="H496" s="7"/>
      <c r="I496" s="7"/>
      <c r="J496" s="7"/>
      <c r="K496" s="7"/>
      <c r="L496" s="7"/>
      <c r="M496" s="7"/>
      <c r="N496" s="7"/>
      <c r="O496" s="7"/>
      <c r="P496" s="7"/>
      <c r="Q496" s="7"/>
      <c r="R496" s="64"/>
      <c r="S496" s="64"/>
      <c r="T496" s="64"/>
      <c r="U496" s="64"/>
      <c r="V496" s="64"/>
      <c r="W496" s="64"/>
    </row>
    <row r="497" spans="1:23" ht="30" customHeight="1">
      <c r="A497" s="8"/>
      <c r="B497" s="7"/>
      <c r="C497" s="33"/>
      <c r="D497" s="7"/>
      <c r="E497" s="7"/>
      <c r="F497" s="7"/>
      <c r="G497" s="7"/>
      <c r="H497" s="7"/>
      <c r="I497" s="7"/>
      <c r="J497" s="7"/>
      <c r="K497" s="7"/>
      <c r="L497" s="7"/>
      <c r="M497" s="7"/>
      <c r="N497" s="7"/>
      <c r="O497" s="7"/>
      <c r="P497" s="7"/>
      <c r="Q497" s="7"/>
      <c r="R497" s="64"/>
      <c r="S497" s="64"/>
      <c r="T497" s="64"/>
      <c r="U497" s="64"/>
      <c r="V497" s="64"/>
      <c r="W497" s="64"/>
    </row>
    <row r="498" spans="1:23" ht="30" customHeight="1">
      <c r="A498" s="8"/>
      <c r="B498" s="7"/>
      <c r="C498" s="33"/>
      <c r="D498" s="7"/>
      <c r="E498" s="7"/>
      <c r="F498" s="7"/>
      <c r="G498" s="7"/>
      <c r="H498" s="7"/>
      <c r="I498" s="7"/>
      <c r="J498" s="7"/>
      <c r="K498" s="7"/>
      <c r="L498" s="7"/>
      <c r="M498" s="7"/>
      <c r="N498" s="7"/>
      <c r="O498" s="7"/>
      <c r="P498" s="7"/>
      <c r="Q498" s="7"/>
      <c r="R498" s="64"/>
      <c r="S498" s="64"/>
      <c r="T498" s="64"/>
      <c r="U498" s="64"/>
      <c r="V498" s="64"/>
      <c r="W498" s="64"/>
    </row>
    <row r="499" spans="1:23" ht="30" customHeight="1">
      <c r="A499" s="8"/>
      <c r="B499" s="7"/>
      <c r="C499" s="33"/>
      <c r="D499" s="7"/>
      <c r="E499" s="7"/>
      <c r="F499" s="7"/>
      <c r="G499" s="7"/>
      <c r="H499" s="7"/>
      <c r="I499" s="7"/>
      <c r="J499" s="7"/>
      <c r="K499" s="7"/>
      <c r="L499" s="7"/>
      <c r="M499" s="7"/>
      <c r="N499" s="7"/>
      <c r="O499" s="7"/>
      <c r="P499" s="7"/>
      <c r="Q499" s="7"/>
      <c r="R499" s="64"/>
      <c r="S499" s="64"/>
      <c r="T499" s="64"/>
      <c r="U499" s="64"/>
      <c r="V499" s="64"/>
      <c r="W499" s="64"/>
    </row>
    <row r="500" spans="1:23" ht="30" customHeight="1">
      <c r="A500" s="8"/>
      <c r="B500" s="7"/>
      <c r="C500" s="33"/>
      <c r="D500" s="7"/>
      <c r="E500" s="7"/>
      <c r="F500" s="7"/>
      <c r="G500" s="7"/>
      <c r="H500" s="7"/>
      <c r="I500" s="7"/>
      <c r="J500" s="7"/>
      <c r="K500" s="7"/>
      <c r="L500" s="7"/>
      <c r="M500" s="7"/>
      <c r="N500" s="7"/>
      <c r="O500" s="7"/>
      <c r="P500" s="7"/>
      <c r="Q500" s="7"/>
      <c r="R500" s="64"/>
      <c r="S500" s="64"/>
      <c r="T500" s="64"/>
      <c r="U500" s="64"/>
      <c r="V500" s="64"/>
      <c r="W500" s="64"/>
    </row>
    <row r="501" spans="1:23" ht="30" customHeight="1">
      <c r="A501" s="8"/>
      <c r="B501" s="7"/>
      <c r="C501" s="33"/>
      <c r="D501" s="7"/>
      <c r="E501" s="7"/>
      <c r="F501" s="7"/>
      <c r="G501" s="7"/>
      <c r="H501" s="7"/>
      <c r="I501" s="7"/>
      <c r="J501" s="7"/>
      <c r="K501" s="7"/>
      <c r="L501" s="7"/>
      <c r="M501" s="7"/>
      <c r="N501" s="7"/>
      <c r="O501" s="7"/>
      <c r="P501" s="7"/>
      <c r="Q501" s="7"/>
      <c r="R501" s="64"/>
      <c r="S501" s="64"/>
      <c r="T501" s="64"/>
      <c r="U501" s="64"/>
      <c r="V501" s="64"/>
      <c r="W501" s="64"/>
    </row>
    <row r="502" spans="1:23" ht="30" customHeight="1">
      <c r="A502" s="8"/>
      <c r="B502" s="7"/>
      <c r="C502" s="33"/>
      <c r="D502" s="7"/>
      <c r="E502" s="7"/>
      <c r="F502" s="7"/>
      <c r="G502" s="7"/>
      <c r="H502" s="7"/>
      <c r="I502" s="7"/>
      <c r="J502" s="7"/>
      <c r="K502" s="7"/>
      <c r="L502" s="7"/>
      <c r="M502" s="7"/>
      <c r="N502" s="7"/>
      <c r="O502" s="7"/>
      <c r="P502" s="7"/>
      <c r="Q502" s="7"/>
      <c r="R502" s="64"/>
      <c r="S502" s="64"/>
      <c r="T502" s="64"/>
      <c r="U502" s="64"/>
      <c r="V502" s="64"/>
      <c r="W502" s="64"/>
    </row>
    <row r="503" spans="1:23" ht="30" customHeight="1">
      <c r="A503" s="8"/>
      <c r="B503" s="7"/>
      <c r="C503" s="33"/>
      <c r="D503" s="7"/>
      <c r="E503" s="7"/>
      <c r="F503" s="7"/>
      <c r="G503" s="7"/>
      <c r="H503" s="7"/>
      <c r="I503" s="7"/>
      <c r="J503" s="7"/>
      <c r="K503" s="7"/>
      <c r="L503" s="7"/>
      <c r="M503" s="7"/>
      <c r="N503" s="7"/>
      <c r="O503" s="7"/>
      <c r="P503" s="7"/>
      <c r="Q503" s="7"/>
      <c r="R503" s="64"/>
      <c r="S503" s="64"/>
      <c r="T503" s="64"/>
      <c r="U503" s="64"/>
      <c r="V503" s="64"/>
      <c r="W503" s="64"/>
    </row>
    <row r="504" spans="1:23" ht="30" customHeight="1">
      <c r="A504" s="8"/>
      <c r="B504" s="7"/>
      <c r="C504" s="33"/>
      <c r="D504" s="7"/>
      <c r="E504" s="7"/>
      <c r="F504" s="7"/>
      <c r="G504" s="7"/>
      <c r="H504" s="7"/>
      <c r="I504" s="7"/>
      <c r="J504" s="7"/>
      <c r="K504" s="7"/>
      <c r="L504" s="7"/>
      <c r="M504" s="7"/>
      <c r="N504" s="7"/>
      <c r="O504" s="7"/>
      <c r="P504" s="7"/>
      <c r="Q504" s="7"/>
      <c r="R504" s="64"/>
      <c r="S504" s="64"/>
      <c r="T504" s="64"/>
      <c r="U504" s="64"/>
      <c r="V504" s="64"/>
      <c r="W504" s="64"/>
    </row>
    <row r="505" spans="1:23" ht="30" customHeight="1">
      <c r="A505" s="8"/>
      <c r="B505" s="7"/>
      <c r="C505" s="33"/>
      <c r="D505" s="7"/>
      <c r="E505" s="7"/>
      <c r="F505" s="7"/>
      <c r="G505" s="7"/>
      <c r="H505" s="7"/>
      <c r="I505" s="7"/>
      <c r="J505" s="7"/>
      <c r="K505" s="7"/>
      <c r="L505" s="7"/>
      <c r="M505" s="7"/>
      <c r="N505" s="7"/>
      <c r="O505" s="7"/>
      <c r="P505" s="7"/>
      <c r="Q505" s="7"/>
      <c r="R505" s="64"/>
      <c r="S505" s="64"/>
      <c r="T505" s="64"/>
      <c r="U505" s="64"/>
      <c r="V505" s="64"/>
      <c r="W505" s="64"/>
    </row>
    <row r="506" spans="1:23" ht="30" customHeight="1">
      <c r="A506" s="8"/>
      <c r="B506" s="7"/>
      <c r="C506" s="33"/>
      <c r="D506" s="7"/>
      <c r="E506" s="7"/>
      <c r="F506" s="7"/>
      <c r="G506" s="7"/>
      <c r="H506" s="7"/>
      <c r="I506" s="7"/>
      <c r="J506" s="7"/>
      <c r="K506" s="7"/>
      <c r="L506" s="7"/>
      <c r="M506" s="7"/>
      <c r="N506" s="7"/>
      <c r="O506" s="7"/>
      <c r="P506" s="7"/>
      <c r="Q506" s="7"/>
      <c r="R506" s="64"/>
      <c r="S506" s="64"/>
      <c r="T506" s="64"/>
      <c r="U506" s="64"/>
      <c r="V506" s="64"/>
      <c r="W506" s="64"/>
    </row>
    <row r="507" spans="1:23" ht="30" customHeight="1">
      <c r="A507" s="8"/>
      <c r="B507" s="7"/>
      <c r="C507" s="33"/>
      <c r="D507" s="7"/>
      <c r="E507" s="7"/>
      <c r="F507" s="7"/>
      <c r="G507" s="7"/>
      <c r="H507" s="7"/>
      <c r="I507" s="7"/>
      <c r="J507" s="7"/>
      <c r="K507" s="7"/>
      <c r="L507" s="7"/>
      <c r="M507" s="7"/>
      <c r="N507" s="7"/>
      <c r="O507" s="7"/>
      <c r="P507" s="7"/>
      <c r="Q507" s="7"/>
      <c r="R507" s="64"/>
      <c r="S507" s="64"/>
      <c r="T507" s="64"/>
      <c r="U507" s="64"/>
      <c r="V507" s="64"/>
      <c r="W507" s="64"/>
    </row>
    <row r="508" spans="1:23" ht="30" customHeight="1">
      <c r="A508" s="8"/>
      <c r="B508" s="7"/>
      <c r="C508" s="33"/>
      <c r="D508" s="7"/>
      <c r="E508" s="7"/>
      <c r="F508" s="7"/>
      <c r="G508" s="7"/>
      <c r="H508" s="7"/>
      <c r="I508" s="7"/>
      <c r="J508" s="7"/>
      <c r="K508" s="7"/>
      <c r="L508" s="7"/>
      <c r="M508" s="7"/>
      <c r="N508" s="7"/>
      <c r="O508" s="7"/>
      <c r="P508" s="7"/>
      <c r="Q508" s="7"/>
      <c r="R508" s="64"/>
      <c r="S508" s="64"/>
      <c r="T508" s="64"/>
      <c r="U508" s="64"/>
      <c r="V508" s="64"/>
      <c r="W508" s="64"/>
    </row>
    <row r="509" spans="1:23" ht="30" customHeight="1">
      <c r="A509" s="8"/>
      <c r="B509" s="7"/>
      <c r="C509" s="33"/>
      <c r="D509" s="7"/>
      <c r="E509" s="7"/>
      <c r="F509" s="7"/>
      <c r="G509" s="7"/>
      <c r="H509" s="7"/>
      <c r="I509" s="7"/>
      <c r="J509" s="7"/>
      <c r="K509" s="7"/>
      <c r="L509" s="7"/>
      <c r="M509" s="7"/>
      <c r="N509" s="7"/>
      <c r="O509" s="7"/>
      <c r="P509" s="7"/>
      <c r="Q509" s="7"/>
      <c r="R509" s="64"/>
      <c r="S509" s="64"/>
      <c r="T509" s="64"/>
      <c r="U509" s="64"/>
      <c r="V509" s="64"/>
      <c r="W509" s="64"/>
    </row>
    <row r="510" spans="1:23" ht="30" customHeight="1">
      <c r="A510" s="8"/>
      <c r="B510" s="7"/>
      <c r="C510" s="33"/>
      <c r="D510" s="7"/>
      <c r="E510" s="7"/>
      <c r="F510" s="7"/>
      <c r="G510" s="7"/>
      <c r="H510" s="7"/>
      <c r="I510" s="7"/>
      <c r="J510" s="7"/>
      <c r="K510" s="7"/>
      <c r="L510" s="7"/>
      <c r="M510" s="7"/>
      <c r="N510" s="7"/>
      <c r="O510" s="7"/>
      <c r="P510" s="7"/>
      <c r="Q510" s="7"/>
      <c r="R510" s="64"/>
      <c r="S510" s="64"/>
      <c r="T510" s="64"/>
      <c r="U510" s="64"/>
      <c r="V510" s="64"/>
      <c r="W510" s="64"/>
    </row>
    <row r="511" spans="1:23" ht="30" customHeight="1">
      <c r="A511" s="8"/>
      <c r="B511" s="7"/>
      <c r="C511" s="33"/>
      <c r="D511" s="7"/>
      <c r="E511" s="7"/>
      <c r="F511" s="7"/>
      <c r="G511" s="7"/>
      <c r="H511" s="7"/>
      <c r="I511" s="7"/>
      <c r="J511" s="7"/>
      <c r="K511" s="7"/>
      <c r="L511" s="7"/>
      <c r="M511" s="7"/>
      <c r="N511" s="7"/>
      <c r="O511" s="7"/>
      <c r="P511" s="7"/>
      <c r="Q511" s="7"/>
      <c r="R511" s="64"/>
      <c r="S511" s="64"/>
      <c r="T511" s="64"/>
      <c r="U511" s="64"/>
      <c r="V511" s="64"/>
      <c r="W511" s="64"/>
    </row>
    <row r="512" spans="1:23" ht="30" customHeight="1">
      <c r="A512" s="8"/>
      <c r="B512" s="7"/>
      <c r="C512" s="33"/>
      <c r="D512" s="7"/>
      <c r="E512" s="7"/>
      <c r="F512" s="7"/>
      <c r="G512" s="7"/>
      <c r="H512" s="7"/>
      <c r="I512" s="7"/>
      <c r="J512" s="7"/>
      <c r="K512" s="7"/>
      <c r="L512" s="7"/>
      <c r="M512" s="7"/>
      <c r="N512" s="7"/>
      <c r="O512" s="7"/>
      <c r="P512" s="7"/>
      <c r="Q512" s="7"/>
      <c r="R512" s="64"/>
      <c r="S512" s="64"/>
      <c r="T512" s="64"/>
      <c r="U512" s="64"/>
      <c r="V512" s="64"/>
      <c r="W512" s="64"/>
    </row>
    <row r="513" spans="1:23" ht="30" customHeight="1">
      <c r="A513" s="8"/>
      <c r="B513" s="7"/>
      <c r="C513" s="33"/>
      <c r="D513" s="7"/>
      <c r="E513" s="7"/>
      <c r="F513" s="7"/>
      <c r="G513" s="7"/>
      <c r="H513" s="7"/>
      <c r="I513" s="7"/>
      <c r="J513" s="7"/>
      <c r="K513" s="7"/>
      <c r="L513" s="7"/>
      <c r="M513" s="7"/>
      <c r="N513" s="7"/>
      <c r="O513" s="7"/>
      <c r="P513" s="7"/>
      <c r="Q513" s="7"/>
      <c r="R513" s="64"/>
      <c r="S513" s="64"/>
      <c r="T513" s="64"/>
      <c r="U513" s="64"/>
      <c r="V513" s="64"/>
      <c r="W513" s="64"/>
    </row>
    <row r="514" spans="1:23" ht="30" customHeight="1">
      <c r="A514" s="8"/>
      <c r="B514" s="7"/>
      <c r="C514" s="33"/>
      <c r="D514" s="7"/>
      <c r="E514" s="7"/>
      <c r="F514" s="7"/>
      <c r="G514" s="7"/>
      <c r="H514" s="7"/>
      <c r="I514" s="7"/>
      <c r="J514" s="7"/>
      <c r="K514" s="7"/>
      <c r="L514" s="7"/>
      <c r="M514" s="7"/>
      <c r="N514" s="7"/>
      <c r="O514" s="7"/>
      <c r="P514" s="7"/>
      <c r="Q514" s="7"/>
      <c r="R514" s="64"/>
      <c r="S514" s="64"/>
      <c r="T514" s="64"/>
      <c r="U514" s="64"/>
      <c r="V514" s="64"/>
      <c r="W514" s="64"/>
    </row>
    <row r="515" spans="1:23" ht="30" customHeight="1">
      <c r="A515" s="8"/>
      <c r="B515" s="7"/>
      <c r="C515" s="33"/>
      <c r="D515" s="7"/>
      <c r="E515" s="7"/>
      <c r="F515" s="7"/>
      <c r="G515" s="7"/>
      <c r="H515" s="7"/>
      <c r="I515" s="7"/>
      <c r="J515" s="7"/>
      <c r="K515" s="7"/>
      <c r="L515" s="7"/>
      <c r="M515" s="7"/>
      <c r="N515" s="7"/>
      <c r="O515" s="7"/>
      <c r="P515" s="7"/>
      <c r="Q515" s="7"/>
      <c r="R515" s="64"/>
      <c r="S515" s="64"/>
      <c r="T515" s="64"/>
      <c r="U515" s="64"/>
      <c r="V515" s="64"/>
      <c r="W515" s="64"/>
    </row>
    <row r="516" spans="1:23" ht="30" customHeight="1">
      <c r="A516" s="8"/>
      <c r="B516" s="7"/>
      <c r="C516" s="33"/>
      <c r="D516" s="7"/>
      <c r="E516" s="7"/>
      <c r="F516" s="7"/>
      <c r="G516" s="7"/>
      <c r="H516" s="7"/>
      <c r="I516" s="7"/>
      <c r="J516" s="7"/>
      <c r="K516" s="7"/>
      <c r="L516" s="7"/>
      <c r="M516" s="7"/>
      <c r="N516" s="7"/>
      <c r="O516" s="7"/>
      <c r="P516" s="7"/>
      <c r="Q516" s="7"/>
      <c r="R516" s="64"/>
      <c r="S516" s="64"/>
      <c r="T516" s="64"/>
      <c r="U516" s="64"/>
      <c r="V516" s="64"/>
      <c r="W516" s="64"/>
    </row>
    <row r="517" spans="1:23" ht="30" customHeight="1">
      <c r="A517" s="8"/>
      <c r="B517" s="7"/>
      <c r="C517" s="33"/>
      <c r="D517" s="7"/>
      <c r="E517" s="7"/>
      <c r="F517" s="7"/>
      <c r="G517" s="7"/>
      <c r="H517" s="7"/>
      <c r="I517" s="7"/>
      <c r="J517" s="7"/>
      <c r="K517" s="7"/>
      <c r="L517" s="7"/>
      <c r="M517" s="7"/>
      <c r="N517" s="7"/>
      <c r="O517" s="7"/>
      <c r="P517" s="7"/>
      <c r="Q517" s="7"/>
      <c r="R517" s="64"/>
      <c r="S517" s="64"/>
      <c r="T517" s="64"/>
      <c r="U517" s="64"/>
      <c r="V517" s="64"/>
      <c r="W517" s="64"/>
    </row>
    <row r="518" spans="1:23" ht="30" customHeight="1">
      <c r="A518" s="8"/>
      <c r="B518" s="7"/>
      <c r="C518" s="33"/>
      <c r="D518" s="7"/>
      <c r="E518" s="7"/>
      <c r="F518" s="7"/>
      <c r="G518" s="7"/>
      <c r="H518" s="7"/>
      <c r="I518" s="7"/>
      <c r="J518" s="7"/>
      <c r="K518" s="7"/>
      <c r="L518" s="7"/>
      <c r="M518" s="7"/>
      <c r="N518" s="7"/>
      <c r="O518" s="7"/>
      <c r="P518" s="7"/>
      <c r="Q518" s="7"/>
      <c r="R518" s="64"/>
      <c r="S518" s="64"/>
      <c r="T518" s="64"/>
      <c r="U518" s="64"/>
      <c r="V518" s="64"/>
      <c r="W518" s="64"/>
    </row>
    <row r="519" spans="1:23" ht="30" customHeight="1">
      <c r="A519" s="8"/>
      <c r="B519" s="7"/>
      <c r="C519" s="33"/>
      <c r="D519" s="7"/>
      <c r="E519" s="7"/>
      <c r="F519" s="7"/>
      <c r="G519" s="7"/>
      <c r="H519" s="7"/>
      <c r="I519" s="7"/>
      <c r="J519" s="7"/>
      <c r="K519" s="7"/>
      <c r="L519" s="7"/>
      <c r="M519" s="7"/>
      <c r="N519" s="7"/>
      <c r="O519" s="7"/>
      <c r="P519" s="7"/>
      <c r="Q519" s="7"/>
      <c r="R519" s="64"/>
      <c r="S519" s="64"/>
      <c r="T519" s="64"/>
      <c r="U519" s="64"/>
      <c r="V519" s="64"/>
      <c r="W519" s="64"/>
    </row>
    <row r="520" spans="1:23" ht="30" customHeight="1">
      <c r="A520" s="8"/>
      <c r="B520" s="7"/>
      <c r="C520" s="33"/>
      <c r="D520" s="7"/>
      <c r="E520" s="7"/>
      <c r="F520" s="7"/>
      <c r="G520" s="7"/>
      <c r="H520" s="7"/>
      <c r="I520" s="7"/>
      <c r="J520" s="7"/>
      <c r="K520" s="7"/>
      <c r="L520" s="7"/>
      <c r="M520" s="7"/>
      <c r="N520" s="7"/>
      <c r="O520" s="7"/>
      <c r="P520" s="7"/>
      <c r="Q520" s="7"/>
      <c r="R520" s="64"/>
      <c r="S520" s="64"/>
      <c r="T520" s="64"/>
      <c r="U520" s="64"/>
      <c r="V520" s="64"/>
      <c r="W520" s="64"/>
    </row>
    <row r="521" spans="1:23" ht="30" customHeight="1">
      <c r="A521" s="8"/>
      <c r="B521" s="7"/>
      <c r="C521" s="33"/>
      <c r="D521" s="7"/>
      <c r="E521" s="7"/>
      <c r="F521" s="7"/>
      <c r="G521" s="7"/>
      <c r="H521" s="7"/>
      <c r="I521" s="7"/>
      <c r="J521" s="7"/>
      <c r="K521" s="7"/>
      <c r="L521" s="7"/>
      <c r="M521" s="7"/>
      <c r="N521" s="7"/>
      <c r="O521" s="7"/>
      <c r="P521" s="7"/>
      <c r="Q521" s="7"/>
      <c r="R521" s="64"/>
      <c r="S521" s="64"/>
      <c r="T521" s="64"/>
      <c r="U521" s="64"/>
      <c r="V521" s="64"/>
      <c r="W521" s="64"/>
    </row>
    <row r="522" spans="1:23" ht="30" customHeight="1">
      <c r="A522" s="8"/>
      <c r="B522" s="7"/>
      <c r="C522" s="33"/>
      <c r="D522" s="7"/>
      <c r="E522" s="7"/>
      <c r="F522" s="7"/>
      <c r="G522" s="7"/>
      <c r="H522" s="7"/>
      <c r="I522" s="7"/>
      <c r="J522" s="7"/>
      <c r="K522" s="7"/>
      <c r="L522" s="7"/>
      <c r="M522" s="7"/>
      <c r="N522" s="7"/>
      <c r="O522" s="7"/>
      <c r="P522" s="7"/>
      <c r="Q522" s="7"/>
      <c r="R522" s="64"/>
      <c r="S522" s="64"/>
      <c r="T522" s="64"/>
      <c r="U522" s="64"/>
      <c r="V522" s="64"/>
      <c r="W522" s="64"/>
    </row>
    <row r="523" spans="1:23" ht="30" customHeight="1">
      <c r="A523" s="8"/>
      <c r="B523" s="7"/>
      <c r="C523" s="33"/>
      <c r="D523" s="7"/>
      <c r="E523" s="7"/>
      <c r="F523" s="7"/>
      <c r="G523" s="7"/>
      <c r="H523" s="7"/>
      <c r="I523" s="7"/>
      <c r="J523" s="7"/>
      <c r="K523" s="7"/>
      <c r="L523" s="7"/>
      <c r="M523" s="7"/>
      <c r="N523" s="7"/>
      <c r="O523" s="7"/>
      <c r="P523" s="7"/>
      <c r="Q523" s="7"/>
      <c r="R523" s="64"/>
      <c r="S523" s="64"/>
      <c r="T523" s="64"/>
      <c r="U523" s="64"/>
      <c r="V523" s="64"/>
      <c r="W523" s="64"/>
    </row>
    <row r="524" spans="1:23" ht="30" customHeight="1">
      <c r="A524" s="8"/>
      <c r="B524" s="7"/>
      <c r="C524" s="33"/>
      <c r="D524" s="7"/>
      <c r="E524" s="7"/>
      <c r="F524" s="7"/>
      <c r="G524" s="7"/>
      <c r="H524" s="7"/>
      <c r="I524" s="7"/>
      <c r="J524" s="7"/>
      <c r="K524" s="7"/>
      <c r="L524" s="7"/>
      <c r="M524" s="7"/>
      <c r="N524" s="7"/>
      <c r="O524" s="7"/>
      <c r="P524" s="7"/>
      <c r="Q524" s="7"/>
      <c r="R524" s="64"/>
      <c r="S524" s="64"/>
      <c r="T524" s="64"/>
      <c r="U524" s="64"/>
      <c r="V524" s="64"/>
      <c r="W524" s="64"/>
    </row>
    <row r="525" spans="1:23" ht="30" customHeight="1">
      <c r="A525" s="8"/>
      <c r="B525" s="7"/>
      <c r="C525" s="33"/>
      <c r="D525" s="7"/>
      <c r="E525" s="7"/>
      <c r="F525" s="7"/>
      <c r="G525" s="7"/>
      <c r="H525" s="7"/>
      <c r="I525" s="7"/>
      <c r="J525" s="7"/>
      <c r="K525" s="7"/>
      <c r="L525" s="7"/>
      <c r="M525" s="7"/>
      <c r="N525" s="7"/>
      <c r="O525" s="7"/>
      <c r="P525" s="7"/>
      <c r="Q525" s="7"/>
      <c r="R525" s="64"/>
      <c r="S525" s="64"/>
      <c r="T525" s="64"/>
      <c r="U525" s="64"/>
      <c r="V525" s="64"/>
      <c r="W525" s="64"/>
    </row>
    <row r="526" spans="1:23" ht="30" customHeight="1">
      <c r="A526" s="8"/>
      <c r="B526" s="7"/>
      <c r="C526" s="33"/>
      <c r="D526" s="7"/>
      <c r="E526" s="7"/>
      <c r="F526" s="7"/>
      <c r="G526" s="7"/>
      <c r="H526" s="7"/>
      <c r="I526" s="7"/>
      <c r="J526" s="7"/>
      <c r="K526" s="7"/>
      <c r="L526" s="7"/>
      <c r="M526" s="7"/>
      <c r="N526" s="7"/>
      <c r="O526" s="7"/>
      <c r="P526" s="7"/>
      <c r="Q526" s="7"/>
      <c r="R526" s="64"/>
      <c r="S526" s="64"/>
      <c r="T526" s="64"/>
      <c r="U526" s="64"/>
      <c r="V526" s="64"/>
      <c r="W526" s="64"/>
    </row>
    <row r="527" spans="1:23" ht="30" customHeight="1">
      <c r="A527" s="8"/>
      <c r="B527" s="7"/>
      <c r="C527" s="33"/>
      <c r="D527" s="7"/>
      <c r="E527" s="7"/>
      <c r="F527" s="7"/>
      <c r="G527" s="7"/>
      <c r="H527" s="7"/>
      <c r="I527" s="7"/>
      <c r="J527" s="7"/>
      <c r="K527" s="7"/>
      <c r="L527" s="7"/>
      <c r="M527" s="7"/>
      <c r="N527" s="7"/>
      <c r="O527" s="7"/>
      <c r="P527" s="7"/>
      <c r="Q527" s="7"/>
      <c r="R527" s="64"/>
      <c r="S527" s="64"/>
      <c r="T527" s="64"/>
      <c r="U527" s="64"/>
      <c r="V527" s="64"/>
      <c r="W527" s="64"/>
    </row>
    <row r="528" spans="1:23" ht="30" customHeight="1">
      <c r="A528" s="8"/>
      <c r="B528" s="7"/>
      <c r="C528" s="33"/>
      <c r="D528" s="7"/>
      <c r="E528" s="7"/>
      <c r="F528" s="7"/>
      <c r="G528" s="7"/>
      <c r="H528" s="7"/>
      <c r="I528" s="7"/>
      <c r="J528" s="7"/>
      <c r="K528" s="7"/>
      <c r="L528" s="7"/>
      <c r="M528" s="7"/>
      <c r="N528" s="7"/>
      <c r="O528" s="7"/>
      <c r="P528" s="7"/>
      <c r="Q528" s="7"/>
      <c r="R528" s="64"/>
      <c r="S528" s="64"/>
      <c r="T528" s="64"/>
      <c r="U528" s="64"/>
      <c r="V528" s="64"/>
      <c r="W528" s="64"/>
    </row>
    <row r="529" spans="1:23" ht="30" customHeight="1">
      <c r="A529" s="8"/>
      <c r="B529" s="7"/>
      <c r="C529" s="33"/>
      <c r="D529" s="7"/>
      <c r="E529" s="7"/>
      <c r="F529" s="7"/>
      <c r="G529" s="7"/>
      <c r="H529" s="7"/>
      <c r="I529" s="7"/>
      <c r="J529" s="7"/>
      <c r="K529" s="7"/>
      <c r="L529" s="7"/>
      <c r="M529" s="7"/>
      <c r="N529" s="7"/>
      <c r="O529" s="7"/>
      <c r="P529" s="7"/>
      <c r="Q529" s="7"/>
      <c r="R529" s="64"/>
      <c r="S529" s="64"/>
      <c r="T529" s="64"/>
      <c r="U529" s="64"/>
      <c r="V529" s="64"/>
      <c r="W529" s="64"/>
    </row>
    <row r="530" spans="1:23" ht="30" customHeight="1">
      <c r="A530" s="8"/>
      <c r="B530" s="7"/>
      <c r="C530" s="33"/>
      <c r="D530" s="7"/>
      <c r="E530" s="7"/>
      <c r="F530" s="7"/>
      <c r="G530" s="7"/>
      <c r="H530" s="7"/>
      <c r="I530" s="7"/>
      <c r="J530" s="7"/>
      <c r="K530" s="7"/>
      <c r="L530" s="7"/>
      <c r="M530" s="7"/>
      <c r="N530" s="7"/>
      <c r="O530" s="7"/>
      <c r="P530" s="7"/>
      <c r="Q530" s="7"/>
      <c r="R530" s="64"/>
      <c r="S530" s="64"/>
      <c r="T530" s="64"/>
      <c r="U530" s="64"/>
      <c r="V530" s="64"/>
      <c r="W530" s="64"/>
    </row>
    <row r="531" spans="1:23" ht="30" customHeight="1">
      <c r="A531" s="8"/>
      <c r="B531" s="7"/>
      <c r="C531" s="33"/>
      <c r="D531" s="7"/>
      <c r="E531" s="7"/>
      <c r="F531" s="7"/>
      <c r="G531" s="7"/>
      <c r="H531" s="7"/>
      <c r="I531" s="7"/>
      <c r="J531" s="7"/>
      <c r="K531" s="7"/>
      <c r="L531" s="7"/>
      <c r="M531" s="7"/>
      <c r="N531" s="7"/>
      <c r="O531" s="7"/>
      <c r="P531" s="7"/>
      <c r="Q531" s="7"/>
      <c r="R531" s="64"/>
      <c r="S531" s="64"/>
      <c r="T531" s="64"/>
      <c r="U531" s="64"/>
      <c r="V531" s="64"/>
      <c r="W531" s="64"/>
    </row>
    <row r="532" spans="1:23" ht="30" customHeight="1">
      <c r="A532" s="8"/>
      <c r="B532" s="7"/>
      <c r="C532" s="33"/>
      <c r="D532" s="7"/>
      <c r="E532" s="7"/>
      <c r="F532" s="7"/>
      <c r="G532" s="7"/>
      <c r="H532" s="7"/>
      <c r="I532" s="7"/>
      <c r="J532" s="7"/>
      <c r="K532" s="7"/>
      <c r="L532" s="7"/>
      <c r="M532" s="7"/>
      <c r="N532" s="7"/>
      <c r="O532" s="7"/>
      <c r="P532" s="7"/>
      <c r="Q532" s="7"/>
      <c r="R532" s="64"/>
      <c r="S532" s="64"/>
      <c r="T532" s="64"/>
      <c r="U532" s="64"/>
      <c r="V532" s="64"/>
      <c r="W532" s="64"/>
    </row>
    <row r="533" spans="1:23" ht="30" customHeight="1">
      <c r="A533" s="8"/>
      <c r="B533" s="7"/>
      <c r="C533" s="33"/>
      <c r="D533" s="7"/>
      <c r="E533" s="7"/>
      <c r="F533" s="7"/>
      <c r="G533" s="7"/>
      <c r="H533" s="7"/>
      <c r="I533" s="7"/>
      <c r="J533" s="7"/>
      <c r="K533" s="7"/>
      <c r="L533" s="7"/>
      <c r="M533" s="7"/>
      <c r="N533" s="7"/>
      <c r="O533" s="7"/>
      <c r="P533" s="7"/>
      <c r="Q533" s="7"/>
      <c r="R533" s="64"/>
      <c r="S533" s="64"/>
      <c r="T533" s="64"/>
      <c r="U533" s="64"/>
      <c r="V533" s="64"/>
      <c r="W533" s="64"/>
    </row>
    <row r="534" spans="1:23" ht="30" customHeight="1">
      <c r="A534" s="8"/>
      <c r="B534" s="7"/>
      <c r="C534" s="33"/>
      <c r="D534" s="7"/>
      <c r="E534" s="7"/>
      <c r="F534" s="7"/>
      <c r="G534" s="7"/>
      <c r="H534" s="7"/>
      <c r="I534" s="7"/>
      <c r="J534" s="7"/>
      <c r="K534" s="7"/>
      <c r="L534" s="7"/>
      <c r="M534" s="7"/>
      <c r="N534" s="7"/>
      <c r="O534" s="7"/>
      <c r="P534" s="7"/>
      <c r="Q534" s="7"/>
      <c r="R534" s="64"/>
      <c r="S534" s="64"/>
      <c r="T534" s="64"/>
      <c r="U534" s="64"/>
      <c r="V534" s="64"/>
      <c r="W534" s="64"/>
    </row>
    <row r="535" spans="1:23" ht="30" customHeight="1">
      <c r="A535" s="8"/>
      <c r="B535" s="7"/>
      <c r="C535" s="33"/>
      <c r="D535" s="7"/>
      <c r="E535" s="7"/>
      <c r="F535" s="7"/>
      <c r="G535" s="7"/>
      <c r="H535" s="7"/>
      <c r="I535" s="7"/>
      <c r="J535" s="7"/>
      <c r="K535" s="7"/>
      <c r="L535" s="7"/>
      <c r="M535" s="7"/>
      <c r="N535" s="7"/>
      <c r="O535" s="7"/>
      <c r="P535" s="7"/>
      <c r="Q535" s="7"/>
      <c r="R535" s="64"/>
      <c r="S535" s="64"/>
      <c r="T535" s="64"/>
      <c r="U535" s="64"/>
      <c r="V535" s="64"/>
      <c r="W535" s="64"/>
    </row>
    <row r="536" spans="1:23" ht="30" customHeight="1">
      <c r="A536" s="8"/>
      <c r="B536" s="7"/>
      <c r="C536" s="33"/>
      <c r="D536" s="7"/>
      <c r="E536" s="7"/>
      <c r="F536" s="7"/>
      <c r="G536" s="7"/>
      <c r="H536" s="7"/>
      <c r="I536" s="7"/>
      <c r="J536" s="7"/>
      <c r="K536" s="7"/>
      <c r="L536" s="7"/>
      <c r="M536" s="7"/>
      <c r="N536" s="7"/>
      <c r="O536" s="7"/>
      <c r="P536" s="7"/>
      <c r="Q536" s="7"/>
      <c r="R536" s="64"/>
      <c r="S536" s="64"/>
      <c r="T536" s="64"/>
      <c r="U536" s="64"/>
      <c r="V536" s="64"/>
      <c r="W536" s="64"/>
    </row>
    <row r="537" spans="1:23" ht="30" customHeight="1">
      <c r="A537" s="8"/>
      <c r="B537" s="7"/>
      <c r="C537" s="33"/>
      <c r="D537" s="7"/>
      <c r="E537" s="7"/>
      <c r="F537" s="7"/>
      <c r="G537" s="7"/>
      <c r="H537" s="7"/>
      <c r="I537" s="7"/>
      <c r="J537" s="7"/>
      <c r="K537" s="7"/>
      <c r="L537" s="7"/>
      <c r="M537" s="7"/>
      <c r="N537" s="7"/>
      <c r="O537" s="7"/>
      <c r="P537" s="7"/>
      <c r="Q537" s="7"/>
      <c r="R537" s="64"/>
      <c r="S537" s="64"/>
      <c r="T537" s="64"/>
      <c r="U537" s="64"/>
      <c r="V537" s="64"/>
      <c r="W537" s="64"/>
    </row>
    <row r="538" spans="1:23" ht="30" customHeight="1">
      <c r="A538" s="8"/>
      <c r="B538" s="7"/>
      <c r="C538" s="33"/>
      <c r="D538" s="7"/>
      <c r="E538" s="7"/>
      <c r="F538" s="7"/>
      <c r="G538" s="7"/>
      <c r="H538" s="7"/>
      <c r="I538" s="7"/>
      <c r="J538" s="7"/>
      <c r="K538" s="7"/>
      <c r="L538" s="7"/>
      <c r="M538" s="7"/>
      <c r="N538" s="7"/>
      <c r="O538" s="7"/>
      <c r="P538" s="7"/>
      <c r="Q538" s="7"/>
      <c r="R538" s="64"/>
      <c r="S538" s="64"/>
      <c r="T538" s="64"/>
      <c r="U538" s="64"/>
      <c r="V538" s="64"/>
      <c r="W538" s="64"/>
    </row>
    <row r="539" spans="1:23" ht="30" customHeight="1">
      <c r="A539" s="8"/>
      <c r="B539" s="7"/>
      <c r="C539" s="33"/>
      <c r="D539" s="7"/>
      <c r="E539" s="7"/>
      <c r="F539" s="7"/>
      <c r="G539" s="7"/>
      <c r="H539" s="7"/>
      <c r="I539" s="7"/>
      <c r="J539" s="7"/>
      <c r="K539" s="7"/>
      <c r="L539" s="7"/>
      <c r="M539" s="7"/>
      <c r="N539" s="7"/>
      <c r="O539" s="7"/>
      <c r="P539" s="7"/>
      <c r="Q539" s="7"/>
      <c r="R539" s="64"/>
      <c r="S539" s="64"/>
      <c r="T539" s="64"/>
      <c r="U539" s="64"/>
      <c r="V539" s="64"/>
      <c r="W539" s="64"/>
    </row>
    <row r="540" spans="1:23" ht="30" customHeight="1">
      <c r="A540" s="8"/>
      <c r="B540" s="7"/>
      <c r="C540" s="33"/>
      <c r="D540" s="7"/>
      <c r="E540" s="7"/>
      <c r="F540" s="7"/>
      <c r="G540" s="7"/>
      <c r="H540" s="7"/>
      <c r="I540" s="7"/>
      <c r="J540" s="7"/>
      <c r="K540" s="7"/>
      <c r="L540" s="7"/>
      <c r="M540" s="7"/>
      <c r="N540" s="7"/>
      <c r="O540" s="7"/>
      <c r="P540" s="7"/>
      <c r="Q540" s="7"/>
      <c r="R540" s="64"/>
      <c r="S540" s="64"/>
      <c r="T540" s="64"/>
      <c r="U540" s="64"/>
      <c r="V540" s="64"/>
      <c r="W540" s="64"/>
    </row>
    <row r="541" spans="1:23" ht="30" customHeight="1">
      <c r="A541" s="8"/>
      <c r="B541" s="7"/>
      <c r="C541" s="33"/>
      <c r="D541" s="7"/>
      <c r="E541" s="7"/>
      <c r="F541" s="7"/>
      <c r="G541" s="7"/>
      <c r="H541" s="7"/>
      <c r="I541" s="7"/>
      <c r="J541" s="7"/>
      <c r="K541" s="7"/>
      <c r="L541" s="7"/>
      <c r="M541" s="7"/>
      <c r="N541" s="7"/>
      <c r="O541" s="7"/>
      <c r="P541" s="7"/>
      <c r="Q541" s="7"/>
      <c r="R541" s="64"/>
      <c r="S541" s="64"/>
      <c r="T541" s="64"/>
      <c r="U541" s="64"/>
      <c r="V541" s="64"/>
      <c r="W541" s="64"/>
    </row>
    <row r="542" spans="1:23" ht="30" customHeight="1">
      <c r="A542" s="8"/>
      <c r="B542" s="7"/>
      <c r="C542" s="33"/>
      <c r="D542" s="7"/>
      <c r="E542" s="7"/>
      <c r="F542" s="7"/>
      <c r="G542" s="7"/>
      <c r="H542" s="7"/>
      <c r="I542" s="7"/>
      <c r="J542" s="7"/>
      <c r="K542" s="7"/>
      <c r="L542" s="7"/>
      <c r="M542" s="7"/>
      <c r="N542" s="7"/>
      <c r="O542" s="7"/>
      <c r="P542" s="7"/>
      <c r="Q542" s="7"/>
      <c r="R542" s="64"/>
      <c r="S542" s="64"/>
      <c r="T542" s="64"/>
      <c r="U542" s="64"/>
      <c r="V542" s="64"/>
      <c r="W542" s="64"/>
    </row>
    <row r="543" spans="1:23" ht="30" customHeight="1">
      <c r="A543" s="8"/>
      <c r="B543" s="7"/>
      <c r="C543" s="33"/>
      <c r="D543" s="7"/>
      <c r="E543" s="7"/>
      <c r="F543" s="7"/>
      <c r="G543" s="7"/>
      <c r="H543" s="7"/>
      <c r="I543" s="7"/>
      <c r="J543" s="7"/>
      <c r="K543" s="7"/>
      <c r="L543" s="7"/>
      <c r="M543" s="7"/>
      <c r="N543" s="7"/>
      <c r="O543" s="7"/>
      <c r="P543" s="7"/>
      <c r="Q543" s="7"/>
      <c r="R543" s="64"/>
      <c r="S543" s="64"/>
      <c r="T543" s="64"/>
      <c r="U543" s="64"/>
      <c r="V543" s="64"/>
      <c r="W543" s="64"/>
    </row>
    <row r="544" spans="1:23" ht="30" customHeight="1">
      <c r="A544" s="8"/>
      <c r="B544" s="7"/>
      <c r="C544" s="33"/>
      <c r="D544" s="7"/>
      <c r="E544" s="7"/>
      <c r="F544" s="7"/>
      <c r="G544" s="7"/>
      <c r="H544" s="7"/>
      <c r="I544" s="7"/>
      <c r="J544" s="7"/>
      <c r="K544" s="7"/>
      <c r="L544" s="7"/>
      <c r="M544" s="7"/>
      <c r="N544" s="7"/>
      <c r="O544" s="7"/>
      <c r="P544" s="7"/>
      <c r="Q544" s="7"/>
      <c r="R544" s="64"/>
      <c r="S544" s="64"/>
      <c r="T544" s="64"/>
      <c r="U544" s="64"/>
      <c r="V544" s="64"/>
      <c r="W544" s="64"/>
    </row>
    <row r="545" spans="1:23" ht="30" customHeight="1">
      <c r="A545" s="8"/>
      <c r="B545" s="7"/>
      <c r="C545" s="33"/>
      <c r="D545" s="7"/>
      <c r="E545" s="7"/>
      <c r="F545" s="7"/>
      <c r="G545" s="7"/>
      <c r="H545" s="7"/>
      <c r="I545" s="7"/>
      <c r="J545" s="7"/>
      <c r="K545" s="7"/>
      <c r="L545" s="7"/>
      <c r="M545" s="7"/>
      <c r="N545" s="7"/>
      <c r="O545" s="7"/>
      <c r="P545" s="7"/>
      <c r="Q545" s="7"/>
      <c r="R545" s="64"/>
      <c r="S545" s="64"/>
      <c r="T545" s="64"/>
      <c r="U545" s="64"/>
      <c r="V545" s="64"/>
      <c r="W545" s="64"/>
    </row>
    <row r="546" spans="1:23" ht="30" customHeight="1">
      <c r="A546" s="8"/>
      <c r="B546" s="7"/>
      <c r="C546" s="33"/>
      <c r="D546" s="7"/>
      <c r="E546" s="7"/>
      <c r="F546" s="7"/>
      <c r="G546" s="7"/>
      <c r="H546" s="7"/>
      <c r="I546" s="7"/>
      <c r="J546" s="7"/>
      <c r="K546" s="7"/>
      <c r="L546" s="7"/>
      <c r="M546" s="7"/>
      <c r="N546" s="7"/>
      <c r="O546" s="7"/>
      <c r="P546" s="7"/>
      <c r="Q546" s="7"/>
      <c r="R546" s="64"/>
      <c r="S546" s="64"/>
      <c r="T546" s="64"/>
      <c r="U546" s="64"/>
      <c r="V546" s="64"/>
      <c r="W546" s="64"/>
    </row>
    <row r="547" spans="1:23" ht="30" customHeight="1">
      <c r="A547" s="8"/>
      <c r="B547" s="7"/>
      <c r="C547" s="33"/>
      <c r="D547" s="7"/>
      <c r="E547" s="7"/>
      <c r="F547" s="7"/>
      <c r="G547" s="7"/>
      <c r="H547" s="7"/>
      <c r="I547" s="7"/>
      <c r="J547" s="7"/>
      <c r="K547" s="7"/>
      <c r="L547" s="7"/>
      <c r="M547" s="7"/>
      <c r="N547" s="7"/>
      <c r="O547" s="7"/>
      <c r="P547" s="7"/>
      <c r="Q547" s="7"/>
      <c r="R547" s="64"/>
      <c r="S547" s="64"/>
      <c r="T547" s="64"/>
      <c r="U547" s="64"/>
      <c r="V547" s="64"/>
      <c r="W547" s="64"/>
    </row>
    <row r="548" spans="1:23" ht="30" customHeight="1">
      <c r="A548" s="8"/>
      <c r="B548" s="7"/>
      <c r="C548" s="33"/>
      <c r="D548" s="7"/>
      <c r="E548" s="7"/>
      <c r="F548" s="7"/>
      <c r="G548" s="7"/>
      <c r="H548" s="7"/>
      <c r="I548" s="7"/>
      <c r="J548" s="7"/>
      <c r="K548" s="7"/>
      <c r="L548" s="7"/>
      <c r="M548" s="7"/>
      <c r="N548" s="7"/>
      <c r="O548" s="7"/>
      <c r="P548" s="7"/>
      <c r="Q548" s="7"/>
      <c r="R548" s="64"/>
      <c r="S548" s="64"/>
      <c r="T548" s="64"/>
      <c r="U548" s="64"/>
      <c r="V548" s="64"/>
      <c r="W548" s="64"/>
    </row>
    <row r="549" spans="1:23" ht="30" customHeight="1">
      <c r="A549" s="8"/>
      <c r="B549" s="7"/>
      <c r="C549" s="33"/>
      <c r="D549" s="7"/>
      <c r="E549" s="7"/>
      <c r="F549" s="7"/>
      <c r="G549" s="7"/>
      <c r="H549" s="7"/>
      <c r="I549" s="7"/>
      <c r="J549" s="7"/>
      <c r="K549" s="7"/>
      <c r="L549" s="7"/>
      <c r="M549" s="7"/>
      <c r="N549" s="7"/>
      <c r="O549" s="7"/>
      <c r="P549" s="7"/>
      <c r="Q549" s="7"/>
      <c r="R549" s="64"/>
      <c r="S549" s="64"/>
      <c r="T549" s="64"/>
      <c r="U549" s="64"/>
      <c r="V549" s="64"/>
      <c r="W549" s="64"/>
    </row>
    <row r="550" spans="1:23" ht="30" customHeight="1">
      <c r="A550" s="8"/>
      <c r="B550" s="7"/>
      <c r="C550" s="33"/>
      <c r="D550" s="7"/>
      <c r="E550" s="7"/>
      <c r="F550" s="7"/>
      <c r="G550" s="7"/>
      <c r="H550" s="7"/>
      <c r="I550" s="7"/>
      <c r="J550" s="7"/>
      <c r="K550" s="7"/>
      <c r="L550" s="7"/>
      <c r="M550" s="7"/>
      <c r="N550" s="7"/>
      <c r="O550" s="7"/>
      <c r="P550" s="7"/>
      <c r="Q550" s="7"/>
      <c r="R550" s="64"/>
      <c r="S550" s="64"/>
      <c r="T550" s="64"/>
      <c r="U550" s="64"/>
      <c r="V550" s="64"/>
      <c r="W550" s="64"/>
    </row>
    <row r="551" spans="1:23" ht="30" customHeight="1">
      <c r="A551" s="8"/>
      <c r="B551" s="7"/>
      <c r="C551" s="33"/>
      <c r="D551" s="7"/>
      <c r="E551" s="7"/>
      <c r="F551" s="7"/>
      <c r="G551" s="7"/>
      <c r="H551" s="7"/>
      <c r="I551" s="7"/>
      <c r="J551" s="7"/>
      <c r="K551" s="7"/>
      <c r="L551" s="7"/>
      <c r="M551" s="7"/>
      <c r="N551" s="7"/>
      <c r="O551" s="7"/>
      <c r="P551" s="7"/>
      <c r="Q551" s="7"/>
      <c r="R551" s="64"/>
      <c r="S551" s="64"/>
      <c r="T551" s="64"/>
      <c r="U551" s="64"/>
      <c r="V551" s="64"/>
      <c r="W551" s="64"/>
    </row>
    <row r="552" spans="1:23" ht="30" customHeight="1">
      <c r="A552" s="8"/>
      <c r="B552" s="7"/>
      <c r="C552" s="33"/>
      <c r="D552" s="7"/>
      <c r="E552" s="7"/>
      <c r="F552" s="7"/>
      <c r="G552" s="7"/>
      <c r="H552" s="7"/>
      <c r="I552" s="7"/>
      <c r="J552" s="7"/>
      <c r="K552" s="7"/>
      <c r="L552" s="7"/>
      <c r="M552" s="7"/>
      <c r="N552" s="7"/>
      <c r="O552" s="7"/>
      <c r="P552" s="7"/>
      <c r="Q552" s="7"/>
      <c r="R552" s="64"/>
      <c r="S552" s="64"/>
      <c r="T552" s="64"/>
      <c r="U552" s="64"/>
      <c r="V552" s="64"/>
      <c r="W552" s="64"/>
    </row>
    <row r="553" spans="1:23" ht="30" customHeight="1">
      <c r="A553" s="8"/>
      <c r="B553" s="7"/>
      <c r="C553" s="33"/>
      <c r="D553" s="7"/>
      <c r="E553" s="7"/>
      <c r="F553" s="7"/>
      <c r="G553" s="7"/>
      <c r="H553" s="7"/>
      <c r="I553" s="7"/>
      <c r="J553" s="7"/>
      <c r="K553" s="7"/>
      <c r="L553" s="7"/>
      <c r="M553" s="7"/>
      <c r="N553" s="7"/>
      <c r="O553" s="7"/>
      <c r="P553" s="7"/>
      <c r="Q553" s="7"/>
      <c r="R553" s="64"/>
      <c r="S553" s="64"/>
      <c r="T553" s="64"/>
      <c r="U553" s="64"/>
      <c r="V553" s="64"/>
      <c r="W553" s="64"/>
    </row>
    <row r="554" spans="1:23" ht="30" customHeight="1">
      <c r="A554" s="8"/>
      <c r="B554" s="7"/>
      <c r="C554" s="33"/>
      <c r="D554" s="7"/>
      <c r="E554" s="7"/>
      <c r="F554" s="7"/>
      <c r="G554" s="7"/>
      <c r="H554" s="7"/>
      <c r="I554" s="7"/>
      <c r="J554" s="7"/>
      <c r="K554" s="7"/>
      <c r="L554" s="7"/>
      <c r="M554" s="7"/>
      <c r="N554" s="7"/>
      <c r="O554" s="7"/>
      <c r="P554" s="7"/>
      <c r="Q554" s="7"/>
      <c r="R554" s="64"/>
      <c r="S554" s="64"/>
      <c r="T554" s="64"/>
      <c r="U554" s="64"/>
      <c r="V554" s="64"/>
      <c r="W554" s="64"/>
    </row>
    <row r="555" spans="1:23" ht="30" customHeight="1">
      <c r="A555" s="8"/>
      <c r="B555" s="7"/>
      <c r="C555" s="33"/>
      <c r="D555" s="7"/>
      <c r="E555" s="7"/>
      <c r="F555" s="7"/>
      <c r="G555" s="7"/>
      <c r="H555" s="7"/>
      <c r="I555" s="7"/>
      <c r="J555" s="7"/>
      <c r="K555" s="7"/>
      <c r="L555" s="7"/>
      <c r="M555" s="7"/>
      <c r="N555" s="7"/>
      <c r="O555" s="7"/>
      <c r="P555" s="7"/>
      <c r="Q555" s="7"/>
      <c r="R555" s="64"/>
      <c r="S555" s="64"/>
      <c r="T555" s="64"/>
      <c r="U555" s="64"/>
      <c r="V555" s="64"/>
      <c r="W555" s="64"/>
    </row>
    <row r="556" spans="1:23" ht="30" customHeight="1">
      <c r="A556" s="8"/>
      <c r="B556" s="7"/>
      <c r="C556" s="33"/>
      <c r="D556" s="7"/>
      <c r="E556" s="7"/>
      <c r="F556" s="7"/>
      <c r="G556" s="7"/>
      <c r="H556" s="7"/>
      <c r="I556" s="7"/>
      <c r="J556" s="7"/>
      <c r="K556" s="7"/>
      <c r="L556" s="7"/>
      <c r="M556" s="7"/>
      <c r="N556" s="7"/>
      <c r="O556" s="7"/>
      <c r="P556" s="7"/>
      <c r="Q556" s="7"/>
      <c r="R556" s="64"/>
      <c r="S556" s="64"/>
      <c r="T556" s="64"/>
      <c r="U556" s="64"/>
      <c r="V556" s="64"/>
      <c r="W556" s="64"/>
    </row>
    <row r="557" spans="1:23" ht="30" customHeight="1">
      <c r="A557" s="8"/>
      <c r="B557" s="7"/>
      <c r="C557" s="33"/>
      <c r="D557" s="7"/>
      <c r="E557" s="7"/>
      <c r="F557" s="7"/>
      <c r="G557" s="7"/>
      <c r="H557" s="7"/>
      <c r="I557" s="7"/>
      <c r="J557" s="7"/>
      <c r="K557" s="7"/>
      <c r="L557" s="7"/>
      <c r="M557" s="7"/>
      <c r="N557" s="7"/>
      <c r="O557" s="7"/>
      <c r="P557" s="7"/>
      <c r="Q557" s="7"/>
      <c r="R557" s="64"/>
      <c r="S557" s="64"/>
      <c r="T557" s="64"/>
      <c r="U557" s="64"/>
      <c r="V557" s="64"/>
      <c r="W557" s="64"/>
    </row>
    <row r="558" spans="1:23" ht="30" customHeight="1">
      <c r="A558" s="8"/>
      <c r="B558" s="7"/>
      <c r="C558" s="33"/>
      <c r="D558" s="7"/>
      <c r="E558" s="7"/>
      <c r="F558" s="7"/>
      <c r="G558" s="7"/>
      <c r="H558" s="7"/>
      <c r="I558" s="7"/>
      <c r="J558" s="7"/>
      <c r="K558" s="7"/>
      <c r="L558" s="7"/>
      <c r="M558" s="7"/>
      <c r="N558" s="7"/>
      <c r="O558" s="7"/>
      <c r="P558" s="7"/>
      <c r="Q558" s="7"/>
      <c r="R558" s="64"/>
      <c r="S558" s="64"/>
      <c r="T558" s="64"/>
      <c r="U558" s="64"/>
      <c r="V558" s="64"/>
      <c r="W558" s="64"/>
    </row>
    <row r="559" spans="1:23" ht="30" customHeight="1">
      <c r="A559" s="8"/>
      <c r="B559" s="7"/>
      <c r="C559" s="33"/>
      <c r="D559" s="7"/>
      <c r="E559" s="7"/>
      <c r="F559" s="7"/>
      <c r="G559" s="7"/>
      <c r="H559" s="7"/>
      <c r="I559" s="7"/>
      <c r="J559" s="7"/>
      <c r="K559" s="7"/>
      <c r="L559" s="7"/>
      <c r="M559" s="7"/>
      <c r="N559" s="7"/>
      <c r="O559" s="7"/>
      <c r="P559" s="7"/>
      <c r="Q559" s="7"/>
      <c r="R559" s="64"/>
      <c r="S559" s="64"/>
      <c r="T559" s="64"/>
      <c r="U559" s="64"/>
      <c r="V559" s="64"/>
      <c r="W559" s="64"/>
    </row>
    <row r="560" spans="1:23" ht="30" customHeight="1">
      <c r="A560" s="8"/>
      <c r="B560" s="7"/>
      <c r="C560" s="33"/>
      <c r="D560" s="7"/>
      <c r="E560" s="7"/>
      <c r="F560" s="7"/>
      <c r="G560" s="7"/>
      <c r="H560" s="7"/>
      <c r="I560" s="7"/>
      <c r="J560" s="7"/>
      <c r="K560" s="7"/>
      <c r="L560" s="7"/>
      <c r="M560" s="7"/>
      <c r="N560" s="7"/>
      <c r="O560" s="7"/>
      <c r="P560" s="7"/>
      <c r="Q560" s="7"/>
      <c r="R560" s="64"/>
      <c r="S560" s="64"/>
      <c r="T560" s="64"/>
      <c r="U560" s="64"/>
      <c r="V560" s="64"/>
      <c r="W560" s="64"/>
    </row>
    <row r="561" spans="1:23" ht="30" customHeight="1">
      <c r="A561" s="8"/>
      <c r="B561" s="7"/>
      <c r="C561" s="33"/>
      <c r="D561" s="7"/>
      <c r="E561" s="7"/>
      <c r="F561" s="7"/>
      <c r="G561" s="7"/>
      <c r="H561" s="7"/>
      <c r="I561" s="7"/>
      <c r="J561" s="7"/>
      <c r="K561" s="7"/>
      <c r="L561" s="7"/>
      <c r="M561" s="7"/>
      <c r="N561" s="7"/>
      <c r="O561" s="7"/>
      <c r="P561" s="7"/>
      <c r="Q561" s="7"/>
      <c r="R561" s="64"/>
      <c r="S561" s="64"/>
      <c r="T561" s="64"/>
      <c r="U561" s="64"/>
      <c r="V561" s="64"/>
      <c r="W561" s="64"/>
    </row>
    <row r="562" spans="1:23" ht="30" customHeight="1">
      <c r="A562" s="8"/>
      <c r="B562" s="7"/>
      <c r="C562" s="33"/>
      <c r="D562" s="7"/>
      <c r="E562" s="7"/>
      <c r="F562" s="7"/>
      <c r="G562" s="7"/>
      <c r="H562" s="7"/>
      <c r="I562" s="7"/>
      <c r="J562" s="7"/>
      <c r="K562" s="7"/>
      <c r="L562" s="7"/>
      <c r="M562" s="7"/>
      <c r="N562" s="7"/>
      <c r="O562" s="7"/>
      <c r="P562" s="7"/>
      <c r="Q562" s="7"/>
      <c r="R562" s="64"/>
      <c r="S562" s="64"/>
      <c r="T562" s="64"/>
      <c r="U562" s="64"/>
      <c r="V562" s="64"/>
      <c r="W562" s="64"/>
    </row>
    <row r="563" spans="1:23" ht="30" customHeight="1">
      <c r="A563" s="8"/>
      <c r="B563" s="7"/>
      <c r="C563" s="33"/>
      <c r="D563" s="7"/>
      <c r="E563" s="7"/>
      <c r="F563" s="7"/>
      <c r="G563" s="7"/>
      <c r="H563" s="7"/>
      <c r="I563" s="7"/>
      <c r="J563" s="7"/>
      <c r="K563" s="7"/>
      <c r="L563" s="7"/>
      <c r="M563" s="7"/>
      <c r="N563" s="7"/>
      <c r="O563" s="7"/>
      <c r="P563" s="7"/>
      <c r="Q563" s="7"/>
      <c r="R563" s="64"/>
      <c r="S563" s="64"/>
      <c r="T563" s="64"/>
      <c r="U563" s="64"/>
      <c r="V563" s="64"/>
      <c r="W563" s="64"/>
    </row>
    <row r="564" spans="1:23" ht="30" customHeight="1">
      <c r="A564" s="8"/>
      <c r="B564" s="7"/>
      <c r="C564" s="33"/>
      <c r="D564" s="7"/>
      <c r="E564" s="7"/>
      <c r="F564" s="7"/>
      <c r="G564" s="7"/>
      <c r="H564" s="7"/>
      <c r="I564" s="7"/>
      <c r="J564" s="7"/>
      <c r="K564" s="7"/>
      <c r="L564" s="7"/>
      <c r="M564" s="7"/>
      <c r="N564" s="7"/>
      <c r="O564" s="7"/>
      <c r="P564" s="7"/>
      <c r="Q564" s="7"/>
      <c r="R564" s="64"/>
      <c r="S564" s="64"/>
      <c r="T564" s="64"/>
      <c r="U564" s="64"/>
      <c r="V564" s="64"/>
      <c r="W564" s="64"/>
    </row>
    <row r="565" spans="1:23" ht="30" customHeight="1">
      <c r="A565" s="8"/>
      <c r="B565" s="7"/>
      <c r="C565" s="33"/>
      <c r="D565" s="7"/>
      <c r="E565" s="7"/>
      <c r="F565" s="7"/>
      <c r="G565" s="7"/>
      <c r="H565" s="7"/>
      <c r="I565" s="7"/>
      <c r="J565" s="7"/>
      <c r="K565" s="7"/>
      <c r="L565" s="7"/>
      <c r="M565" s="7"/>
      <c r="N565" s="7"/>
      <c r="O565" s="7"/>
      <c r="P565" s="7"/>
      <c r="Q565" s="7"/>
      <c r="R565" s="64"/>
      <c r="S565" s="64"/>
      <c r="T565" s="64"/>
      <c r="U565" s="64"/>
      <c r="V565" s="64"/>
      <c r="W565" s="64"/>
    </row>
    <row r="566" spans="1:23" ht="30" customHeight="1">
      <c r="A566" s="8"/>
      <c r="B566" s="7"/>
      <c r="C566" s="33"/>
      <c r="D566" s="7"/>
      <c r="E566" s="7"/>
      <c r="F566" s="7"/>
      <c r="G566" s="7"/>
      <c r="H566" s="7"/>
      <c r="I566" s="7"/>
      <c r="J566" s="7"/>
      <c r="K566" s="7"/>
      <c r="L566" s="7"/>
      <c r="M566" s="7"/>
      <c r="N566" s="7"/>
      <c r="O566" s="7"/>
      <c r="P566" s="7"/>
      <c r="Q566" s="7"/>
      <c r="R566" s="64"/>
      <c r="S566" s="64"/>
      <c r="T566" s="64"/>
      <c r="U566" s="64"/>
      <c r="V566" s="64"/>
      <c r="W566" s="64"/>
    </row>
    <row r="567" spans="1:23" ht="30" customHeight="1">
      <c r="A567" s="8"/>
      <c r="B567" s="7"/>
      <c r="C567" s="33"/>
      <c r="D567" s="7"/>
      <c r="E567" s="7"/>
      <c r="F567" s="7"/>
      <c r="G567" s="7"/>
      <c r="H567" s="7"/>
      <c r="I567" s="7"/>
      <c r="J567" s="7"/>
      <c r="K567" s="7"/>
      <c r="L567" s="7"/>
      <c r="M567" s="7"/>
      <c r="N567" s="7"/>
      <c r="O567" s="7"/>
      <c r="P567" s="7"/>
      <c r="Q567" s="7"/>
      <c r="R567" s="64"/>
      <c r="S567" s="64"/>
      <c r="T567" s="64"/>
      <c r="U567" s="64"/>
      <c r="V567" s="64"/>
      <c r="W567" s="64"/>
    </row>
    <row r="568" spans="1:23" ht="30" customHeight="1">
      <c r="A568" s="8"/>
      <c r="B568" s="7"/>
      <c r="C568" s="33"/>
      <c r="D568" s="7"/>
      <c r="E568" s="7"/>
      <c r="F568" s="7"/>
      <c r="G568" s="7"/>
      <c r="H568" s="7"/>
      <c r="I568" s="7"/>
      <c r="J568" s="7"/>
      <c r="K568" s="7"/>
      <c r="L568" s="7"/>
      <c r="M568" s="7"/>
      <c r="N568" s="7"/>
      <c r="O568" s="7"/>
      <c r="P568" s="7"/>
      <c r="Q568" s="7"/>
      <c r="R568" s="64"/>
      <c r="S568" s="64"/>
      <c r="T568" s="64"/>
      <c r="U568" s="64"/>
      <c r="V568" s="64"/>
      <c r="W568" s="64"/>
    </row>
    <row r="569" spans="1:23" ht="30" customHeight="1">
      <c r="A569" s="8"/>
      <c r="B569" s="7"/>
      <c r="C569" s="33"/>
      <c r="D569" s="7"/>
      <c r="E569" s="7"/>
      <c r="F569" s="7"/>
      <c r="G569" s="7"/>
      <c r="H569" s="7"/>
      <c r="I569" s="7"/>
      <c r="J569" s="7"/>
      <c r="K569" s="7"/>
      <c r="L569" s="7"/>
      <c r="M569" s="7"/>
      <c r="N569" s="7"/>
      <c r="O569" s="7"/>
      <c r="P569" s="7"/>
      <c r="Q569" s="7"/>
      <c r="R569" s="64"/>
      <c r="S569" s="64"/>
      <c r="T569" s="64"/>
      <c r="U569" s="64"/>
      <c r="V569" s="64"/>
      <c r="W569" s="64"/>
    </row>
    <row r="570" spans="1:23" ht="30" customHeight="1">
      <c r="A570" s="8"/>
      <c r="B570" s="7"/>
      <c r="C570" s="33"/>
      <c r="D570" s="7"/>
      <c r="E570" s="7"/>
      <c r="F570" s="7"/>
      <c r="G570" s="7"/>
      <c r="H570" s="7"/>
      <c r="I570" s="7"/>
      <c r="J570" s="7"/>
      <c r="K570" s="7"/>
      <c r="L570" s="7"/>
      <c r="M570" s="7"/>
      <c r="N570" s="7"/>
      <c r="O570" s="7"/>
      <c r="P570" s="7"/>
      <c r="Q570" s="7"/>
      <c r="R570" s="64"/>
      <c r="S570" s="64"/>
      <c r="T570" s="64"/>
      <c r="U570" s="64"/>
      <c r="V570" s="64"/>
      <c r="W570" s="64"/>
    </row>
    <row r="571" spans="1:23" ht="30" customHeight="1">
      <c r="A571" s="8"/>
      <c r="B571" s="7"/>
      <c r="C571" s="33"/>
      <c r="D571" s="7"/>
      <c r="E571" s="7"/>
      <c r="F571" s="7"/>
      <c r="G571" s="7"/>
      <c r="H571" s="7"/>
      <c r="I571" s="7"/>
      <c r="J571" s="7"/>
      <c r="K571" s="7"/>
      <c r="L571" s="7"/>
      <c r="M571" s="7"/>
      <c r="N571" s="7"/>
      <c r="O571" s="7"/>
      <c r="P571" s="7"/>
      <c r="Q571" s="7"/>
      <c r="R571" s="64"/>
      <c r="S571" s="64"/>
      <c r="T571" s="64"/>
      <c r="U571" s="64"/>
      <c r="V571" s="64"/>
      <c r="W571" s="64"/>
    </row>
    <row r="572" spans="1:23" ht="30" customHeight="1">
      <c r="A572" s="8"/>
      <c r="B572" s="7"/>
      <c r="C572" s="33"/>
      <c r="D572" s="7"/>
      <c r="E572" s="7"/>
      <c r="F572" s="7"/>
      <c r="G572" s="7"/>
      <c r="H572" s="7"/>
      <c r="I572" s="7"/>
      <c r="J572" s="7"/>
      <c r="K572" s="7"/>
      <c r="L572" s="7"/>
      <c r="M572" s="7"/>
      <c r="N572" s="7"/>
      <c r="O572" s="7"/>
      <c r="P572" s="7"/>
      <c r="Q572" s="7"/>
      <c r="R572" s="64"/>
      <c r="S572" s="64"/>
      <c r="T572" s="64"/>
      <c r="U572" s="64"/>
      <c r="V572" s="64"/>
      <c r="W572" s="64"/>
    </row>
    <row r="573" spans="1:23" ht="30" customHeight="1">
      <c r="A573" s="8"/>
      <c r="B573" s="7"/>
      <c r="C573" s="33"/>
      <c r="D573" s="7"/>
      <c r="E573" s="7"/>
      <c r="F573" s="7"/>
      <c r="G573" s="7"/>
      <c r="H573" s="7"/>
      <c r="I573" s="7"/>
      <c r="J573" s="7"/>
      <c r="K573" s="7"/>
      <c r="L573" s="7"/>
      <c r="M573" s="7"/>
      <c r="N573" s="7"/>
      <c r="O573" s="7"/>
      <c r="P573" s="7"/>
      <c r="Q573" s="7"/>
      <c r="R573" s="64"/>
      <c r="S573" s="64"/>
      <c r="T573" s="64"/>
      <c r="U573" s="64"/>
      <c r="V573" s="64"/>
      <c r="W573" s="64"/>
    </row>
    <row r="574" spans="1:23" ht="30" customHeight="1">
      <c r="A574" s="8"/>
      <c r="B574" s="7"/>
      <c r="C574" s="33"/>
      <c r="D574" s="7"/>
      <c r="E574" s="7"/>
      <c r="F574" s="7"/>
      <c r="G574" s="7"/>
      <c r="H574" s="7"/>
      <c r="I574" s="7"/>
      <c r="J574" s="7"/>
      <c r="K574" s="7"/>
      <c r="L574" s="7"/>
      <c r="M574" s="7"/>
      <c r="N574" s="7"/>
      <c r="O574" s="7"/>
      <c r="P574" s="7"/>
      <c r="Q574" s="7"/>
      <c r="R574" s="64"/>
      <c r="S574" s="64"/>
      <c r="T574" s="64"/>
      <c r="U574" s="64"/>
      <c r="V574" s="64"/>
      <c r="W574" s="64"/>
    </row>
    <row r="575" spans="1:23" ht="30" customHeight="1">
      <c r="A575" s="8"/>
      <c r="B575" s="7"/>
      <c r="C575" s="33"/>
      <c r="D575" s="7"/>
      <c r="E575" s="7"/>
      <c r="F575" s="7"/>
      <c r="G575" s="7"/>
      <c r="H575" s="7"/>
      <c r="I575" s="7"/>
      <c r="J575" s="7"/>
      <c r="K575" s="7"/>
      <c r="L575" s="7"/>
      <c r="M575" s="7"/>
      <c r="N575" s="7"/>
      <c r="O575" s="7"/>
      <c r="P575" s="7"/>
      <c r="Q575" s="7"/>
      <c r="R575" s="64"/>
      <c r="S575" s="64"/>
      <c r="T575" s="64"/>
      <c r="U575" s="64"/>
      <c r="V575" s="64"/>
      <c r="W575" s="64"/>
    </row>
    <row r="576" spans="1:23" ht="30" customHeight="1">
      <c r="A576" s="8"/>
      <c r="B576" s="7"/>
      <c r="C576" s="33"/>
      <c r="D576" s="7"/>
      <c r="E576" s="7"/>
      <c r="F576" s="7"/>
      <c r="G576" s="7"/>
      <c r="H576" s="7"/>
      <c r="I576" s="7"/>
      <c r="J576" s="7"/>
      <c r="K576" s="7"/>
      <c r="L576" s="7"/>
      <c r="M576" s="7"/>
      <c r="N576" s="7"/>
      <c r="O576" s="7"/>
      <c r="P576" s="7"/>
      <c r="Q576" s="7"/>
      <c r="R576" s="64"/>
      <c r="S576" s="64"/>
      <c r="T576" s="64"/>
      <c r="U576" s="64"/>
      <c r="V576" s="64"/>
      <c r="W576" s="64"/>
    </row>
    <row r="577" spans="1:23" ht="30" customHeight="1">
      <c r="A577" s="8"/>
      <c r="B577" s="7"/>
      <c r="C577" s="33"/>
      <c r="D577" s="7"/>
      <c r="E577" s="7"/>
      <c r="F577" s="7"/>
      <c r="G577" s="7"/>
      <c r="H577" s="7"/>
      <c r="I577" s="7"/>
      <c r="J577" s="7"/>
      <c r="K577" s="7"/>
      <c r="L577" s="7"/>
      <c r="M577" s="7"/>
      <c r="N577" s="7"/>
      <c r="O577" s="7"/>
      <c r="P577" s="7"/>
      <c r="Q577" s="7"/>
      <c r="R577" s="64"/>
      <c r="S577" s="64"/>
      <c r="T577" s="64"/>
      <c r="U577" s="64"/>
      <c r="V577" s="64"/>
      <c r="W577" s="64"/>
    </row>
    <row r="578" spans="1:23" ht="30" customHeight="1">
      <c r="A578" s="8"/>
      <c r="B578" s="7"/>
      <c r="C578" s="33"/>
      <c r="D578" s="7"/>
      <c r="E578" s="7"/>
      <c r="F578" s="7"/>
      <c r="G578" s="7"/>
      <c r="H578" s="7"/>
      <c r="I578" s="7"/>
      <c r="J578" s="7"/>
      <c r="K578" s="7"/>
      <c r="L578" s="7"/>
      <c r="M578" s="7"/>
      <c r="N578" s="7"/>
      <c r="O578" s="7"/>
      <c r="P578" s="7"/>
      <c r="Q578" s="7"/>
      <c r="R578" s="64"/>
      <c r="S578" s="64"/>
      <c r="T578" s="64"/>
      <c r="U578" s="64"/>
      <c r="V578" s="64"/>
      <c r="W578" s="64"/>
    </row>
    <row r="579" spans="1:23" ht="30" customHeight="1">
      <c r="A579" s="8"/>
      <c r="B579" s="7"/>
      <c r="C579" s="33"/>
      <c r="D579" s="7"/>
      <c r="E579" s="7"/>
      <c r="F579" s="7"/>
      <c r="G579" s="7"/>
      <c r="H579" s="7"/>
      <c r="I579" s="7"/>
      <c r="J579" s="7"/>
      <c r="K579" s="7"/>
      <c r="L579" s="7"/>
      <c r="M579" s="7"/>
      <c r="N579" s="7"/>
      <c r="O579" s="7"/>
      <c r="P579" s="7"/>
      <c r="Q579" s="7"/>
      <c r="R579" s="64"/>
      <c r="S579" s="64"/>
      <c r="T579" s="64"/>
      <c r="U579" s="64"/>
      <c r="V579" s="64"/>
      <c r="W579" s="64"/>
    </row>
    <row r="580" spans="1:23" ht="30" customHeight="1">
      <c r="A580" s="8"/>
      <c r="B580" s="7"/>
      <c r="C580" s="33"/>
      <c r="D580" s="7"/>
      <c r="E580" s="7"/>
      <c r="F580" s="7"/>
      <c r="G580" s="7"/>
      <c r="H580" s="7"/>
      <c r="I580" s="7"/>
      <c r="J580" s="7"/>
      <c r="K580" s="7"/>
      <c r="L580" s="7"/>
      <c r="M580" s="7"/>
      <c r="N580" s="7"/>
      <c r="O580" s="7"/>
      <c r="P580" s="7"/>
      <c r="Q580" s="7"/>
      <c r="R580" s="64"/>
      <c r="S580" s="64"/>
      <c r="T580" s="64"/>
      <c r="U580" s="64"/>
      <c r="V580" s="64"/>
      <c r="W580" s="64"/>
    </row>
    <row r="581" spans="1:23" ht="30" customHeight="1">
      <c r="A581" s="8"/>
      <c r="B581" s="7"/>
      <c r="C581" s="33"/>
      <c r="D581" s="7"/>
      <c r="E581" s="7"/>
      <c r="F581" s="7"/>
      <c r="G581" s="7"/>
      <c r="H581" s="7"/>
      <c r="I581" s="7"/>
      <c r="J581" s="7"/>
      <c r="K581" s="7"/>
      <c r="L581" s="7"/>
      <c r="M581" s="7"/>
      <c r="N581" s="7"/>
      <c r="O581" s="7"/>
      <c r="P581" s="7"/>
      <c r="Q581" s="7"/>
      <c r="R581" s="64"/>
      <c r="S581" s="64"/>
      <c r="T581" s="64"/>
      <c r="U581" s="64"/>
      <c r="V581" s="64"/>
      <c r="W581" s="64"/>
    </row>
    <row r="582" spans="1:23" ht="30" customHeight="1">
      <c r="A582" s="8"/>
      <c r="B582" s="7"/>
      <c r="C582" s="33"/>
      <c r="D582" s="7"/>
      <c r="E582" s="7"/>
      <c r="F582" s="7"/>
      <c r="G582" s="7"/>
      <c r="H582" s="7"/>
      <c r="I582" s="7"/>
      <c r="J582" s="7"/>
      <c r="K582" s="7"/>
      <c r="L582" s="7"/>
      <c r="M582" s="7"/>
      <c r="N582" s="7"/>
      <c r="O582" s="7"/>
      <c r="P582" s="7"/>
      <c r="Q582" s="7"/>
      <c r="R582" s="64"/>
      <c r="S582" s="64"/>
      <c r="T582" s="64"/>
      <c r="U582" s="64"/>
      <c r="V582" s="64"/>
      <c r="W582" s="64"/>
    </row>
    <row r="583" spans="1:23" ht="30" customHeight="1">
      <c r="A583" s="8"/>
      <c r="B583" s="7"/>
      <c r="C583" s="33"/>
      <c r="D583" s="7"/>
      <c r="E583" s="7"/>
      <c r="F583" s="7"/>
      <c r="G583" s="7"/>
      <c r="H583" s="7"/>
      <c r="I583" s="7"/>
      <c r="J583" s="7"/>
      <c r="K583" s="7"/>
      <c r="L583" s="7"/>
      <c r="M583" s="7"/>
      <c r="N583" s="7"/>
      <c r="O583" s="7"/>
      <c r="P583" s="7"/>
      <c r="Q583" s="7"/>
      <c r="R583" s="64"/>
      <c r="S583" s="64"/>
      <c r="T583" s="64"/>
      <c r="U583" s="64"/>
      <c r="V583" s="64"/>
      <c r="W583" s="64"/>
    </row>
    <row r="584" spans="1:23" ht="30" customHeight="1">
      <c r="A584" s="8"/>
      <c r="B584" s="7"/>
      <c r="C584" s="33"/>
      <c r="D584" s="7"/>
      <c r="E584" s="7"/>
      <c r="F584" s="7"/>
      <c r="G584" s="7"/>
      <c r="H584" s="7"/>
      <c r="I584" s="7"/>
      <c r="J584" s="7"/>
      <c r="K584" s="7"/>
      <c r="L584" s="7"/>
      <c r="M584" s="7"/>
      <c r="N584" s="7"/>
      <c r="O584" s="7"/>
      <c r="P584" s="7"/>
      <c r="Q584" s="7"/>
      <c r="R584" s="64"/>
      <c r="S584" s="64"/>
      <c r="T584" s="64"/>
      <c r="U584" s="64"/>
      <c r="V584" s="64"/>
      <c r="W584" s="64"/>
    </row>
    <row r="585" spans="1:23" ht="30" customHeight="1">
      <c r="A585" s="8"/>
      <c r="B585" s="7"/>
      <c r="C585" s="33"/>
      <c r="D585" s="7"/>
      <c r="E585" s="7"/>
      <c r="F585" s="7"/>
      <c r="G585" s="7"/>
      <c r="H585" s="7"/>
      <c r="I585" s="7"/>
      <c r="J585" s="7"/>
      <c r="K585" s="7"/>
      <c r="L585" s="7"/>
      <c r="M585" s="7"/>
      <c r="N585" s="7"/>
      <c r="O585" s="7"/>
      <c r="P585" s="7"/>
      <c r="Q585" s="7"/>
      <c r="R585" s="64"/>
      <c r="S585" s="64"/>
      <c r="T585" s="64"/>
      <c r="U585" s="64"/>
      <c r="V585" s="64"/>
      <c r="W585" s="64"/>
    </row>
    <row r="586" spans="1:23" ht="30" customHeight="1">
      <c r="A586" s="8"/>
      <c r="B586" s="7"/>
      <c r="C586" s="33"/>
      <c r="D586" s="7"/>
      <c r="E586" s="7"/>
      <c r="F586" s="7"/>
      <c r="G586" s="7"/>
      <c r="H586" s="7"/>
      <c r="I586" s="7"/>
      <c r="J586" s="7"/>
      <c r="K586" s="7"/>
      <c r="L586" s="7"/>
      <c r="M586" s="7"/>
      <c r="N586" s="7"/>
      <c r="O586" s="7"/>
      <c r="P586" s="7"/>
      <c r="Q586" s="7"/>
      <c r="R586" s="64"/>
      <c r="S586" s="64"/>
      <c r="T586" s="64"/>
      <c r="U586" s="64"/>
      <c r="V586" s="64"/>
      <c r="W586" s="64"/>
    </row>
    <row r="587" spans="1:23" ht="30" customHeight="1">
      <c r="A587" s="8"/>
      <c r="B587" s="7"/>
      <c r="C587" s="33"/>
      <c r="D587" s="7"/>
      <c r="E587" s="7"/>
      <c r="F587" s="7"/>
      <c r="G587" s="7"/>
      <c r="H587" s="7"/>
      <c r="I587" s="7"/>
      <c r="J587" s="7"/>
      <c r="K587" s="7"/>
      <c r="L587" s="7"/>
      <c r="M587" s="7"/>
      <c r="N587" s="7"/>
      <c r="O587" s="7"/>
      <c r="P587" s="7"/>
      <c r="Q587" s="7"/>
      <c r="R587" s="64"/>
      <c r="S587" s="64"/>
      <c r="T587" s="64"/>
      <c r="U587" s="64"/>
      <c r="V587" s="64"/>
      <c r="W587" s="64"/>
    </row>
    <row r="588" spans="1:23" ht="30" customHeight="1">
      <c r="A588" s="8"/>
      <c r="B588" s="7"/>
      <c r="C588" s="33"/>
      <c r="D588" s="7"/>
      <c r="E588" s="7"/>
      <c r="F588" s="7"/>
      <c r="G588" s="7"/>
      <c r="H588" s="7"/>
      <c r="I588" s="7"/>
      <c r="J588" s="7"/>
      <c r="K588" s="7"/>
      <c r="L588" s="7"/>
      <c r="M588" s="7"/>
      <c r="N588" s="7"/>
      <c r="O588" s="7"/>
      <c r="P588" s="7"/>
      <c r="Q588" s="7"/>
      <c r="R588" s="64"/>
      <c r="S588" s="64"/>
      <c r="T588" s="64"/>
      <c r="U588" s="64"/>
      <c r="V588" s="64"/>
      <c r="W588" s="64"/>
    </row>
    <row r="589" spans="1:23" ht="30" customHeight="1">
      <c r="A589" s="8"/>
      <c r="B589" s="7"/>
      <c r="C589" s="33"/>
      <c r="D589" s="7"/>
      <c r="E589" s="7"/>
      <c r="F589" s="7"/>
      <c r="G589" s="7"/>
      <c r="H589" s="7"/>
      <c r="I589" s="7"/>
      <c r="J589" s="7"/>
      <c r="K589" s="7"/>
      <c r="L589" s="7"/>
      <c r="M589" s="7"/>
      <c r="N589" s="7"/>
      <c r="O589" s="7"/>
      <c r="P589" s="7"/>
      <c r="Q589" s="7"/>
      <c r="R589" s="64"/>
      <c r="S589" s="64"/>
      <c r="T589" s="64"/>
      <c r="U589" s="64"/>
      <c r="V589" s="64"/>
      <c r="W589" s="64"/>
    </row>
    <row r="590" spans="1:23" ht="30" customHeight="1">
      <c r="A590" s="8"/>
      <c r="B590" s="7"/>
      <c r="C590" s="33"/>
      <c r="D590" s="7"/>
      <c r="E590" s="7"/>
      <c r="F590" s="7"/>
      <c r="G590" s="7"/>
      <c r="H590" s="7"/>
      <c r="I590" s="7"/>
      <c r="J590" s="7"/>
      <c r="K590" s="7"/>
      <c r="L590" s="7"/>
      <c r="M590" s="7"/>
      <c r="N590" s="7"/>
      <c r="O590" s="7"/>
      <c r="P590" s="7"/>
      <c r="Q590" s="7"/>
      <c r="R590" s="64"/>
      <c r="S590" s="64"/>
      <c r="T590" s="64"/>
      <c r="U590" s="64"/>
      <c r="V590" s="64"/>
      <c r="W590" s="64"/>
    </row>
    <row r="591" spans="1:23" ht="30" customHeight="1">
      <c r="A591" s="8"/>
      <c r="B591" s="7"/>
      <c r="C591" s="33"/>
      <c r="D591" s="7"/>
      <c r="E591" s="7"/>
      <c r="F591" s="7"/>
      <c r="G591" s="7"/>
      <c r="H591" s="7"/>
      <c r="I591" s="7"/>
      <c r="J591" s="7"/>
      <c r="K591" s="7"/>
      <c r="L591" s="7"/>
      <c r="M591" s="7"/>
      <c r="N591" s="7"/>
      <c r="O591" s="7"/>
      <c r="P591" s="7"/>
      <c r="Q591" s="7"/>
      <c r="R591" s="64"/>
      <c r="S591" s="64"/>
      <c r="T591" s="64"/>
      <c r="U591" s="64"/>
      <c r="V591" s="64"/>
      <c r="W591" s="64"/>
    </row>
    <row r="592" spans="1:23" ht="30" customHeight="1">
      <c r="A592" s="8"/>
      <c r="B592" s="7"/>
      <c r="C592" s="33"/>
      <c r="D592" s="7"/>
      <c r="E592" s="7"/>
      <c r="F592" s="7"/>
      <c r="G592" s="7"/>
      <c r="H592" s="7"/>
      <c r="I592" s="7"/>
      <c r="J592" s="7"/>
      <c r="K592" s="7"/>
      <c r="L592" s="7"/>
      <c r="M592" s="7"/>
      <c r="N592" s="7"/>
      <c r="O592" s="7"/>
      <c r="P592" s="7"/>
      <c r="Q592" s="7"/>
      <c r="R592" s="64"/>
      <c r="S592" s="64"/>
      <c r="T592" s="64"/>
      <c r="U592" s="64"/>
      <c r="V592" s="64"/>
      <c r="W592" s="64"/>
    </row>
    <row r="593" spans="1:23" ht="30" customHeight="1">
      <c r="A593" s="8"/>
      <c r="B593" s="7"/>
      <c r="C593" s="33"/>
      <c r="D593" s="7"/>
      <c r="E593" s="7"/>
      <c r="F593" s="7"/>
      <c r="G593" s="7"/>
      <c r="H593" s="7"/>
      <c r="I593" s="7"/>
      <c r="J593" s="7"/>
      <c r="K593" s="7"/>
      <c r="L593" s="7"/>
      <c r="M593" s="7"/>
      <c r="N593" s="7"/>
      <c r="O593" s="7"/>
      <c r="P593" s="7"/>
      <c r="Q593" s="7"/>
      <c r="R593" s="64"/>
      <c r="S593" s="64"/>
      <c r="T593" s="64"/>
      <c r="U593" s="64"/>
      <c r="V593" s="64"/>
      <c r="W593" s="64"/>
    </row>
    <row r="594" spans="1:23" ht="30" customHeight="1">
      <c r="A594" s="8"/>
      <c r="B594" s="7"/>
      <c r="C594" s="33"/>
      <c r="D594" s="7"/>
      <c r="E594" s="7"/>
      <c r="F594" s="7"/>
      <c r="G594" s="7"/>
      <c r="H594" s="7"/>
      <c r="I594" s="7"/>
      <c r="J594" s="7"/>
      <c r="K594" s="7"/>
      <c r="L594" s="7"/>
      <c r="M594" s="7"/>
      <c r="N594" s="7"/>
      <c r="O594" s="7"/>
      <c r="P594" s="7"/>
      <c r="Q594" s="7"/>
      <c r="R594" s="64"/>
      <c r="S594" s="64"/>
      <c r="T594" s="64"/>
      <c r="U594" s="64"/>
      <c r="V594" s="64"/>
      <c r="W594" s="64"/>
    </row>
    <row r="595" spans="1:23" ht="30" customHeight="1">
      <c r="A595" s="8"/>
      <c r="B595" s="7"/>
      <c r="C595" s="33"/>
      <c r="D595" s="7"/>
      <c r="E595" s="7"/>
      <c r="F595" s="7"/>
      <c r="G595" s="7"/>
      <c r="H595" s="7"/>
      <c r="I595" s="7"/>
      <c r="J595" s="7"/>
      <c r="K595" s="7"/>
      <c r="L595" s="7"/>
      <c r="M595" s="7"/>
      <c r="N595" s="7"/>
      <c r="O595" s="7"/>
      <c r="P595" s="7"/>
      <c r="Q595" s="7"/>
      <c r="R595" s="64"/>
      <c r="S595" s="64"/>
      <c r="T595" s="64"/>
      <c r="U595" s="64"/>
      <c r="V595" s="64"/>
      <c r="W595" s="64"/>
    </row>
    <row r="596" spans="1:23" ht="30" customHeight="1">
      <c r="A596" s="8"/>
      <c r="B596" s="7"/>
      <c r="C596" s="33"/>
      <c r="D596" s="7"/>
      <c r="E596" s="7"/>
      <c r="F596" s="7"/>
      <c r="G596" s="7"/>
      <c r="H596" s="7"/>
      <c r="I596" s="7"/>
      <c r="J596" s="7"/>
      <c r="K596" s="7"/>
      <c r="L596" s="7"/>
      <c r="M596" s="7"/>
      <c r="N596" s="7"/>
      <c r="O596" s="7"/>
      <c r="P596" s="7"/>
      <c r="Q596" s="7"/>
      <c r="R596" s="64"/>
      <c r="S596" s="64"/>
      <c r="T596" s="64"/>
      <c r="U596" s="64"/>
      <c r="V596" s="64"/>
      <c r="W596" s="64"/>
    </row>
    <row r="597" spans="1:23" ht="30" customHeight="1">
      <c r="A597" s="8"/>
      <c r="B597" s="7"/>
      <c r="C597" s="33"/>
      <c r="D597" s="7"/>
      <c r="E597" s="7"/>
      <c r="F597" s="7"/>
      <c r="G597" s="7"/>
      <c r="H597" s="7"/>
      <c r="I597" s="7"/>
      <c r="J597" s="7"/>
      <c r="K597" s="7"/>
      <c r="L597" s="7"/>
      <c r="M597" s="7"/>
      <c r="N597" s="7"/>
      <c r="O597" s="7"/>
      <c r="P597" s="7"/>
      <c r="Q597" s="7"/>
      <c r="R597" s="64"/>
      <c r="S597" s="64"/>
      <c r="T597" s="64"/>
      <c r="U597" s="64"/>
      <c r="V597" s="64"/>
      <c r="W597" s="64"/>
    </row>
    <row r="598" spans="1:23" ht="30" customHeight="1">
      <c r="A598" s="8"/>
      <c r="B598" s="7"/>
      <c r="C598" s="33"/>
      <c r="D598" s="7"/>
      <c r="E598" s="7"/>
      <c r="F598" s="7"/>
      <c r="G598" s="7"/>
      <c r="H598" s="7"/>
      <c r="I598" s="7"/>
      <c r="J598" s="7"/>
      <c r="K598" s="7"/>
      <c r="L598" s="7"/>
      <c r="M598" s="7"/>
      <c r="N598" s="7"/>
      <c r="O598" s="7"/>
      <c r="P598" s="7"/>
      <c r="Q598" s="7"/>
      <c r="R598" s="64"/>
      <c r="S598" s="64"/>
      <c r="T598" s="64"/>
      <c r="U598" s="64"/>
      <c r="V598" s="64"/>
      <c r="W598" s="64"/>
    </row>
    <row r="599" spans="1:23" ht="30" customHeight="1">
      <c r="A599" s="8"/>
      <c r="B599" s="7"/>
      <c r="C599" s="33"/>
      <c r="D599" s="7"/>
      <c r="E599" s="7"/>
      <c r="F599" s="7"/>
      <c r="G599" s="7"/>
      <c r="H599" s="7"/>
      <c r="I599" s="7"/>
      <c r="J599" s="7"/>
      <c r="K599" s="7"/>
      <c r="L599" s="7"/>
      <c r="M599" s="7"/>
      <c r="N599" s="7"/>
      <c r="O599" s="7"/>
      <c r="P599" s="7"/>
      <c r="Q599" s="7"/>
      <c r="R599" s="64"/>
      <c r="S599" s="64"/>
      <c r="T599" s="64"/>
      <c r="U599" s="64"/>
      <c r="V599" s="64"/>
      <c r="W599" s="64"/>
    </row>
    <row r="600" spans="1:23" ht="30" customHeight="1">
      <c r="A600" s="8"/>
      <c r="B600" s="7"/>
      <c r="C600" s="33"/>
      <c r="D600" s="7"/>
      <c r="E600" s="7"/>
      <c r="F600" s="7"/>
      <c r="G600" s="7"/>
      <c r="H600" s="7"/>
      <c r="I600" s="7"/>
      <c r="J600" s="7"/>
      <c r="K600" s="7"/>
      <c r="L600" s="7"/>
      <c r="M600" s="7"/>
      <c r="N600" s="7"/>
      <c r="O600" s="7"/>
      <c r="P600" s="7"/>
      <c r="Q600" s="7"/>
      <c r="R600" s="64"/>
      <c r="S600" s="64"/>
      <c r="T600" s="64"/>
      <c r="U600" s="64"/>
      <c r="V600" s="64"/>
      <c r="W600" s="64"/>
    </row>
    <row r="601" spans="1:23" ht="30" customHeight="1">
      <c r="A601" s="8"/>
      <c r="B601" s="7"/>
      <c r="C601" s="33"/>
      <c r="D601" s="7"/>
      <c r="E601" s="7"/>
      <c r="F601" s="7"/>
      <c r="G601" s="7"/>
      <c r="H601" s="7"/>
      <c r="I601" s="7"/>
      <c r="J601" s="7"/>
      <c r="K601" s="7"/>
      <c r="L601" s="7"/>
      <c r="M601" s="7"/>
      <c r="N601" s="7"/>
      <c r="O601" s="7"/>
      <c r="P601" s="7"/>
      <c r="Q601" s="7"/>
      <c r="R601" s="64"/>
      <c r="S601" s="64"/>
      <c r="T601" s="64"/>
      <c r="U601" s="64"/>
      <c r="V601" s="64"/>
      <c r="W601" s="64"/>
    </row>
    <row r="602" spans="1:23" ht="30" customHeight="1">
      <c r="A602" s="8"/>
      <c r="B602" s="7"/>
      <c r="C602" s="33"/>
      <c r="D602" s="7"/>
      <c r="E602" s="7"/>
      <c r="F602" s="7"/>
      <c r="G602" s="7"/>
      <c r="H602" s="7"/>
      <c r="I602" s="7"/>
      <c r="J602" s="7"/>
      <c r="K602" s="7"/>
      <c r="L602" s="7"/>
      <c r="M602" s="7"/>
      <c r="N602" s="7"/>
      <c r="O602" s="7"/>
      <c r="P602" s="7"/>
      <c r="Q602" s="7"/>
      <c r="R602" s="64"/>
      <c r="S602" s="64"/>
      <c r="T602" s="64"/>
      <c r="U602" s="64"/>
      <c r="V602" s="64"/>
      <c r="W602" s="64"/>
    </row>
    <row r="603" spans="1:23" ht="30" customHeight="1">
      <c r="A603" s="8"/>
      <c r="B603" s="7"/>
      <c r="C603" s="33"/>
      <c r="D603" s="7"/>
      <c r="E603" s="7"/>
      <c r="F603" s="7"/>
      <c r="G603" s="7"/>
      <c r="H603" s="7"/>
      <c r="I603" s="7"/>
      <c r="J603" s="7"/>
      <c r="K603" s="7"/>
      <c r="L603" s="7"/>
      <c r="M603" s="7"/>
      <c r="N603" s="7"/>
      <c r="O603" s="7"/>
      <c r="P603" s="7"/>
      <c r="Q603" s="7"/>
      <c r="R603" s="64"/>
      <c r="S603" s="64"/>
      <c r="T603" s="64"/>
      <c r="U603" s="64"/>
      <c r="V603" s="64"/>
      <c r="W603" s="64"/>
    </row>
    <row r="604" spans="1:23" ht="30" customHeight="1">
      <c r="A604" s="8"/>
      <c r="B604" s="7"/>
      <c r="C604" s="33"/>
      <c r="D604" s="7"/>
      <c r="E604" s="7"/>
      <c r="F604" s="7"/>
      <c r="G604" s="7"/>
      <c r="H604" s="7"/>
      <c r="I604" s="7"/>
      <c r="J604" s="7"/>
      <c r="K604" s="7"/>
      <c r="L604" s="7"/>
      <c r="M604" s="7"/>
      <c r="N604" s="7"/>
      <c r="O604" s="7"/>
      <c r="P604" s="7"/>
      <c r="Q604" s="7"/>
      <c r="R604" s="64"/>
      <c r="S604" s="64"/>
      <c r="T604" s="64"/>
      <c r="U604" s="64"/>
      <c r="V604" s="64"/>
      <c r="W604" s="64"/>
    </row>
    <row r="605" spans="1:23" ht="30" customHeight="1">
      <c r="A605" s="8"/>
      <c r="B605" s="7"/>
      <c r="C605" s="33"/>
      <c r="D605" s="7"/>
      <c r="E605" s="7"/>
      <c r="F605" s="7"/>
      <c r="G605" s="7"/>
      <c r="H605" s="7"/>
      <c r="I605" s="7"/>
      <c r="J605" s="7"/>
      <c r="K605" s="7"/>
      <c r="L605" s="7"/>
      <c r="M605" s="7"/>
      <c r="N605" s="7"/>
      <c r="O605" s="7"/>
      <c r="P605" s="7"/>
      <c r="Q605" s="7"/>
      <c r="R605" s="64"/>
      <c r="S605" s="64"/>
      <c r="T605" s="64"/>
      <c r="U605" s="64"/>
      <c r="V605" s="64"/>
      <c r="W605" s="64"/>
    </row>
    <row r="606" spans="1:23" ht="30" customHeight="1">
      <c r="A606" s="8"/>
      <c r="B606" s="7"/>
      <c r="C606" s="33"/>
      <c r="D606" s="7"/>
      <c r="E606" s="7"/>
      <c r="F606" s="7"/>
      <c r="G606" s="7"/>
      <c r="H606" s="7"/>
      <c r="I606" s="7"/>
      <c r="J606" s="7"/>
      <c r="K606" s="7"/>
      <c r="L606" s="7"/>
      <c r="M606" s="7"/>
      <c r="N606" s="7"/>
      <c r="O606" s="7"/>
      <c r="P606" s="7"/>
      <c r="Q606" s="7"/>
      <c r="R606" s="64"/>
      <c r="S606" s="64"/>
      <c r="T606" s="64"/>
      <c r="U606" s="64"/>
      <c r="V606" s="64"/>
      <c r="W606" s="64"/>
    </row>
    <row r="607" spans="1:23" ht="30" customHeight="1">
      <c r="A607" s="8"/>
      <c r="B607" s="7"/>
      <c r="C607" s="33"/>
      <c r="D607" s="7"/>
      <c r="E607" s="7"/>
      <c r="F607" s="7"/>
      <c r="G607" s="7"/>
      <c r="H607" s="7"/>
      <c r="I607" s="7"/>
      <c r="J607" s="7"/>
      <c r="K607" s="7"/>
      <c r="L607" s="7"/>
      <c r="M607" s="7"/>
      <c r="N607" s="7"/>
      <c r="O607" s="7"/>
      <c r="P607" s="7"/>
      <c r="Q607" s="7"/>
      <c r="R607" s="64"/>
      <c r="S607" s="64"/>
      <c r="T607" s="64"/>
      <c r="U607" s="64"/>
      <c r="V607" s="64"/>
      <c r="W607" s="64"/>
    </row>
    <row r="608" spans="1:23" ht="30" customHeight="1">
      <c r="A608" s="8"/>
      <c r="B608" s="7"/>
      <c r="C608" s="33"/>
      <c r="D608" s="7"/>
      <c r="E608" s="7"/>
      <c r="F608" s="7"/>
      <c r="G608" s="7"/>
      <c r="H608" s="7"/>
      <c r="I608" s="7"/>
      <c r="J608" s="7"/>
      <c r="K608" s="7"/>
      <c r="L608" s="7"/>
      <c r="M608" s="7"/>
      <c r="N608" s="7"/>
      <c r="O608" s="7"/>
      <c r="P608" s="7"/>
      <c r="Q608" s="7"/>
      <c r="R608" s="64"/>
      <c r="S608" s="64"/>
      <c r="T608" s="64"/>
      <c r="U608" s="64"/>
      <c r="V608" s="64"/>
      <c r="W608" s="64"/>
    </row>
    <row r="609" spans="1:23" ht="30" customHeight="1">
      <c r="A609" s="8"/>
      <c r="B609" s="7"/>
      <c r="C609" s="33"/>
      <c r="D609" s="7"/>
      <c r="E609" s="7"/>
      <c r="F609" s="7"/>
      <c r="G609" s="7"/>
      <c r="H609" s="7"/>
      <c r="I609" s="7"/>
      <c r="J609" s="7"/>
      <c r="K609" s="7"/>
      <c r="L609" s="7"/>
      <c r="M609" s="7"/>
      <c r="N609" s="7"/>
      <c r="O609" s="7"/>
      <c r="P609" s="7"/>
      <c r="Q609" s="7"/>
      <c r="R609" s="64"/>
      <c r="S609" s="64"/>
      <c r="T609" s="64"/>
      <c r="U609" s="64"/>
      <c r="V609" s="64"/>
      <c r="W609" s="64"/>
    </row>
    <row r="610" spans="1:23" ht="30" customHeight="1">
      <c r="A610" s="8"/>
      <c r="B610" s="7"/>
      <c r="C610" s="33"/>
      <c r="D610" s="7"/>
      <c r="E610" s="7"/>
      <c r="F610" s="7"/>
      <c r="G610" s="7"/>
      <c r="H610" s="7"/>
      <c r="I610" s="7"/>
      <c r="J610" s="7"/>
      <c r="K610" s="7"/>
      <c r="L610" s="7"/>
      <c r="M610" s="7"/>
      <c r="N610" s="7"/>
      <c r="O610" s="7"/>
      <c r="P610" s="7"/>
      <c r="Q610" s="7"/>
      <c r="R610" s="64"/>
      <c r="S610" s="64"/>
      <c r="T610" s="64"/>
      <c r="U610" s="64"/>
      <c r="V610" s="64"/>
      <c r="W610" s="64"/>
    </row>
    <row r="611" spans="1:23" ht="30" customHeight="1">
      <c r="A611" s="8"/>
      <c r="B611" s="7"/>
      <c r="C611" s="33"/>
      <c r="D611" s="7"/>
      <c r="E611" s="7"/>
      <c r="F611" s="7"/>
      <c r="G611" s="7"/>
      <c r="H611" s="7"/>
      <c r="I611" s="7"/>
      <c r="J611" s="7"/>
      <c r="K611" s="7"/>
      <c r="L611" s="7"/>
      <c r="M611" s="7"/>
      <c r="N611" s="7"/>
      <c r="O611" s="7"/>
      <c r="P611" s="7"/>
      <c r="Q611" s="7"/>
      <c r="R611" s="64"/>
      <c r="S611" s="64"/>
      <c r="T611" s="64"/>
      <c r="U611" s="64"/>
      <c r="V611" s="64"/>
      <c r="W611" s="64"/>
    </row>
    <row r="612" spans="1:23" ht="30" customHeight="1">
      <c r="A612" s="8"/>
      <c r="B612" s="7"/>
      <c r="C612" s="33"/>
      <c r="D612" s="7"/>
      <c r="E612" s="7"/>
      <c r="F612" s="7"/>
      <c r="G612" s="7"/>
      <c r="H612" s="7"/>
      <c r="I612" s="7"/>
      <c r="J612" s="7"/>
      <c r="K612" s="7"/>
      <c r="L612" s="7"/>
      <c r="M612" s="7"/>
      <c r="N612" s="7"/>
      <c r="O612" s="7"/>
      <c r="P612" s="7"/>
      <c r="Q612" s="7"/>
      <c r="R612" s="64"/>
      <c r="S612" s="64"/>
      <c r="T612" s="64"/>
      <c r="U612" s="64"/>
      <c r="V612" s="64"/>
      <c r="W612" s="64"/>
    </row>
    <row r="613" spans="1:23" ht="30" customHeight="1">
      <c r="A613" s="8"/>
      <c r="B613" s="7"/>
      <c r="C613" s="33"/>
      <c r="D613" s="7"/>
      <c r="E613" s="7"/>
      <c r="F613" s="7"/>
      <c r="G613" s="7"/>
      <c r="H613" s="7"/>
      <c r="I613" s="7"/>
      <c r="J613" s="7"/>
      <c r="K613" s="7"/>
      <c r="L613" s="7"/>
      <c r="M613" s="7"/>
      <c r="N613" s="7"/>
      <c r="O613" s="7"/>
      <c r="P613" s="7"/>
      <c r="Q613" s="7"/>
      <c r="R613" s="64"/>
      <c r="S613" s="64"/>
      <c r="T613" s="64"/>
      <c r="U613" s="64"/>
      <c r="V613" s="64"/>
      <c r="W613" s="64"/>
    </row>
    <row r="614" spans="1:23" ht="30" customHeight="1">
      <c r="A614" s="8"/>
      <c r="B614" s="7"/>
      <c r="C614" s="33"/>
      <c r="D614" s="7"/>
      <c r="E614" s="7"/>
      <c r="F614" s="7"/>
      <c r="G614" s="7"/>
      <c r="H614" s="7"/>
      <c r="I614" s="7"/>
      <c r="J614" s="7"/>
      <c r="K614" s="7"/>
      <c r="L614" s="7"/>
      <c r="M614" s="7"/>
      <c r="N614" s="7"/>
      <c r="O614" s="7"/>
      <c r="P614" s="7"/>
      <c r="Q614" s="7"/>
      <c r="R614" s="64"/>
      <c r="S614" s="64"/>
      <c r="T614" s="64"/>
      <c r="U614" s="64"/>
      <c r="V614" s="64"/>
      <c r="W614" s="64"/>
    </row>
    <row r="615" spans="1:23" ht="30" customHeight="1">
      <c r="A615" s="8"/>
      <c r="B615" s="7"/>
      <c r="C615" s="33"/>
      <c r="D615" s="7"/>
      <c r="E615" s="7"/>
      <c r="F615" s="7"/>
      <c r="G615" s="7"/>
      <c r="H615" s="7"/>
      <c r="I615" s="7"/>
      <c r="J615" s="7"/>
      <c r="K615" s="7"/>
      <c r="L615" s="7"/>
      <c r="M615" s="7"/>
      <c r="N615" s="7"/>
      <c r="O615" s="7"/>
      <c r="P615" s="7"/>
      <c r="Q615" s="7"/>
      <c r="R615" s="64"/>
      <c r="S615" s="64"/>
      <c r="T615" s="64"/>
      <c r="U615" s="64"/>
      <c r="V615" s="64"/>
      <c r="W615" s="64"/>
    </row>
    <row r="616" spans="1:23" ht="30" customHeight="1">
      <c r="A616" s="8"/>
      <c r="B616" s="7"/>
      <c r="C616" s="33"/>
      <c r="D616" s="7"/>
      <c r="E616" s="7"/>
      <c r="F616" s="7"/>
      <c r="G616" s="7"/>
      <c r="H616" s="7"/>
      <c r="I616" s="7"/>
      <c r="J616" s="7"/>
      <c r="K616" s="7"/>
      <c r="L616" s="7"/>
      <c r="M616" s="7"/>
      <c r="N616" s="7"/>
      <c r="O616" s="7"/>
      <c r="P616" s="7"/>
      <c r="Q616" s="7"/>
      <c r="R616" s="64"/>
      <c r="S616" s="64"/>
      <c r="T616" s="64"/>
      <c r="U616" s="64"/>
      <c r="V616" s="64"/>
      <c r="W616" s="64"/>
    </row>
    <row r="617" spans="1:23" ht="30" customHeight="1">
      <c r="A617" s="8"/>
      <c r="B617" s="7"/>
      <c r="C617" s="33"/>
      <c r="D617" s="7"/>
      <c r="E617" s="7"/>
      <c r="F617" s="7"/>
      <c r="G617" s="7"/>
      <c r="H617" s="7"/>
      <c r="I617" s="7"/>
      <c r="J617" s="7"/>
      <c r="K617" s="7"/>
      <c r="L617" s="7"/>
      <c r="M617" s="7"/>
      <c r="N617" s="7"/>
      <c r="O617" s="7"/>
      <c r="P617" s="7"/>
      <c r="Q617" s="7"/>
      <c r="R617" s="64"/>
      <c r="S617" s="64"/>
      <c r="T617" s="64"/>
      <c r="U617" s="64"/>
      <c r="V617" s="64"/>
      <c r="W617" s="64"/>
    </row>
    <row r="618" spans="1:23" ht="30" customHeight="1">
      <c r="A618" s="8"/>
      <c r="B618" s="7"/>
      <c r="C618" s="33"/>
      <c r="D618" s="7"/>
      <c r="E618" s="7"/>
      <c r="F618" s="7"/>
      <c r="G618" s="7"/>
      <c r="H618" s="7"/>
      <c r="I618" s="7"/>
      <c r="J618" s="7"/>
      <c r="K618" s="7"/>
      <c r="L618" s="7"/>
      <c r="M618" s="7"/>
      <c r="N618" s="7"/>
      <c r="O618" s="7"/>
      <c r="P618" s="7"/>
      <c r="Q618" s="7"/>
      <c r="R618" s="64"/>
      <c r="S618" s="64"/>
      <c r="T618" s="64"/>
      <c r="U618" s="64"/>
      <c r="V618" s="64"/>
      <c r="W618" s="64"/>
    </row>
    <row r="619" spans="1:23" ht="30" customHeight="1">
      <c r="A619" s="8"/>
      <c r="B619" s="7"/>
      <c r="C619" s="33"/>
      <c r="D619" s="7"/>
      <c r="E619" s="7"/>
      <c r="F619" s="7"/>
      <c r="G619" s="7"/>
      <c r="H619" s="7"/>
      <c r="I619" s="7"/>
      <c r="J619" s="7"/>
      <c r="K619" s="7"/>
      <c r="L619" s="7"/>
      <c r="M619" s="7"/>
      <c r="N619" s="7"/>
      <c r="O619" s="7"/>
      <c r="P619" s="7"/>
      <c r="Q619" s="7"/>
      <c r="R619" s="64"/>
      <c r="S619" s="64"/>
      <c r="T619" s="64"/>
      <c r="U619" s="64"/>
      <c r="V619" s="64"/>
      <c r="W619" s="64"/>
    </row>
    <row r="620" spans="1:23" ht="30" customHeight="1">
      <c r="A620" s="8"/>
      <c r="B620" s="7"/>
      <c r="C620" s="33"/>
      <c r="D620" s="7"/>
      <c r="E620" s="7"/>
      <c r="F620" s="7"/>
      <c r="G620" s="7"/>
      <c r="H620" s="7"/>
      <c r="I620" s="7"/>
      <c r="J620" s="7"/>
      <c r="K620" s="7"/>
      <c r="L620" s="7"/>
      <c r="M620" s="7"/>
      <c r="N620" s="7"/>
      <c r="O620" s="7"/>
      <c r="P620" s="7"/>
      <c r="Q620" s="7"/>
      <c r="R620" s="64"/>
      <c r="S620" s="64"/>
      <c r="T620" s="64"/>
      <c r="U620" s="64"/>
      <c r="V620" s="64"/>
      <c r="W620" s="64"/>
    </row>
    <row r="621" spans="1:23" ht="30" customHeight="1">
      <c r="A621" s="8"/>
      <c r="B621" s="7"/>
      <c r="C621" s="33"/>
      <c r="D621" s="7"/>
      <c r="E621" s="7"/>
      <c r="F621" s="7"/>
      <c r="G621" s="7"/>
      <c r="H621" s="7"/>
      <c r="I621" s="7"/>
      <c r="J621" s="7"/>
      <c r="K621" s="7"/>
      <c r="L621" s="7"/>
      <c r="M621" s="7"/>
      <c r="N621" s="7"/>
      <c r="O621" s="7"/>
      <c r="P621" s="7"/>
      <c r="Q621" s="7"/>
      <c r="R621" s="64"/>
      <c r="S621" s="64"/>
      <c r="T621" s="64"/>
      <c r="U621" s="64"/>
      <c r="V621" s="64"/>
      <c r="W621" s="64"/>
    </row>
    <row r="622" spans="1:23" ht="30" customHeight="1">
      <c r="A622" s="8"/>
      <c r="B622" s="7"/>
      <c r="C622" s="33"/>
      <c r="D622" s="7"/>
      <c r="E622" s="7"/>
      <c r="F622" s="7"/>
      <c r="G622" s="7"/>
      <c r="H622" s="7"/>
      <c r="I622" s="7"/>
      <c r="J622" s="7"/>
      <c r="K622" s="7"/>
      <c r="L622" s="7"/>
      <c r="M622" s="7"/>
      <c r="N622" s="7"/>
      <c r="O622" s="7"/>
      <c r="P622" s="7"/>
      <c r="Q622" s="7"/>
      <c r="R622" s="64"/>
      <c r="S622" s="64"/>
      <c r="T622" s="64"/>
      <c r="U622" s="64"/>
      <c r="V622" s="64"/>
      <c r="W622" s="64"/>
    </row>
    <row r="623" spans="1:23" ht="30" customHeight="1">
      <c r="A623" s="8"/>
      <c r="B623" s="7"/>
      <c r="C623" s="33"/>
      <c r="D623" s="7"/>
      <c r="E623" s="7"/>
      <c r="F623" s="7"/>
      <c r="G623" s="7"/>
      <c r="H623" s="7"/>
      <c r="I623" s="7"/>
      <c r="J623" s="7"/>
      <c r="K623" s="7"/>
      <c r="L623" s="7"/>
      <c r="M623" s="7"/>
      <c r="N623" s="7"/>
      <c r="O623" s="7"/>
      <c r="P623" s="7"/>
      <c r="Q623" s="7"/>
      <c r="R623" s="64"/>
      <c r="S623" s="64"/>
      <c r="T623" s="64"/>
      <c r="U623" s="64"/>
      <c r="V623" s="64"/>
      <c r="W623" s="64"/>
    </row>
    <row r="624" spans="1:23" ht="30" customHeight="1">
      <c r="A624" s="8"/>
      <c r="B624" s="7"/>
      <c r="C624" s="33"/>
      <c r="D624" s="7"/>
      <c r="E624" s="7"/>
      <c r="F624" s="7"/>
      <c r="G624" s="7"/>
      <c r="H624" s="7"/>
      <c r="I624" s="7"/>
      <c r="J624" s="7"/>
      <c r="K624" s="7"/>
      <c r="L624" s="7"/>
      <c r="M624" s="7"/>
      <c r="N624" s="7"/>
      <c r="O624" s="7"/>
      <c r="P624" s="7"/>
      <c r="Q624" s="7"/>
      <c r="R624" s="64"/>
      <c r="S624" s="64"/>
      <c r="T624" s="64"/>
      <c r="U624" s="64"/>
      <c r="V624" s="64"/>
      <c r="W624" s="64"/>
    </row>
    <row r="625" spans="1:23" ht="30" customHeight="1">
      <c r="A625" s="8"/>
      <c r="B625" s="7"/>
      <c r="C625" s="33"/>
      <c r="D625" s="7"/>
      <c r="E625" s="7"/>
      <c r="F625" s="7"/>
      <c r="G625" s="7"/>
      <c r="H625" s="7"/>
      <c r="I625" s="7"/>
      <c r="J625" s="7"/>
      <c r="K625" s="7"/>
      <c r="L625" s="7"/>
      <c r="M625" s="7"/>
      <c r="N625" s="7"/>
      <c r="O625" s="7"/>
      <c r="P625" s="7"/>
      <c r="Q625" s="7"/>
      <c r="R625" s="64"/>
      <c r="S625" s="64"/>
      <c r="T625" s="64"/>
      <c r="U625" s="64"/>
      <c r="V625" s="64"/>
      <c r="W625" s="64"/>
    </row>
    <row r="626" spans="1:23" ht="30" customHeight="1">
      <c r="A626" s="8"/>
      <c r="B626" s="7"/>
      <c r="C626" s="33"/>
      <c r="D626" s="7"/>
      <c r="E626" s="7"/>
      <c r="F626" s="7"/>
      <c r="G626" s="7"/>
      <c r="H626" s="7"/>
      <c r="I626" s="7"/>
      <c r="J626" s="7"/>
      <c r="K626" s="7"/>
      <c r="L626" s="7"/>
      <c r="M626" s="7"/>
      <c r="N626" s="7"/>
      <c r="O626" s="7"/>
      <c r="P626" s="7"/>
      <c r="Q626" s="7"/>
      <c r="R626" s="64"/>
      <c r="S626" s="64"/>
      <c r="T626" s="64"/>
      <c r="U626" s="64"/>
      <c r="V626" s="64"/>
      <c r="W626" s="64"/>
    </row>
    <row r="627" spans="1:23" ht="30" customHeight="1">
      <c r="A627" s="8"/>
      <c r="B627" s="7"/>
      <c r="C627" s="33"/>
      <c r="D627" s="7"/>
      <c r="E627" s="7"/>
      <c r="F627" s="7"/>
      <c r="G627" s="7"/>
      <c r="H627" s="7"/>
      <c r="I627" s="7"/>
      <c r="J627" s="7"/>
      <c r="K627" s="7"/>
      <c r="L627" s="7"/>
      <c r="M627" s="7"/>
      <c r="N627" s="7"/>
      <c r="O627" s="7"/>
      <c r="P627" s="7"/>
      <c r="Q627" s="7"/>
      <c r="R627" s="64"/>
      <c r="S627" s="64"/>
      <c r="T627" s="64"/>
      <c r="U627" s="64"/>
      <c r="V627" s="64"/>
      <c r="W627" s="64"/>
    </row>
    <row r="628" spans="1:23" ht="30" customHeight="1">
      <c r="A628" s="8"/>
      <c r="B628" s="7"/>
      <c r="C628" s="33"/>
      <c r="D628" s="7"/>
      <c r="E628" s="7"/>
      <c r="F628" s="7"/>
      <c r="G628" s="7"/>
      <c r="H628" s="7"/>
      <c r="I628" s="7"/>
      <c r="J628" s="7"/>
      <c r="K628" s="7"/>
      <c r="L628" s="7"/>
      <c r="M628" s="7"/>
      <c r="N628" s="7"/>
      <c r="O628" s="7"/>
      <c r="P628" s="7"/>
      <c r="Q628" s="7"/>
      <c r="R628" s="64"/>
      <c r="S628" s="64"/>
      <c r="T628" s="64"/>
      <c r="U628" s="64"/>
      <c r="V628" s="64"/>
      <c r="W628" s="64"/>
    </row>
    <row r="629" spans="1:23" ht="30" customHeight="1">
      <c r="A629" s="8"/>
      <c r="B629" s="7"/>
      <c r="C629" s="33"/>
      <c r="D629" s="7"/>
      <c r="E629" s="7"/>
      <c r="F629" s="7"/>
      <c r="G629" s="7"/>
      <c r="H629" s="7"/>
      <c r="I629" s="7"/>
      <c r="J629" s="7"/>
      <c r="K629" s="7"/>
      <c r="L629" s="7"/>
      <c r="M629" s="7"/>
      <c r="N629" s="7"/>
      <c r="O629" s="7"/>
      <c r="P629" s="7"/>
      <c r="Q629" s="7"/>
      <c r="R629" s="64"/>
      <c r="S629" s="64"/>
      <c r="T629" s="64"/>
      <c r="U629" s="64"/>
      <c r="V629" s="64"/>
      <c r="W629" s="64"/>
    </row>
    <row r="630" spans="1:23" ht="30" customHeight="1">
      <c r="A630" s="8"/>
      <c r="B630" s="7"/>
      <c r="C630" s="33"/>
      <c r="D630" s="7"/>
      <c r="E630" s="7"/>
      <c r="F630" s="7"/>
      <c r="G630" s="7"/>
      <c r="H630" s="7"/>
      <c r="I630" s="7"/>
      <c r="J630" s="7"/>
      <c r="K630" s="7"/>
      <c r="L630" s="7"/>
      <c r="M630" s="7"/>
      <c r="N630" s="7"/>
      <c r="O630" s="7"/>
      <c r="P630" s="7"/>
      <c r="Q630" s="7"/>
      <c r="R630" s="64"/>
      <c r="S630" s="64"/>
      <c r="T630" s="64"/>
      <c r="U630" s="64"/>
      <c r="V630" s="64"/>
      <c r="W630" s="64"/>
    </row>
    <row r="631" spans="1:23" ht="30" customHeight="1">
      <c r="A631" s="8"/>
      <c r="B631" s="7"/>
      <c r="C631" s="33"/>
      <c r="D631" s="7"/>
      <c r="E631" s="7"/>
      <c r="F631" s="7"/>
      <c r="G631" s="7"/>
      <c r="H631" s="7"/>
      <c r="I631" s="7"/>
      <c r="J631" s="7"/>
      <c r="K631" s="7"/>
      <c r="L631" s="7"/>
      <c r="M631" s="7"/>
      <c r="N631" s="7"/>
      <c r="O631" s="7"/>
      <c r="P631" s="7"/>
      <c r="Q631" s="7"/>
      <c r="R631" s="64"/>
      <c r="S631" s="64"/>
      <c r="T631" s="64"/>
      <c r="U631" s="64"/>
      <c r="V631" s="64"/>
      <c r="W631" s="64"/>
    </row>
    <row r="632" spans="1:23" ht="30" customHeight="1">
      <c r="A632" s="8"/>
      <c r="B632" s="7"/>
      <c r="C632" s="33"/>
      <c r="D632" s="7"/>
      <c r="E632" s="7"/>
      <c r="F632" s="7"/>
      <c r="G632" s="7"/>
      <c r="H632" s="7"/>
      <c r="I632" s="7"/>
      <c r="J632" s="7"/>
      <c r="K632" s="7"/>
      <c r="L632" s="7"/>
      <c r="M632" s="7"/>
      <c r="N632" s="7"/>
      <c r="O632" s="7"/>
      <c r="P632" s="7"/>
      <c r="Q632" s="7"/>
      <c r="R632" s="64"/>
      <c r="S632" s="64"/>
      <c r="T632" s="64"/>
      <c r="U632" s="64"/>
      <c r="V632" s="64"/>
      <c r="W632" s="64"/>
    </row>
    <row r="633" spans="1:23" ht="30" customHeight="1">
      <c r="A633" s="8"/>
      <c r="B633" s="7"/>
      <c r="C633" s="33"/>
      <c r="D633" s="7"/>
      <c r="E633" s="7"/>
      <c r="F633" s="7"/>
      <c r="G633" s="7"/>
      <c r="H633" s="7"/>
      <c r="I633" s="7"/>
      <c r="J633" s="7"/>
      <c r="K633" s="7"/>
      <c r="L633" s="7"/>
      <c r="M633" s="7"/>
      <c r="N633" s="7"/>
      <c r="O633" s="7"/>
      <c r="P633" s="7"/>
      <c r="Q633" s="7"/>
      <c r="R633" s="64"/>
      <c r="S633" s="64"/>
      <c r="T633" s="64"/>
      <c r="U633" s="64"/>
      <c r="V633" s="64"/>
      <c r="W633" s="64"/>
    </row>
    <row r="634" spans="1:23" ht="30" customHeight="1">
      <c r="A634" s="8"/>
      <c r="B634" s="7"/>
      <c r="C634" s="33"/>
      <c r="D634" s="7"/>
      <c r="E634" s="7"/>
      <c r="F634" s="7"/>
      <c r="G634" s="7"/>
      <c r="H634" s="7"/>
      <c r="I634" s="7"/>
      <c r="J634" s="7"/>
      <c r="K634" s="7"/>
      <c r="L634" s="7"/>
      <c r="M634" s="7"/>
      <c r="N634" s="7"/>
      <c r="O634" s="7"/>
      <c r="P634" s="7"/>
      <c r="Q634" s="7"/>
      <c r="R634" s="64"/>
      <c r="S634" s="64"/>
      <c r="T634" s="64"/>
      <c r="U634" s="64"/>
      <c r="V634" s="64"/>
      <c r="W634" s="64"/>
    </row>
    <row r="635" spans="1:23" ht="30" customHeight="1">
      <c r="A635" s="8"/>
      <c r="B635" s="7"/>
      <c r="C635" s="33"/>
      <c r="D635" s="7"/>
      <c r="E635" s="7"/>
      <c r="F635" s="7"/>
      <c r="G635" s="7"/>
      <c r="H635" s="7"/>
      <c r="I635" s="7"/>
      <c r="J635" s="7"/>
      <c r="K635" s="7"/>
      <c r="L635" s="7"/>
      <c r="M635" s="7"/>
      <c r="N635" s="7"/>
      <c r="O635" s="7"/>
      <c r="P635" s="7"/>
      <c r="Q635" s="7"/>
      <c r="R635" s="64"/>
      <c r="S635" s="64"/>
      <c r="T635" s="64"/>
      <c r="U635" s="64"/>
      <c r="V635" s="64"/>
      <c r="W635" s="64"/>
    </row>
    <row r="636" spans="1:23" ht="30" customHeight="1">
      <c r="A636" s="8"/>
      <c r="B636" s="7"/>
      <c r="C636" s="33"/>
      <c r="D636" s="7"/>
      <c r="E636" s="7"/>
      <c r="F636" s="7"/>
      <c r="G636" s="7"/>
      <c r="H636" s="7"/>
      <c r="I636" s="7"/>
      <c r="J636" s="7"/>
      <c r="K636" s="7"/>
      <c r="L636" s="7"/>
      <c r="M636" s="7"/>
      <c r="N636" s="7"/>
      <c r="O636" s="7"/>
      <c r="P636" s="7"/>
      <c r="Q636" s="7"/>
      <c r="R636" s="64"/>
      <c r="S636" s="64"/>
      <c r="T636" s="64"/>
      <c r="U636" s="64"/>
      <c r="V636" s="64"/>
      <c r="W636" s="64"/>
    </row>
    <row r="637" spans="1:23" ht="30" customHeight="1">
      <c r="A637" s="8"/>
      <c r="B637" s="7"/>
      <c r="C637" s="33"/>
      <c r="D637" s="7"/>
      <c r="E637" s="7"/>
      <c r="F637" s="7"/>
      <c r="G637" s="7"/>
      <c r="H637" s="7"/>
      <c r="I637" s="7"/>
      <c r="J637" s="7"/>
      <c r="K637" s="7"/>
      <c r="L637" s="7"/>
      <c r="M637" s="7"/>
      <c r="N637" s="7"/>
      <c r="O637" s="7"/>
      <c r="P637" s="7"/>
      <c r="Q637" s="7"/>
      <c r="R637" s="64"/>
      <c r="S637" s="64"/>
      <c r="T637" s="64"/>
      <c r="U637" s="64"/>
      <c r="V637" s="64"/>
      <c r="W637" s="64"/>
    </row>
    <row r="638" spans="1:23" ht="30" customHeight="1">
      <c r="A638" s="8"/>
      <c r="B638" s="7"/>
      <c r="C638" s="33"/>
      <c r="D638" s="7"/>
      <c r="E638" s="7"/>
      <c r="F638" s="7"/>
      <c r="G638" s="7"/>
      <c r="H638" s="7"/>
      <c r="I638" s="7"/>
      <c r="J638" s="7"/>
      <c r="K638" s="7"/>
      <c r="L638" s="7"/>
      <c r="M638" s="7"/>
      <c r="N638" s="7"/>
      <c r="O638" s="7"/>
      <c r="P638" s="7"/>
      <c r="Q638" s="7"/>
      <c r="R638" s="64"/>
      <c r="S638" s="64"/>
      <c r="T638" s="64"/>
      <c r="U638" s="64"/>
      <c r="V638" s="64"/>
      <c r="W638" s="64"/>
    </row>
    <row r="639" spans="1:23" ht="30" customHeight="1">
      <c r="A639" s="8"/>
      <c r="B639" s="7"/>
      <c r="C639" s="33"/>
      <c r="D639" s="7"/>
      <c r="E639" s="7"/>
      <c r="F639" s="7"/>
      <c r="G639" s="7"/>
      <c r="H639" s="7"/>
      <c r="I639" s="7"/>
      <c r="J639" s="7"/>
      <c r="K639" s="7"/>
      <c r="L639" s="7"/>
      <c r="M639" s="7"/>
      <c r="N639" s="7"/>
      <c r="O639" s="7"/>
      <c r="P639" s="7"/>
      <c r="Q639" s="7"/>
      <c r="R639" s="64"/>
      <c r="S639" s="64"/>
      <c r="T639" s="64"/>
      <c r="U639" s="64"/>
      <c r="V639" s="64"/>
      <c r="W639" s="64"/>
    </row>
    <row r="640" spans="1:23" ht="30" customHeight="1">
      <c r="A640" s="8"/>
      <c r="B640" s="7"/>
      <c r="C640" s="33"/>
      <c r="D640" s="7"/>
      <c r="E640" s="7"/>
      <c r="F640" s="7"/>
      <c r="G640" s="7"/>
      <c r="H640" s="7"/>
      <c r="I640" s="7"/>
      <c r="J640" s="7"/>
      <c r="K640" s="7"/>
      <c r="L640" s="7"/>
      <c r="M640" s="7"/>
      <c r="N640" s="7"/>
      <c r="O640" s="7"/>
      <c r="P640" s="7"/>
      <c r="Q640" s="7"/>
      <c r="R640" s="64"/>
      <c r="S640" s="64"/>
      <c r="T640" s="64"/>
      <c r="U640" s="64"/>
      <c r="V640" s="64"/>
      <c r="W640" s="64"/>
    </row>
    <row r="641" spans="1:23" ht="30" customHeight="1">
      <c r="A641" s="8"/>
      <c r="B641" s="7"/>
      <c r="C641" s="33"/>
      <c r="D641" s="7"/>
      <c r="E641" s="7"/>
      <c r="F641" s="7"/>
      <c r="G641" s="7"/>
      <c r="H641" s="7"/>
      <c r="I641" s="7"/>
      <c r="J641" s="7"/>
      <c r="K641" s="7"/>
      <c r="L641" s="7"/>
      <c r="M641" s="7"/>
      <c r="N641" s="7"/>
      <c r="O641" s="7"/>
      <c r="P641" s="7"/>
      <c r="Q641" s="7"/>
      <c r="R641" s="64"/>
      <c r="S641" s="64"/>
      <c r="T641" s="64"/>
      <c r="U641" s="64"/>
      <c r="V641" s="64"/>
      <c r="W641" s="64"/>
    </row>
    <row r="642" spans="1:23" ht="30" customHeight="1">
      <c r="A642" s="8"/>
      <c r="B642" s="7"/>
      <c r="C642" s="33"/>
      <c r="D642" s="7"/>
      <c r="E642" s="7"/>
      <c r="F642" s="7"/>
      <c r="G642" s="7"/>
      <c r="H642" s="7"/>
      <c r="I642" s="7"/>
      <c r="J642" s="7"/>
      <c r="K642" s="7"/>
      <c r="L642" s="7"/>
      <c r="M642" s="7"/>
      <c r="N642" s="7"/>
      <c r="O642" s="7"/>
      <c r="P642" s="7"/>
      <c r="Q642" s="7"/>
      <c r="R642" s="64"/>
      <c r="S642" s="64"/>
      <c r="T642" s="64"/>
      <c r="U642" s="64"/>
      <c r="V642" s="64"/>
      <c r="W642" s="64"/>
    </row>
    <row r="643" spans="1:23" ht="30" customHeight="1">
      <c r="A643" s="8"/>
      <c r="B643" s="7"/>
      <c r="C643" s="33"/>
      <c r="D643" s="7"/>
      <c r="E643" s="7"/>
      <c r="F643" s="7"/>
      <c r="G643" s="7"/>
      <c r="H643" s="7"/>
      <c r="I643" s="7"/>
      <c r="J643" s="7"/>
      <c r="K643" s="7"/>
      <c r="L643" s="7"/>
      <c r="M643" s="7"/>
      <c r="N643" s="7"/>
      <c r="O643" s="7"/>
      <c r="P643" s="7"/>
      <c r="Q643" s="7"/>
      <c r="R643" s="64"/>
      <c r="S643" s="64"/>
      <c r="T643" s="64"/>
      <c r="U643" s="64"/>
      <c r="V643" s="64"/>
      <c r="W643" s="64"/>
    </row>
    <row r="644" spans="1:23" ht="30" customHeight="1">
      <c r="A644" s="8"/>
      <c r="B644" s="7"/>
      <c r="C644" s="33"/>
      <c r="D644" s="7"/>
      <c r="E644" s="7"/>
      <c r="F644" s="7"/>
      <c r="G644" s="7"/>
      <c r="H644" s="7"/>
      <c r="I644" s="7"/>
      <c r="J644" s="7"/>
      <c r="K644" s="7"/>
      <c r="L644" s="7"/>
      <c r="M644" s="7"/>
      <c r="N644" s="7"/>
      <c r="O644" s="7"/>
      <c r="P644" s="7"/>
      <c r="Q644" s="7"/>
      <c r="R644" s="64"/>
      <c r="S644" s="64"/>
      <c r="T644" s="64"/>
      <c r="U644" s="64"/>
      <c r="V644" s="64"/>
      <c r="W644" s="64"/>
    </row>
    <row r="645" spans="1:23" ht="30" customHeight="1">
      <c r="A645" s="8"/>
      <c r="B645" s="7"/>
      <c r="C645" s="33"/>
      <c r="D645" s="7"/>
      <c r="E645" s="7"/>
      <c r="F645" s="7"/>
      <c r="G645" s="7"/>
      <c r="H645" s="7"/>
      <c r="I645" s="7"/>
      <c r="J645" s="7"/>
      <c r="K645" s="7"/>
      <c r="L645" s="7"/>
      <c r="M645" s="7"/>
      <c r="N645" s="7"/>
      <c r="O645" s="7"/>
      <c r="P645" s="7"/>
      <c r="Q645" s="7"/>
      <c r="R645" s="64"/>
      <c r="S645" s="64"/>
      <c r="T645" s="64"/>
      <c r="U645" s="64"/>
      <c r="V645" s="64"/>
      <c r="W645" s="64"/>
    </row>
    <row r="646" spans="1:23" ht="30" customHeight="1">
      <c r="A646" s="8"/>
      <c r="B646" s="7"/>
      <c r="C646" s="33"/>
      <c r="D646" s="7"/>
      <c r="E646" s="7"/>
      <c r="F646" s="7"/>
      <c r="G646" s="7"/>
      <c r="H646" s="7"/>
      <c r="I646" s="7"/>
      <c r="J646" s="7"/>
      <c r="K646" s="7"/>
      <c r="L646" s="7"/>
      <c r="M646" s="7"/>
      <c r="N646" s="7"/>
      <c r="O646" s="7"/>
      <c r="P646" s="7"/>
      <c r="Q646" s="7"/>
      <c r="R646" s="64"/>
      <c r="S646" s="64"/>
      <c r="T646" s="64"/>
      <c r="U646" s="64"/>
      <c r="V646" s="64"/>
      <c r="W646" s="64"/>
    </row>
    <row r="647" spans="1:23" ht="30" customHeight="1">
      <c r="A647" s="8"/>
      <c r="B647" s="7"/>
      <c r="C647" s="33"/>
      <c r="D647" s="7"/>
      <c r="E647" s="7"/>
      <c r="F647" s="7"/>
      <c r="G647" s="7"/>
      <c r="H647" s="7"/>
      <c r="I647" s="7"/>
      <c r="J647" s="7"/>
      <c r="K647" s="7"/>
      <c r="L647" s="7"/>
      <c r="M647" s="7"/>
      <c r="N647" s="7"/>
      <c r="O647" s="7"/>
      <c r="P647" s="7"/>
      <c r="Q647" s="7"/>
      <c r="R647" s="64"/>
      <c r="S647" s="64"/>
      <c r="T647" s="64"/>
      <c r="U647" s="64"/>
      <c r="V647" s="64"/>
      <c r="W647" s="64"/>
    </row>
    <row r="648" spans="1:23" ht="30" customHeight="1">
      <c r="A648" s="8"/>
      <c r="B648" s="7"/>
      <c r="C648" s="33"/>
      <c r="D648" s="7"/>
      <c r="E648" s="7"/>
      <c r="F648" s="7"/>
      <c r="G648" s="7"/>
      <c r="H648" s="7"/>
      <c r="I648" s="7"/>
      <c r="J648" s="7"/>
      <c r="K648" s="7"/>
      <c r="L648" s="7"/>
      <c r="M648" s="7"/>
      <c r="N648" s="7"/>
      <c r="O648" s="7"/>
      <c r="P648" s="7"/>
      <c r="Q648" s="7"/>
      <c r="R648" s="64"/>
      <c r="S648" s="64"/>
      <c r="T648" s="64"/>
      <c r="U648" s="64"/>
      <c r="V648" s="64"/>
      <c r="W648" s="64"/>
    </row>
    <row r="649" spans="1:23" ht="30" customHeight="1">
      <c r="A649" s="8"/>
      <c r="B649" s="7"/>
      <c r="C649" s="33"/>
      <c r="D649" s="7"/>
      <c r="E649" s="7"/>
      <c r="F649" s="7"/>
      <c r="G649" s="7"/>
      <c r="H649" s="7"/>
      <c r="I649" s="7"/>
      <c r="J649" s="7"/>
      <c r="K649" s="7"/>
      <c r="L649" s="7"/>
      <c r="M649" s="7"/>
      <c r="N649" s="7"/>
      <c r="O649" s="7"/>
      <c r="P649" s="7"/>
      <c r="Q649" s="7"/>
      <c r="R649" s="64"/>
      <c r="S649" s="64"/>
      <c r="T649" s="64"/>
      <c r="U649" s="64"/>
      <c r="V649" s="64"/>
      <c r="W649" s="64"/>
    </row>
    <row r="650" spans="1:23" ht="30" customHeight="1">
      <c r="A650" s="8"/>
      <c r="B650" s="7"/>
      <c r="C650" s="33"/>
      <c r="D650" s="7"/>
      <c r="E650" s="7"/>
      <c r="F650" s="7"/>
      <c r="G650" s="7"/>
      <c r="H650" s="7"/>
      <c r="I650" s="7"/>
      <c r="J650" s="7"/>
      <c r="K650" s="7"/>
      <c r="L650" s="7"/>
      <c r="M650" s="7"/>
      <c r="N650" s="7"/>
      <c r="O650" s="7"/>
      <c r="P650" s="7"/>
      <c r="Q650" s="7"/>
      <c r="R650" s="64"/>
      <c r="S650" s="64"/>
      <c r="T650" s="64"/>
      <c r="U650" s="64"/>
      <c r="V650" s="64"/>
      <c r="W650" s="64"/>
    </row>
    <row r="651" spans="1:23" ht="30" customHeight="1">
      <c r="A651" s="8"/>
      <c r="B651" s="7"/>
      <c r="C651" s="33"/>
      <c r="D651" s="7"/>
      <c r="E651" s="7"/>
      <c r="F651" s="7"/>
      <c r="G651" s="7"/>
      <c r="H651" s="7"/>
      <c r="I651" s="7"/>
      <c r="J651" s="7"/>
      <c r="K651" s="7"/>
      <c r="L651" s="7"/>
      <c r="M651" s="7"/>
      <c r="N651" s="7"/>
      <c r="O651" s="7"/>
      <c r="P651" s="7"/>
      <c r="Q651" s="7"/>
      <c r="R651" s="64"/>
      <c r="S651" s="64"/>
      <c r="T651" s="64"/>
      <c r="U651" s="64"/>
      <c r="V651" s="64"/>
      <c r="W651" s="64"/>
    </row>
    <row r="652" spans="1:23" ht="30" customHeight="1">
      <c r="A652" s="8"/>
      <c r="B652" s="7"/>
      <c r="C652" s="33"/>
      <c r="D652" s="7"/>
      <c r="E652" s="7"/>
      <c r="F652" s="7"/>
      <c r="G652" s="7"/>
      <c r="H652" s="7"/>
      <c r="I652" s="7"/>
      <c r="J652" s="7"/>
      <c r="K652" s="7"/>
      <c r="L652" s="7"/>
      <c r="M652" s="7"/>
      <c r="N652" s="7"/>
      <c r="O652" s="7"/>
      <c r="P652" s="7"/>
      <c r="Q652" s="7"/>
      <c r="R652" s="64"/>
      <c r="S652" s="64"/>
      <c r="T652" s="64"/>
      <c r="U652" s="64"/>
      <c r="V652" s="64"/>
      <c r="W652" s="64"/>
    </row>
    <row r="653" spans="1:23" ht="30" customHeight="1">
      <c r="A653" s="8"/>
      <c r="B653" s="7"/>
      <c r="C653" s="33"/>
      <c r="D653" s="7"/>
      <c r="E653" s="7"/>
      <c r="F653" s="7"/>
      <c r="G653" s="7"/>
      <c r="H653" s="7"/>
      <c r="I653" s="7"/>
      <c r="J653" s="7"/>
      <c r="K653" s="7"/>
      <c r="L653" s="7"/>
      <c r="M653" s="7"/>
      <c r="N653" s="7"/>
      <c r="O653" s="7"/>
      <c r="P653" s="7"/>
      <c r="Q653" s="7"/>
      <c r="R653" s="64"/>
      <c r="S653" s="64"/>
      <c r="T653" s="64"/>
      <c r="U653" s="64"/>
      <c r="V653" s="64"/>
      <c r="W653" s="64"/>
    </row>
    <row r="654" spans="1:23" ht="30" customHeight="1">
      <c r="A654" s="8"/>
      <c r="B654" s="7"/>
      <c r="C654" s="33"/>
      <c r="D654" s="7"/>
      <c r="E654" s="7"/>
      <c r="F654" s="7"/>
      <c r="G654" s="7"/>
      <c r="H654" s="7"/>
      <c r="I654" s="7"/>
      <c r="J654" s="7"/>
      <c r="K654" s="7"/>
      <c r="L654" s="7"/>
      <c r="M654" s="7"/>
      <c r="N654" s="7"/>
      <c r="O654" s="7"/>
      <c r="P654" s="7"/>
      <c r="Q654" s="7"/>
      <c r="R654" s="64"/>
      <c r="S654" s="64"/>
      <c r="T654" s="64"/>
      <c r="U654" s="64"/>
      <c r="V654" s="64"/>
      <c r="W654" s="64"/>
    </row>
    <row r="655" spans="1:23" ht="30" customHeight="1">
      <c r="A655" s="8"/>
      <c r="B655" s="7"/>
      <c r="C655" s="33"/>
      <c r="D655" s="7"/>
      <c r="E655" s="7"/>
      <c r="F655" s="7"/>
      <c r="G655" s="7"/>
      <c r="H655" s="7"/>
      <c r="I655" s="7"/>
      <c r="J655" s="7"/>
      <c r="K655" s="7"/>
      <c r="L655" s="7"/>
      <c r="M655" s="7"/>
      <c r="N655" s="7"/>
      <c r="O655" s="7"/>
      <c r="P655" s="7"/>
      <c r="Q655" s="7"/>
      <c r="R655" s="64"/>
      <c r="S655" s="64"/>
      <c r="T655" s="64"/>
      <c r="U655" s="64"/>
      <c r="V655" s="64"/>
      <c r="W655" s="64"/>
    </row>
    <row r="656" spans="1:23" ht="30" customHeight="1">
      <c r="A656" s="8"/>
      <c r="B656" s="7"/>
      <c r="C656" s="33"/>
      <c r="D656" s="7"/>
      <c r="E656" s="7"/>
      <c r="F656" s="7"/>
      <c r="G656" s="7"/>
      <c r="H656" s="7"/>
      <c r="I656" s="7"/>
      <c r="J656" s="7"/>
      <c r="K656" s="7"/>
      <c r="L656" s="7"/>
      <c r="M656" s="7"/>
      <c r="N656" s="7"/>
      <c r="O656" s="7"/>
      <c r="P656" s="7"/>
      <c r="Q656" s="7"/>
      <c r="R656" s="64"/>
      <c r="S656" s="64"/>
      <c r="T656" s="64"/>
      <c r="U656" s="64"/>
      <c r="V656" s="64"/>
      <c r="W656" s="64"/>
    </row>
    <row r="657" spans="1:23" ht="30" customHeight="1">
      <c r="A657" s="8"/>
      <c r="B657" s="7"/>
      <c r="C657" s="33"/>
      <c r="D657" s="7"/>
      <c r="E657" s="7"/>
      <c r="F657" s="7"/>
      <c r="G657" s="7"/>
      <c r="H657" s="7"/>
      <c r="I657" s="7"/>
      <c r="J657" s="7"/>
      <c r="K657" s="7"/>
      <c r="L657" s="7"/>
      <c r="M657" s="7"/>
      <c r="N657" s="7"/>
      <c r="O657" s="7"/>
      <c r="P657" s="7"/>
      <c r="Q657" s="7"/>
      <c r="R657" s="64"/>
      <c r="S657" s="64"/>
      <c r="T657" s="64"/>
      <c r="U657" s="64"/>
      <c r="V657" s="64"/>
      <c r="W657" s="64"/>
    </row>
    <row r="658" spans="1:23" ht="30" customHeight="1">
      <c r="A658" s="8"/>
      <c r="B658" s="7"/>
      <c r="C658" s="33"/>
      <c r="D658" s="7"/>
      <c r="E658" s="7"/>
      <c r="F658" s="7"/>
      <c r="G658" s="7"/>
      <c r="H658" s="7"/>
      <c r="I658" s="7"/>
      <c r="J658" s="7"/>
      <c r="K658" s="7"/>
      <c r="L658" s="7"/>
      <c r="M658" s="7"/>
      <c r="N658" s="7"/>
      <c r="O658" s="7"/>
      <c r="P658" s="7"/>
      <c r="Q658" s="7"/>
      <c r="R658" s="64"/>
      <c r="S658" s="64"/>
      <c r="T658" s="64"/>
      <c r="U658" s="64"/>
      <c r="V658" s="64"/>
      <c r="W658" s="64"/>
    </row>
    <row r="659" spans="1:23" ht="30" customHeight="1">
      <c r="A659" s="8"/>
      <c r="B659" s="7"/>
      <c r="C659" s="33"/>
      <c r="D659" s="7"/>
      <c r="E659" s="7"/>
      <c r="F659" s="7"/>
      <c r="G659" s="7"/>
      <c r="H659" s="7"/>
      <c r="I659" s="7"/>
      <c r="J659" s="7"/>
      <c r="K659" s="7"/>
      <c r="L659" s="7"/>
      <c r="M659" s="7"/>
      <c r="N659" s="7"/>
      <c r="O659" s="7"/>
      <c r="P659" s="7"/>
      <c r="Q659" s="7"/>
      <c r="R659" s="64"/>
      <c r="S659" s="64"/>
      <c r="T659" s="64"/>
      <c r="U659" s="64"/>
      <c r="V659" s="64"/>
      <c r="W659" s="64"/>
    </row>
    <row r="660" spans="1:23" ht="30" customHeight="1">
      <c r="A660" s="8"/>
      <c r="B660" s="7"/>
      <c r="C660" s="33"/>
      <c r="D660" s="7"/>
      <c r="E660" s="7"/>
      <c r="F660" s="7"/>
      <c r="G660" s="7"/>
      <c r="H660" s="7"/>
      <c r="I660" s="7"/>
      <c r="J660" s="7"/>
      <c r="K660" s="7"/>
      <c r="L660" s="7"/>
      <c r="M660" s="7"/>
      <c r="N660" s="7"/>
      <c r="O660" s="7"/>
      <c r="P660" s="7"/>
      <c r="Q660" s="7"/>
      <c r="R660" s="64"/>
      <c r="S660" s="64"/>
      <c r="T660" s="64"/>
      <c r="U660" s="64"/>
      <c r="V660" s="64"/>
      <c r="W660" s="64"/>
    </row>
    <row r="661" spans="1:23" ht="30" customHeight="1">
      <c r="A661" s="8"/>
      <c r="B661" s="7"/>
      <c r="C661" s="33"/>
      <c r="D661" s="7"/>
      <c r="E661" s="7"/>
      <c r="F661" s="7"/>
      <c r="G661" s="7"/>
      <c r="H661" s="7"/>
      <c r="I661" s="7"/>
      <c r="J661" s="7"/>
      <c r="K661" s="7"/>
      <c r="L661" s="7"/>
      <c r="M661" s="7"/>
      <c r="N661" s="7"/>
      <c r="O661" s="7"/>
      <c r="P661" s="7"/>
      <c r="Q661" s="7"/>
      <c r="R661" s="64"/>
      <c r="S661" s="64"/>
      <c r="T661" s="64"/>
      <c r="U661" s="64"/>
      <c r="V661" s="64"/>
      <c r="W661" s="64"/>
    </row>
    <row r="662" spans="1:23" ht="30" customHeight="1">
      <c r="A662" s="8"/>
      <c r="B662" s="7"/>
      <c r="C662" s="33"/>
      <c r="D662" s="7"/>
      <c r="E662" s="7"/>
      <c r="F662" s="7"/>
      <c r="G662" s="7"/>
      <c r="H662" s="7"/>
      <c r="I662" s="7"/>
      <c r="J662" s="7"/>
      <c r="K662" s="7"/>
      <c r="L662" s="7"/>
      <c r="M662" s="7"/>
      <c r="N662" s="7"/>
      <c r="O662" s="7"/>
      <c r="P662" s="7"/>
      <c r="Q662" s="7"/>
      <c r="R662" s="64"/>
      <c r="S662" s="64"/>
      <c r="T662" s="64"/>
      <c r="U662" s="64"/>
      <c r="V662" s="64"/>
      <c r="W662" s="64"/>
    </row>
    <row r="663" spans="1:23" ht="30" customHeight="1">
      <c r="A663" s="8"/>
      <c r="B663" s="7"/>
      <c r="C663" s="33"/>
      <c r="D663" s="7"/>
      <c r="E663" s="7"/>
      <c r="F663" s="7"/>
      <c r="G663" s="7"/>
      <c r="H663" s="7"/>
      <c r="I663" s="7"/>
      <c r="J663" s="7"/>
      <c r="K663" s="7"/>
      <c r="L663" s="7"/>
      <c r="M663" s="7"/>
      <c r="N663" s="7"/>
      <c r="O663" s="7"/>
      <c r="P663" s="7"/>
      <c r="Q663" s="7"/>
      <c r="R663" s="64"/>
      <c r="S663" s="64"/>
      <c r="T663" s="64"/>
      <c r="U663" s="64"/>
      <c r="V663" s="64"/>
      <c r="W663" s="64"/>
    </row>
    <row r="664" spans="1:23" ht="30" customHeight="1">
      <c r="A664" s="8"/>
      <c r="B664" s="7"/>
      <c r="C664" s="33"/>
      <c r="D664" s="7"/>
      <c r="E664" s="7"/>
      <c r="F664" s="7"/>
      <c r="G664" s="7"/>
      <c r="H664" s="7"/>
      <c r="I664" s="7"/>
      <c r="J664" s="7"/>
      <c r="K664" s="7"/>
      <c r="L664" s="7"/>
      <c r="M664" s="7"/>
      <c r="N664" s="7"/>
      <c r="O664" s="7"/>
      <c r="P664" s="7"/>
      <c r="Q664" s="7"/>
      <c r="R664" s="64"/>
      <c r="S664" s="64"/>
      <c r="T664" s="64"/>
      <c r="U664" s="64"/>
      <c r="V664" s="64"/>
      <c r="W664" s="64"/>
    </row>
    <row r="665" spans="1:23" ht="30" customHeight="1">
      <c r="A665" s="8"/>
      <c r="B665" s="7"/>
      <c r="C665" s="33"/>
      <c r="D665" s="7"/>
      <c r="E665" s="7"/>
      <c r="F665" s="7"/>
      <c r="G665" s="7"/>
      <c r="H665" s="7"/>
      <c r="I665" s="7"/>
      <c r="J665" s="7"/>
      <c r="K665" s="7"/>
      <c r="L665" s="7"/>
      <c r="M665" s="7"/>
      <c r="N665" s="7"/>
      <c r="O665" s="7"/>
      <c r="P665" s="7"/>
      <c r="Q665" s="7"/>
      <c r="R665" s="64"/>
      <c r="S665" s="64"/>
      <c r="T665" s="64"/>
      <c r="U665" s="64"/>
      <c r="V665" s="64"/>
      <c r="W665" s="64"/>
    </row>
    <row r="666" spans="1:23" ht="30" customHeight="1">
      <c r="A666" s="8"/>
      <c r="B666" s="7"/>
      <c r="C666" s="33"/>
      <c r="D666" s="7"/>
      <c r="E666" s="7"/>
      <c r="F666" s="7"/>
      <c r="G666" s="7"/>
      <c r="H666" s="7"/>
      <c r="I666" s="7"/>
      <c r="J666" s="7"/>
      <c r="K666" s="7"/>
      <c r="L666" s="7"/>
      <c r="M666" s="7"/>
      <c r="N666" s="7"/>
      <c r="O666" s="7"/>
      <c r="P666" s="7"/>
      <c r="Q666" s="7"/>
      <c r="R666" s="64"/>
      <c r="S666" s="64"/>
      <c r="T666" s="64"/>
      <c r="U666" s="64"/>
      <c r="V666" s="64"/>
      <c r="W666" s="64"/>
    </row>
    <row r="667" spans="1:23" ht="30" customHeight="1">
      <c r="A667" s="8"/>
      <c r="B667" s="7"/>
      <c r="C667" s="33"/>
      <c r="D667" s="7"/>
      <c r="E667" s="7"/>
      <c r="F667" s="7"/>
      <c r="G667" s="7"/>
      <c r="H667" s="7"/>
      <c r="I667" s="7"/>
      <c r="J667" s="7"/>
      <c r="K667" s="7"/>
      <c r="L667" s="7"/>
      <c r="M667" s="7"/>
      <c r="N667" s="7"/>
      <c r="O667" s="7"/>
      <c r="P667" s="7"/>
      <c r="Q667" s="7"/>
      <c r="R667" s="64"/>
      <c r="S667" s="64"/>
      <c r="T667" s="64"/>
      <c r="U667" s="64"/>
      <c r="V667" s="64"/>
      <c r="W667" s="64"/>
    </row>
    <row r="668" spans="1:23" ht="30" customHeight="1">
      <c r="A668" s="8"/>
      <c r="B668" s="7"/>
      <c r="C668" s="33"/>
      <c r="D668" s="7"/>
      <c r="E668" s="7"/>
      <c r="F668" s="7"/>
      <c r="G668" s="7"/>
      <c r="H668" s="7"/>
      <c r="I668" s="7"/>
      <c r="J668" s="7"/>
      <c r="K668" s="7"/>
      <c r="L668" s="7"/>
      <c r="M668" s="7"/>
      <c r="N668" s="7"/>
      <c r="O668" s="7"/>
      <c r="P668" s="7"/>
      <c r="Q668" s="7"/>
      <c r="R668" s="64"/>
      <c r="S668" s="64"/>
      <c r="T668" s="64"/>
      <c r="U668" s="64"/>
      <c r="V668" s="64"/>
      <c r="W668" s="64"/>
    </row>
    <row r="669" spans="1:23" ht="30" customHeight="1">
      <c r="A669" s="8"/>
      <c r="B669" s="7"/>
      <c r="C669" s="33"/>
      <c r="D669" s="7"/>
      <c r="E669" s="7"/>
      <c r="F669" s="7"/>
      <c r="G669" s="7"/>
      <c r="H669" s="7"/>
      <c r="I669" s="7"/>
      <c r="J669" s="7"/>
      <c r="K669" s="7"/>
      <c r="L669" s="7"/>
      <c r="M669" s="7"/>
      <c r="N669" s="7"/>
      <c r="O669" s="7"/>
      <c r="P669" s="7"/>
      <c r="Q669" s="7"/>
      <c r="R669" s="64"/>
      <c r="S669" s="64"/>
      <c r="T669" s="64"/>
      <c r="U669" s="64"/>
      <c r="V669" s="64"/>
      <c r="W669" s="64"/>
    </row>
    <row r="670" spans="1:23" ht="30" customHeight="1">
      <c r="A670" s="8"/>
      <c r="B670" s="7"/>
      <c r="C670" s="33"/>
      <c r="D670" s="7"/>
      <c r="E670" s="7"/>
      <c r="F670" s="7"/>
      <c r="G670" s="7"/>
      <c r="H670" s="7"/>
      <c r="I670" s="7"/>
      <c r="J670" s="7"/>
      <c r="K670" s="7"/>
      <c r="L670" s="7"/>
      <c r="M670" s="7"/>
      <c r="N670" s="7"/>
      <c r="O670" s="7"/>
      <c r="P670" s="7"/>
      <c r="Q670" s="7"/>
      <c r="R670" s="64"/>
      <c r="S670" s="64"/>
      <c r="T670" s="64"/>
      <c r="U670" s="64"/>
      <c r="V670" s="64"/>
      <c r="W670" s="64"/>
    </row>
    <row r="671" spans="1:23" ht="30" customHeight="1">
      <c r="A671" s="8"/>
      <c r="B671" s="7"/>
      <c r="C671" s="33"/>
      <c r="D671" s="7"/>
      <c r="E671" s="7"/>
      <c r="F671" s="7"/>
      <c r="G671" s="7"/>
      <c r="H671" s="7"/>
      <c r="I671" s="7"/>
      <c r="J671" s="7"/>
      <c r="K671" s="7"/>
      <c r="L671" s="7"/>
      <c r="M671" s="7"/>
      <c r="N671" s="7"/>
      <c r="O671" s="7"/>
      <c r="P671" s="7"/>
      <c r="Q671" s="7"/>
      <c r="R671" s="64"/>
      <c r="S671" s="64"/>
      <c r="T671" s="64"/>
      <c r="U671" s="64"/>
      <c r="V671" s="64"/>
      <c r="W671" s="64"/>
    </row>
    <row r="672" spans="1:23" ht="30" customHeight="1">
      <c r="A672" s="8"/>
      <c r="B672" s="7"/>
      <c r="C672" s="33"/>
      <c r="D672" s="7"/>
      <c r="E672" s="7"/>
      <c r="F672" s="7"/>
      <c r="G672" s="7"/>
      <c r="H672" s="7"/>
      <c r="I672" s="7"/>
      <c r="J672" s="7"/>
      <c r="K672" s="7"/>
      <c r="L672" s="7"/>
      <c r="M672" s="7"/>
      <c r="N672" s="7"/>
      <c r="O672" s="7"/>
      <c r="P672" s="7"/>
      <c r="Q672" s="7"/>
      <c r="R672" s="64"/>
      <c r="S672" s="64"/>
      <c r="T672" s="64"/>
      <c r="U672" s="64"/>
      <c r="V672" s="64"/>
      <c r="W672" s="64"/>
    </row>
    <row r="673" spans="1:23" ht="30" customHeight="1">
      <c r="A673" s="8"/>
      <c r="B673" s="7"/>
      <c r="C673" s="33"/>
      <c r="D673" s="7"/>
      <c r="E673" s="7"/>
      <c r="F673" s="7"/>
      <c r="G673" s="7"/>
      <c r="H673" s="7"/>
      <c r="I673" s="7"/>
      <c r="J673" s="7"/>
      <c r="K673" s="7"/>
      <c r="L673" s="7"/>
      <c r="M673" s="7"/>
      <c r="N673" s="7"/>
      <c r="O673" s="7"/>
      <c r="P673" s="7"/>
      <c r="Q673" s="7"/>
      <c r="R673" s="64"/>
      <c r="S673" s="64"/>
      <c r="T673" s="64"/>
      <c r="U673" s="64"/>
      <c r="V673" s="64"/>
      <c r="W673" s="64"/>
    </row>
    <row r="674" spans="1:23" ht="30" customHeight="1">
      <c r="A674" s="8"/>
      <c r="B674" s="7"/>
      <c r="C674" s="33"/>
      <c r="D674" s="7"/>
      <c r="E674" s="7"/>
      <c r="F674" s="7"/>
      <c r="G674" s="7"/>
      <c r="H674" s="7"/>
      <c r="I674" s="7"/>
      <c r="J674" s="7"/>
      <c r="K674" s="7"/>
      <c r="L674" s="7"/>
      <c r="M674" s="7"/>
      <c r="N674" s="7"/>
      <c r="O674" s="7"/>
      <c r="P674" s="7"/>
      <c r="Q674" s="7"/>
      <c r="R674" s="64"/>
      <c r="S674" s="64"/>
      <c r="T674" s="64"/>
      <c r="U674" s="64"/>
      <c r="V674" s="64"/>
      <c r="W674" s="64"/>
    </row>
    <row r="675" spans="1:23" ht="30" customHeight="1">
      <c r="A675" s="8"/>
      <c r="B675" s="7"/>
      <c r="C675" s="33"/>
      <c r="D675" s="7"/>
      <c r="E675" s="7"/>
      <c r="F675" s="7"/>
      <c r="G675" s="7"/>
      <c r="H675" s="7"/>
      <c r="I675" s="7"/>
      <c r="J675" s="7"/>
      <c r="K675" s="7"/>
      <c r="L675" s="7"/>
      <c r="M675" s="7"/>
      <c r="N675" s="7"/>
      <c r="O675" s="7"/>
      <c r="P675" s="7"/>
      <c r="Q675" s="7"/>
      <c r="R675" s="64"/>
      <c r="S675" s="64"/>
      <c r="T675" s="64"/>
      <c r="U675" s="64"/>
      <c r="V675" s="64"/>
      <c r="W675" s="64"/>
    </row>
    <row r="676" spans="1:23" ht="30" customHeight="1">
      <c r="A676" s="8"/>
      <c r="B676" s="7"/>
      <c r="C676" s="33"/>
      <c r="D676" s="7"/>
      <c r="E676" s="7"/>
      <c r="F676" s="7"/>
      <c r="G676" s="7"/>
      <c r="H676" s="7"/>
      <c r="I676" s="7"/>
      <c r="J676" s="7"/>
      <c r="K676" s="7"/>
      <c r="L676" s="7"/>
      <c r="M676" s="7"/>
      <c r="N676" s="7"/>
      <c r="O676" s="7"/>
      <c r="P676" s="7"/>
      <c r="Q676" s="7"/>
      <c r="R676" s="64"/>
      <c r="S676" s="64"/>
      <c r="T676" s="64"/>
      <c r="U676" s="64"/>
      <c r="V676" s="64"/>
      <c r="W676" s="64"/>
    </row>
    <row r="677" spans="1:23" ht="30" customHeight="1">
      <c r="A677" s="8"/>
      <c r="B677" s="7"/>
      <c r="C677" s="33"/>
      <c r="D677" s="7"/>
      <c r="E677" s="7"/>
      <c r="F677" s="7"/>
      <c r="G677" s="7"/>
      <c r="H677" s="7"/>
      <c r="I677" s="7"/>
      <c r="J677" s="7"/>
      <c r="K677" s="7"/>
      <c r="L677" s="7"/>
      <c r="M677" s="7"/>
      <c r="N677" s="7"/>
      <c r="O677" s="7"/>
      <c r="P677" s="7"/>
      <c r="Q677" s="7"/>
      <c r="R677" s="64"/>
      <c r="S677" s="64"/>
      <c r="T677" s="64"/>
      <c r="U677" s="64"/>
      <c r="V677" s="64"/>
      <c r="W677" s="64"/>
    </row>
    <row r="678" spans="1:23" ht="30" customHeight="1">
      <c r="A678" s="8"/>
      <c r="B678" s="7"/>
      <c r="C678" s="33"/>
      <c r="D678" s="7"/>
      <c r="E678" s="7"/>
      <c r="F678" s="7"/>
      <c r="G678" s="7"/>
      <c r="H678" s="7"/>
      <c r="I678" s="7"/>
      <c r="J678" s="7"/>
      <c r="K678" s="7"/>
      <c r="L678" s="7"/>
      <c r="M678" s="7"/>
      <c r="N678" s="7"/>
      <c r="O678" s="7"/>
      <c r="P678" s="7"/>
      <c r="Q678" s="7"/>
      <c r="R678" s="64"/>
      <c r="S678" s="64"/>
      <c r="T678" s="64"/>
      <c r="U678" s="64"/>
      <c r="V678" s="64"/>
      <c r="W678" s="64"/>
    </row>
    <row r="679" spans="1:23" ht="30" customHeight="1">
      <c r="A679" s="8"/>
      <c r="B679" s="7"/>
      <c r="C679" s="33"/>
      <c r="D679" s="7"/>
      <c r="E679" s="7"/>
      <c r="F679" s="7"/>
      <c r="G679" s="7"/>
      <c r="H679" s="7"/>
      <c r="I679" s="7"/>
      <c r="J679" s="7"/>
      <c r="K679" s="7"/>
      <c r="L679" s="7"/>
      <c r="M679" s="7"/>
      <c r="N679" s="7"/>
      <c r="O679" s="7"/>
      <c r="P679" s="7"/>
      <c r="Q679" s="7"/>
      <c r="R679" s="64"/>
      <c r="S679" s="64"/>
      <c r="T679" s="64"/>
      <c r="U679" s="64"/>
      <c r="V679" s="64"/>
      <c r="W679" s="64"/>
    </row>
    <row r="680" spans="1:23" ht="30" customHeight="1">
      <c r="A680" s="8"/>
      <c r="B680" s="7"/>
      <c r="C680" s="33"/>
      <c r="D680" s="7"/>
      <c r="E680" s="7"/>
      <c r="F680" s="7"/>
      <c r="G680" s="7"/>
      <c r="H680" s="7"/>
      <c r="I680" s="7"/>
      <c r="J680" s="7"/>
      <c r="K680" s="7"/>
      <c r="L680" s="7"/>
      <c r="M680" s="7"/>
      <c r="N680" s="7"/>
      <c r="O680" s="7"/>
      <c r="P680" s="7"/>
      <c r="Q680" s="7"/>
      <c r="R680" s="64"/>
      <c r="S680" s="64"/>
      <c r="T680" s="64"/>
      <c r="U680" s="64"/>
      <c r="V680" s="64"/>
      <c r="W680" s="64"/>
    </row>
    <row r="681" spans="1:23" ht="30" customHeight="1">
      <c r="A681" s="8"/>
      <c r="B681" s="7"/>
      <c r="C681" s="33"/>
      <c r="D681" s="7"/>
      <c r="E681" s="7"/>
      <c r="F681" s="7"/>
      <c r="G681" s="7"/>
      <c r="H681" s="7"/>
      <c r="I681" s="7"/>
      <c r="J681" s="7"/>
      <c r="K681" s="7"/>
      <c r="L681" s="7"/>
      <c r="M681" s="7"/>
      <c r="N681" s="7"/>
      <c r="O681" s="7"/>
      <c r="P681" s="7"/>
      <c r="Q681" s="7"/>
      <c r="R681" s="64"/>
      <c r="S681" s="64"/>
      <c r="T681" s="64"/>
      <c r="U681" s="64"/>
      <c r="V681" s="64"/>
      <c r="W681" s="64"/>
    </row>
    <row r="682" spans="1:23" ht="30" customHeight="1">
      <c r="A682" s="8"/>
      <c r="B682" s="7"/>
      <c r="C682" s="33"/>
      <c r="D682" s="7"/>
      <c r="E682" s="7"/>
      <c r="F682" s="7"/>
      <c r="G682" s="7"/>
      <c r="H682" s="7"/>
      <c r="I682" s="7"/>
      <c r="J682" s="7"/>
      <c r="K682" s="7"/>
      <c r="L682" s="7"/>
      <c r="M682" s="7"/>
      <c r="N682" s="7"/>
      <c r="O682" s="7"/>
      <c r="P682" s="7"/>
      <c r="Q682" s="7"/>
      <c r="R682" s="64"/>
      <c r="S682" s="64"/>
      <c r="T682" s="64"/>
      <c r="U682" s="64"/>
      <c r="V682" s="64"/>
      <c r="W682" s="64"/>
    </row>
    <row r="683" spans="1:23" ht="30" customHeight="1">
      <c r="A683" s="8"/>
      <c r="B683" s="7"/>
      <c r="C683" s="33"/>
      <c r="D683" s="7"/>
      <c r="E683" s="7"/>
      <c r="F683" s="7"/>
      <c r="G683" s="7"/>
      <c r="H683" s="7"/>
      <c r="I683" s="7"/>
      <c r="J683" s="7"/>
      <c r="K683" s="7"/>
      <c r="L683" s="7"/>
      <c r="M683" s="7"/>
      <c r="N683" s="7"/>
      <c r="O683" s="7"/>
      <c r="P683" s="7"/>
      <c r="Q683" s="7"/>
      <c r="R683" s="64"/>
      <c r="S683" s="64"/>
      <c r="T683" s="64"/>
      <c r="U683" s="64"/>
      <c r="V683" s="64"/>
      <c r="W683" s="64"/>
    </row>
    <row r="684" spans="1:23" ht="30" customHeight="1">
      <c r="A684" s="8"/>
      <c r="B684" s="7"/>
      <c r="C684" s="33"/>
      <c r="D684" s="7"/>
      <c r="E684" s="7"/>
      <c r="F684" s="7"/>
      <c r="G684" s="7"/>
      <c r="H684" s="7"/>
      <c r="I684" s="7"/>
      <c r="J684" s="7"/>
      <c r="K684" s="7"/>
      <c r="L684" s="7"/>
      <c r="M684" s="7"/>
      <c r="N684" s="7"/>
      <c r="O684" s="7"/>
      <c r="P684" s="7"/>
      <c r="Q684" s="7"/>
      <c r="R684" s="64"/>
      <c r="S684" s="64"/>
      <c r="T684" s="64"/>
      <c r="U684" s="64"/>
      <c r="V684" s="64"/>
      <c r="W684" s="64"/>
    </row>
    <row r="685" spans="1:23" ht="30" customHeight="1">
      <c r="A685" s="8"/>
      <c r="B685" s="7"/>
      <c r="C685" s="33"/>
      <c r="D685" s="7"/>
      <c r="E685" s="7"/>
      <c r="F685" s="7"/>
      <c r="G685" s="7"/>
      <c r="H685" s="7"/>
      <c r="I685" s="7"/>
      <c r="J685" s="7"/>
      <c r="K685" s="7"/>
      <c r="L685" s="7"/>
      <c r="M685" s="7"/>
      <c r="N685" s="7"/>
      <c r="O685" s="7"/>
      <c r="P685" s="7"/>
      <c r="Q685" s="7"/>
      <c r="R685" s="64"/>
      <c r="S685" s="64"/>
      <c r="T685" s="64"/>
      <c r="U685" s="64"/>
      <c r="V685" s="64"/>
      <c r="W685" s="64"/>
    </row>
    <row r="686" spans="1:23" ht="30" customHeight="1">
      <c r="A686" s="8"/>
      <c r="B686" s="7"/>
      <c r="C686" s="33"/>
      <c r="D686" s="7"/>
      <c r="E686" s="7"/>
      <c r="F686" s="7"/>
      <c r="G686" s="7"/>
      <c r="H686" s="7"/>
      <c r="I686" s="7"/>
      <c r="J686" s="7"/>
      <c r="K686" s="7"/>
      <c r="L686" s="7"/>
      <c r="M686" s="7"/>
      <c r="N686" s="7"/>
      <c r="O686" s="7"/>
      <c r="P686" s="7"/>
      <c r="Q686" s="7"/>
      <c r="R686" s="64"/>
      <c r="S686" s="64"/>
      <c r="T686" s="64"/>
      <c r="U686" s="64"/>
      <c r="V686" s="64"/>
      <c r="W686" s="64"/>
    </row>
    <row r="687" spans="1:23" ht="30" customHeight="1">
      <c r="A687" s="8"/>
      <c r="B687" s="7"/>
      <c r="C687" s="33"/>
      <c r="D687" s="7"/>
      <c r="E687" s="7"/>
      <c r="F687" s="7"/>
      <c r="G687" s="7"/>
      <c r="H687" s="7"/>
      <c r="I687" s="7"/>
      <c r="J687" s="7"/>
      <c r="K687" s="7"/>
      <c r="L687" s="7"/>
      <c r="M687" s="7"/>
      <c r="N687" s="7"/>
      <c r="O687" s="7"/>
      <c r="P687" s="7"/>
      <c r="Q687" s="7"/>
      <c r="R687" s="64"/>
      <c r="S687" s="64"/>
      <c r="T687" s="64"/>
      <c r="U687" s="64"/>
      <c r="V687" s="64"/>
      <c r="W687" s="64"/>
    </row>
    <row r="688" spans="1:23" ht="30" customHeight="1">
      <c r="A688" s="8"/>
      <c r="B688" s="7"/>
      <c r="C688" s="33"/>
      <c r="D688" s="7"/>
      <c r="E688" s="7"/>
      <c r="F688" s="7"/>
      <c r="G688" s="7"/>
      <c r="H688" s="7"/>
      <c r="I688" s="7"/>
      <c r="J688" s="7"/>
      <c r="K688" s="7"/>
      <c r="L688" s="7"/>
      <c r="M688" s="7"/>
      <c r="N688" s="7"/>
      <c r="O688" s="7"/>
      <c r="P688" s="7"/>
      <c r="Q688" s="7"/>
      <c r="R688" s="64"/>
      <c r="S688" s="64"/>
      <c r="T688" s="64"/>
      <c r="U688" s="64"/>
      <c r="V688" s="64"/>
      <c r="W688" s="64"/>
    </row>
    <row r="689" spans="1:23" ht="30" customHeight="1">
      <c r="A689" s="8"/>
      <c r="B689" s="7"/>
      <c r="C689" s="33"/>
      <c r="D689" s="7"/>
      <c r="E689" s="7"/>
      <c r="F689" s="7"/>
      <c r="G689" s="7"/>
      <c r="H689" s="7"/>
      <c r="I689" s="7"/>
      <c r="J689" s="7"/>
      <c r="K689" s="7"/>
      <c r="L689" s="7"/>
      <c r="M689" s="7"/>
      <c r="N689" s="7"/>
      <c r="O689" s="7"/>
      <c r="P689" s="7"/>
      <c r="Q689" s="7"/>
      <c r="R689" s="64"/>
      <c r="S689" s="64"/>
      <c r="T689" s="64"/>
      <c r="U689" s="64"/>
      <c r="V689" s="64"/>
      <c r="W689" s="64"/>
    </row>
    <row r="690" spans="1:23" ht="30" customHeight="1">
      <c r="A690" s="8"/>
      <c r="B690" s="7"/>
      <c r="C690" s="33"/>
      <c r="D690" s="7"/>
      <c r="E690" s="7"/>
      <c r="F690" s="7"/>
      <c r="G690" s="7"/>
      <c r="H690" s="7"/>
      <c r="I690" s="7"/>
      <c r="J690" s="7"/>
      <c r="K690" s="7"/>
      <c r="L690" s="7"/>
      <c r="M690" s="7"/>
      <c r="N690" s="7"/>
      <c r="O690" s="7"/>
      <c r="P690" s="7"/>
      <c r="Q690" s="7"/>
      <c r="R690" s="64"/>
      <c r="S690" s="64"/>
      <c r="T690" s="64"/>
      <c r="U690" s="64"/>
      <c r="V690" s="64"/>
      <c r="W690" s="64"/>
    </row>
    <row r="691" spans="1:23" ht="30" customHeight="1">
      <c r="A691" s="8"/>
      <c r="B691" s="7"/>
      <c r="C691" s="33"/>
      <c r="D691" s="7"/>
      <c r="E691" s="7"/>
      <c r="F691" s="7"/>
      <c r="G691" s="7"/>
      <c r="H691" s="7"/>
      <c r="I691" s="7"/>
      <c r="J691" s="7"/>
      <c r="K691" s="7"/>
      <c r="L691" s="7"/>
      <c r="M691" s="7"/>
      <c r="N691" s="7"/>
      <c r="O691" s="7"/>
      <c r="P691" s="7"/>
      <c r="Q691" s="7"/>
      <c r="R691" s="64"/>
      <c r="S691" s="64"/>
      <c r="T691" s="64"/>
      <c r="U691" s="64"/>
      <c r="V691" s="64"/>
      <c r="W691" s="64"/>
    </row>
    <row r="692" spans="1:23" ht="30" customHeight="1">
      <c r="A692" s="8"/>
      <c r="B692" s="7"/>
      <c r="C692" s="33"/>
      <c r="D692" s="7"/>
      <c r="E692" s="7"/>
      <c r="F692" s="7"/>
      <c r="G692" s="7"/>
      <c r="H692" s="7"/>
      <c r="I692" s="7"/>
      <c r="J692" s="7"/>
      <c r="K692" s="7"/>
      <c r="L692" s="7"/>
      <c r="M692" s="7"/>
      <c r="N692" s="7"/>
      <c r="O692" s="7"/>
      <c r="P692" s="7"/>
      <c r="Q692" s="7"/>
      <c r="R692" s="64"/>
      <c r="S692" s="64"/>
      <c r="T692" s="64"/>
      <c r="U692" s="64"/>
      <c r="V692" s="64"/>
      <c r="W692" s="64"/>
    </row>
    <row r="693" spans="1:23" ht="30" customHeight="1">
      <c r="A693" s="8"/>
      <c r="B693" s="7"/>
      <c r="C693" s="33"/>
      <c r="D693" s="7"/>
      <c r="E693" s="7"/>
      <c r="F693" s="7"/>
      <c r="G693" s="7"/>
      <c r="H693" s="7"/>
      <c r="I693" s="7"/>
      <c r="J693" s="7"/>
      <c r="K693" s="7"/>
      <c r="L693" s="7"/>
      <c r="M693" s="7"/>
      <c r="N693" s="7"/>
      <c r="O693" s="7"/>
      <c r="P693" s="7"/>
      <c r="Q693" s="7"/>
      <c r="R693" s="64"/>
      <c r="S693" s="64"/>
      <c r="T693" s="64"/>
      <c r="U693" s="64"/>
      <c r="V693" s="64"/>
      <c r="W693" s="64"/>
    </row>
    <row r="694" spans="1:23" ht="30" customHeight="1">
      <c r="A694" s="8"/>
      <c r="B694" s="7"/>
      <c r="C694" s="33"/>
      <c r="D694" s="7"/>
      <c r="E694" s="7"/>
      <c r="F694" s="7"/>
      <c r="G694" s="7"/>
      <c r="H694" s="7"/>
      <c r="I694" s="7"/>
      <c r="J694" s="7"/>
      <c r="K694" s="7"/>
      <c r="L694" s="7"/>
      <c r="M694" s="7"/>
      <c r="N694" s="7"/>
      <c r="O694" s="7"/>
      <c r="P694" s="7"/>
      <c r="Q694" s="7"/>
      <c r="R694" s="64"/>
      <c r="S694" s="64"/>
      <c r="T694" s="64"/>
      <c r="U694" s="64"/>
      <c r="V694" s="64"/>
      <c r="W694" s="64"/>
    </row>
    <row r="695" spans="1:23" ht="30" customHeight="1">
      <c r="A695" s="8"/>
      <c r="B695" s="7"/>
      <c r="C695" s="33"/>
      <c r="D695" s="7"/>
      <c r="E695" s="7"/>
      <c r="F695" s="7"/>
      <c r="G695" s="7"/>
      <c r="H695" s="7"/>
      <c r="I695" s="7"/>
      <c r="J695" s="7"/>
      <c r="K695" s="7"/>
      <c r="L695" s="7"/>
      <c r="M695" s="7"/>
      <c r="N695" s="7"/>
      <c r="O695" s="7"/>
      <c r="P695" s="7"/>
      <c r="Q695" s="7"/>
      <c r="R695" s="64"/>
      <c r="S695" s="64"/>
      <c r="T695" s="64"/>
      <c r="U695" s="64"/>
      <c r="V695" s="64"/>
      <c r="W695" s="64"/>
    </row>
    <row r="696" spans="1:23" ht="30" customHeight="1">
      <c r="A696" s="8"/>
      <c r="B696" s="7"/>
      <c r="C696" s="33"/>
      <c r="D696" s="7"/>
      <c r="E696" s="7"/>
      <c r="F696" s="7"/>
      <c r="G696" s="7"/>
      <c r="H696" s="7"/>
      <c r="I696" s="7"/>
      <c r="J696" s="7"/>
      <c r="K696" s="7"/>
      <c r="L696" s="7"/>
      <c r="M696" s="7"/>
      <c r="N696" s="7"/>
      <c r="O696" s="7"/>
      <c r="P696" s="7"/>
      <c r="Q696" s="7"/>
      <c r="R696" s="64"/>
      <c r="S696" s="64"/>
      <c r="T696" s="64"/>
      <c r="U696" s="64"/>
      <c r="V696" s="64"/>
      <c r="W696" s="64"/>
    </row>
    <row r="697" spans="1:23" ht="30" customHeight="1">
      <c r="A697" s="8"/>
      <c r="B697" s="7"/>
      <c r="C697" s="33"/>
      <c r="D697" s="7"/>
      <c r="E697" s="7"/>
      <c r="F697" s="7"/>
      <c r="G697" s="7"/>
      <c r="H697" s="7"/>
      <c r="I697" s="7"/>
      <c r="J697" s="7"/>
      <c r="K697" s="7"/>
      <c r="L697" s="7"/>
      <c r="M697" s="7"/>
      <c r="N697" s="7"/>
      <c r="O697" s="7"/>
      <c r="P697" s="7"/>
      <c r="Q697" s="7"/>
      <c r="R697" s="64"/>
      <c r="S697" s="64"/>
      <c r="T697" s="64"/>
      <c r="U697" s="64"/>
      <c r="V697" s="64"/>
      <c r="W697" s="64"/>
    </row>
    <row r="698" spans="1:23" ht="30" customHeight="1">
      <c r="A698" s="8"/>
      <c r="B698" s="7"/>
      <c r="C698" s="33"/>
      <c r="D698" s="7"/>
      <c r="E698" s="7"/>
      <c r="F698" s="7"/>
      <c r="G698" s="7"/>
      <c r="H698" s="7"/>
      <c r="I698" s="7"/>
      <c r="J698" s="7"/>
      <c r="K698" s="7"/>
      <c r="L698" s="7"/>
      <c r="M698" s="7"/>
      <c r="N698" s="7"/>
      <c r="O698" s="7"/>
      <c r="P698" s="7"/>
      <c r="Q698" s="7"/>
      <c r="R698" s="64"/>
      <c r="S698" s="64"/>
      <c r="T698" s="64"/>
      <c r="U698" s="64"/>
      <c r="V698" s="64"/>
      <c r="W698" s="64"/>
    </row>
    <row r="699" spans="1:23" ht="30" customHeight="1">
      <c r="A699" s="8"/>
      <c r="B699" s="7"/>
      <c r="C699" s="33"/>
      <c r="D699" s="7"/>
      <c r="E699" s="7"/>
      <c r="F699" s="7"/>
      <c r="G699" s="7"/>
      <c r="H699" s="7"/>
      <c r="I699" s="7"/>
      <c r="J699" s="7"/>
      <c r="K699" s="7"/>
      <c r="L699" s="7"/>
      <c r="M699" s="7"/>
      <c r="N699" s="7"/>
      <c r="O699" s="7"/>
      <c r="P699" s="7"/>
      <c r="Q699" s="7"/>
      <c r="R699" s="64"/>
      <c r="S699" s="64"/>
      <c r="T699" s="64"/>
      <c r="U699" s="64"/>
      <c r="V699" s="64"/>
      <c r="W699" s="64"/>
    </row>
    <row r="700" spans="1:23" ht="30" customHeight="1">
      <c r="A700" s="8"/>
      <c r="B700" s="7"/>
      <c r="C700" s="33"/>
      <c r="D700" s="7"/>
      <c r="E700" s="7"/>
      <c r="F700" s="7"/>
      <c r="G700" s="7"/>
      <c r="H700" s="7"/>
      <c r="I700" s="7"/>
      <c r="J700" s="7"/>
      <c r="K700" s="7"/>
      <c r="L700" s="7"/>
      <c r="M700" s="7"/>
      <c r="N700" s="7"/>
      <c r="O700" s="7"/>
      <c r="P700" s="7"/>
      <c r="Q700" s="7"/>
      <c r="R700" s="64"/>
      <c r="S700" s="64"/>
      <c r="T700" s="64"/>
      <c r="U700" s="64"/>
      <c r="V700" s="64"/>
      <c r="W700" s="64"/>
    </row>
    <row r="701" spans="1:23" ht="30" customHeight="1">
      <c r="A701" s="8"/>
      <c r="B701" s="7"/>
      <c r="C701" s="33"/>
      <c r="D701" s="7"/>
      <c r="E701" s="7"/>
      <c r="F701" s="7"/>
      <c r="G701" s="7"/>
      <c r="H701" s="7"/>
      <c r="I701" s="7"/>
      <c r="J701" s="7"/>
      <c r="K701" s="7"/>
      <c r="L701" s="7"/>
      <c r="M701" s="7"/>
      <c r="N701" s="7"/>
      <c r="O701" s="7"/>
      <c r="P701" s="7"/>
      <c r="Q701" s="7"/>
      <c r="R701" s="64"/>
      <c r="S701" s="64"/>
      <c r="T701" s="64"/>
      <c r="U701" s="64"/>
      <c r="V701" s="64"/>
      <c r="W701" s="64"/>
    </row>
    <row r="702" spans="1:23" ht="30" customHeight="1">
      <c r="A702" s="8"/>
      <c r="B702" s="7"/>
      <c r="C702" s="33"/>
      <c r="D702" s="7"/>
      <c r="E702" s="7"/>
      <c r="F702" s="7"/>
      <c r="G702" s="7"/>
      <c r="H702" s="7"/>
      <c r="I702" s="7"/>
      <c r="J702" s="7"/>
      <c r="K702" s="7"/>
      <c r="L702" s="7"/>
      <c r="M702" s="7"/>
      <c r="N702" s="7"/>
      <c r="O702" s="7"/>
      <c r="P702" s="7"/>
      <c r="Q702" s="7"/>
      <c r="R702" s="64"/>
      <c r="S702" s="64"/>
      <c r="T702" s="64"/>
      <c r="U702" s="64"/>
      <c r="V702" s="64"/>
      <c r="W702" s="64"/>
    </row>
    <row r="703" spans="1:23" ht="30" customHeight="1">
      <c r="A703" s="8"/>
      <c r="B703" s="7"/>
      <c r="C703" s="33"/>
      <c r="D703" s="7"/>
      <c r="E703" s="7"/>
      <c r="F703" s="7"/>
      <c r="G703" s="7"/>
      <c r="H703" s="7"/>
      <c r="I703" s="7"/>
      <c r="J703" s="7"/>
      <c r="K703" s="7"/>
      <c r="L703" s="7"/>
      <c r="M703" s="7"/>
      <c r="N703" s="7"/>
      <c r="O703" s="7"/>
      <c r="P703" s="7"/>
      <c r="Q703" s="7"/>
      <c r="R703" s="64"/>
      <c r="S703" s="64"/>
      <c r="T703" s="64"/>
      <c r="U703" s="64"/>
      <c r="V703" s="64"/>
      <c r="W703" s="64"/>
    </row>
    <row r="704" spans="1:23" ht="30" customHeight="1">
      <c r="A704" s="8"/>
      <c r="B704" s="7"/>
      <c r="C704" s="33"/>
      <c r="D704" s="7"/>
      <c r="E704" s="7"/>
      <c r="F704" s="7"/>
      <c r="G704" s="7"/>
      <c r="H704" s="7"/>
      <c r="I704" s="7"/>
      <c r="J704" s="7"/>
      <c r="K704" s="7"/>
      <c r="L704" s="7"/>
      <c r="M704" s="7"/>
      <c r="N704" s="7"/>
      <c r="O704" s="7"/>
      <c r="P704" s="7"/>
      <c r="Q704" s="7"/>
      <c r="R704" s="64"/>
      <c r="S704" s="64"/>
      <c r="T704" s="64"/>
      <c r="U704" s="64"/>
      <c r="V704" s="64"/>
      <c r="W704" s="64"/>
    </row>
    <row r="705" spans="1:23" ht="30" customHeight="1">
      <c r="A705" s="8"/>
      <c r="B705" s="7"/>
      <c r="C705" s="33"/>
      <c r="D705" s="7"/>
      <c r="E705" s="7"/>
      <c r="F705" s="7"/>
      <c r="G705" s="7"/>
      <c r="H705" s="7"/>
      <c r="I705" s="7"/>
      <c r="J705" s="7"/>
      <c r="K705" s="7"/>
      <c r="L705" s="7"/>
      <c r="M705" s="7"/>
      <c r="N705" s="7"/>
      <c r="O705" s="7"/>
      <c r="P705" s="7"/>
      <c r="Q705" s="7"/>
      <c r="R705" s="64"/>
      <c r="S705" s="64"/>
      <c r="T705" s="64"/>
      <c r="U705" s="64"/>
      <c r="V705" s="64"/>
      <c r="W705" s="64"/>
    </row>
    <row r="706" spans="1:23" ht="30" customHeight="1">
      <c r="A706" s="8"/>
      <c r="B706" s="7"/>
      <c r="C706" s="33"/>
      <c r="D706" s="7"/>
      <c r="E706" s="7"/>
      <c r="F706" s="7"/>
      <c r="G706" s="7"/>
      <c r="H706" s="7"/>
      <c r="I706" s="7"/>
      <c r="J706" s="7"/>
      <c r="K706" s="7"/>
      <c r="L706" s="7"/>
      <c r="M706" s="7"/>
      <c r="N706" s="7"/>
      <c r="O706" s="7"/>
      <c r="P706" s="7"/>
      <c r="Q706" s="7"/>
      <c r="R706" s="64"/>
      <c r="S706" s="64"/>
      <c r="T706" s="64"/>
      <c r="U706" s="64"/>
      <c r="V706" s="64"/>
      <c r="W706" s="64"/>
    </row>
    <row r="707" spans="1:23" ht="30" customHeight="1">
      <c r="A707" s="8"/>
      <c r="B707" s="7"/>
      <c r="C707" s="33"/>
      <c r="D707" s="7"/>
      <c r="E707" s="7"/>
      <c r="F707" s="7"/>
      <c r="G707" s="7"/>
      <c r="H707" s="7"/>
      <c r="I707" s="7"/>
      <c r="J707" s="7"/>
      <c r="K707" s="7"/>
      <c r="L707" s="7"/>
      <c r="M707" s="7"/>
      <c r="N707" s="7"/>
      <c r="O707" s="7"/>
      <c r="P707" s="7"/>
      <c r="Q707" s="7"/>
      <c r="R707" s="64"/>
      <c r="S707" s="64"/>
      <c r="T707" s="64"/>
      <c r="U707" s="64"/>
      <c r="V707" s="64"/>
      <c r="W707" s="64"/>
    </row>
    <row r="708" spans="1:23" ht="30" customHeight="1">
      <c r="A708" s="8"/>
      <c r="B708" s="7"/>
      <c r="C708" s="33"/>
      <c r="D708" s="7"/>
      <c r="E708" s="7"/>
      <c r="F708" s="7"/>
      <c r="G708" s="7"/>
      <c r="H708" s="7"/>
      <c r="I708" s="7"/>
      <c r="J708" s="7"/>
      <c r="K708" s="7"/>
      <c r="L708" s="7"/>
      <c r="M708" s="7"/>
      <c r="N708" s="7"/>
      <c r="O708" s="7"/>
      <c r="P708" s="7"/>
      <c r="Q708" s="7"/>
      <c r="R708" s="64"/>
      <c r="S708" s="64"/>
      <c r="T708" s="64"/>
      <c r="U708" s="64"/>
      <c r="V708" s="64"/>
      <c r="W708" s="64"/>
    </row>
    <row r="709" spans="1:23" ht="30" customHeight="1">
      <c r="A709" s="8"/>
      <c r="B709" s="7"/>
      <c r="C709" s="33"/>
      <c r="D709" s="7"/>
      <c r="E709" s="7"/>
      <c r="F709" s="7"/>
      <c r="G709" s="7"/>
      <c r="H709" s="7"/>
      <c r="I709" s="7"/>
      <c r="J709" s="7"/>
      <c r="K709" s="7"/>
      <c r="L709" s="7"/>
      <c r="M709" s="7"/>
      <c r="N709" s="7"/>
      <c r="O709" s="7"/>
      <c r="P709" s="7"/>
      <c r="Q709" s="7"/>
      <c r="R709" s="64"/>
      <c r="S709" s="64"/>
      <c r="T709" s="64"/>
      <c r="U709" s="64"/>
      <c r="V709" s="64"/>
      <c r="W709" s="64"/>
    </row>
    <row r="710" spans="1:23" ht="30" customHeight="1">
      <c r="A710" s="8"/>
      <c r="B710" s="7"/>
      <c r="C710" s="33"/>
      <c r="D710" s="7"/>
      <c r="E710" s="7"/>
      <c r="F710" s="7"/>
      <c r="G710" s="7"/>
      <c r="H710" s="7"/>
      <c r="I710" s="7"/>
      <c r="J710" s="7"/>
      <c r="K710" s="7"/>
      <c r="L710" s="7"/>
      <c r="M710" s="7"/>
      <c r="N710" s="7"/>
      <c r="O710" s="7"/>
      <c r="P710" s="7"/>
      <c r="Q710" s="7"/>
      <c r="R710" s="64"/>
      <c r="S710" s="64"/>
      <c r="T710" s="64"/>
      <c r="U710" s="64"/>
      <c r="V710" s="64"/>
      <c r="W710" s="64"/>
    </row>
    <row r="711" spans="1:23" ht="30" customHeight="1">
      <c r="A711" s="8"/>
      <c r="B711" s="7"/>
      <c r="C711" s="33"/>
      <c r="D711" s="7"/>
      <c r="E711" s="7"/>
      <c r="F711" s="7"/>
      <c r="G711" s="7"/>
      <c r="H711" s="7"/>
      <c r="I711" s="7"/>
      <c r="J711" s="7"/>
      <c r="K711" s="7"/>
      <c r="L711" s="7"/>
      <c r="M711" s="7"/>
      <c r="N711" s="7"/>
      <c r="O711" s="7"/>
      <c r="P711" s="7"/>
      <c r="Q711" s="7"/>
      <c r="R711" s="64"/>
      <c r="S711" s="64"/>
      <c r="T711" s="64"/>
      <c r="U711" s="64"/>
      <c r="V711" s="64"/>
      <c r="W711" s="64"/>
    </row>
    <row r="712" spans="1:23" ht="30" customHeight="1">
      <c r="A712" s="8"/>
      <c r="B712" s="7"/>
      <c r="C712" s="33"/>
      <c r="D712" s="7"/>
      <c r="E712" s="7"/>
      <c r="F712" s="7"/>
      <c r="G712" s="7"/>
      <c r="H712" s="7"/>
      <c r="I712" s="7"/>
      <c r="J712" s="7"/>
      <c r="K712" s="7"/>
      <c r="L712" s="7"/>
      <c r="M712" s="7"/>
      <c r="N712" s="7"/>
      <c r="O712" s="7"/>
      <c r="P712" s="7"/>
      <c r="Q712" s="7"/>
      <c r="R712" s="64"/>
      <c r="S712" s="64"/>
      <c r="T712" s="64"/>
      <c r="U712" s="64"/>
      <c r="V712" s="64"/>
      <c r="W712" s="64"/>
    </row>
    <row r="713" spans="1:23" ht="30" customHeight="1">
      <c r="A713" s="8"/>
      <c r="B713" s="7"/>
      <c r="C713" s="33"/>
      <c r="D713" s="7"/>
      <c r="E713" s="7"/>
      <c r="F713" s="7"/>
      <c r="G713" s="7"/>
      <c r="H713" s="7"/>
      <c r="I713" s="7"/>
      <c r="J713" s="7"/>
      <c r="K713" s="7"/>
      <c r="L713" s="7"/>
      <c r="M713" s="7"/>
      <c r="N713" s="7"/>
      <c r="O713" s="7"/>
      <c r="P713" s="7"/>
      <c r="Q713" s="7"/>
      <c r="R713" s="64"/>
      <c r="S713" s="64"/>
      <c r="T713" s="64"/>
      <c r="U713" s="64"/>
      <c r="V713" s="64"/>
      <c r="W713" s="64"/>
    </row>
    <row r="714" spans="1:23" ht="30" customHeight="1">
      <c r="A714" s="8"/>
      <c r="B714" s="7"/>
      <c r="C714" s="33"/>
      <c r="D714" s="7"/>
      <c r="E714" s="7"/>
      <c r="F714" s="7"/>
      <c r="G714" s="7"/>
      <c r="H714" s="7"/>
      <c r="I714" s="7"/>
      <c r="J714" s="7"/>
      <c r="K714" s="7"/>
      <c r="L714" s="7"/>
      <c r="M714" s="7"/>
      <c r="N714" s="7"/>
      <c r="O714" s="7"/>
      <c r="P714" s="7"/>
      <c r="Q714" s="7"/>
      <c r="R714" s="64"/>
      <c r="S714" s="64"/>
      <c r="T714" s="64"/>
      <c r="U714" s="64"/>
      <c r="V714" s="64"/>
      <c r="W714" s="64"/>
    </row>
    <row r="715" spans="1:23" ht="30" customHeight="1">
      <c r="A715" s="8"/>
      <c r="B715" s="7"/>
      <c r="C715" s="33"/>
      <c r="D715" s="7"/>
      <c r="E715" s="7"/>
      <c r="F715" s="7"/>
      <c r="G715" s="7"/>
      <c r="H715" s="7"/>
      <c r="I715" s="7"/>
      <c r="J715" s="7"/>
      <c r="K715" s="7"/>
      <c r="L715" s="7"/>
      <c r="M715" s="7"/>
      <c r="N715" s="7"/>
      <c r="O715" s="7"/>
      <c r="P715" s="7"/>
      <c r="Q715" s="7"/>
      <c r="R715" s="64"/>
      <c r="S715" s="64"/>
      <c r="T715" s="64"/>
      <c r="U715" s="64"/>
      <c r="V715" s="64"/>
      <c r="W715" s="64"/>
    </row>
    <row r="716" spans="1:23" ht="30" customHeight="1">
      <c r="A716" s="8"/>
      <c r="B716" s="7"/>
      <c r="C716" s="33"/>
      <c r="D716" s="7"/>
      <c r="E716" s="7"/>
      <c r="F716" s="7"/>
      <c r="G716" s="7"/>
      <c r="H716" s="7"/>
      <c r="I716" s="7"/>
      <c r="J716" s="7"/>
      <c r="K716" s="7"/>
      <c r="L716" s="7"/>
      <c r="M716" s="7"/>
      <c r="N716" s="7"/>
      <c r="O716" s="7"/>
      <c r="P716" s="7"/>
      <c r="Q716" s="7"/>
      <c r="R716" s="64"/>
      <c r="S716" s="64"/>
      <c r="T716" s="64"/>
      <c r="U716" s="64"/>
      <c r="V716" s="64"/>
      <c r="W716" s="64"/>
    </row>
    <row r="717" spans="1:23" ht="30" customHeight="1">
      <c r="A717" s="8"/>
      <c r="B717" s="7"/>
      <c r="C717" s="33"/>
      <c r="D717" s="7"/>
      <c r="E717" s="7"/>
      <c r="F717" s="7"/>
      <c r="G717" s="7"/>
      <c r="H717" s="7"/>
      <c r="I717" s="7"/>
      <c r="J717" s="7"/>
      <c r="K717" s="7"/>
      <c r="L717" s="7"/>
      <c r="M717" s="7"/>
      <c r="N717" s="7"/>
      <c r="O717" s="7"/>
      <c r="P717" s="7"/>
      <c r="Q717" s="7"/>
      <c r="R717" s="64"/>
      <c r="S717" s="64"/>
      <c r="T717" s="64"/>
      <c r="U717" s="64"/>
      <c r="V717" s="64"/>
      <c r="W717" s="64"/>
    </row>
    <row r="718" spans="1:23" ht="30" customHeight="1">
      <c r="A718" s="8"/>
      <c r="B718" s="7"/>
      <c r="C718" s="33"/>
      <c r="D718" s="7"/>
      <c r="E718" s="7"/>
      <c r="F718" s="7"/>
      <c r="G718" s="7"/>
      <c r="H718" s="7"/>
      <c r="I718" s="7"/>
      <c r="J718" s="7"/>
      <c r="K718" s="7"/>
      <c r="L718" s="7"/>
      <c r="M718" s="7"/>
      <c r="N718" s="7"/>
      <c r="O718" s="7"/>
      <c r="P718" s="7"/>
      <c r="Q718" s="7"/>
      <c r="R718" s="64"/>
      <c r="S718" s="64"/>
      <c r="T718" s="64"/>
      <c r="U718" s="64"/>
      <c r="V718" s="64"/>
      <c r="W718" s="64"/>
    </row>
    <row r="719" spans="1:23" ht="30" customHeight="1">
      <c r="A719" s="8"/>
      <c r="B719" s="7"/>
      <c r="C719" s="33"/>
      <c r="D719" s="7"/>
      <c r="E719" s="7"/>
      <c r="F719" s="7"/>
      <c r="G719" s="7"/>
      <c r="H719" s="7"/>
      <c r="I719" s="7"/>
      <c r="J719" s="7"/>
      <c r="K719" s="7"/>
      <c r="L719" s="7"/>
      <c r="M719" s="7"/>
      <c r="N719" s="7"/>
      <c r="O719" s="7"/>
      <c r="P719" s="7"/>
      <c r="Q719" s="7"/>
      <c r="R719" s="64"/>
      <c r="S719" s="64"/>
      <c r="T719" s="64"/>
      <c r="U719" s="64"/>
      <c r="V719" s="64"/>
      <c r="W719" s="64"/>
    </row>
    <row r="720" spans="1:23" ht="30" customHeight="1">
      <c r="A720" s="8"/>
      <c r="B720" s="7"/>
      <c r="C720" s="33"/>
      <c r="D720" s="7"/>
      <c r="E720" s="7"/>
      <c r="F720" s="7"/>
      <c r="G720" s="7"/>
      <c r="H720" s="7"/>
      <c r="I720" s="7"/>
      <c r="J720" s="7"/>
      <c r="K720" s="7"/>
      <c r="L720" s="7"/>
      <c r="M720" s="7"/>
      <c r="N720" s="7"/>
      <c r="O720" s="7"/>
      <c r="P720" s="7"/>
      <c r="Q720" s="7"/>
      <c r="R720" s="64"/>
      <c r="S720" s="64"/>
      <c r="T720" s="64"/>
      <c r="U720" s="64"/>
      <c r="V720" s="64"/>
      <c r="W720" s="64"/>
    </row>
    <row r="721" spans="1:23" ht="30" customHeight="1">
      <c r="A721" s="8"/>
      <c r="B721" s="7"/>
      <c r="C721" s="33"/>
      <c r="D721" s="7"/>
      <c r="E721" s="7"/>
      <c r="F721" s="7"/>
      <c r="G721" s="7"/>
      <c r="H721" s="7"/>
      <c r="I721" s="7"/>
      <c r="J721" s="7"/>
      <c r="K721" s="7"/>
      <c r="L721" s="7"/>
      <c r="M721" s="7"/>
      <c r="N721" s="7"/>
      <c r="O721" s="7"/>
      <c r="P721" s="7"/>
      <c r="Q721" s="7"/>
      <c r="R721" s="64"/>
      <c r="S721" s="64"/>
      <c r="T721" s="64"/>
      <c r="U721" s="64"/>
      <c r="V721" s="64"/>
      <c r="W721" s="64"/>
    </row>
    <row r="722" spans="1:23" ht="30" customHeight="1">
      <c r="A722" s="8"/>
      <c r="B722" s="7"/>
      <c r="C722" s="33"/>
      <c r="D722" s="7"/>
      <c r="E722" s="7"/>
      <c r="F722" s="7"/>
      <c r="G722" s="7"/>
      <c r="H722" s="7"/>
      <c r="I722" s="7"/>
      <c r="J722" s="7"/>
      <c r="K722" s="7"/>
      <c r="L722" s="7"/>
      <c r="M722" s="7"/>
      <c r="N722" s="7"/>
      <c r="O722" s="7"/>
      <c r="P722" s="7"/>
      <c r="Q722" s="7"/>
      <c r="R722" s="64"/>
      <c r="S722" s="64"/>
      <c r="T722" s="64"/>
      <c r="U722" s="64"/>
      <c r="V722" s="64"/>
      <c r="W722" s="64"/>
    </row>
    <row r="723" spans="1:23" ht="30" customHeight="1">
      <c r="A723" s="8"/>
      <c r="B723" s="7"/>
      <c r="C723" s="33"/>
      <c r="D723" s="7"/>
      <c r="E723" s="7"/>
      <c r="F723" s="7"/>
      <c r="G723" s="7"/>
      <c r="H723" s="7"/>
      <c r="I723" s="7"/>
      <c r="J723" s="7"/>
      <c r="K723" s="7"/>
      <c r="L723" s="7"/>
      <c r="M723" s="7"/>
      <c r="N723" s="7"/>
      <c r="O723" s="7"/>
      <c r="P723" s="7"/>
      <c r="Q723" s="7"/>
      <c r="R723" s="64"/>
      <c r="S723" s="64"/>
      <c r="T723" s="64"/>
      <c r="U723" s="64"/>
      <c r="V723" s="64"/>
      <c r="W723" s="64"/>
    </row>
    <row r="724" spans="1:23" ht="30" customHeight="1">
      <c r="A724" s="8"/>
      <c r="B724" s="7"/>
      <c r="C724" s="33"/>
      <c r="D724" s="7"/>
      <c r="E724" s="7"/>
      <c r="F724" s="7"/>
      <c r="G724" s="7"/>
      <c r="H724" s="7"/>
      <c r="I724" s="7"/>
      <c r="J724" s="7"/>
      <c r="K724" s="7"/>
      <c r="L724" s="7"/>
      <c r="M724" s="7"/>
      <c r="N724" s="7"/>
      <c r="O724" s="7"/>
      <c r="P724" s="7"/>
      <c r="Q724" s="7"/>
      <c r="R724" s="64"/>
      <c r="S724" s="64"/>
      <c r="T724" s="64"/>
      <c r="U724" s="64"/>
      <c r="V724" s="64"/>
      <c r="W724" s="64"/>
    </row>
    <row r="725" spans="1:23" ht="30" customHeight="1">
      <c r="A725" s="8"/>
      <c r="B725" s="7"/>
      <c r="C725" s="33"/>
      <c r="D725" s="7"/>
      <c r="E725" s="7"/>
      <c r="F725" s="7"/>
      <c r="G725" s="7"/>
      <c r="H725" s="7"/>
      <c r="I725" s="7"/>
      <c r="J725" s="7"/>
      <c r="K725" s="7"/>
      <c r="L725" s="7"/>
      <c r="M725" s="7"/>
      <c r="N725" s="7"/>
      <c r="O725" s="7"/>
      <c r="P725" s="7"/>
      <c r="Q725" s="7"/>
      <c r="R725" s="64"/>
      <c r="S725" s="64"/>
      <c r="T725" s="64"/>
      <c r="U725" s="64"/>
      <c r="V725" s="64"/>
      <c r="W725" s="64"/>
    </row>
    <row r="726" spans="1:23" ht="30" customHeight="1">
      <c r="A726" s="8"/>
      <c r="B726" s="7"/>
      <c r="C726" s="33"/>
      <c r="D726" s="7"/>
      <c r="E726" s="7"/>
      <c r="F726" s="7"/>
      <c r="G726" s="7"/>
      <c r="H726" s="7"/>
      <c r="I726" s="7"/>
      <c r="J726" s="7"/>
      <c r="K726" s="7"/>
      <c r="L726" s="7"/>
      <c r="M726" s="7"/>
      <c r="N726" s="7"/>
      <c r="O726" s="7"/>
      <c r="P726" s="7"/>
      <c r="Q726" s="7"/>
      <c r="R726" s="64"/>
      <c r="S726" s="64"/>
      <c r="T726" s="64"/>
      <c r="U726" s="64"/>
      <c r="V726" s="64"/>
      <c r="W726" s="64"/>
    </row>
    <row r="727" spans="1:23" ht="30" customHeight="1">
      <c r="A727" s="8"/>
      <c r="B727" s="7"/>
      <c r="C727" s="33"/>
      <c r="D727" s="7"/>
      <c r="E727" s="7"/>
      <c r="F727" s="7"/>
      <c r="G727" s="7"/>
      <c r="H727" s="7"/>
      <c r="I727" s="7"/>
      <c r="J727" s="7"/>
      <c r="K727" s="7"/>
      <c r="L727" s="7"/>
      <c r="M727" s="7"/>
      <c r="N727" s="7"/>
      <c r="O727" s="7"/>
      <c r="P727" s="7"/>
      <c r="Q727" s="7"/>
      <c r="R727" s="64"/>
      <c r="S727" s="64"/>
      <c r="T727" s="64"/>
      <c r="U727" s="64"/>
      <c r="V727" s="64"/>
      <c r="W727" s="64"/>
    </row>
    <row r="728" spans="1:23" ht="30" customHeight="1">
      <c r="A728" s="8"/>
      <c r="B728" s="7"/>
      <c r="C728" s="33"/>
      <c r="D728" s="7"/>
      <c r="E728" s="7"/>
      <c r="F728" s="7"/>
      <c r="G728" s="7"/>
      <c r="H728" s="7"/>
      <c r="I728" s="7"/>
      <c r="J728" s="7"/>
      <c r="K728" s="7"/>
      <c r="L728" s="7"/>
      <c r="M728" s="7"/>
      <c r="N728" s="7"/>
      <c r="O728" s="7"/>
      <c r="P728" s="7"/>
      <c r="Q728" s="7"/>
      <c r="R728" s="64"/>
      <c r="S728" s="64"/>
      <c r="T728" s="64"/>
      <c r="U728" s="64"/>
      <c r="V728" s="64"/>
      <c r="W728" s="64"/>
    </row>
    <row r="729" spans="1:23" ht="30" customHeight="1">
      <c r="A729" s="8"/>
      <c r="B729" s="7"/>
      <c r="C729" s="33"/>
      <c r="D729" s="7"/>
      <c r="E729" s="7"/>
      <c r="F729" s="7"/>
      <c r="G729" s="7"/>
      <c r="H729" s="7"/>
      <c r="I729" s="7"/>
      <c r="J729" s="7"/>
      <c r="K729" s="7"/>
      <c r="L729" s="7"/>
      <c r="M729" s="7"/>
      <c r="N729" s="7"/>
      <c r="O729" s="7"/>
      <c r="P729" s="7"/>
      <c r="Q729" s="7"/>
      <c r="R729" s="64"/>
      <c r="S729" s="64"/>
      <c r="T729" s="64"/>
      <c r="U729" s="64"/>
      <c r="V729" s="64"/>
      <c r="W729" s="64"/>
    </row>
    <row r="730" spans="1:23" ht="30" customHeight="1">
      <c r="A730" s="8"/>
      <c r="B730" s="7"/>
      <c r="C730" s="33"/>
      <c r="D730" s="7"/>
      <c r="E730" s="7"/>
      <c r="F730" s="7"/>
      <c r="G730" s="7"/>
      <c r="H730" s="7"/>
      <c r="I730" s="7"/>
      <c r="J730" s="7"/>
      <c r="K730" s="7"/>
      <c r="L730" s="7"/>
      <c r="M730" s="7"/>
      <c r="N730" s="7"/>
      <c r="O730" s="7"/>
      <c r="P730" s="7"/>
      <c r="Q730" s="7"/>
      <c r="R730" s="64"/>
      <c r="S730" s="64"/>
      <c r="T730" s="64"/>
      <c r="U730" s="64"/>
      <c r="V730" s="64"/>
      <c r="W730" s="64"/>
    </row>
    <row r="731" spans="1:23" ht="30" customHeight="1">
      <c r="A731" s="8"/>
      <c r="B731" s="7"/>
      <c r="C731" s="33"/>
      <c r="D731" s="7"/>
      <c r="E731" s="7"/>
      <c r="F731" s="7"/>
      <c r="G731" s="7"/>
      <c r="H731" s="7"/>
      <c r="I731" s="7"/>
      <c r="J731" s="7"/>
      <c r="K731" s="7"/>
      <c r="L731" s="7"/>
      <c r="M731" s="7"/>
      <c r="N731" s="7"/>
      <c r="O731" s="7"/>
      <c r="P731" s="7"/>
      <c r="Q731" s="7"/>
      <c r="R731" s="64"/>
      <c r="S731" s="64"/>
      <c r="T731" s="64"/>
      <c r="U731" s="64"/>
      <c r="V731" s="64"/>
      <c r="W731" s="64"/>
    </row>
    <row r="732" spans="1:23" ht="30" customHeight="1">
      <c r="A732" s="8"/>
      <c r="B732" s="7"/>
      <c r="C732" s="33"/>
      <c r="D732" s="7"/>
      <c r="E732" s="7"/>
      <c r="F732" s="7"/>
      <c r="G732" s="7"/>
      <c r="H732" s="7"/>
      <c r="I732" s="7"/>
      <c r="J732" s="7"/>
      <c r="K732" s="7"/>
      <c r="L732" s="7"/>
      <c r="M732" s="7"/>
      <c r="N732" s="7"/>
      <c r="O732" s="7"/>
      <c r="P732" s="7"/>
      <c r="Q732" s="7"/>
      <c r="R732" s="64"/>
      <c r="S732" s="64"/>
      <c r="T732" s="64"/>
      <c r="U732" s="64"/>
      <c r="V732" s="64"/>
      <c r="W732" s="64"/>
    </row>
    <row r="733" spans="1:23" ht="30" customHeight="1">
      <c r="A733" s="8"/>
      <c r="B733" s="7"/>
      <c r="C733" s="33"/>
      <c r="D733" s="7"/>
      <c r="E733" s="7"/>
      <c r="F733" s="7"/>
      <c r="G733" s="7"/>
      <c r="H733" s="7"/>
      <c r="I733" s="7"/>
      <c r="J733" s="7"/>
      <c r="K733" s="7"/>
      <c r="L733" s="7"/>
      <c r="M733" s="7"/>
      <c r="N733" s="7"/>
      <c r="O733" s="7"/>
      <c r="P733" s="7"/>
      <c r="Q733" s="7"/>
      <c r="R733" s="64"/>
      <c r="S733" s="64"/>
      <c r="T733" s="64"/>
      <c r="U733" s="64"/>
      <c r="V733" s="64"/>
      <c r="W733" s="64"/>
    </row>
    <row r="734" spans="1:23" ht="30" customHeight="1">
      <c r="A734" s="8"/>
      <c r="B734" s="7"/>
      <c r="C734" s="33"/>
      <c r="D734" s="7"/>
      <c r="E734" s="7"/>
      <c r="F734" s="7"/>
      <c r="G734" s="7"/>
      <c r="H734" s="7"/>
      <c r="I734" s="7"/>
      <c r="J734" s="7"/>
      <c r="K734" s="7"/>
      <c r="L734" s="7"/>
      <c r="M734" s="7"/>
      <c r="N734" s="7"/>
      <c r="O734" s="7"/>
      <c r="P734" s="7"/>
      <c r="Q734" s="7"/>
      <c r="R734" s="64"/>
      <c r="S734" s="64"/>
      <c r="T734" s="64"/>
      <c r="U734" s="64"/>
      <c r="V734" s="64"/>
      <c r="W734" s="64"/>
    </row>
    <row r="735" spans="1:23" ht="30" customHeight="1">
      <c r="A735" s="8"/>
      <c r="B735" s="7"/>
      <c r="C735" s="33"/>
      <c r="D735" s="7"/>
      <c r="E735" s="7"/>
      <c r="F735" s="7"/>
      <c r="G735" s="7"/>
      <c r="H735" s="7"/>
      <c r="I735" s="7"/>
      <c r="J735" s="7"/>
      <c r="K735" s="7"/>
      <c r="L735" s="7"/>
      <c r="M735" s="7"/>
      <c r="N735" s="7"/>
      <c r="O735" s="7"/>
      <c r="P735" s="7"/>
      <c r="Q735" s="7"/>
      <c r="R735" s="64"/>
      <c r="S735" s="64"/>
      <c r="T735" s="64"/>
      <c r="U735" s="64"/>
      <c r="V735" s="64"/>
      <c r="W735" s="64"/>
    </row>
    <row r="736" spans="1:23" ht="30" customHeight="1">
      <c r="A736" s="8"/>
      <c r="B736" s="7"/>
      <c r="C736" s="33"/>
      <c r="D736" s="7"/>
      <c r="E736" s="7"/>
      <c r="F736" s="7"/>
      <c r="G736" s="7"/>
      <c r="H736" s="7"/>
      <c r="I736" s="7"/>
      <c r="J736" s="7"/>
      <c r="K736" s="7"/>
      <c r="L736" s="7"/>
      <c r="M736" s="7"/>
      <c r="N736" s="7"/>
      <c r="O736" s="7"/>
      <c r="P736" s="7"/>
      <c r="Q736" s="7"/>
      <c r="R736" s="64"/>
      <c r="S736" s="64"/>
      <c r="T736" s="64"/>
      <c r="U736" s="64"/>
      <c r="V736" s="64"/>
      <c r="W736" s="64"/>
    </row>
    <row r="737" spans="1:23" ht="30" customHeight="1">
      <c r="A737" s="8"/>
      <c r="B737" s="7"/>
      <c r="C737" s="33"/>
      <c r="D737" s="7"/>
      <c r="E737" s="7"/>
      <c r="F737" s="7"/>
      <c r="G737" s="7"/>
      <c r="H737" s="7"/>
      <c r="I737" s="7"/>
      <c r="J737" s="7"/>
      <c r="K737" s="7"/>
      <c r="L737" s="7"/>
      <c r="M737" s="7"/>
      <c r="N737" s="7"/>
      <c r="O737" s="7"/>
      <c r="P737" s="7"/>
      <c r="Q737" s="7"/>
      <c r="R737" s="64"/>
      <c r="S737" s="64"/>
      <c r="T737" s="64"/>
      <c r="U737" s="64"/>
      <c r="V737" s="64"/>
      <c r="W737" s="64"/>
    </row>
    <row r="738" spans="1:23" ht="30" customHeight="1">
      <c r="A738" s="8"/>
      <c r="B738" s="7"/>
      <c r="C738" s="33"/>
      <c r="D738" s="7"/>
      <c r="E738" s="7"/>
      <c r="F738" s="7"/>
      <c r="G738" s="7"/>
      <c r="H738" s="7"/>
      <c r="I738" s="7"/>
      <c r="J738" s="7"/>
      <c r="K738" s="7"/>
      <c r="L738" s="7"/>
      <c r="M738" s="7"/>
      <c r="N738" s="7"/>
      <c r="O738" s="7"/>
      <c r="P738" s="7"/>
      <c r="Q738" s="7"/>
      <c r="R738" s="64"/>
      <c r="S738" s="64"/>
      <c r="T738" s="64"/>
      <c r="U738" s="64"/>
      <c r="V738" s="64"/>
      <c r="W738" s="64"/>
    </row>
    <row r="739" spans="1:23" ht="30" customHeight="1">
      <c r="A739" s="8"/>
      <c r="B739" s="7"/>
      <c r="C739" s="33"/>
      <c r="D739" s="7"/>
      <c r="E739" s="7"/>
      <c r="F739" s="7"/>
      <c r="G739" s="7"/>
      <c r="H739" s="7"/>
      <c r="I739" s="7"/>
      <c r="J739" s="7"/>
      <c r="K739" s="7"/>
      <c r="L739" s="7"/>
      <c r="M739" s="7"/>
      <c r="N739" s="7"/>
      <c r="O739" s="7"/>
      <c r="P739" s="7"/>
      <c r="Q739" s="7"/>
      <c r="R739" s="64"/>
      <c r="S739" s="64"/>
      <c r="T739" s="64"/>
      <c r="U739" s="64"/>
      <c r="V739" s="64"/>
      <c r="W739" s="64"/>
    </row>
    <row r="740" spans="1:23" ht="30" customHeight="1">
      <c r="A740" s="8"/>
      <c r="B740" s="7"/>
      <c r="C740" s="33"/>
      <c r="D740" s="7"/>
      <c r="E740" s="7"/>
      <c r="F740" s="7"/>
      <c r="G740" s="7"/>
      <c r="H740" s="7"/>
      <c r="I740" s="7"/>
      <c r="J740" s="7"/>
      <c r="K740" s="7"/>
      <c r="L740" s="7"/>
      <c r="M740" s="7"/>
      <c r="N740" s="7"/>
      <c r="O740" s="7"/>
      <c r="P740" s="7"/>
      <c r="Q740" s="7"/>
      <c r="R740" s="64"/>
      <c r="S740" s="64"/>
      <c r="T740" s="64"/>
      <c r="U740" s="64"/>
      <c r="V740" s="64"/>
      <c r="W740" s="64"/>
    </row>
    <row r="741" spans="1:23" ht="30" customHeight="1">
      <c r="A741" s="8"/>
      <c r="B741" s="7"/>
      <c r="C741" s="33"/>
      <c r="D741" s="7"/>
      <c r="E741" s="7"/>
      <c r="F741" s="7"/>
      <c r="G741" s="7"/>
      <c r="H741" s="7"/>
      <c r="I741" s="7"/>
      <c r="J741" s="7"/>
      <c r="K741" s="7"/>
      <c r="L741" s="7"/>
      <c r="M741" s="7"/>
      <c r="N741" s="7"/>
      <c r="O741" s="7"/>
      <c r="P741" s="7"/>
      <c r="Q741" s="7"/>
      <c r="R741" s="64"/>
      <c r="S741" s="64"/>
      <c r="T741" s="64"/>
      <c r="U741" s="64"/>
      <c r="V741" s="64"/>
      <c r="W741" s="64"/>
    </row>
    <row r="742" spans="1:23" ht="30" customHeight="1">
      <c r="A742" s="8"/>
      <c r="B742" s="7"/>
      <c r="C742" s="33"/>
      <c r="D742" s="7"/>
      <c r="E742" s="7"/>
      <c r="F742" s="7"/>
      <c r="G742" s="7"/>
      <c r="H742" s="7"/>
      <c r="I742" s="7"/>
      <c r="J742" s="7"/>
      <c r="K742" s="7"/>
      <c r="L742" s="7"/>
      <c r="M742" s="7"/>
      <c r="N742" s="7"/>
      <c r="O742" s="7"/>
      <c r="P742" s="7"/>
      <c r="Q742" s="7"/>
      <c r="R742" s="64"/>
      <c r="S742" s="64"/>
      <c r="T742" s="64"/>
      <c r="U742" s="64"/>
      <c r="V742" s="64"/>
      <c r="W742" s="64"/>
    </row>
    <row r="743" spans="1:23" ht="30" customHeight="1">
      <c r="A743" s="8"/>
      <c r="B743" s="7"/>
      <c r="C743" s="33"/>
      <c r="D743" s="7"/>
      <c r="E743" s="7"/>
      <c r="F743" s="7"/>
      <c r="G743" s="7"/>
      <c r="H743" s="7"/>
      <c r="I743" s="7"/>
      <c r="J743" s="7"/>
      <c r="K743" s="7"/>
      <c r="L743" s="7"/>
      <c r="M743" s="7"/>
      <c r="N743" s="7"/>
      <c r="O743" s="7"/>
      <c r="P743" s="7"/>
      <c r="Q743" s="7"/>
      <c r="R743" s="64"/>
      <c r="S743" s="64"/>
      <c r="T743" s="64"/>
      <c r="U743" s="64"/>
      <c r="V743" s="64"/>
      <c r="W743" s="64"/>
    </row>
    <row r="744" spans="1:23" ht="30" customHeight="1">
      <c r="A744" s="8"/>
      <c r="B744" s="7"/>
      <c r="C744" s="33"/>
      <c r="D744" s="7"/>
      <c r="E744" s="7"/>
      <c r="F744" s="7"/>
      <c r="G744" s="7"/>
      <c r="H744" s="7"/>
      <c r="I744" s="7"/>
      <c r="J744" s="7"/>
      <c r="K744" s="7"/>
      <c r="L744" s="7"/>
      <c r="M744" s="7"/>
      <c r="N744" s="7"/>
      <c r="O744" s="7"/>
      <c r="P744" s="7"/>
      <c r="Q744" s="7"/>
      <c r="R744" s="64"/>
      <c r="S744" s="64"/>
      <c r="T744" s="64"/>
      <c r="U744" s="64"/>
      <c r="V744" s="64"/>
      <c r="W744" s="64"/>
    </row>
    <row r="745" spans="1:23" ht="30" customHeight="1">
      <c r="A745" s="8"/>
      <c r="B745" s="7"/>
      <c r="C745" s="33"/>
      <c r="D745" s="7"/>
      <c r="E745" s="7"/>
      <c r="F745" s="7"/>
      <c r="G745" s="7"/>
      <c r="H745" s="7"/>
      <c r="I745" s="7"/>
      <c r="J745" s="7"/>
      <c r="K745" s="7"/>
      <c r="L745" s="7"/>
      <c r="M745" s="7"/>
      <c r="N745" s="7"/>
      <c r="O745" s="7"/>
      <c r="P745" s="7"/>
      <c r="Q745" s="7"/>
      <c r="R745" s="64"/>
      <c r="S745" s="64"/>
      <c r="T745" s="64"/>
      <c r="U745" s="64"/>
      <c r="V745" s="64"/>
      <c r="W745" s="64"/>
    </row>
    <row r="746" spans="1:23" ht="30" customHeight="1">
      <c r="A746" s="8"/>
      <c r="B746" s="7"/>
      <c r="C746" s="33"/>
      <c r="D746" s="7"/>
      <c r="E746" s="7"/>
      <c r="F746" s="7"/>
      <c r="G746" s="7"/>
      <c r="H746" s="7"/>
      <c r="I746" s="7"/>
      <c r="J746" s="7"/>
      <c r="K746" s="7"/>
      <c r="L746" s="7"/>
      <c r="M746" s="7"/>
      <c r="N746" s="7"/>
      <c r="O746" s="7"/>
      <c r="P746" s="7"/>
      <c r="Q746" s="7"/>
      <c r="R746" s="64"/>
      <c r="S746" s="64"/>
      <c r="T746" s="64"/>
      <c r="U746" s="64"/>
      <c r="V746" s="64"/>
      <c r="W746" s="64"/>
    </row>
    <row r="747" spans="1:23" ht="30" customHeight="1">
      <c r="A747" s="8"/>
      <c r="B747" s="7"/>
      <c r="C747" s="33"/>
      <c r="D747" s="7"/>
      <c r="E747" s="7"/>
      <c r="F747" s="7"/>
      <c r="G747" s="7"/>
      <c r="H747" s="7"/>
      <c r="I747" s="7"/>
      <c r="J747" s="7"/>
      <c r="K747" s="7"/>
      <c r="L747" s="7"/>
      <c r="M747" s="7"/>
      <c r="N747" s="7"/>
      <c r="O747" s="7"/>
      <c r="P747" s="7"/>
      <c r="Q747" s="7"/>
      <c r="R747" s="64"/>
      <c r="S747" s="64"/>
      <c r="T747" s="64"/>
      <c r="U747" s="64"/>
      <c r="V747" s="64"/>
      <c r="W747" s="64"/>
    </row>
    <row r="748" spans="1:23" ht="30" customHeight="1">
      <c r="A748" s="8"/>
      <c r="B748" s="7"/>
      <c r="C748" s="33"/>
      <c r="D748" s="7"/>
      <c r="E748" s="7"/>
      <c r="F748" s="7"/>
      <c r="G748" s="7"/>
      <c r="H748" s="7"/>
      <c r="I748" s="7"/>
      <c r="J748" s="7"/>
      <c r="K748" s="7"/>
      <c r="L748" s="7"/>
      <c r="M748" s="7"/>
      <c r="N748" s="7"/>
      <c r="O748" s="7"/>
      <c r="P748" s="7"/>
      <c r="Q748" s="7"/>
      <c r="R748" s="64"/>
      <c r="S748" s="64"/>
      <c r="T748" s="64"/>
      <c r="U748" s="64"/>
      <c r="V748" s="64"/>
      <c r="W748" s="64"/>
    </row>
    <row r="749" spans="1:23" ht="30" customHeight="1">
      <c r="A749" s="8"/>
      <c r="B749" s="7"/>
      <c r="C749" s="33"/>
      <c r="D749" s="7"/>
      <c r="E749" s="7"/>
      <c r="F749" s="7"/>
      <c r="G749" s="7"/>
      <c r="H749" s="7"/>
      <c r="I749" s="7"/>
      <c r="J749" s="7"/>
      <c r="K749" s="7"/>
      <c r="L749" s="7"/>
      <c r="M749" s="7"/>
      <c r="N749" s="7"/>
      <c r="O749" s="7"/>
      <c r="P749" s="7"/>
      <c r="Q749" s="7"/>
      <c r="R749" s="64"/>
      <c r="S749" s="64"/>
      <c r="T749" s="64"/>
      <c r="U749" s="64"/>
      <c r="V749" s="64"/>
      <c r="W749" s="64"/>
    </row>
    <row r="750" spans="1:23" ht="30" customHeight="1">
      <c r="A750" s="8"/>
      <c r="B750" s="7"/>
      <c r="C750" s="33"/>
      <c r="D750" s="7"/>
      <c r="E750" s="7"/>
      <c r="F750" s="7"/>
      <c r="G750" s="7"/>
      <c r="H750" s="7"/>
      <c r="I750" s="7"/>
      <c r="J750" s="7"/>
      <c r="K750" s="7"/>
      <c r="L750" s="7"/>
      <c r="M750" s="7"/>
      <c r="N750" s="7"/>
      <c r="O750" s="7"/>
      <c r="P750" s="7"/>
      <c r="Q750" s="7"/>
      <c r="R750" s="64"/>
      <c r="S750" s="64"/>
      <c r="T750" s="64"/>
      <c r="U750" s="64"/>
      <c r="V750" s="64"/>
      <c r="W750" s="64"/>
    </row>
    <row r="751" spans="1:23" ht="30" customHeight="1">
      <c r="A751" s="8"/>
      <c r="B751" s="7"/>
      <c r="C751" s="33"/>
      <c r="D751" s="7"/>
      <c r="E751" s="7"/>
      <c r="F751" s="7"/>
      <c r="G751" s="7"/>
      <c r="H751" s="7"/>
      <c r="I751" s="7"/>
      <c r="J751" s="7"/>
      <c r="K751" s="7"/>
      <c r="L751" s="7"/>
      <c r="M751" s="7"/>
      <c r="N751" s="7"/>
      <c r="O751" s="7"/>
      <c r="P751" s="7"/>
      <c r="Q751" s="7"/>
      <c r="R751" s="64"/>
      <c r="S751" s="64"/>
      <c r="T751" s="64"/>
      <c r="U751" s="64"/>
      <c r="V751" s="64"/>
      <c r="W751" s="64"/>
    </row>
    <row r="752" spans="1:23" ht="30" customHeight="1">
      <c r="A752" s="8"/>
      <c r="B752" s="7"/>
      <c r="C752" s="33"/>
      <c r="D752" s="7"/>
      <c r="E752" s="7"/>
      <c r="F752" s="7"/>
      <c r="G752" s="7"/>
      <c r="H752" s="7"/>
      <c r="I752" s="7"/>
      <c r="J752" s="7"/>
      <c r="K752" s="7"/>
      <c r="L752" s="7"/>
      <c r="M752" s="7"/>
      <c r="N752" s="7"/>
      <c r="O752" s="7"/>
      <c r="P752" s="7"/>
      <c r="Q752" s="7"/>
      <c r="R752" s="64"/>
      <c r="S752" s="64"/>
      <c r="T752" s="64"/>
      <c r="U752" s="64"/>
      <c r="V752" s="64"/>
      <c r="W752" s="64"/>
    </row>
    <row r="753" spans="1:23" ht="30" customHeight="1">
      <c r="A753" s="8"/>
      <c r="B753" s="7"/>
      <c r="C753" s="33"/>
      <c r="D753" s="7"/>
      <c r="E753" s="7"/>
      <c r="F753" s="7"/>
      <c r="G753" s="7"/>
      <c r="H753" s="7"/>
      <c r="I753" s="7"/>
      <c r="J753" s="7"/>
      <c r="K753" s="7"/>
      <c r="L753" s="7"/>
      <c r="M753" s="7"/>
      <c r="N753" s="7"/>
      <c r="O753" s="7"/>
      <c r="P753" s="7"/>
      <c r="Q753" s="7"/>
      <c r="R753" s="64"/>
      <c r="S753" s="64"/>
      <c r="T753" s="64"/>
      <c r="U753" s="64"/>
      <c r="V753" s="64"/>
      <c r="W753" s="64"/>
    </row>
    <row r="754" spans="1:23" ht="30" customHeight="1">
      <c r="A754" s="8"/>
      <c r="B754" s="7"/>
      <c r="C754" s="33"/>
      <c r="D754" s="7"/>
      <c r="E754" s="7"/>
      <c r="F754" s="7"/>
      <c r="G754" s="7"/>
      <c r="H754" s="7"/>
      <c r="I754" s="7"/>
      <c r="J754" s="7"/>
      <c r="K754" s="7"/>
      <c r="L754" s="7"/>
      <c r="M754" s="7"/>
      <c r="N754" s="7"/>
      <c r="O754" s="7"/>
      <c r="P754" s="7"/>
      <c r="Q754" s="7"/>
      <c r="R754" s="64"/>
      <c r="S754" s="64"/>
      <c r="T754" s="64"/>
      <c r="U754" s="64"/>
      <c r="V754" s="64"/>
      <c r="W754" s="64"/>
    </row>
    <row r="755" spans="1:23" ht="30" customHeight="1">
      <c r="A755" s="8"/>
      <c r="B755" s="7"/>
      <c r="C755" s="33"/>
      <c r="D755" s="7"/>
      <c r="E755" s="7"/>
      <c r="F755" s="7"/>
      <c r="G755" s="7"/>
      <c r="H755" s="7"/>
      <c r="I755" s="7"/>
      <c r="J755" s="7"/>
      <c r="K755" s="7"/>
      <c r="L755" s="7"/>
      <c r="M755" s="7"/>
      <c r="N755" s="7"/>
      <c r="O755" s="7"/>
      <c r="P755" s="7"/>
      <c r="Q755" s="7"/>
      <c r="R755" s="64"/>
      <c r="S755" s="64"/>
      <c r="T755" s="64"/>
      <c r="U755" s="64"/>
      <c r="V755" s="64"/>
      <c r="W755" s="64"/>
    </row>
    <row r="756" spans="1:23" ht="30" customHeight="1">
      <c r="A756" s="8"/>
      <c r="B756" s="7"/>
      <c r="C756" s="33"/>
      <c r="D756" s="7"/>
      <c r="E756" s="7"/>
      <c r="F756" s="7"/>
      <c r="G756" s="7"/>
      <c r="H756" s="7"/>
      <c r="I756" s="7"/>
      <c r="J756" s="7"/>
      <c r="K756" s="7"/>
      <c r="L756" s="7"/>
      <c r="M756" s="7"/>
      <c r="N756" s="7"/>
      <c r="O756" s="7"/>
      <c r="P756" s="7"/>
      <c r="Q756" s="7"/>
      <c r="R756" s="64"/>
      <c r="S756" s="64"/>
      <c r="T756" s="64"/>
      <c r="U756" s="64"/>
      <c r="V756" s="64"/>
      <c r="W756" s="64"/>
    </row>
    <row r="757" spans="1:23" ht="30" customHeight="1">
      <c r="A757" s="8"/>
      <c r="B757" s="7"/>
      <c r="C757" s="33"/>
      <c r="D757" s="7"/>
      <c r="E757" s="7"/>
      <c r="F757" s="7"/>
      <c r="G757" s="7"/>
      <c r="H757" s="7"/>
      <c r="I757" s="7"/>
      <c r="J757" s="7"/>
      <c r="K757" s="7"/>
      <c r="L757" s="7"/>
      <c r="M757" s="7"/>
      <c r="N757" s="7"/>
      <c r="O757" s="7"/>
      <c r="P757" s="7"/>
      <c r="Q757" s="7"/>
      <c r="R757" s="64"/>
      <c r="S757" s="64"/>
      <c r="T757" s="64"/>
      <c r="U757" s="64"/>
      <c r="V757" s="64"/>
      <c r="W757" s="64"/>
    </row>
    <row r="758" spans="1:23" ht="30" customHeight="1">
      <c r="A758" s="8"/>
      <c r="B758" s="7"/>
      <c r="C758" s="33"/>
      <c r="D758" s="7"/>
      <c r="E758" s="7"/>
      <c r="F758" s="7"/>
      <c r="G758" s="7"/>
      <c r="H758" s="7"/>
      <c r="I758" s="7"/>
      <c r="J758" s="7"/>
      <c r="K758" s="7"/>
      <c r="L758" s="7"/>
      <c r="M758" s="7"/>
      <c r="N758" s="7"/>
      <c r="O758" s="7"/>
      <c r="P758" s="7"/>
      <c r="Q758" s="7"/>
      <c r="R758" s="64"/>
      <c r="S758" s="64"/>
      <c r="T758" s="64"/>
      <c r="U758" s="64"/>
      <c r="V758" s="64"/>
      <c r="W758" s="64"/>
    </row>
    <row r="759" spans="1:23" ht="30" customHeight="1">
      <c r="A759" s="8"/>
      <c r="B759" s="7"/>
      <c r="C759" s="33"/>
      <c r="D759" s="7"/>
      <c r="E759" s="7"/>
      <c r="F759" s="7"/>
      <c r="G759" s="7"/>
      <c r="H759" s="7"/>
      <c r="I759" s="7"/>
      <c r="J759" s="7"/>
      <c r="K759" s="7"/>
      <c r="L759" s="7"/>
      <c r="M759" s="7"/>
      <c r="N759" s="7"/>
      <c r="O759" s="7"/>
      <c r="P759" s="7"/>
      <c r="Q759" s="7"/>
      <c r="R759" s="64"/>
      <c r="S759" s="64"/>
      <c r="T759" s="64"/>
      <c r="U759" s="64"/>
      <c r="V759" s="64"/>
      <c r="W759" s="64"/>
    </row>
    <row r="760" spans="1:23" ht="30" customHeight="1">
      <c r="A760" s="8"/>
      <c r="B760" s="7"/>
      <c r="C760" s="33"/>
      <c r="D760" s="7"/>
      <c r="E760" s="7"/>
      <c r="F760" s="7"/>
      <c r="G760" s="7"/>
      <c r="H760" s="7"/>
      <c r="I760" s="7"/>
      <c r="J760" s="7"/>
      <c r="K760" s="7"/>
      <c r="L760" s="7"/>
      <c r="M760" s="7"/>
      <c r="N760" s="7"/>
      <c r="O760" s="7"/>
      <c r="P760" s="7"/>
      <c r="Q760" s="7"/>
      <c r="R760" s="64"/>
      <c r="S760" s="64"/>
      <c r="T760" s="64"/>
      <c r="U760" s="64"/>
      <c r="V760" s="64"/>
      <c r="W760" s="64"/>
    </row>
    <row r="761" spans="1:23" ht="30" customHeight="1">
      <c r="A761" s="8"/>
      <c r="B761" s="7"/>
      <c r="C761" s="33"/>
      <c r="D761" s="7"/>
      <c r="E761" s="7"/>
      <c r="F761" s="7"/>
      <c r="G761" s="7"/>
      <c r="H761" s="7"/>
      <c r="I761" s="7"/>
      <c r="J761" s="7"/>
      <c r="K761" s="7"/>
      <c r="L761" s="7"/>
      <c r="M761" s="7"/>
      <c r="N761" s="7"/>
      <c r="O761" s="7"/>
      <c r="P761" s="7"/>
      <c r="Q761" s="7"/>
      <c r="R761" s="64"/>
      <c r="S761" s="64"/>
      <c r="T761" s="64"/>
      <c r="U761" s="64"/>
      <c r="V761" s="64"/>
      <c r="W761" s="64"/>
    </row>
    <row r="762" spans="1:23" ht="30" customHeight="1">
      <c r="A762" s="8"/>
      <c r="B762" s="7"/>
      <c r="C762" s="33"/>
      <c r="D762" s="7"/>
      <c r="E762" s="7"/>
      <c r="F762" s="7"/>
      <c r="G762" s="7"/>
      <c r="H762" s="7"/>
      <c r="I762" s="7"/>
      <c r="J762" s="7"/>
      <c r="K762" s="7"/>
      <c r="L762" s="7"/>
      <c r="M762" s="7"/>
      <c r="N762" s="7"/>
      <c r="O762" s="7"/>
      <c r="P762" s="7"/>
      <c r="Q762" s="7"/>
      <c r="R762" s="64"/>
      <c r="S762" s="64"/>
      <c r="T762" s="64"/>
      <c r="U762" s="64"/>
      <c r="V762" s="64"/>
      <c r="W762" s="64"/>
    </row>
    <row r="763" spans="1:23" ht="30" customHeight="1">
      <c r="A763" s="8"/>
      <c r="B763" s="7"/>
      <c r="C763" s="33"/>
      <c r="D763" s="7"/>
      <c r="E763" s="7"/>
      <c r="F763" s="7"/>
      <c r="G763" s="7"/>
      <c r="H763" s="7"/>
      <c r="I763" s="7"/>
      <c r="J763" s="7"/>
      <c r="K763" s="7"/>
      <c r="L763" s="7"/>
      <c r="M763" s="7"/>
      <c r="N763" s="7"/>
      <c r="O763" s="7"/>
      <c r="P763" s="7"/>
      <c r="Q763" s="7"/>
      <c r="R763" s="64"/>
      <c r="S763" s="64"/>
      <c r="T763" s="64"/>
      <c r="U763" s="64"/>
      <c r="V763" s="64"/>
      <c r="W763" s="64"/>
    </row>
    <row r="764" spans="1:23" ht="30" customHeight="1">
      <c r="A764" s="8"/>
      <c r="B764" s="7"/>
      <c r="C764" s="33"/>
      <c r="D764" s="7"/>
      <c r="E764" s="7"/>
      <c r="F764" s="7"/>
      <c r="G764" s="7"/>
      <c r="H764" s="7"/>
      <c r="I764" s="7"/>
      <c r="J764" s="7"/>
      <c r="K764" s="7"/>
      <c r="L764" s="7"/>
      <c r="M764" s="7"/>
      <c r="N764" s="7"/>
      <c r="O764" s="7"/>
      <c r="P764" s="7"/>
      <c r="Q764" s="7"/>
      <c r="R764" s="64"/>
      <c r="S764" s="64"/>
      <c r="T764" s="64"/>
      <c r="U764" s="64"/>
      <c r="V764" s="64"/>
      <c r="W764" s="64"/>
    </row>
    <row r="765" spans="1:23" ht="30" customHeight="1">
      <c r="A765" s="8"/>
      <c r="B765" s="7"/>
      <c r="C765" s="33"/>
      <c r="D765" s="7"/>
      <c r="E765" s="7"/>
      <c r="F765" s="7"/>
      <c r="G765" s="7"/>
      <c r="H765" s="7"/>
      <c r="I765" s="7"/>
      <c r="J765" s="7"/>
      <c r="K765" s="7"/>
      <c r="L765" s="7"/>
      <c r="M765" s="7"/>
      <c r="N765" s="7"/>
      <c r="O765" s="7"/>
      <c r="P765" s="7"/>
      <c r="Q765" s="7"/>
      <c r="R765" s="64"/>
      <c r="S765" s="64"/>
      <c r="T765" s="64"/>
      <c r="U765" s="64"/>
      <c r="V765" s="64"/>
      <c r="W765" s="64"/>
    </row>
    <row r="766" spans="1:23" ht="30" customHeight="1">
      <c r="A766" s="8"/>
      <c r="B766" s="7"/>
      <c r="C766" s="33"/>
      <c r="D766" s="7"/>
      <c r="E766" s="7"/>
      <c r="F766" s="7"/>
      <c r="G766" s="7"/>
      <c r="H766" s="7"/>
      <c r="I766" s="7"/>
      <c r="J766" s="7"/>
      <c r="K766" s="7"/>
      <c r="L766" s="7"/>
      <c r="M766" s="7"/>
      <c r="N766" s="7"/>
      <c r="O766" s="7"/>
      <c r="P766" s="7"/>
      <c r="Q766" s="7"/>
      <c r="R766" s="64"/>
      <c r="S766" s="64"/>
      <c r="T766" s="64"/>
      <c r="U766" s="64"/>
      <c r="V766" s="64"/>
      <c r="W766" s="64"/>
    </row>
    <row r="767" spans="1:23" ht="30" customHeight="1">
      <c r="A767" s="8"/>
      <c r="B767" s="7"/>
      <c r="C767" s="33"/>
      <c r="D767" s="7"/>
      <c r="E767" s="7"/>
      <c r="F767" s="7"/>
      <c r="G767" s="7"/>
      <c r="H767" s="7"/>
      <c r="I767" s="7"/>
      <c r="J767" s="7"/>
      <c r="K767" s="7"/>
      <c r="L767" s="7"/>
      <c r="M767" s="7"/>
      <c r="N767" s="7"/>
      <c r="O767" s="7"/>
      <c r="P767" s="7"/>
      <c r="Q767" s="7"/>
      <c r="R767" s="64"/>
      <c r="S767" s="64"/>
      <c r="T767" s="64"/>
      <c r="U767" s="64"/>
      <c r="V767" s="64"/>
      <c r="W767" s="64"/>
    </row>
    <row r="768" spans="1:23" ht="30" customHeight="1">
      <c r="A768" s="8"/>
      <c r="B768" s="7"/>
      <c r="C768" s="33"/>
      <c r="D768" s="7"/>
      <c r="E768" s="7"/>
      <c r="F768" s="7"/>
      <c r="G768" s="7"/>
      <c r="H768" s="7"/>
      <c r="I768" s="7"/>
      <c r="J768" s="7"/>
      <c r="K768" s="7"/>
      <c r="L768" s="7"/>
      <c r="M768" s="7"/>
      <c r="N768" s="7"/>
      <c r="O768" s="7"/>
      <c r="P768" s="7"/>
      <c r="Q768" s="7"/>
      <c r="R768" s="64"/>
      <c r="S768" s="64"/>
      <c r="T768" s="64"/>
      <c r="U768" s="64"/>
      <c r="V768" s="64"/>
      <c r="W768" s="64"/>
    </row>
    <row r="769" spans="1:23" ht="30" customHeight="1">
      <c r="A769" s="8"/>
      <c r="B769" s="7"/>
      <c r="C769" s="33"/>
      <c r="D769" s="7"/>
      <c r="E769" s="7"/>
      <c r="F769" s="7"/>
      <c r="G769" s="7"/>
      <c r="H769" s="7"/>
      <c r="I769" s="7"/>
      <c r="J769" s="7"/>
      <c r="K769" s="7"/>
      <c r="L769" s="7"/>
      <c r="M769" s="7"/>
      <c r="N769" s="7"/>
      <c r="O769" s="7"/>
      <c r="P769" s="7"/>
      <c r="Q769" s="7"/>
      <c r="R769" s="64"/>
      <c r="S769" s="64"/>
      <c r="T769" s="64"/>
      <c r="U769" s="64"/>
      <c r="V769" s="64"/>
      <c r="W769" s="64"/>
    </row>
    <row r="770" spans="1:23" ht="30" customHeight="1">
      <c r="A770" s="8"/>
      <c r="B770" s="7"/>
      <c r="C770" s="33"/>
      <c r="D770" s="7"/>
      <c r="E770" s="7"/>
      <c r="F770" s="7"/>
      <c r="G770" s="7"/>
      <c r="H770" s="7"/>
      <c r="I770" s="7"/>
      <c r="J770" s="7"/>
      <c r="K770" s="7"/>
      <c r="L770" s="7"/>
      <c r="M770" s="7"/>
      <c r="N770" s="7"/>
      <c r="O770" s="7"/>
      <c r="P770" s="7"/>
      <c r="Q770" s="7"/>
      <c r="R770" s="64"/>
      <c r="S770" s="64"/>
      <c r="T770" s="64"/>
      <c r="U770" s="64"/>
      <c r="V770" s="64"/>
      <c r="W770" s="64"/>
    </row>
    <row r="771" spans="1:23" ht="30" customHeight="1">
      <c r="A771" s="8"/>
      <c r="B771" s="7"/>
      <c r="C771" s="33"/>
      <c r="D771" s="7"/>
      <c r="E771" s="7"/>
      <c r="F771" s="7"/>
      <c r="G771" s="7"/>
      <c r="H771" s="7"/>
      <c r="I771" s="7"/>
      <c r="J771" s="7"/>
      <c r="K771" s="7"/>
      <c r="L771" s="7"/>
      <c r="M771" s="7"/>
      <c r="N771" s="7"/>
      <c r="O771" s="7"/>
      <c r="P771" s="7"/>
      <c r="Q771" s="7"/>
      <c r="R771" s="64"/>
      <c r="S771" s="64"/>
      <c r="T771" s="64"/>
      <c r="U771" s="64"/>
      <c r="V771" s="64"/>
      <c r="W771" s="64"/>
    </row>
    <row r="772" spans="1:23" ht="30" customHeight="1">
      <c r="A772" s="8"/>
      <c r="B772" s="7"/>
      <c r="C772" s="33"/>
      <c r="D772" s="7"/>
      <c r="E772" s="7"/>
      <c r="F772" s="7"/>
      <c r="G772" s="7"/>
      <c r="H772" s="7"/>
      <c r="I772" s="7"/>
      <c r="J772" s="7"/>
      <c r="K772" s="7"/>
      <c r="L772" s="7"/>
      <c r="M772" s="7"/>
      <c r="N772" s="7"/>
      <c r="O772" s="7"/>
      <c r="P772" s="7"/>
      <c r="Q772" s="7"/>
      <c r="R772" s="64"/>
      <c r="S772" s="64"/>
      <c r="T772" s="64"/>
      <c r="U772" s="64"/>
      <c r="V772" s="64"/>
      <c r="W772" s="64"/>
    </row>
    <row r="773" spans="1:23" ht="30" customHeight="1">
      <c r="A773" s="8"/>
      <c r="B773" s="7"/>
      <c r="C773" s="33"/>
      <c r="D773" s="7"/>
      <c r="E773" s="7"/>
      <c r="F773" s="7"/>
      <c r="G773" s="7"/>
      <c r="H773" s="7"/>
      <c r="I773" s="7"/>
      <c r="J773" s="7"/>
      <c r="K773" s="7"/>
      <c r="L773" s="7"/>
      <c r="M773" s="7"/>
      <c r="N773" s="7"/>
      <c r="O773" s="7"/>
      <c r="P773" s="7"/>
      <c r="Q773" s="7"/>
      <c r="R773" s="64"/>
      <c r="S773" s="64"/>
      <c r="T773" s="64"/>
      <c r="U773" s="64"/>
      <c r="V773" s="64"/>
      <c r="W773" s="64"/>
    </row>
    <row r="774" spans="1:23" ht="30" customHeight="1">
      <c r="A774" s="8"/>
      <c r="B774" s="7"/>
      <c r="C774" s="33"/>
      <c r="D774" s="7"/>
      <c r="E774" s="7"/>
      <c r="F774" s="7"/>
      <c r="G774" s="7"/>
      <c r="H774" s="7"/>
      <c r="I774" s="7"/>
      <c r="J774" s="7"/>
      <c r="K774" s="7"/>
      <c r="L774" s="7"/>
      <c r="M774" s="7"/>
      <c r="N774" s="7"/>
      <c r="O774" s="7"/>
      <c r="P774" s="7"/>
      <c r="Q774" s="7"/>
      <c r="R774" s="64"/>
      <c r="S774" s="64"/>
      <c r="T774" s="64"/>
      <c r="U774" s="64"/>
      <c r="V774" s="64"/>
      <c r="W774" s="64"/>
    </row>
    <row r="775" spans="1:23" ht="30" customHeight="1">
      <c r="A775" s="8"/>
      <c r="B775" s="7"/>
      <c r="C775" s="33"/>
      <c r="D775" s="7"/>
      <c r="E775" s="7"/>
      <c r="F775" s="7"/>
      <c r="G775" s="7"/>
      <c r="H775" s="7"/>
      <c r="I775" s="7"/>
      <c r="J775" s="7"/>
      <c r="K775" s="7"/>
      <c r="L775" s="7"/>
      <c r="M775" s="7"/>
      <c r="N775" s="7"/>
      <c r="O775" s="7"/>
      <c r="P775" s="7"/>
      <c r="Q775" s="7"/>
      <c r="R775" s="64"/>
      <c r="S775" s="64"/>
      <c r="T775" s="64"/>
      <c r="U775" s="64"/>
      <c r="V775" s="64"/>
      <c r="W775" s="64"/>
    </row>
    <row r="776" spans="1:23" ht="30" customHeight="1">
      <c r="A776" s="8"/>
      <c r="B776" s="7"/>
      <c r="C776" s="33"/>
      <c r="D776" s="7"/>
      <c r="E776" s="7"/>
      <c r="F776" s="7"/>
      <c r="G776" s="7"/>
      <c r="H776" s="7"/>
      <c r="I776" s="7"/>
      <c r="J776" s="7"/>
      <c r="K776" s="7"/>
      <c r="L776" s="7"/>
      <c r="M776" s="7"/>
      <c r="N776" s="7"/>
      <c r="O776" s="7"/>
      <c r="P776" s="7"/>
      <c r="Q776" s="7"/>
      <c r="R776" s="64"/>
      <c r="S776" s="64"/>
      <c r="T776" s="64"/>
      <c r="U776" s="64"/>
      <c r="V776" s="64"/>
      <c r="W776" s="64"/>
    </row>
    <row r="777" spans="1:23" ht="30" customHeight="1">
      <c r="A777" s="8"/>
      <c r="B777" s="7"/>
      <c r="C777" s="33"/>
      <c r="D777" s="7"/>
      <c r="E777" s="7"/>
      <c r="F777" s="7"/>
      <c r="G777" s="7"/>
      <c r="H777" s="7"/>
      <c r="I777" s="7"/>
      <c r="J777" s="7"/>
      <c r="K777" s="7"/>
      <c r="L777" s="7"/>
      <c r="M777" s="7"/>
      <c r="N777" s="7"/>
      <c r="O777" s="7"/>
      <c r="P777" s="7"/>
      <c r="Q777" s="7"/>
      <c r="R777" s="64"/>
      <c r="S777" s="64"/>
      <c r="T777" s="64"/>
      <c r="U777" s="64"/>
      <c r="V777" s="64"/>
      <c r="W777" s="64"/>
    </row>
    <row r="778" spans="1:23" ht="30" customHeight="1">
      <c r="A778" s="8"/>
      <c r="B778" s="7"/>
      <c r="C778" s="33"/>
      <c r="D778" s="7"/>
      <c r="E778" s="7"/>
      <c r="F778" s="7"/>
      <c r="G778" s="7"/>
      <c r="H778" s="7"/>
      <c r="I778" s="7"/>
      <c r="J778" s="7"/>
      <c r="K778" s="7"/>
      <c r="L778" s="7"/>
      <c r="M778" s="7"/>
      <c r="N778" s="7"/>
      <c r="O778" s="7"/>
      <c r="P778" s="7"/>
      <c r="Q778" s="7"/>
      <c r="R778" s="64"/>
      <c r="S778" s="64"/>
      <c r="T778" s="64"/>
      <c r="U778" s="64"/>
      <c r="V778" s="64"/>
      <c r="W778" s="64"/>
    </row>
    <row r="779" spans="1:23" ht="30" customHeight="1">
      <c r="A779" s="8"/>
      <c r="B779" s="7"/>
      <c r="C779" s="33"/>
      <c r="D779" s="7"/>
      <c r="E779" s="7"/>
      <c r="F779" s="7"/>
      <c r="G779" s="7"/>
      <c r="H779" s="7"/>
      <c r="I779" s="7"/>
      <c r="J779" s="7"/>
      <c r="K779" s="7"/>
      <c r="L779" s="7"/>
      <c r="M779" s="7"/>
      <c r="N779" s="7"/>
      <c r="O779" s="7"/>
      <c r="P779" s="7"/>
      <c r="Q779" s="7"/>
      <c r="R779" s="64"/>
      <c r="S779" s="64"/>
      <c r="T779" s="64"/>
      <c r="U779" s="64"/>
      <c r="V779" s="64"/>
      <c r="W779" s="64"/>
    </row>
    <row r="780" spans="1:23" ht="30" customHeight="1">
      <c r="A780" s="8"/>
      <c r="B780" s="7"/>
      <c r="C780" s="33"/>
      <c r="D780" s="7"/>
      <c r="E780" s="7"/>
      <c r="F780" s="7"/>
      <c r="G780" s="7"/>
      <c r="H780" s="7"/>
      <c r="I780" s="7"/>
      <c r="J780" s="7"/>
      <c r="K780" s="7"/>
      <c r="L780" s="7"/>
      <c r="M780" s="7"/>
      <c r="N780" s="7"/>
      <c r="O780" s="7"/>
      <c r="P780" s="7"/>
      <c r="Q780" s="7"/>
      <c r="R780" s="64"/>
      <c r="S780" s="64"/>
      <c r="T780" s="64"/>
      <c r="U780" s="64"/>
      <c r="V780" s="64"/>
      <c r="W780" s="64"/>
    </row>
    <row r="781" spans="1:23" ht="30" customHeight="1">
      <c r="A781" s="8"/>
      <c r="B781" s="7"/>
      <c r="C781" s="33"/>
      <c r="D781" s="7"/>
      <c r="E781" s="7"/>
      <c r="F781" s="7"/>
      <c r="G781" s="7"/>
      <c r="H781" s="7"/>
      <c r="I781" s="7"/>
      <c r="J781" s="7"/>
      <c r="K781" s="7"/>
      <c r="L781" s="7"/>
      <c r="M781" s="7"/>
      <c r="N781" s="7"/>
      <c r="O781" s="7"/>
      <c r="P781" s="7"/>
      <c r="Q781" s="7"/>
      <c r="R781" s="64"/>
      <c r="S781" s="64"/>
      <c r="T781" s="64"/>
      <c r="U781" s="64"/>
      <c r="V781" s="64"/>
      <c r="W781" s="64"/>
    </row>
    <row r="782" spans="1:23" ht="30" customHeight="1">
      <c r="A782" s="8"/>
      <c r="B782" s="7"/>
      <c r="C782" s="33"/>
      <c r="D782" s="7"/>
      <c r="E782" s="7"/>
      <c r="F782" s="7"/>
      <c r="G782" s="7"/>
      <c r="H782" s="7"/>
      <c r="I782" s="7"/>
      <c r="J782" s="7"/>
      <c r="K782" s="7"/>
      <c r="L782" s="7"/>
      <c r="M782" s="7"/>
      <c r="N782" s="7"/>
      <c r="O782" s="7"/>
      <c r="P782" s="7"/>
      <c r="Q782" s="7"/>
      <c r="R782" s="64"/>
      <c r="S782" s="64"/>
      <c r="T782" s="64"/>
      <c r="U782" s="64"/>
      <c r="V782" s="64"/>
      <c r="W782" s="64"/>
    </row>
    <row r="783" spans="1:23" ht="30" customHeight="1">
      <c r="A783" s="8"/>
      <c r="B783" s="7"/>
      <c r="C783" s="33"/>
      <c r="D783" s="7"/>
      <c r="E783" s="7"/>
      <c r="F783" s="7"/>
      <c r="G783" s="7"/>
      <c r="H783" s="7"/>
      <c r="I783" s="7"/>
      <c r="J783" s="7"/>
      <c r="K783" s="7"/>
      <c r="L783" s="7"/>
      <c r="M783" s="7"/>
      <c r="N783" s="7"/>
      <c r="O783" s="7"/>
      <c r="P783" s="7"/>
      <c r="Q783" s="7"/>
      <c r="R783" s="64"/>
      <c r="S783" s="64"/>
      <c r="T783" s="64"/>
      <c r="U783" s="64"/>
      <c r="V783" s="64"/>
      <c r="W783" s="64"/>
    </row>
    <row r="784" spans="1:23" ht="30" customHeight="1">
      <c r="A784" s="8"/>
      <c r="B784" s="7"/>
      <c r="C784" s="33"/>
      <c r="D784" s="7"/>
      <c r="E784" s="7"/>
      <c r="F784" s="7"/>
      <c r="G784" s="7"/>
      <c r="H784" s="7"/>
      <c r="I784" s="7"/>
      <c r="J784" s="7"/>
      <c r="K784" s="7"/>
      <c r="L784" s="7"/>
      <c r="M784" s="7"/>
      <c r="N784" s="7"/>
      <c r="O784" s="7"/>
      <c r="P784" s="7"/>
      <c r="Q784" s="7"/>
      <c r="R784" s="64"/>
      <c r="S784" s="64"/>
      <c r="T784" s="64"/>
      <c r="U784" s="64"/>
      <c r="V784" s="64"/>
      <c r="W784" s="64"/>
    </row>
    <row r="785" spans="1:23" ht="30" customHeight="1">
      <c r="A785" s="8"/>
      <c r="B785" s="7"/>
      <c r="C785" s="33"/>
      <c r="D785" s="7"/>
      <c r="E785" s="7"/>
      <c r="F785" s="7"/>
      <c r="G785" s="7"/>
      <c r="H785" s="7"/>
      <c r="I785" s="7"/>
      <c r="J785" s="7"/>
      <c r="K785" s="7"/>
      <c r="L785" s="7"/>
      <c r="M785" s="7"/>
      <c r="N785" s="7"/>
      <c r="O785" s="7"/>
      <c r="P785" s="7"/>
      <c r="Q785" s="7"/>
      <c r="R785" s="64"/>
      <c r="S785" s="64"/>
      <c r="T785" s="64"/>
      <c r="U785" s="64"/>
      <c r="V785" s="64"/>
      <c r="W785" s="64"/>
    </row>
    <row r="786" spans="1:23" ht="30" customHeight="1">
      <c r="A786" s="8"/>
      <c r="B786" s="7"/>
      <c r="C786" s="33"/>
      <c r="D786" s="7"/>
      <c r="E786" s="7"/>
      <c r="F786" s="7"/>
      <c r="G786" s="7"/>
      <c r="H786" s="7"/>
      <c r="I786" s="7"/>
      <c r="J786" s="7"/>
      <c r="K786" s="7"/>
      <c r="L786" s="7"/>
      <c r="M786" s="7"/>
      <c r="N786" s="7"/>
      <c r="O786" s="7"/>
      <c r="P786" s="7"/>
      <c r="Q786" s="7"/>
      <c r="R786" s="64"/>
      <c r="S786" s="64"/>
      <c r="T786" s="64"/>
      <c r="U786" s="64"/>
      <c r="V786" s="64"/>
      <c r="W786" s="64"/>
    </row>
    <row r="787" spans="1:23" ht="30" customHeight="1">
      <c r="A787" s="8"/>
      <c r="B787" s="7"/>
      <c r="C787" s="33"/>
      <c r="D787" s="7"/>
      <c r="E787" s="7"/>
      <c r="F787" s="7"/>
      <c r="G787" s="7"/>
      <c r="H787" s="7"/>
      <c r="I787" s="7"/>
      <c r="J787" s="7"/>
      <c r="K787" s="7"/>
      <c r="L787" s="7"/>
      <c r="M787" s="7"/>
      <c r="N787" s="7"/>
      <c r="O787" s="7"/>
      <c r="P787" s="7"/>
      <c r="Q787" s="7"/>
      <c r="R787" s="64"/>
      <c r="S787" s="64"/>
      <c r="T787" s="64"/>
      <c r="U787" s="64"/>
      <c r="V787" s="64"/>
      <c r="W787" s="64"/>
    </row>
    <row r="788" spans="1:23" ht="30" customHeight="1">
      <c r="A788" s="8"/>
      <c r="B788" s="7"/>
      <c r="C788" s="33"/>
      <c r="D788" s="7"/>
      <c r="E788" s="7"/>
      <c r="F788" s="7"/>
      <c r="G788" s="7"/>
      <c r="H788" s="7"/>
      <c r="I788" s="7"/>
      <c r="J788" s="7"/>
      <c r="K788" s="7"/>
      <c r="L788" s="7"/>
      <c r="M788" s="7"/>
      <c r="N788" s="7"/>
      <c r="O788" s="7"/>
      <c r="P788" s="7"/>
      <c r="Q788" s="7"/>
      <c r="R788" s="64"/>
      <c r="S788" s="64"/>
      <c r="T788" s="64"/>
      <c r="U788" s="64"/>
      <c r="V788" s="64"/>
      <c r="W788" s="64"/>
    </row>
    <row r="789" spans="1:23" ht="30" customHeight="1">
      <c r="A789" s="8"/>
      <c r="B789" s="7"/>
      <c r="C789" s="33"/>
      <c r="D789" s="7"/>
      <c r="E789" s="7"/>
      <c r="F789" s="7"/>
      <c r="G789" s="7"/>
      <c r="H789" s="7"/>
      <c r="I789" s="7"/>
      <c r="J789" s="7"/>
      <c r="K789" s="7"/>
      <c r="L789" s="7"/>
      <c r="M789" s="7"/>
      <c r="N789" s="7"/>
      <c r="O789" s="7"/>
      <c r="P789" s="7"/>
      <c r="Q789" s="7"/>
      <c r="R789" s="64"/>
      <c r="S789" s="64"/>
      <c r="T789" s="64"/>
      <c r="U789" s="64"/>
      <c r="V789" s="64"/>
      <c r="W789" s="64"/>
    </row>
    <row r="790" spans="1:23" ht="30" customHeight="1">
      <c r="A790" s="8"/>
      <c r="B790" s="7"/>
      <c r="C790" s="33"/>
      <c r="D790" s="7"/>
      <c r="E790" s="7"/>
      <c r="F790" s="7"/>
      <c r="G790" s="7"/>
      <c r="H790" s="7"/>
      <c r="I790" s="7"/>
      <c r="J790" s="7"/>
      <c r="K790" s="7"/>
      <c r="L790" s="7"/>
      <c r="M790" s="7"/>
      <c r="N790" s="7"/>
      <c r="O790" s="7"/>
      <c r="P790" s="7"/>
      <c r="Q790" s="7"/>
      <c r="R790" s="64"/>
      <c r="S790" s="64"/>
      <c r="T790" s="64"/>
      <c r="U790" s="64"/>
      <c r="V790" s="64"/>
      <c r="W790" s="64"/>
    </row>
    <row r="791" spans="1:23" ht="30" customHeight="1">
      <c r="A791" s="8"/>
      <c r="B791" s="7"/>
      <c r="C791" s="33"/>
      <c r="D791" s="7"/>
      <c r="E791" s="7"/>
      <c r="F791" s="7"/>
      <c r="G791" s="7"/>
      <c r="H791" s="7"/>
      <c r="I791" s="7"/>
      <c r="J791" s="7"/>
      <c r="K791" s="7"/>
      <c r="L791" s="7"/>
      <c r="M791" s="7"/>
      <c r="N791" s="7"/>
      <c r="O791" s="7"/>
      <c r="P791" s="7"/>
      <c r="Q791" s="7"/>
      <c r="R791" s="64"/>
      <c r="S791" s="64"/>
      <c r="T791" s="64"/>
      <c r="U791" s="64"/>
      <c r="V791" s="64"/>
      <c r="W791" s="64"/>
    </row>
    <row r="792" spans="1:23" ht="30" customHeight="1">
      <c r="A792" s="8"/>
      <c r="B792" s="7"/>
      <c r="C792" s="33"/>
      <c r="D792" s="7"/>
      <c r="E792" s="7"/>
      <c r="F792" s="7"/>
      <c r="G792" s="7"/>
      <c r="H792" s="7"/>
      <c r="I792" s="7"/>
      <c r="J792" s="7"/>
      <c r="K792" s="7"/>
      <c r="L792" s="7"/>
      <c r="M792" s="7"/>
      <c r="N792" s="7"/>
      <c r="O792" s="7"/>
      <c r="P792" s="7"/>
      <c r="Q792" s="7"/>
      <c r="R792" s="64"/>
      <c r="S792" s="64"/>
      <c r="T792" s="64"/>
      <c r="U792" s="64"/>
      <c r="V792" s="64"/>
      <c r="W792" s="64"/>
    </row>
    <row r="793" spans="1:23" ht="30" customHeight="1">
      <c r="A793" s="8"/>
      <c r="B793" s="7"/>
      <c r="C793" s="33"/>
      <c r="D793" s="7"/>
      <c r="E793" s="7"/>
      <c r="F793" s="7"/>
      <c r="G793" s="7"/>
      <c r="H793" s="7"/>
      <c r="I793" s="7"/>
      <c r="J793" s="7"/>
      <c r="K793" s="7"/>
      <c r="L793" s="7"/>
      <c r="M793" s="7"/>
      <c r="N793" s="7"/>
      <c r="O793" s="7"/>
      <c r="P793" s="7"/>
      <c r="Q793" s="7"/>
      <c r="R793" s="64"/>
      <c r="S793" s="64"/>
      <c r="T793" s="64"/>
      <c r="U793" s="64"/>
      <c r="V793" s="64"/>
      <c r="W793" s="64"/>
    </row>
    <row r="794" spans="1:23" ht="30" customHeight="1">
      <c r="A794" s="8"/>
      <c r="B794" s="7"/>
      <c r="C794" s="33"/>
      <c r="D794" s="7"/>
      <c r="E794" s="7"/>
      <c r="F794" s="7"/>
      <c r="G794" s="7"/>
      <c r="H794" s="7"/>
      <c r="I794" s="7"/>
      <c r="J794" s="7"/>
      <c r="K794" s="7"/>
      <c r="L794" s="7"/>
      <c r="M794" s="7"/>
      <c r="N794" s="7"/>
      <c r="O794" s="7"/>
      <c r="P794" s="7"/>
      <c r="Q794" s="7"/>
      <c r="R794" s="64"/>
      <c r="S794" s="64"/>
      <c r="T794" s="64"/>
      <c r="U794" s="64"/>
      <c r="V794" s="64"/>
      <c r="W794" s="64"/>
    </row>
    <row r="795" spans="1:23" ht="30" customHeight="1">
      <c r="A795" s="8"/>
      <c r="B795" s="7"/>
      <c r="C795" s="33"/>
      <c r="D795" s="7"/>
      <c r="E795" s="7"/>
      <c r="F795" s="7"/>
      <c r="G795" s="7"/>
      <c r="H795" s="7"/>
      <c r="I795" s="7"/>
      <c r="J795" s="7"/>
      <c r="K795" s="7"/>
      <c r="L795" s="7"/>
      <c r="M795" s="7"/>
      <c r="N795" s="7"/>
      <c r="O795" s="7"/>
      <c r="P795" s="7"/>
      <c r="Q795" s="7"/>
      <c r="R795" s="64"/>
      <c r="S795" s="64"/>
      <c r="T795" s="64"/>
      <c r="U795" s="64"/>
      <c r="V795" s="64"/>
      <c r="W795" s="64"/>
    </row>
    <row r="796" spans="1:23" ht="30" customHeight="1">
      <c r="A796" s="8"/>
      <c r="B796" s="7"/>
      <c r="C796" s="33"/>
      <c r="D796" s="7"/>
      <c r="E796" s="7"/>
      <c r="F796" s="7"/>
      <c r="G796" s="7"/>
      <c r="H796" s="7"/>
      <c r="I796" s="7"/>
      <c r="J796" s="7"/>
      <c r="K796" s="7"/>
      <c r="L796" s="7"/>
      <c r="M796" s="7"/>
      <c r="N796" s="7"/>
      <c r="O796" s="7"/>
      <c r="P796" s="7"/>
      <c r="Q796" s="7"/>
      <c r="R796" s="64"/>
      <c r="S796" s="64"/>
      <c r="T796" s="64"/>
      <c r="U796" s="64"/>
      <c r="V796" s="64"/>
      <c r="W796" s="64"/>
    </row>
    <row r="797" spans="1:23" ht="30" customHeight="1">
      <c r="A797" s="8"/>
      <c r="B797" s="7"/>
      <c r="C797" s="33"/>
      <c r="D797" s="7"/>
      <c r="E797" s="7"/>
      <c r="F797" s="7"/>
      <c r="G797" s="7"/>
      <c r="H797" s="7"/>
      <c r="I797" s="7"/>
      <c r="J797" s="7"/>
      <c r="K797" s="7"/>
      <c r="L797" s="7"/>
      <c r="M797" s="7"/>
      <c r="N797" s="7"/>
      <c r="O797" s="7"/>
      <c r="P797" s="7"/>
      <c r="Q797" s="7"/>
      <c r="R797" s="64"/>
      <c r="S797" s="64"/>
      <c r="T797" s="64"/>
      <c r="U797" s="64"/>
      <c r="V797" s="64"/>
      <c r="W797" s="64"/>
    </row>
    <row r="798" spans="1:23" ht="30" customHeight="1">
      <c r="A798" s="8"/>
      <c r="B798" s="7"/>
      <c r="C798" s="33"/>
      <c r="D798" s="7"/>
      <c r="E798" s="7"/>
      <c r="F798" s="7"/>
      <c r="G798" s="7"/>
      <c r="H798" s="7"/>
      <c r="I798" s="7"/>
      <c r="J798" s="7"/>
      <c r="K798" s="7"/>
      <c r="L798" s="7"/>
      <c r="M798" s="7"/>
      <c r="N798" s="7"/>
      <c r="O798" s="7"/>
      <c r="P798" s="7"/>
      <c r="Q798" s="7"/>
      <c r="R798" s="64"/>
      <c r="S798" s="64"/>
      <c r="T798" s="64"/>
      <c r="U798" s="64"/>
      <c r="V798" s="64"/>
      <c r="W798" s="64"/>
    </row>
    <row r="799" spans="1:23" ht="30" customHeight="1">
      <c r="A799" s="8"/>
      <c r="B799" s="7"/>
      <c r="C799" s="33"/>
      <c r="D799" s="7"/>
      <c r="E799" s="7"/>
      <c r="F799" s="7"/>
      <c r="G799" s="7"/>
      <c r="H799" s="7"/>
      <c r="I799" s="7"/>
      <c r="J799" s="7"/>
      <c r="K799" s="7"/>
      <c r="L799" s="7"/>
      <c r="M799" s="7"/>
      <c r="N799" s="7"/>
      <c r="O799" s="7"/>
      <c r="P799" s="7"/>
      <c r="Q799" s="7"/>
      <c r="R799" s="64"/>
      <c r="S799" s="64"/>
      <c r="T799" s="64"/>
      <c r="U799" s="64"/>
      <c r="V799" s="64"/>
      <c r="W799" s="64"/>
    </row>
    <row r="800" spans="1:23" ht="30" customHeight="1">
      <c r="A800" s="8"/>
      <c r="B800" s="7"/>
      <c r="C800" s="33"/>
      <c r="D800" s="7"/>
      <c r="E800" s="7"/>
      <c r="F800" s="7"/>
      <c r="G800" s="7"/>
      <c r="H800" s="7"/>
      <c r="I800" s="7"/>
      <c r="J800" s="7"/>
      <c r="K800" s="7"/>
      <c r="L800" s="7"/>
      <c r="M800" s="7"/>
      <c r="N800" s="7"/>
      <c r="O800" s="7"/>
      <c r="P800" s="7"/>
      <c r="Q800" s="7"/>
      <c r="R800" s="64"/>
      <c r="S800" s="64"/>
      <c r="T800" s="64"/>
      <c r="U800" s="64"/>
      <c r="V800" s="64"/>
      <c r="W800" s="64"/>
    </row>
    <row r="801" spans="1:23" ht="30" customHeight="1">
      <c r="A801" s="8"/>
      <c r="B801" s="7"/>
      <c r="C801" s="33"/>
      <c r="D801" s="7"/>
      <c r="E801" s="7"/>
      <c r="F801" s="7"/>
      <c r="G801" s="7"/>
      <c r="H801" s="7"/>
      <c r="I801" s="7"/>
      <c r="J801" s="7"/>
      <c r="K801" s="7"/>
      <c r="L801" s="7"/>
      <c r="M801" s="7"/>
      <c r="N801" s="7"/>
      <c r="O801" s="7"/>
      <c r="P801" s="7"/>
      <c r="Q801" s="7"/>
      <c r="R801" s="64"/>
      <c r="S801" s="64"/>
      <c r="T801" s="64"/>
      <c r="U801" s="64"/>
      <c r="V801" s="64"/>
      <c r="W801" s="64"/>
    </row>
    <row r="802" spans="1:23" ht="30" customHeight="1">
      <c r="A802" s="8"/>
      <c r="B802" s="7"/>
      <c r="C802" s="33"/>
      <c r="D802" s="7"/>
      <c r="E802" s="7"/>
      <c r="F802" s="7"/>
      <c r="G802" s="7"/>
      <c r="H802" s="7"/>
      <c r="I802" s="7"/>
      <c r="J802" s="7"/>
      <c r="K802" s="7"/>
      <c r="L802" s="7"/>
      <c r="M802" s="7"/>
      <c r="N802" s="7"/>
      <c r="O802" s="7"/>
      <c r="P802" s="7"/>
      <c r="Q802" s="7"/>
      <c r="R802" s="64"/>
      <c r="S802" s="64"/>
      <c r="T802" s="64"/>
      <c r="U802" s="64"/>
      <c r="V802" s="64"/>
      <c r="W802" s="64"/>
    </row>
    <row r="803" spans="1:23" ht="30" customHeight="1">
      <c r="A803" s="8"/>
      <c r="B803" s="7"/>
      <c r="C803" s="33"/>
      <c r="D803" s="7"/>
      <c r="E803" s="7"/>
      <c r="F803" s="7"/>
      <c r="G803" s="7"/>
      <c r="H803" s="7"/>
      <c r="I803" s="7"/>
      <c r="J803" s="7"/>
      <c r="K803" s="7"/>
      <c r="L803" s="7"/>
      <c r="M803" s="7"/>
      <c r="N803" s="7"/>
      <c r="O803" s="7"/>
      <c r="P803" s="7"/>
      <c r="Q803" s="7"/>
      <c r="R803" s="64"/>
      <c r="S803" s="64"/>
      <c r="T803" s="64"/>
      <c r="U803" s="64"/>
      <c r="V803" s="64"/>
      <c r="W803" s="64"/>
    </row>
    <row r="804" spans="1:23" ht="30" customHeight="1">
      <c r="A804" s="8"/>
      <c r="B804" s="7"/>
      <c r="C804" s="33"/>
      <c r="D804" s="7"/>
      <c r="E804" s="7"/>
      <c r="F804" s="7"/>
      <c r="G804" s="7"/>
      <c r="H804" s="7"/>
      <c r="I804" s="7"/>
      <c r="J804" s="7"/>
      <c r="K804" s="7"/>
      <c r="L804" s="7"/>
      <c r="M804" s="7"/>
      <c r="N804" s="7"/>
      <c r="O804" s="7"/>
      <c r="P804" s="7"/>
      <c r="Q804" s="7"/>
      <c r="R804" s="64"/>
      <c r="S804" s="64"/>
      <c r="T804" s="64"/>
      <c r="U804" s="64"/>
      <c r="V804" s="64"/>
      <c r="W804" s="64"/>
    </row>
    <row r="805" spans="1:23" ht="30" customHeight="1">
      <c r="A805" s="8"/>
      <c r="B805" s="7"/>
      <c r="C805" s="33"/>
      <c r="D805" s="7"/>
      <c r="E805" s="7"/>
      <c r="F805" s="7"/>
      <c r="G805" s="7"/>
      <c r="H805" s="7"/>
      <c r="I805" s="7"/>
      <c r="J805" s="7"/>
      <c r="K805" s="7"/>
      <c r="L805" s="7"/>
      <c r="M805" s="7"/>
      <c r="N805" s="7"/>
      <c r="O805" s="7"/>
      <c r="P805" s="7"/>
      <c r="Q805" s="7"/>
      <c r="R805" s="64"/>
      <c r="S805" s="64"/>
      <c r="T805" s="64"/>
      <c r="U805" s="64"/>
      <c r="V805" s="64"/>
      <c r="W805" s="64"/>
    </row>
    <row r="806" spans="1:23" ht="30" customHeight="1">
      <c r="A806" s="8"/>
      <c r="B806" s="7"/>
      <c r="C806" s="33"/>
      <c r="D806" s="7"/>
      <c r="E806" s="7"/>
      <c r="F806" s="7"/>
      <c r="G806" s="7"/>
      <c r="H806" s="7"/>
      <c r="I806" s="7"/>
      <c r="J806" s="7"/>
      <c r="K806" s="7"/>
      <c r="L806" s="7"/>
      <c r="M806" s="7"/>
      <c r="N806" s="7"/>
      <c r="O806" s="7"/>
      <c r="P806" s="7"/>
      <c r="Q806" s="7"/>
      <c r="R806" s="64"/>
      <c r="S806" s="64"/>
      <c r="T806" s="64"/>
      <c r="U806" s="64"/>
      <c r="V806" s="64"/>
      <c r="W806" s="64"/>
    </row>
    <row r="807" spans="1:23" ht="30" customHeight="1">
      <c r="A807" s="8"/>
      <c r="B807" s="7"/>
      <c r="C807" s="33"/>
      <c r="D807" s="7"/>
      <c r="E807" s="7"/>
      <c r="F807" s="7"/>
      <c r="G807" s="7"/>
      <c r="H807" s="7"/>
      <c r="I807" s="7"/>
      <c r="J807" s="7"/>
      <c r="K807" s="7"/>
      <c r="L807" s="7"/>
      <c r="M807" s="7"/>
      <c r="N807" s="7"/>
      <c r="O807" s="7"/>
      <c r="P807" s="7"/>
      <c r="Q807" s="7"/>
      <c r="R807" s="64"/>
      <c r="S807" s="64"/>
      <c r="T807" s="64"/>
      <c r="U807" s="64"/>
      <c r="V807" s="64"/>
      <c r="W807" s="64"/>
    </row>
    <row r="808" spans="1:23" ht="30" customHeight="1">
      <c r="A808" s="8"/>
      <c r="B808" s="7"/>
      <c r="C808" s="33"/>
      <c r="D808" s="7"/>
      <c r="E808" s="7"/>
      <c r="F808" s="7"/>
      <c r="G808" s="7"/>
      <c r="H808" s="7"/>
      <c r="I808" s="7"/>
      <c r="J808" s="7"/>
      <c r="K808" s="7"/>
      <c r="L808" s="7"/>
      <c r="M808" s="7"/>
      <c r="N808" s="7"/>
      <c r="O808" s="7"/>
      <c r="P808" s="7"/>
      <c r="Q808" s="7"/>
      <c r="R808" s="64"/>
      <c r="S808" s="64"/>
      <c r="T808" s="64"/>
      <c r="U808" s="64"/>
      <c r="V808" s="64"/>
      <c r="W808" s="64"/>
    </row>
    <row r="809" spans="1:23" ht="30" customHeight="1">
      <c r="A809" s="8"/>
      <c r="B809" s="7"/>
      <c r="C809" s="33"/>
      <c r="D809" s="7"/>
      <c r="E809" s="7"/>
      <c r="F809" s="7"/>
      <c r="G809" s="7"/>
      <c r="H809" s="7"/>
      <c r="I809" s="7"/>
      <c r="J809" s="7"/>
      <c r="K809" s="7"/>
      <c r="L809" s="7"/>
      <c r="M809" s="7"/>
      <c r="N809" s="7"/>
      <c r="O809" s="7"/>
      <c r="P809" s="7"/>
      <c r="Q809" s="7"/>
      <c r="R809" s="64"/>
      <c r="S809" s="64"/>
      <c r="T809" s="64"/>
      <c r="U809" s="64"/>
      <c r="V809" s="64"/>
      <c r="W809" s="64"/>
    </row>
    <row r="810" spans="1:23" ht="30" customHeight="1">
      <c r="A810" s="8"/>
      <c r="B810" s="7"/>
      <c r="C810" s="33"/>
      <c r="D810" s="7"/>
      <c r="E810" s="7"/>
      <c r="F810" s="7"/>
      <c r="G810" s="7"/>
      <c r="H810" s="7"/>
      <c r="I810" s="7"/>
      <c r="J810" s="7"/>
      <c r="K810" s="7"/>
      <c r="L810" s="7"/>
      <c r="M810" s="7"/>
      <c r="N810" s="7"/>
      <c r="O810" s="7"/>
      <c r="P810" s="7"/>
      <c r="Q810" s="7"/>
      <c r="R810" s="64"/>
      <c r="S810" s="64"/>
      <c r="T810" s="64"/>
      <c r="U810" s="64"/>
      <c r="V810" s="64"/>
      <c r="W810" s="64"/>
    </row>
    <row r="811" spans="1:23" ht="30" customHeight="1">
      <c r="A811" s="8"/>
      <c r="B811" s="7"/>
      <c r="C811" s="33"/>
      <c r="D811" s="7"/>
      <c r="E811" s="7"/>
      <c r="F811" s="7"/>
      <c r="G811" s="7"/>
      <c r="H811" s="7"/>
      <c r="I811" s="7"/>
      <c r="J811" s="7"/>
      <c r="K811" s="7"/>
      <c r="L811" s="7"/>
      <c r="M811" s="7"/>
      <c r="N811" s="7"/>
      <c r="O811" s="7"/>
      <c r="P811" s="7"/>
      <c r="Q811" s="7"/>
      <c r="R811" s="64"/>
      <c r="S811" s="64"/>
      <c r="T811" s="64"/>
      <c r="U811" s="64"/>
      <c r="V811" s="64"/>
      <c r="W811" s="64"/>
    </row>
    <row r="812" spans="1:23" ht="30" customHeight="1">
      <c r="A812" s="8"/>
      <c r="B812" s="7"/>
      <c r="C812" s="33"/>
      <c r="D812" s="7"/>
      <c r="E812" s="7"/>
      <c r="F812" s="7"/>
      <c r="G812" s="7"/>
      <c r="H812" s="7"/>
      <c r="I812" s="7"/>
      <c r="J812" s="7"/>
      <c r="K812" s="7"/>
      <c r="L812" s="7"/>
      <c r="M812" s="7"/>
      <c r="N812" s="7"/>
      <c r="O812" s="7"/>
      <c r="P812" s="7"/>
      <c r="Q812" s="7"/>
      <c r="R812" s="64"/>
      <c r="S812" s="64"/>
      <c r="T812" s="64"/>
      <c r="U812" s="64"/>
      <c r="V812" s="64"/>
      <c r="W812" s="64"/>
    </row>
    <row r="813" spans="1:23" ht="30" customHeight="1">
      <c r="A813" s="8"/>
      <c r="B813" s="7"/>
      <c r="C813" s="33"/>
      <c r="D813" s="7"/>
      <c r="E813" s="7"/>
      <c r="F813" s="7"/>
      <c r="G813" s="7"/>
      <c r="H813" s="7"/>
      <c r="I813" s="7"/>
      <c r="J813" s="7"/>
      <c r="K813" s="7"/>
      <c r="L813" s="7"/>
      <c r="M813" s="7"/>
      <c r="N813" s="7"/>
      <c r="O813" s="7"/>
      <c r="P813" s="7"/>
      <c r="Q813" s="7"/>
      <c r="R813" s="64"/>
      <c r="S813" s="64"/>
      <c r="T813" s="64"/>
      <c r="U813" s="64"/>
      <c r="V813" s="64"/>
      <c r="W813" s="64"/>
    </row>
    <row r="814" spans="1:23" ht="30" customHeight="1">
      <c r="A814" s="8"/>
      <c r="B814" s="7"/>
      <c r="C814" s="33"/>
      <c r="D814" s="7"/>
      <c r="E814" s="7"/>
      <c r="F814" s="7"/>
      <c r="G814" s="7"/>
      <c r="H814" s="7"/>
      <c r="I814" s="7"/>
      <c r="J814" s="7"/>
      <c r="K814" s="7"/>
      <c r="L814" s="7"/>
      <c r="M814" s="7"/>
      <c r="N814" s="7"/>
      <c r="O814" s="7"/>
      <c r="P814" s="7"/>
      <c r="Q814" s="7"/>
      <c r="R814" s="64"/>
      <c r="S814" s="64"/>
      <c r="T814" s="64"/>
      <c r="U814" s="64"/>
      <c r="V814" s="64"/>
      <c r="W814" s="64"/>
    </row>
    <row r="815" spans="1:23" ht="30" customHeight="1">
      <c r="A815" s="8"/>
      <c r="B815" s="7"/>
      <c r="C815" s="33"/>
      <c r="D815" s="7"/>
      <c r="E815" s="7"/>
      <c r="F815" s="7"/>
      <c r="G815" s="7"/>
      <c r="H815" s="7"/>
      <c r="I815" s="7"/>
      <c r="J815" s="7"/>
      <c r="K815" s="7"/>
      <c r="L815" s="7"/>
      <c r="M815" s="7"/>
      <c r="N815" s="7"/>
      <c r="O815" s="7"/>
      <c r="P815" s="7"/>
      <c r="Q815" s="7"/>
      <c r="R815" s="64"/>
      <c r="S815" s="64"/>
      <c r="T815" s="64"/>
      <c r="U815" s="64"/>
      <c r="V815" s="64"/>
      <c r="W815" s="64"/>
    </row>
    <row r="816" spans="1:23" ht="30" customHeight="1">
      <c r="A816" s="8"/>
      <c r="B816" s="7"/>
      <c r="C816" s="33"/>
      <c r="D816" s="7"/>
      <c r="E816" s="7"/>
      <c r="F816" s="7"/>
      <c r="G816" s="7"/>
      <c r="H816" s="7"/>
      <c r="I816" s="7"/>
      <c r="J816" s="7"/>
      <c r="K816" s="7"/>
      <c r="L816" s="7"/>
      <c r="M816" s="7"/>
      <c r="N816" s="7"/>
      <c r="O816" s="7"/>
      <c r="P816" s="7"/>
      <c r="Q816" s="7"/>
      <c r="R816" s="64"/>
      <c r="S816" s="64"/>
      <c r="T816" s="64"/>
      <c r="U816" s="64"/>
      <c r="V816" s="64"/>
      <c r="W816" s="64"/>
    </row>
    <row r="817" spans="1:23" ht="30" customHeight="1">
      <c r="A817" s="8"/>
      <c r="B817" s="7"/>
      <c r="C817" s="33"/>
      <c r="D817" s="7"/>
      <c r="E817" s="7"/>
      <c r="F817" s="7"/>
      <c r="G817" s="7"/>
      <c r="H817" s="7"/>
      <c r="I817" s="7"/>
      <c r="J817" s="7"/>
      <c r="K817" s="7"/>
      <c r="L817" s="7"/>
      <c r="M817" s="7"/>
      <c r="N817" s="7"/>
      <c r="O817" s="7"/>
      <c r="P817" s="7"/>
      <c r="Q817" s="7"/>
      <c r="R817" s="64"/>
      <c r="S817" s="64"/>
      <c r="T817" s="64"/>
      <c r="U817" s="64"/>
      <c r="V817" s="64"/>
      <c r="W817" s="64"/>
    </row>
    <row r="818" spans="1:23" ht="30" customHeight="1">
      <c r="A818" s="8"/>
      <c r="B818" s="7"/>
      <c r="C818" s="33"/>
      <c r="D818" s="7"/>
      <c r="E818" s="7"/>
      <c r="F818" s="7"/>
      <c r="G818" s="7"/>
      <c r="H818" s="7"/>
      <c r="I818" s="7"/>
      <c r="J818" s="7"/>
      <c r="K818" s="7"/>
      <c r="L818" s="7"/>
      <c r="M818" s="7"/>
      <c r="N818" s="7"/>
      <c r="O818" s="7"/>
      <c r="P818" s="7"/>
      <c r="Q818" s="7"/>
      <c r="R818" s="64"/>
      <c r="S818" s="64"/>
      <c r="T818" s="64"/>
      <c r="U818" s="64"/>
      <c r="V818" s="64"/>
      <c r="W818" s="64"/>
    </row>
    <row r="819" spans="1:23" ht="30" customHeight="1">
      <c r="A819" s="8"/>
      <c r="B819" s="7"/>
      <c r="C819" s="33"/>
      <c r="D819" s="7"/>
      <c r="E819" s="7"/>
      <c r="F819" s="7"/>
      <c r="G819" s="7"/>
      <c r="H819" s="7"/>
      <c r="I819" s="7"/>
      <c r="J819" s="7"/>
      <c r="K819" s="7"/>
      <c r="L819" s="7"/>
      <c r="M819" s="7"/>
      <c r="N819" s="7"/>
      <c r="O819" s="7"/>
      <c r="P819" s="7"/>
      <c r="Q819" s="7"/>
      <c r="R819" s="64"/>
      <c r="S819" s="64"/>
      <c r="T819" s="64"/>
      <c r="U819" s="64"/>
      <c r="V819" s="64"/>
      <c r="W819" s="64"/>
    </row>
    <row r="820" spans="1:23" ht="30" customHeight="1">
      <c r="A820" s="8"/>
      <c r="B820" s="7"/>
      <c r="C820" s="33"/>
      <c r="D820" s="7"/>
      <c r="E820" s="7"/>
      <c r="F820" s="7"/>
      <c r="G820" s="7"/>
      <c r="H820" s="7"/>
      <c r="I820" s="7"/>
      <c r="J820" s="7"/>
      <c r="K820" s="7"/>
      <c r="L820" s="7"/>
      <c r="M820" s="7"/>
      <c r="N820" s="7"/>
      <c r="O820" s="7"/>
      <c r="P820" s="7"/>
      <c r="Q820" s="7"/>
      <c r="R820" s="64"/>
      <c r="S820" s="64"/>
      <c r="T820" s="64"/>
      <c r="U820" s="64"/>
      <c r="V820" s="64"/>
      <c r="W820" s="64"/>
    </row>
    <row r="821" spans="1:23" ht="30" customHeight="1">
      <c r="A821" s="8"/>
      <c r="B821" s="7"/>
      <c r="C821" s="33"/>
      <c r="D821" s="7"/>
      <c r="E821" s="7"/>
      <c r="F821" s="7"/>
      <c r="G821" s="7"/>
      <c r="H821" s="7"/>
      <c r="I821" s="7"/>
      <c r="J821" s="7"/>
      <c r="K821" s="7"/>
      <c r="L821" s="7"/>
      <c r="M821" s="7"/>
      <c r="N821" s="7"/>
      <c r="O821" s="7"/>
      <c r="P821" s="7"/>
      <c r="Q821" s="7"/>
      <c r="R821" s="64"/>
      <c r="S821" s="64"/>
      <c r="T821" s="64"/>
      <c r="U821" s="64"/>
      <c r="V821" s="64"/>
      <c r="W821" s="64"/>
    </row>
    <row r="822" spans="1:23" ht="30" customHeight="1">
      <c r="A822" s="8"/>
      <c r="B822" s="7"/>
      <c r="C822" s="33"/>
      <c r="D822" s="7"/>
      <c r="E822" s="7"/>
      <c r="F822" s="7"/>
      <c r="G822" s="7"/>
      <c r="H822" s="7"/>
      <c r="I822" s="7"/>
      <c r="J822" s="7"/>
      <c r="K822" s="7"/>
      <c r="L822" s="7"/>
      <c r="M822" s="7"/>
      <c r="N822" s="7"/>
      <c r="O822" s="7"/>
      <c r="P822" s="7"/>
      <c r="Q822" s="7"/>
      <c r="R822" s="64"/>
      <c r="S822" s="64"/>
      <c r="T822" s="64"/>
      <c r="U822" s="64"/>
      <c r="V822" s="64"/>
      <c r="W822" s="64"/>
    </row>
    <row r="823" spans="1:23" ht="30" customHeight="1">
      <c r="A823" s="8"/>
      <c r="B823" s="7"/>
      <c r="C823" s="33"/>
      <c r="D823" s="7"/>
      <c r="E823" s="7"/>
      <c r="F823" s="7"/>
      <c r="G823" s="7"/>
      <c r="H823" s="7"/>
      <c r="I823" s="7"/>
      <c r="J823" s="7"/>
      <c r="K823" s="7"/>
      <c r="L823" s="7"/>
      <c r="M823" s="7"/>
      <c r="N823" s="7"/>
      <c r="O823" s="7"/>
      <c r="P823" s="7"/>
      <c r="Q823" s="7"/>
      <c r="R823" s="64"/>
      <c r="S823" s="64"/>
      <c r="T823" s="64"/>
      <c r="U823" s="64"/>
      <c r="V823" s="64"/>
      <c r="W823" s="64"/>
    </row>
    <row r="824" spans="1:23" ht="30" customHeight="1">
      <c r="A824" s="8"/>
      <c r="B824" s="7"/>
      <c r="C824" s="33"/>
      <c r="D824" s="7"/>
      <c r="E824" s="7"/>
      <c r="F824" s="7"/>
      <c r="G824" s="7"/>
      <c r="H824" s="7"/>
      <c r="I824" s="7"/>
      <c r="J824" s="7"/>
      <c r="K824" s="7"/>
      <c r="L824" s="7"/>
      <c r="M824" s="7"/>
      <c r="N824" s="7"/>
      <c r="O824" s="7"/>
      <c r="P824" s="7"/>
      <c r="Q824" s="7"/>
      <c r="R824" s="64"/>
      <c r="S824" s="64"/>
      <c r="T824" s="64"/>
      <c r="U824" s="64"/>
      <c r="V824" s="64"/>
      <c r="W824" s="64"/>
    </row>
    <row r="825" spans="1:23" ht="30" customHeight="1">
      <c r="A825" s="8"/>
      <c r="B825" s="7"/>
      <c r="C825" s="33"/>
      <c r="D825" s="7"/>
      <c r="E825" s="7"/>
      <c r="F825" s="7"/>
      <c r="G825" s="7"/>
      <c r="H825" s="7"/>
      <c r="I825" s="7"/>
      <c r="J825" s="7"/>
      <c r="K825" s="7"/>
      <c r="L825" s="7"/>
      <c r="M825" s="7"/>
      <c r="N825" s="7"/>
      <c r="O825" s="7"/>
      <c r="P825" s="7"/>
      <c r="Q825" s="7"/>
      <c r="R825" s="64"/>
      <c r="S825" s="64"/>
      <c r="T825" s="64"/>
      <c r="U825" s="64"/>
      <c r="V825" s="64"/>
      <c r="W825" s="64"/>
    </row>
    <row r="826" spans="1:23" ht="30" customHeight="1">
      <c r="A826" s="8"/>
      <c r="B826" s="7"/>
      <c r="C826" s="33"/>
      <c r="D826" s="7"/>
      <c r="E826" s="7"/>
      <c r="F826" s="7"/>
      <c r="G826" s="7"/>
      <c r="H826" s="7"/>
      <c r="I826" s="7"/>
      <c r="J826" s="7"/>
      <c r="K826" s="7"/>
      <c r="L826" s="7"/>
      <c r="M826" s="7"/>
      <c r="N826" s="7"/>
      <c r="O826" s="7"/>
      <c r="P826" s="7"/>
      <c r="Q826" s="7"/>
      <c r="R826" s="64"/>
      <c r="S826" s="64"/>
      <c r="T826" s="64"/>
      <c r="U826" s="64"/>
      <c r="V826" s="64"/>
      <c r="W826" s="64"/>
    </row>
    <row r="827" spans="1:23" ht="30" customHeight="1">
      <c r="A827" s="8"/>
      <c r="B827" s="7"/>
      <c r="C827" s="33"/>
      <c r="D827" s="7"/>
      <c r="E827" s="7"/>
      <c r="F827" s="7"/>
      <c r="G827" s="7"/>
      <c r="H827" s="7"/>
      <c r="I827" s="7"/>
      <c r="J827" s="7"/>
      <c r="K827" s="7"/>
      <c r="L827" s="7"/>
      <c r="M827" s="7"/>
      <c r="N827" s="7"/>
      <c r="O827" s="7"/>
      <c r="P827" s="7"/>
      <c r="Q827" s="7"/>
      <c r="R827" s="64"/>
      <c r="S827" s="64"/>
      <c r="T827" s="64"/>
      <c r="U827" s="64"/>
      <c r="V827" s="64"/>
      <c r="W827" s="64"/>
    </row>
    <row r="828" spans="1:23" ht="30" customHeight="1">
      <c r="A828" s="8"/>
      <c r="B828" s="7"/>
      <c r="C828" s="33"/>
      <c r="D828" s="7"/>
      <c r="E828" s="7"/>
      <c r="F828" s="7"/>
      <c r="G828" s="7"/>
      <c r="H828" s="7"/>
      <c r="I828" s="7"/>
      <c r="J828" s="7"/>
      <c r="K828" s="7"/>
      <c r="L828" s="7"/>
      <c r="M828" s="7"/>
      <c r="N828" s="7"/>
      <c r="O828" s="7"/>
      <c r="P828" s="7"/>
      <c r="Q828" s="7"/>
      <c r="R828" s="64"/>
      <c r="S828" s="64"/>
      <c r="T828" s="64"/>
      <c r="U828" s="64"/>
      <c r="V828" s="64"/>
      <c r="W828" s="64"/>
    </row>
    <row r="829" spans="1:23" ht="30" customHeight="1">
      <c r="A829" s="8"/>
      <c r="B829" s="7"/>
      <c r="C829" s="33"/>
      <c r="D829" s="7"/>
      <c r="E829" s="7"/>
      <c r="F829" s="7"/>
      <c r="G829" s="7"/>
      <c r="H829" s="7"/>
      <c r="I829" s="7"/>
      <c r="J829" s="7"/>
      <c r="K829" s="7"/>
      <c r="L829" s="7"/>
      <c r="M829" s="7"/>
      <c r="N829" s="7"/>
      <c r="O829" s="7"/>
      <c r="P829" s="7"/>
      <c r="Q829" s="7"/>
      <c r="R829" s="64"/>
      <c r="S829" s="64"/>
      <c r="T829" s="64"/>
      <c r="U829" s="64"/>
      <c r="V829" s="64"/>
      <c r="W829" s="64"/>
    </row>
    <row r="830" spans="1:23" ht="30" customHeight="1">
      <c r="A830" s="8"/>
      <c r="B830" s="7"/>
      <c r="C830" s="33"/>
      <c r="D830" s="7"/>
      <c r="E830" s="7"/>
      <c r="F830" s="7"/>
      <c r="G830" s="7"/>
      <c r="H830" s="7"/>
      <c r="I830" s="7"/>
      <c r="J830" s="7"/>
      <c r="K830" s="7"/>
      <c r="L830" s="7"/>
      <c r="M830" s="7"/>
      <c r="N830" s="7"/>
      <c r="O830" s="7"/>
      <c r="P830" s="7"/>
      <c r="Q830" s="7"/>
      <c r="R830" s="64"/>
      <c r="S830" s="64"/>
      <c r="T830" s="64"/>
      <c r="U830" s="64"/>
      <c r="V830" s="64"/>
      <c r="W830" s="64"/>
    </row>
    <row r="831" spans="1:23" ht="30" customHeight="1">
      <c r="A831" s="8"/>
      <c r="B831" s="7"/>
      <c r="C831" s="33"/>
      <c r="D831" s="7"/>
      <c r="E831" s="7"/>
      <c r="F831" s="7"/>
      <c r="G831" s="7"/>
      <c r="H831" s="7"/>
      <c r="I831" s="7"/>
      <c r="J831" s="7"/>
      <c r="K831" s="7"/>
      <c r="L831" s="7"/>
      <c r="M831" s="7"/>
      <c r="N831" s="7"/>
      <c r="O831" s="7"/>
      <c r="P831" s="7"/>
      <c r="Q831" s="7"/>
      <c r="R831" s="64"/>
      <c r="S831" s="64"/>
      <c r="T831" s="64"/>
      <c r="U831" s="64"/>
      <c r="V831" s="64"/>
      <c r="W831" s="64"/>
    </row>
    <row r="832" spans="1:23" ht="30" customHeight="1">
      <c r="A832" s="8"/>
      <c r="B832" s="7"/>
      <c r="C832" s="33"/>
      <c r="D832" s="7"/>
      <c r="E832" s="7"/>
      <c r="F832" s="7"/>
      <c r="G832" s="7"/>
      <c r="H832" s="7"/>
      <c r="I832" s="7"/>
      <c r="J832" s="7"/>
      <c r="K832" s="7"/>
      <c r="L832" s="7"/>
      <c r="M832" s="7"/>
      <c r="N832" s="7"/>
      <c r="O832" s="7"/>
      <c r="P832" s="7"/>
      <c r="Q832" s="7"/>
      <c r="R832" s="64"/>
      <c r="S832" s="64"/>
      <c r="T832" s="64"/>
      <c r="U832" s="64"/>
      <c r="V832" s="64"/>
      <c r="W832" s="64"/>
    </row>
    <row r="833" spans="1:23" ht="30" customHeight="1">
      <c r="A833" s="8"/>
      <c r="B833" s="7"/>
      <c r="C833" s="33"/>
      <c r="D833" s="7"/>
      <c r="E833" s="7"/>
      <c r="F833" s="7"/>
      <c r="G833" s="7"/>
      <c r="H833" s="7"/>
      <c r="I833" s="7"/>
      <c r="J833" s="7"/>
      <c r="K833" s="7"/>
      <c r="L833" s="7"/>
      <c r="M833" s="7"/>
      <c r="N833" s="7"/>
      <c r="O833" s="7"/>
      <c r="P833" s="7"/>
      <c r="Q833" s="7"/>
      <c r="R833" s="64"/>
      <c r="S833" s="64"/>
      <c r="T833" s="64"/>
      <c r="U833" s="64"/>
      <c r="V833" s="64"/>
      <c r="W833" s="64"/>
    </row>
    <row r="834" spans="1:23" ht="30" customHeight="1">
      <c r="A834" s="8"/>
      <c r="B834" s="7"/>
      <c r="C834" s="33"/>
      <c r="D834" s="7"/>
      <c r="E834" s="7"/>
      <c r="F834" s="7"/>
      <c r="G834" s="7"/>
      <c r="H834" s="7"/>
      <c r="I834" s="7"/>
      <c r="J834" s="7"/>
      <c r="K834" s="7"/>
      <c r="L834" s="7"/>
      <c r="M834" s="7"/>
      <c r="N834" s="7"/>
      <c r="O834" s="7"/>
      <c r="P834" s="7"/>
      <c r="Q834" s="7"/>
      <c r="R834" s="64"/>
      <c r="S834" s="64"/>
      <c r="T834" s="64"/>
      <c r="U834" s="64"/>
      <c r="V834" s="64"/>
      <c r="W834" s="64"/>
    </row>
    <row r="835" spans="1:23" ht="30" customHeight="1">
      <c r="A835" s="8"/>
      <c r="B835" s="7"/>
      <c r="C835" s="33"/>
      <c r="D835" s="7"/>
      <c r="E835" s="7"/>
      <c r="F835" s="7"/>
      <c r="G835" s="7"/>
      <c r="H835" s="7"/>
      <c r="I835" s="7"/>
      <c r="J835" s="7"/>
      <c r="K835" s="7"/>
      <c r="L835" s="7"/>
      <c r="M835" s="7"/>
      <c r="N835" s="7"/>
      <c r="O835" s="7"/>
      <c r="P835" s="7"/>
      <c r="Q835" s="7"/>
      <c r="R835" s="64"/>
      <c r="S835" s="64"/>
      <c r="T835" s="64"/>
      <c r="U835" s="64"/>
      <c r="V835" s="64"/>
      <c r="W835" s="64"/>
    </row>
    <row r="836" spans="1:23" ht="30" customHeight="1">
      <c r="A836" s="8"/>
      <c r="B836" s="7"/>
      <c r="C836" s="33"/>
      <c r="D836" s="7"/>
      <c r="E836" s="7"/>
      <c r="F836" s="7"/>
      <c r="G836" s="7"/>
      <c r="H836" s="7"/>
      <c r="I836" s="7"/>
      <c r="J836" s="7"/>
      <c r="K836" s="7"/>
      <c r="L836" s="7"/>
      <c r="M836" s="7"/>
      <c r="N836" s="7"/>
      <c r="O836" s="7"/>
      <c r="P836" s="7"/>
      <c r="Q836" s="7"/>
      <c r="R836" s="64"/>
      <c r="S836" s="64"/>
      <c r="T836" s="64"/>
      <c r="U836" s="64"/>
      <c r="V836" s="64"/>
      <c r="W836" s="64"/>
    </row>
    <row r="837" spans="1:23" ht="30" customHeight="1">
      <c r="A837" s="8"/>
      <c r="B837" s="7"/>
      <c r="C837" s="33"/>
      <c r="D837" s="7"/>
      <c r="E837" s="7"/>
      <c r="F837" s="7"/>
      <c r="G837" s="7"/>
      <c r="H837" s="7"/>
      <c r="I837" s="7"/>
      <c r="J837" s="7"/>
      <c r="K837" s="7"/>
      <c r="L837" s="7"/>
      <c r="M837" s="7"/>
      <c r="N837" s="7"/>
      <c r="O837" s="7"/>
      <c r="P837" s="7"/>
      <c r="Q837" s="7"/>
      <c r="R837" s="64"/>
      <c r="S837" s="64"/>
      <c r="T837" s="64"/>
      <c r="U837" s="64"/>
      <c r="V837" s="64"/>
      <c r="W837" s="64"/>
    </row>
    <row r="838" spans="1:23" ht="30" customHeight="1">
      <c r="A838" s="8"/>
      <c r="B838" s="7"/>
      <c r="C838" s="33"/>
      <c r="D838" s="7"/>
      <c r="E838" s="7"/>
      <c r="F838" s="7"/>
      <c r="G838" s="7"/>
      <c r="H838" s="7"/>
      <c r="I838" s="7"/>
      <c r="J838" s="7"/>
      <c r="K838" s="7"/>
      <c r="L838" s="7"/>
      <c r="M838" s="7"/>
      <c r="N838" s="7"/>
      <c r="O838" s="7"/>
      <c r="P838" s="7"/>
      <c r="Q838" s="7"/>
      <c r="R838" s="64"/>
      <c r="S838" s="64"/>
      <c r="T838" s="64"/>
      <c r="U838" s="64"/>
      <c r="V838" s="64"/>
      <c r="W838" s="64"/>
    </row>
    <row r="839" spans="1:23" ht="30" customHeight="1">
      <c r="A839" s="8"/>
      <c r="B839" s="7"/>
      <c r="C839" s="33"/>
      <c r="D839" s="7"/>
      <c r="E839" s="7"/>
      <c r="F839" s="7"/>
      <c r="G839" s="7"/>
      <c r="H839" s="7"/>
      <c r="I839" s="7"/>
      <c r="J839" s="7"/>
      <c r="K839" s="7"/>
      <c r="L839" s="7"/>
      <c r="M839" s="7"/>
      <c r="N839" s="7"/>
      <c r="O839" s="7"/>
      <c r="P839" s="7"/>
      <c r="Q839" s="7"/>
      <c r="R839" s="64"/>
      <c r="S839" s="64"/>
      <c r="T839" s="64"/>
      <c r="U839" s="64"/>
      <c r="V839" s="64"/>
      <c r="W839" s="64"/>
    </row>
    <row r="840" spans="1:23" ht="30" customHeight="1">
      <c r="A840" s="8"/>
      <c r="B840" s="7"/>
      <c r="C840" s="33"/>
      <c r="D840" s="7"/>
      <c r="E840" s="7"/>
      <c r="F840" s="7"/>
      <c r="G840" s="7"/>
      <c r="H840" s="7"/>
      <c r="I840" s="7"/>
      <c r="J840" s="7"/>
      <c r="K840" s="7"/>
      <c r="L840" s="7"/>
      <c r="M840" s="7"/>
      <c r="N840" s="7"/>
      <c r="O840" s="7"/>
      <c r="P840" s="7"/>
      <c r="Q840" s="7"/>
      <c r="R840" s="64"/>
      <c r="S840" s="64"/>
      <c r="T840" s="64"/>
      <c r="U840" s="64"/>
      <c r="V840" s="64"/>
      <c r="W840" s="64"/>
    </row>
    <row r="841" spans="1:23" ht="30" customHeight="1">
      <c r="A841" s="8"/>
      <c r="B841" s="7"/>
      <c r="C841" s="33"/>
      <c r="D841" s="7"/>
      <c r="E841" s="7"/>
      <c r="F841" s="7"/>
      <c r="G841" s="7"/>
      <c r="H841" s="7"/>
      <c r="I841" s="7"/>
      <c r="J841" s="7"/>
      <c r="K841" s="7"/>
      <c r="L841" s="7"/>
      <c r="M841" s="7"/>
      <c r="N841" s="7"/>
      <c r="O841" s="7"/>
      <c r="P841" s="7"/>
      <c r="Q841" s="7"/>
      <c r="R841" s="64"/>
      <c r="S841" s="64"/>
      <c r="T841" s="64"/>
      <c r="U841" s="64"/>
      <c r="V841" s="64"/>
      <c r="W841" s="64"/>
    </row>
    <row r="842" spans="1:23" ht="30" customHeight="1">
      <c r="A842" s="8"/>
      <c r="B842" s="7"/>
      <c r="C842" s="33"/>
      <c r="D842" s="7"/>
      <c r="E842" s="7"/>
      <c r="F842" s="7"/>
      <c r="G842" s="7"/>
      <c r="H842" s="7"/>
      <c r="I842" s="7"/>
      <c r="J842" s="7"/>
      <c r="K842" s="7"/>
      <c r="L842" s="7"/>
      <c r="M842" s="7"/>
      <c r="N842" s="7"/>
      <c r="O842" s="7"/>
      <c r="P842" s="7"/>
      <c r="Q842" s="7"/>
      <c r="R842" s="64"/>
      <c r="S842" s="64"/>
      <c r="T842" s="64"/>
      <c r="U842" s="64"/>
      <c r="V842" s="64"/>
      <c r="W842" s="64"/>
    </row>
    <row r="843" spans="1:23" ht="30" customHeight="1">
      <c r="A843" s="8"/>
      <c r="B843" s="7"/>
      <c r="C843" s="33"/>
      <c r="D843" s="7"/>
      <c r="E843" s="7"/>
      <c r="F843" s="7"/>
      <c r="G843" s="7"/>
      <c r="H843" s="7"/>
      <c r="I843" s="7"/>
      <c r="J843" s="7"/>
      <c r="K843" s="7"/>
      <c r="L843" s="7"/>
      <c r="M843" s="7"/>
      <c r="N843" s="7"/>
      <c r="O843" s="7"/>
      <c r="P843" s="7"/>
      <c r="Q843" s="7"/>
      <c r="R843" s="64"/>
      <c r="S843" s="64"/>
      <c r="T843" s="64"/>
      <c r="U843" s="64"/>
      <c r="V843" s="64"/>
      <c r="W843" s="64"/>
    </row>
    <row r="844" spans="1:23" ht="30" customHeight="1">
      <c r="A844" s="8"/>
      <c r="B844" s="7"/>
      <c r="C844" s="33"/>
      <c r="D844" s="7"/>
      <c r="E844" s="7"/>
      <c r="F844" s="7"/>
      <c r="G844" s="7"/>
      <c r="H844" s="7"/>
      <c r="I844" s="7"/>
      <c r="J844" s="7"/>
      <c r="K844" s="7"/>
      <c r="L844" s="7"/>
      <c r="M844" s="7"/>
      <c r="N844" s="7"/>
      <c r="O844" s="7"/>
      <c r="P844" s="7"/>
      <c r="Q844" s="7"/>
      <c r="R844" s="64"/>
      <c r="S844" s="64"/>
      <c r="T844" s="64"/>
      <c r="U844" s="64"/>
      <c r="V844" s="64"/>
      <c r="W844" s="64"/>
    </row>
    <row r="845" spans="1:23" ht="30" customHeight="1">
      <c r="A845" s="8"/>
      <c r="B845" s="7"/>
      <c r="C845" s="33"/>
      <c r="D845" s="7"/>
      <c r="E845" s="7"/>
      <c r="F845" s="7"/>
      <c r="G845" s="7"/>
      <c r="H845" s="7"/>
      <c r="I845" s="7"/>
      <c r="J845" s="7"/>
      <c r="K845" s="7"/>
      <c r="L845" s="7"/>
      <c r="M845" s="7"/>
      <c r="N845" s="7"/>
      <c r="O845" s="7"/>
      <c r="P845" s="7"/>
      <c r="Q845" s="7"/>
      <c r="R845" s="64"/>
      <c r="S845" s="64"/>
      <c r="T845" s="64"/>
      <c r="U845" s="64"/>
      <c r="V845" s="64"/>
      <c r="W845" s="64"/>
    </row>
    <row r="846" spans="1:23" ht="30" customHeight="1">
      <c r="A846" s="8"/>
      <c r="B846" s="7"/>
      <c r="C846" s="33"/>
      <c r="D846" s="7"/>
      <c r="E846" s="7"/>
      <c r="F846" s="7"/>
      <c r="G846" s="7"/>
      <c r="H846" s="7"/>
      <c r="I846" s="7"/>
      <c r="J846" s="7"/>
      <c r="K846" s="7"/>
      <c r="L846" s="7"/>
      <c r="M846" s="7"/>
      <c r="N846" s="7"/>
      <c r="O846" s="7"/>
      <c r="P846" s="7"/>
      <c r="Q846" s="7"/>
      <c r="R846" s="64"/>
      <c r="S846" s="64"/>
      <c r="T846" s="64"/>
      <c r="U846" s="64"/>
      <c r="V846" s="64"/>
      <c r="W846" s="64"/>
    </row>
    <row r="847" spans="1:23" ht="30" customHeight="1">
      <c r="A847" s="8"/>
      <c r="B847" s="7"/>
      <c r="C847" s="33"/>
      <c r="D847" s="7"/>
      <c r="E847" s="7"/>
      <c r="F847" s="7"/>
      <c r="G847" s="7"/>
      <c r="H847" s="7"/>
      <c r="I847" s="7"/>
      <c r="J847" s="7"/>
      <c r="K847" s="7"/>
      <c r="L847" s="7"/>
      <c r="M847" s="7"/>
      <c r="N847" s="7"/>
      <c r="O847" s="7"/>
      <c r="P847" s="7"/>
      <c r="Q847" s="7"/>
      <c r="R847" s="64"/>
      <c r="S847" s="64"/>
      <c r="T847" s="64"/>
      <c r="U847" s="64"/>
      <c r="V847" s="64"/>
      <c r="W847" s="64"/>
    </row>
    <row r="848" spans="1:23" ht="30" customHeight="1">
      <c r="A848" s="8"/>
      <c r="B848" s="7"/>
      <c r="C848" s="33"/>
      <c r="D848" s="7"/>
      <c r="E848" s="7"/>
      <c r="F848" s="7"/>
      <c r="G848" s="7"/>
      <c r="H848" s="7"/>
      <c r="I848" s="7"/>
      <c r="J848" s="7"/>
      <c r="K848" s="7"/>
      <c r="L848" s="7"/>
      <c r="M848" s="7"/>
      <c r="N848" s="7"/>
      <c r="O848" s="7"/>
      <c r="P848" s="7"/>
      <c r="Q848" s="7"/>
      <c r="R848" s="64"/>
      <c r="S848" s="64"/>
      <c r="T848" s="64"/>
      <c r="U848" s="64"/>
      <c r="V848" s="64"/>
      <c r="W848" s="64"/>
    </row>
    <row r="849" spans="1:23" ht="30" customHeight="1">
      <c r="A849" s="8"/>
      <c r="B849" s="7"/>
      <c r="C849" s="33"/>
      <c r="D849" s="7"/>
      <c r="E849" s="7"/>
      <c r="F849" s="7"/>
      <c r="G849" s="7"/>
      <c r="H849" s="7"/>
      <c r="I849" s="7"/>
      <c r="J849" s="7"/>
      <c r="K849" s="7"/>
      <c r="L849" s="7"/>
      <c r="M849" s="7"/>
      <c r="N849" s="7"/>
      <c r="O849" s="7"/>
      <c r="P849" s="7"/>
      <c r="Q849" s="7"/>
      <c r="R849" s="64"/>
      <c r="S849" s="64"/>
      <c r="T849" s="64"/>
      <c r="U849" s="64"/>
      <c r="V849" s="64"/>
      <c r="W849" s="64"/>
    </row>
    <row r="850" spans="1:23" ht="30" customHeight="1">
      <c r="A850" s="8"/>
      <c r="B850" s="7"/>
      <c r="C850" s="33"/>
      <c r="D850" s="7"/>
      <c r="E850" s="7"/>
      <c r="F850" s="7"/>
      <c r="G850" s="7"/>
      <c r="H850" s="7"/>
      <c r="I850" s="7"/>
      <c r="J850" s="7"/>
      <c r="K850" s="7"/>
      <c r="L850" s="7"/>
      <c r="M850" s="7"/>
      <c r="N850" s="7"/>
      <c r="O850" s="7"/>
      <c r="P850" s="7"/>
      <c r="Q850" s="7"/>
      <c r="R850" s="64"/>
      <c r="S850" s="64"/>
      <c r="T850" s="64"/>
      <c r="U850" s="64"/>
      <c r="V850" s="64"/>
      <c r="W850" s="64"/>
    </row>
    <row r="851" spans="1:23" ht="30" customHeight="1">
      <c r="A851" s="8"/>
      <c r="B851" s="7"/>
      <c r="C851" s="33"/>
      <c r="D851" s="7"/>
      <c r="E851" s="7"/>
      <c r="F851" s="7"/>
      <c r="G851" s="7"/>
      <c r="H851" s="7"/>
      <c r="I851" s="7"/>
      <c r="J851" s="7"/>
      <c r="K851" s="7"/>
      <c r="L851" s="7"/>
      <c r="M851" s="7"/>
      <c r="N851" s="7"/>
      <c r="O851" s="7"/>
      <c r="P851" s="7"/>
      <c r="Q851" s="7"/>
      <c r="R851" s="64"/>
      <c r="S851" s="64"/>
      <c r="T851" s="64"/>
      <c r="U851" s="64"/>
      <c r="V851" s="64"/>
      <c r="W851" s="64"/>
    </row>
    <row r="852" spans="1:23" ht="30" customHeight="1">
      <c r="A852" s="8"/>
      <c r="B852" s="7"/>
      <c r="C852" s="33"/>
      <c r="D852" s="7"/>
      <c r="E852" s="7"/>
      <c r="F852" s="7"/>
      <c r="G852" s="7"/>
      <c r="H852" s="7"/>
      <c r="I852" s="7"/>
      <c r="J852" s="7"/>
      <c r="K852" s="7"/>
      <c r="L852" s="7"/>
      <c r="M852" s="7"/>
      <c r="N852" s="7"/>
      <c r="O852" s="7"/>
      <c r="P852" s="7"/>
      <c r="Q852" s="7"/>
      <c r="R852" s="64"/>
      <c r="S852" s="64"/>
      <c r="T852" s="64"/>
      <c r="U852" s="64"/>
      <c r="V852" s="64"/>
      <c r="W852" s="64"/>
    </row>
    <row r="853" spans="1:23" ht="30" customHeight="1">
      <c r="A853" s="8"/>
      <c r="B853" s="7"/>
      <c r="C853" s="33"/>
      <c r="D853" s="7"/>
      <c r="E853" s="7"/>
      <c r="F853" s="7"/>
      <c r="G853" s="7"/>
      <c r="H853" s="7"/>
      <c r="I853" s="7"/>
      <c r="J853" s="7"/>
      <c r="K853" s="7"/>
      <c r="L853" s="7"/>
      <c r="M853" s="7"/>
      <c r="N853" s="7"/>
      <c r="O853" s="7"/>
      <c r="P853" s="7"/>
      <c r="Q853" s="7"/>
      <c r="R853" s="64"/>
      <c r="S853" s="64"/>
      <c r="T853" s="64"/>
      <c r="U853" s="64"/>
      <c r="V853" s="64"/>
      <c r="W853" s="64"/>
    </row>
    <row r="854" spans="1:23" ht="30" customHeight="1">
      <c r="A854" s="8"/>
      <c r="B854" s="7"/>
      <c r="C854" s="33"/>
      <c r="D854" s="7"/>
      <c r="E854" s="7"/>
      <c r="F854" s="7"/>
      <c r="G854" s="7"/>
      <c r="H854" s="7"/>
      <c r="I854" s="7"/>
      <c r="J854" s="7"/>
      <c r="K854" s="7"/>
      <c r="L854" s="7"/>
      <c r="M854" s="7"/>
      <c r="N854" s="7"/>
      <c r="O854" s="7"/>
      <c r="P854" s="7"/>
      <c r="Q854" s="7"/>
      <c r="R854" s="64"/>
      <c r="S854" s="64"/>
      <c r="T854" s="64"/>
      <c r="U854" s="64"/>
      <c r="V854" s="64"/>
      <c r="W854" s="64"/>
    </row>
    <row r="855" spans="1:23" ht="30" customHeight="1">
      <c r="A855" s="8"/>
      <c r="B855" s="7"/>
      <c r="C855" s="33"/>
      <c r="D855" s="7"/>
      <c r="E855" s="7"/>
      <c r="F855" s="7"/>
      <c r="G855" s="7"/>
      <c r="H855" s="7"/>
      <c r="I855" s="7"/>
      <c r="J855" s="7"/>
      <c r="K855" s="7"/>
      <c r="L855" s="7"/>
      <c r="M855" s="7"/>
      <c r="N855" s="7"/>
      <c r="O855" s="7"/>
      <c r="P855" s="7"/>
      <c r="Q855" s="7"/>
      <c r="R855" s="64"/>
      <c r="S855" s="64"/>
      <c r="T855" s="64"/>
      <c r="U855" s="64"/>
      <c r="V855" s="64"/>
      <c r="W855" s="64"/>
    </row>
    <row r="856" spans="1:23" ht="30" customHeight="1">
      <c r="A856" s="8"/>
      <c r="B856" s="7"/>
      <c r="C856" s="33"/>
      <c r="D856" s="7"/>
      <c r="E856" s="7"/>
      <c r="F856" s="7"/>
      <c r="G856" s="7"/>
      <c r="H856" s="7"/>
      <c r="I856" s="7"/>
      <c r="J856" s="7"/>
      <c r="K856" s="7"/>
      <c r="L856" s="7"/>
      <c r="M856" s="7"/>
      <c r="N856" s="7"/>
      <c r="O856" s="7"/>
      <c r="P856" s="7"/>
      <c r="Q856" s="7"/>
      <c r="R856" s="64"/>
      <c r="S856" s="64"/>
      <c r="T856" s="64"/>
      <c r="U856" s="64"/>
      <c r="V856" s="64"/>
      <c r="W856" s="64"/>
    </row>
    <row r="857" spans="1:23" ht="30" customHeight="1">
      <c r="A857" s="8"/>
      <c r="B857" s="7"/>
      <c r="C857" s="33"/>
      <c r="D857" s="7"/>
      <c r="E857" s="7"/>
      <c r="F857" s="7"/>
      <c r="G857" s="7"/>
      <c r="H857" s="7"/>
      <c r="I857" s="7"/>
      <c r="J857" s="7"/>
      <c r="K857" s="7"/>
      <c r="L857" s="7"/>
      <c r="M857" s="7"/>
      <c r="N857" s="7"/>
      <c r="O857" s="7"/>
      <c r="P857" s="7"/>
      <c r="Q857" s="7"/>
      <c r="R857" s="64"/>
      <c r="S857" s="64"/>
      <c r="T857" s="64"/>
      <c r="U857" s="64"/>
      <c r="V857" s="64"/>
      <c r="W857" s="64"/>
    </row>
    <row r="858" spans="1:23" ht="30" customHeight="1">
      <c r="A858" s="8"/>
      <c r="B858" s="7"/>
      <c r="C858" s="33"/>
      <c r="D858" s="7"/>
      <c r="E858" s="7"/>
      <c r="F858" s="7"/>
      <c r="G858" s="7"/>
      <c r="H858" s="7"/>
      <c r="I858" s="7"/>
      <c r="J858" s="7"/>
      <c r="K858" s="7"/>
      <c r="L858" s="7"/>
      <c r="M858" s="7"/>
      <c r="N858" s="7"/>
      <c r="O858" s="7"/>
      <c r="P858" s="7"/>
      <c r="Q858" s="7"/>
      <c r="R858" s="64"/>
      <c r="S858" s="64"/>
      <c r="T858" s="64"/>
      <c r="U858" s="64"/>
      <c r="V858" s="64"/>
      <c r="W858" s="64"/>
    </row>
    <row r="859" spans="1:23" ht="30" customHeight="1">
      <c r="A859" s="8"/>
      <c r="B859" s="7"/>
      <c r="C859" s="33"/>
      <c r="D859" s="7"/>
      <c r="E859" s="7"/>
      <c r="F859" s="7"/>
      <c r="G859" s="7"/>
      <c r="H859" s="7"/>
      <c r="I859" s="7"/>
      <c r="J859" s="7"/>
      <c r="K859" s="7"/>
      <c r="L859" s="7"/>
      <c r="M859" s="7"/>
      <c r="N859" s="7"/>
      <c r="O859" s="7"/>
      <c r="P859" s="7"/>
      <c r="Q859" s="7"/>
      <c r="R859" s="64"/>
      <c r="S859" s="64"/>
      <c r="T859" s="64"/>
      <c r="U859" s="64"/>
      <c r="V859" s="64"/>
      <c r="W859" s="64"/>
    </row>
    <row r="860" spans="1:23" ht="30" customHeight="1">
      <c r="A860" s="8"/>
      <c r="B860" s="7"/>
      <c r="C860" s="33"/>
      <c r="D860" s="7"/>
      <c r="E860" s="7"/>
      <c r="F860" s="7"/>
      <c r="G860" s="7"/>
      <c r="H860" s="7"/>
      <c r="I860" s="7"/>
      <c r="J860" s="7"/>
      <c r="K860" s="7"/>
      <c r="L860" s="7"/>
      <c r="M860" s="7"/>
      <c r="N860" s="7"/>
      <c r="O860" s="7"/>
      <c r="P860" s="7"/>
      <c r="Q860" s="7"/>
      <c r="R860" s="64"/>
      <c r="S860" s="64"/>
      <c r="T860" s="64"/>
      <c r="U860" s="64"/>
      <c r="V860" s="64"/>
      <c r="W860" s="64"/>
    </row>
    <row r="861" spans="1:23" ht="30" customHeight="1">
      <c r="A861" s="8"/>
      <c r="B861" s="7"/>
      <c r="C861" s="33"/>
      <c r="D861" s="7"/>
      <c r="E861" s="7"/>
      <c r="F861" s="7"/>
      <c r="G861" s="7"/>
      <c r="H861" s="7"/>
      <c r="I861" s="7"/>
      <c r="J861" s="7"/>
      <c r="K861" s="7"/>
      <c r="L861" s="7"/>
      <c r="M861" s="7"/>
      <c r="N861" s="7"/>
      <c r="O861" s="7"/>
      <c r="P861" s="7"/>
      <c r="Q861" s="7"/>
      <c r="R861" s="64"/>
      <c r="S861" s="64"/>
      <c r="T861" s="64"/>
      <c r="U861" s="64"/>
      <c r="V861" s="64"/>
      <c r="W861" s="64"/>
    </row>
    <row r="862" spans="1:23" ht="30" customHeight="1">
      <c r="A862" s="8"/>
      <c r="B862" s="7"/>
      <c r="C862" s="33"/>
      <c r="D862" s="7"/>
      <c r="E862" s="7"/>
      <c r="F862" s="7"/>
      <c r="G862" s="7"/>
      <c r="H862" s="7"/>
      <c r="I862" s="7"/>
      <c r="J862" s="7"/>
      <c r="K862" s="7"/>
      <c r="L862" s="7"/>
      <c r="M862" s="7"/>
      <c r="N862" s="7"/>
      <c r="O862" s="7"/>
      <c r="P862" s="7"/>
      <c r="Q862" s="7"/>
      <c r="R862" s="64"/>
      <c r="S862" s="64"/>
      <c r="T862" s="64"/>
      <c r="U862" s="64"/>
      <c r="V862" s="64"/>
      <c r="W862" s="64"/>
    </row>
    <row r="863" spans="1:23" ht="30" customHeight="1">
      <c r="A863" s="8"/>
      <c r="B863" s="7"/>
      <c r="C863" s="33"/>
      <c r="D863" s="7"/>
      <c r="E863" s="7"/>
      <c r="F863" s="7"/>
      <c r="G863" s="7"/>
      <c r="H863" s="7"/>
      <c r="I863" s="7"/>
      <c r="J863" s="7"/>
      <c r="K863" s="7"/>
      <c r="L863" s="7"/>
      <c r="M863" s="7"/>
      <c r="N863" s="7"/>
      <c r="O863" s="7"/>
      <c r="P863" s="7"/>
      <c r="Q863" s="7"/>
      <c r="R863" s="64"/>
      <c r="S863" s="64"/>
      <c r="T863" s="64"/>
      <c r="U863" s="64"/>
      <c r="V863" s="64"/>
      <c r="W863" s="64"/>
    </row>
    <row r="864" spans="1:23" ht="30" customHeight="1">
      <c r="A864" s="8"/>
      <c r="B864" s="7"/>
      <c r="C864" s="33"/>
      <c r="D864" s="7"/>
      <c r="E864" s="7"/>
      <c r="F864" s="7"/>
      <c r="G864" s="7"/>
      <c r="H864" s="7"/>
      <c r="I864" s="7"/>
      <c r="J864" s="7"/>
      <c r="K864" s="7"/>
      <c r="L864" s="7"/>
      <c r="M864" s="7"/>
      <c r="N864" s="7"/>
      <c r="O864" s="7"/>
      <c r="P864" s="7"/>
      <c r="Q864" s="7"/>
      <c r="R864" s="64"/>
      <c r="S864" s="64"/>
      <c r="T864" s="64"/>
      <c r="U864" s="64"/>
      <c r="V864" s="64"/>
      <c r="W864" s="64"/>
    </row>
    <row r="865" spans="1:23" ht="30" customHeight="1">
      <c r="A865" s="8"/>
      <c r="B865" s="7"/>
      <c r="C865" s="33"/>
      <c r="D865" s="7"/>
      <c r="E865" s="7"/>
      <c r="F865" s="7"/>
      <c r="G865" s="7"/>
      <c r="H865" s="7"/>
      <c r="I865" s="7"/>
      <c r="J865" s="7"/>
      <c r="K865" s="7"/>
      <c r="L865" s="7"/>
      <c r="M865" s="7"/>
      <c r="N865" s="7"/>
      <c r="O865" s="7"/>
      <c r="P865" s="7"/>
      <c r="Q865" s="7"/>
      <c r="R865" s="64"/>
      <c r="S865" s="64"/>
      <c r="T865" s="64"/>
      <c r="U865" s="64"/>
      <c r="V865" s="64"/>
      <c r="W865" s="64"/>
    </row>
    <row r="866" spans="1:23" ht="30" customHeight="1">
      <c r="A866" s="8"/>
      <c r="B866" s="7"/>
      <c r="C866" s="33"/>
      <c r="D866" s="7"/>
      <c r="E866" s="7"/>
      <c r="F866" s="7"/>
      <c r="G866" s="7"/>
      <c r="H866" s="7"/>
      <c r="I866" s="7"/>
      <c r="J866" s="7"/>
      <c r="K866" s="7"/>
      <c r="L866" s="7"/>
      <c r="M866" s="7"/>
      <c r="N866" s="7"/>
      <c r="O866" s="7"/>
      <c r="P866" s="7"/>
      <c r="Q866" s="7"/>
      <c r="R866" s="64"/>
      <c r="S866" s="64"/>
      <c r="T866" s="64"/>
      <c r="U866" s="64"/>
      <c r="V866" s="64"/>
      <c r="W866" s="64"/>
    </row>
    <row r="867" spans="1:23" ht="30" customHeight="1">
      <c r="A867" s="8"/>
      <c r="B867" s="7"/>
      <c r="C867" s="33"/>
      <c r="D867" s="7"/>
      <c r="E867" s="7"/>
      <c r="F867" s="7"/>
      <c r="G867" s="7"/>
      <c r="H867" s="7"/>
      <c r="I867" s="7"/>
      <c r="J867" s="7"/>
      <c r="K867" s="7"/>
      <c r="L867" s="7"/>
      <c r="M867" s="7"/>
      <c r="N867" s="7"/>
      <c r="O867" s="7"/>
      <c r="P867" s="7"/>
      <c r="Q867" s="7"/>
      <c r="R867" s="64"/>
      <c r="S867" s="64"/>
      <c r="T867" s="64"/>
      <c r="U867" s="64"/>
      <c r="V867" s="64"/>
      <c r="W867" s="64"/>
    </row>
    <row r="868" spans="1:23" ht="30" customHeight="1">
      <c r="A868" s="8"/>
      <c r="B868" s="7"/>
      <c r="C868" s="33"/>
      <c r="D868" s="7"/>
      <c r="E868" s="7"/>
      <c r="F868" s="7"/>
      <c r="G868" s="7"/>
      <c r="H868" s="7"/>
      <c r="I868" s="7"/>
      <c r="J868" s="7"/>
      <c r="K868" s="7"/>
      <c r="L868" s="7"/>
      <c r="M868" s="7"/>
      <c r="N868" s="7"/>
      <c r="O868" s="7"/>
      <c r="P868" s="7"/>
      <c r="Q868" s="7"/>
      <c r="R868" s="64"/>
      <c r="S868" s="64"/>
      <c r="T868" s="64"/>
      <c r="U868" s="64"/>
      <c r="V868" s="64"/>
      <c r="W868" s="64"/>
    </row>
    <row r="869" spans="1:23" ht="30" customHeight="1">
      <c r="A869" s="8"/>
      <c r="B869" s="7"/>
      <c r="C869" s="33"/>
      <c r="D869" s="7"/>
      <c r="E869" s="7"/>
      <c r="F869" s="7"/>
      <c r="G869" s="7"/>
      <c r="H869" s="7"/>
      <c r="I869" s="7"/>
      <c r="J869" s="7"/>
      <c r="K869" s="7"/>
      <c r="L869" s="7"/>
      <c r="M869" s="7"/>
      <c r="N869" s="7"/>
      <c r="O869" s="7"/>
      <c r="P869" s="7"/>
      <c r="Q869" s="7"/>
      <c r="R869" s="64"/>
      <c r="S869" s="64"/>
      <c r="T869" s="64"/>
      <c r="U869" s="64"/>
      <c r="V869" s="64"/>
      <c r="W869" s="64"/>
    </row>
    <row r="870" spans="1:23" ht="30" customHeight="1">
      <c r="A870" s="8"/>
      <c r="B870" s="7"/>
      <c r="C870" s="33"/>
      <c r="D870" s="7"/>
      <c r="E870" s="7"/>
      <c r="F870" s="7"/>
      <c r="G870" s="7"/>
      <c r="H870" s="7"/>
      <c r="I870" s="7"/>
      <c r="J870" s="7"/>
      <c r="K870" s="7"/>
      <c r="L870" s="7"/>
      <c r="M870" s="7"/>
      <c r="N870" s="7"/>
      <c r="O870" s="7"/>
      <c r="P870" s="7"/>
      <c r="Q870" s="7"/>
      <c r="R870" s="64"/>
      <c r="S870" s="64"/>
      <c r="T870" s="64"/>
      <c r="U870" s="64"/>
      <c r="V870" s="64"/>
      <c r="W870" s="64"/>
    </row>
    <row r="871" spans="1:23" ht="30" customHeight="1">
      <c r="A871" s="8"/>
      <c r="B871" s="7"/>
      <c r="C871" s="33"/>
      <c r="D871" s="7"/>
      <c r="E871" s="7"/>
      <c r="F871" s="7"/>
      <c r="G871" s="7"/>
      <c r="H871" s="7"/>
      <c r="I871" s="7"/>
      <c r="J871" s="7"/>
      <c r="K871" s="7"/>
      <c r="L871" s="7"/>
      <c r="M871" s="7"/>
      <c r="N871" s="7"/>
      <c r="O871" s="7"/>
      <c r="P871" s="7"/>
      <c r="Q871" s="7"/>
      <c r="R871" s="64"/>
      <c r="S871" s="64"/>
      <c r="T871" s="64"/>
      <c r="U871" s="64"/>
      <c r="V871" s="64"/>
      <c r="W871" s="64"/>
    </row>
    <row r="872" spans="1:23" ht="30" customHeight="1">
      <c r="A872" s="8"/>
      <c r="B872" s="7"/>
      <c r="C872" s="33"/>
      <c r="D872" s="7"/>
      <c r="E872" s="7"/>
      <c r="F872" s="7"/>
      <c r="G872" s="7"/>
      <c r="H872" s="7"/>
      <c r="I872" s="7"/>
      <c r="J872" s="7"/>
      <c r="K872" s="7"/>
      <c r="L872" s="7"/>
      <c r="M872" s="7"/>
      <c r="N872" s="7"/>
      <c r="O872" s="7"/>
      <c r="P872" s="7"/>
      <c r="Q872" s="7"/>
      <c r="R872" s="64"/>
      <c r="S872" s="64"/>
      <c r="T872" s="64"/>
      <c r="U872" s="64"/>
      <c r="V872" s="64"/>
      <c r="W872" s="64"/>
    </row>
    <row r="873" spans="1:23" ht="30" customHeight="1">
      <c r="A873" s="8"/>
      <c r="B873" s="7"/>
      <c r="C873" s="33"/>
      <c r="D873" s="7"/>
      <c r="E873" s="7"/>
      <c r="F873" s="7"/>
      <c r="G873" s="7"/>
      <c r="H873" s="7"/>
      <c r="I873" s="7"/>
      <c r="J873" s="7"/>
      <c r="K873" s="7"/>
      <c r="L873" s="7"/>
      <c r="M873" s="7"/>
      <c r="N873" s="7"/>
      <c r="O873" s="7"/>
      <c r="P873" s="7"/>
      <c r="Q873" s="7"/>
      <c r="R873" s="64"/>
      <c r="S873" s="64"/>
      <c r="T873" s="64"/>
      <c r="U873" s="64"/>
      <c r="V873" s="64"/>
      <c r="W873" s="64"/>
    </row>
    <row r="874" spans="1:23" ht="30" customHeight="1">
      <c r="A874" s="8"/>
      <c r="B874" s="7"/>
      <c r="C874" s="33"/>
      <c r="D874" s="7"/>
      <c r="E874" s="7"/>
      <c r="F874" s="7"/>
      <c r="G874" s="7"/>
      <c r="H874" s="7"/>
      <c r="I874" s="7"/>
      <c r="J874" s="7"/>
      <c r="K874" s="7"/>
      <c r="L874" s="7"/>
      <c r="M874" s="7"/>
      <c r="N874" s="7"/>
      <c r="O874" s="7"/>
      <c r="P874" s="7"/>
      <c r="Q874" s="7"/>
      <c r="R874" s="64"/>
      <c r="S874" s="64"/>
      <c r="T874" s="64"/>
      <c r="U874" s="64"/>
      <c r="V874" s="64"/>
      <c r="W874" s="64"/>
    </row>
    <row r="875" spans="1:23" ht="30" customHeight="1">
      <c r="A875" s="8"/>
      <c r="B875" s="7"/>
      <c r="C875" s="33"/>
      <c r="D875" s="7"/>
      <c r="E875" s="7"/>
      <c r="F875" s="7"/>
      <c r="G875" s="7"/>
      <c r="H875" s="7"/>
      <c r="I875" s="7"/>
      <c r="J875" s="7"/>
      <c r="K875" s="7"/>
      <c r="L875" s="7"/>
      <c r="M875" s="7"/>
      <c r="N875" s="7"/>
      <c r="O875" s="7"/>
      <c r="P875" s="7"/>
      <c r="Q875" s="7"/>
      <c r="R875" s="64"/>
      <c r="S875" s="64"/>
      <c r="T875" s="64"/>
      <c r="U875" s="64"/>
      <c r="V875" s="64"/>
      <c r="W875" s="64"/>
    </row>
    <row r="876" spans="1:23" ht="30" customHeight="1">
      <c r="A876" s="8"/>
      <c r="B876" s="7"/>
      <c r="C876" s="33"/>
      <c r="D876" s="7"/>
      <c r="E876" s="7"/>
      <c r="F876" s="7"/>
      <c r="G876" s="7"/>
      <c r="H876" s="7"/>
      <c r="I876" s="7"/>
      <c r="J876" s="7"/>
      <c r="K876" s="7"/>
      <c r="L876" s="7"/>
      <c r="M876" s="7"/>
      <c r="N876" s="7"/>
      <c r="O876" s="7"/>
      <c r="P876" s="7"/>
      <c r="Q876" s="7"/>
      <c r="R876" s="64"/>
      <c r="S876" s="64"/>
      <c r="T876" s="64"/>
      <c r="U876" s="64"/>
      <c r="V876" s="64"/>
      <c r="W876" s="64"/>
    </row>
    <row r="877" spans="1:23" ht="30" customHeight="1">
      <c r="A877" s="8"/>
      <c r="B877" s="7"/>
      <c r="C877" s="33"/>
      <c r="D877" s="7"/>
      <c r="E877" s="7"/>
      <c r="F877" s="7"/>
      <c r="G877" s="7"/>
      <c r="H877" s="7"/>
      <c r="I877" s="7"/>
      <c r="J877" s="7"/>
      <c r="K877" s="7"/>
      <c r="L877" s="7"/>
      <c r="M877" s="7"/>
      <c r="N877" s="7"/>
      <c r="O877" s="7"/>
      <c r="P877" s="7"/>
      <c r="Q877" s="7"/>
      <c r="R877" s="64"/>
      <c r="S877" s="64"/>
      <c r="T877" s="64"/>
      <c r="U877" s="64"/>
      <c r="V877" s="64"/>
      <c r="W877" s="64"/>
    </row>
    <row r="878" spans="1:23" ht="30" customHeight="1">
      <c r="A878" s="8"/>
      <c r="B878" s="7"/>
      <c r="C878" s="33"/>
      <c r="D878" s="7"/>
      <c r="E878" s="7"/>
      <c r="F878" s="7"/>
      <c r="G878" s="7"/>
      <c r="H878" s="7"/>
      <c r="I878" s="7"/>
      <c r="J878" s="7"/>
      <c r="K878" s="7"/>
      <c r="L878" s="7"/>
      <c r="M878" s="7"/>
      <c r="N878" s="7"/>
      <c r="O878" s="7"/>
      <c r="P878" s="7"/>
      <c r="Q878" s="7"/>
      <c r="R878" s="64"/>
      <c r="S878" s="64"/>
      <c r="T878" s="64"/>
      <c r="U878" s="64"/>
      <c r="V878" s="64"/>
      <c r="W878" s="64"/>
    </row>
    <row r="879" spans="1:23" ht="30" customHeight="1">
      <c r="A879" s="8"/>
      <c r="B879" s="7"/>
      <c r="C879" s="33"/>
      <c r="D879" s="7"/>
      <c r="E879" s="7"/>
      <c r="F879" s="7"/>
      <c r="G879" s="7"/>
      <c r="H879" s="7"/>
      <c r="I879" s="7"/>
      <c r="J879" s="7"/>
      <c r="K879" s="7"/>
      <c r="L879" s="7"/>
      <c r="M879" s="7"/>
      <c r="N879" s="7"/>
      <c r="O879" s="7"/>
      <c r="P879" s="7"/>
      <c r="Q879" s="7"/>
      <c r="R879" s="64"/>
      <c r="S879" s="64"/>
      <c r="T879" s="64"/>
      <c r="U879" s="64"/>
      <c r="V879" s="64"/>
      <c r="W879" s="64"/>
    </row>
    <row r="880" spans="1:23" ht="30" customHeight="1">
      <c r="A880" s="8"/>
      <c r="B880" s="7"/>
      <c r="C880" s="33"/>
      <c r="D880" s="7"/>
      <c r="E880" s="7"/>
      <c r="F880" s="7"/>
      <c r="G880" s="7"/>
      <c r="H880" s="7"/>
      <c r="I880" s="7"/>
      <c r="J880" s="7"/>
      <c r="K880" s="7"/>
      <c r="L880" s="7"/>
      <c r="M880" s="7"/>
      <c r="N880" s="7"/>
      <c r="O880" s="7"/>
      <c r="P880" s="7"/>
      <c r="Q880" s="7"/>
      <c r="R880" s="64"/>
      <c r="S880" s="64"/>
      <c r="T880" s="64"/>
      <c r="U880" s="64"/>
      <c r="V880" s="64"/>
      <c r="W880" s="64"/>
    </row>
    <row r="881" spans="1:23" ht="30" customHeight="1">
      <c r="A881" s="8"/>
      <c r="B881" s="7"/>
      <c r="C881" s="33"/>
      <c r="D881" s="7"/>
      <c r="E881" s="7"/>
      <c r="F881" s="7"/>
      <c r="G881" s="7"/>
      <c r="H881" s="7"/>
      <c r="I881" s="7"/>
      <c r="J881" s="7"/>
      <c r="K881" s="7"/>
      <c r="L881" s="7"/>
      <c r="M881" s="7"/>
      <c r="N881" s="7"/>
      <c r="O881" s="7"/>
      <c r="P881" s="7"/>
      <c r="Q881" s="7"/>
      <c r="R881" s="64"/>
      <c r="S881" s="64"/>
      <c r="T881" s="64"/>
      <c r="U881" s="64"/>
      <c r="V881" s="64"/>
      <c r="W881" s="64"/>
    </row>
    <row r="882" spans="1:23" ht="30" customHeight="1">
      <c r="A882" s="8"/>
      <c r="B882" s="7"/>
      <c r="C882" s="33"/>
      <c r="D882" s="7"/>
      <c r="E882" s="7"/>
      <c r="F882" s="7"/>
      <c r="G882" s="7"/>
      <c r="H882" s="7"/>
      <c r="I882" s="7"/>
      <c r="J882" s="7"/>
      <c r="K882" s="7"/>
      <c r="L882" s="7"/>
      <c r="M882" s="7"/>
      <c r="N882" s="7"/>
      <c r="O882" s="7"/>
      <c r="P882" s="7"/>
      <c r="Q882" s="7"/>
      <c r="R882" s="64"/>
      <c r="S882" s="64"/>
      <c r="T882" s="64"/>
      <c r="U882" s="64"/>
      <c r="V882" s="64"/>
      <c r="W882" s="64"/>
    </row>
    <row r="883" spans="1:23" ht="30" customHeight="1">
      <c r="A883" s="8"/>
      <c r="B883" s="7"/>
      <c r="C883" s="33"/>
      <c r="D883" s="7"/>
      <c r="E883" s="7"/>
      <c r="F883" s="7"/>
      <c r="G883" s="7"/>
      <c r="H883" s="7"/>
      <c r="I883" s="7"/>
      <c r="J883" s="7"/>
      <c r="K883" s="7"/>
      <c r="L883" s="7"/>
      <c r="M883" s="7"/>
      <c r="N883" s="7"/>
      <c r="O883" s="7"/>
      <c r="P883" s="7"/>
      <c r="Q883" s="7"/>
      <c r="R883" s="64"/>
      <c r="S883" s="64"/>
      <c r="T883" s="64"/>
      <c r="U883" s="64"/>
      <c r="V883" s="64"/>
      <c r="W883" s="64"/>
    </row>
    <row r="884" spans="1:23" ht="30" customHeight="1">
      <c r="A884" s="8"/>
      <c r="B884" s="7"/>
      <c r="C884" s="33"/>
      <c r="D884" s="7"/>
      <c r="E884" s="7"/>
      <c r="F884" s="7"/>
      <c r="G884" s="7"/>
      <c r="H884" s="7"/>
      <c r="I884" s="7"/>
      <c r="J884" s="7"/>
      <c r="K884" s="7"/>
      <c r="L884" s="7"/>
      <c r="M884" s="7"/>
      <c r="N884" s="7"/>
      <c r="O884" s="7"/>
      <c r="P884" s="7"/>
      <c r="Q884" s="7"/>
      <c r="R884" s="64"/>
      <c r="S884" s="64"/>
      <c r="T884" s="64"/>
      <c r="U884" s="64"/>
      <c r="V884" s="64"/>
      <c r="W884" s="64"/>
    </row>
    <row r="885" spans="1:23" ht="30" customHeight="1">
      <c r="A885" s="8"/>
      <c r="B885" s="7"/>
      <c r="C885" s="33"/>
      <c r="D885" s="7"/>
      <c r="E885" s="7"/>
      <c r="F885" s="7"/>
      <c r="G885" s="7"/>
      <c r="H885" s="7"/>
      <c r="I885" s="7"/>
      <c r="J885" s="7"/>
      <c r="K885" s="7"/>
      <c r="L885" s="7"/>
      <c r="M885" s="7"/>
      <c r="N885" s="7"/>
      <c r="O885" s="7"/>
      <c r="P885" s="7"/>
      <c r="Q885" s="7"/>
      <c r="R885" s="64"/>
      <c r="S885" s="64"/>
      <c r="T885" s="64"/>
      <c r="U885" s="64"/>
      <c r="V885" s="64"/>
      <c r="W885" s="64"/>
    </row>
    <row r="886" spans="1:23" ht="30" customHeight="1">
      <c r="A886" s="8"/>
      <c r="B886" s="7"/>
      <c r="C886" s="33"/>
      <c r="D886" s="7"/>
      <c r="E886" s="7"/>
      <c r="F886" s="7"/>
      <c r="G886" s="7"/>
      <c r="H886" s="7"/>
      <c r="I886" s="7"/>
      <c r="J886" s="7"/>
      <c r="K886" s="7"/>
      <c r="L886" s="7"/>
      <c r="M886" s="7"/>
      <c r="N886" s="7"/>
      <c r="O886" s="7"/>
      <c r="P886" s="7"/>
      <c r="Q886" s="7"/>
      <c r="R886" s="64"/>
      <c r="S886" s="64"/>
      <c r="T886" s="64"/>
      <c r="U886" s="64"/>
      <c r="V886" s="64"/>
      <c r="W886" s="64"/>
    </row>
    <row r="887" spans="1:23" ht="30" customHeight="1">
      <c r="A887" s="8"/>
      <c r="B887" s="7"/>
      <c r="C887" s="33"/>
      <c r="D887" s="7"/>
      <c r="E887" s="7"/>
      <c r="F887" s="7"/>
      <c r="G887" s="7"/>
      <c r="H887" s="7"/>
      <c r="I887" s="7"/>
      <c r="J887" s="7"/>
      <c r="K887" s="7"/>
      <c r="L887" s="7"/>
      <c r="M887" s="7"/>
      <c r="N887" s="7"/>
      <c r="O887" s="7"/>
      <c r="P887" s="7"/>
      <c r="Q887" s="7"/>
      <c r="R887" s="64"/>
      <c r="S887" s="64"/>
      <c r="T887" s="64"/>
      <c r="U887" s="64"/>
      <c r="V887" s="64"/>
      <c r="W887" s="64"/>
    </row>
    <row r="888" spans="1:23" ht="30" customHeight="1">
      <c r="A888" s="8"/>
      <c r="B888" s="7"/>
      <c r="C888" s="33"/>
      <c r="D888" s="7"/>
      <c r="E888" s="7"/>
      <c r="F888" s="7"/>
      <c r="G888" s="7"/>
      <c r="H888" s="7"/>
      <c r="I888" s="7"/>
      <c r="J888" s="7"/>
      <c r="K888" s="7"/>
      <c r="L888" s="7"/>
      <c r="M888" s="7"/>
      <c r="N888" s="7"/>
      <c r="O888" s="7"/>
      <c r="P888" s="7"/>
      <c r="Q888" s="7"/>
      <c r="R888" s="64"/>
      <c r="S888" s="64"/>
      <c r="T888" s="64"/>
      <c r="U888" s="64"/>
      <c r="V888" s="64"/>
      <c r="W888" s="64"/>
    </row>
    <row r="889" spans="1:23" ht="30" customHeight="1">
      <c r="A889" s="8"/>
      <c r="B889" s="7"/>
      <c r="C889" s="33"/>
      <c r="D889" s="7"/>
      <c r="E889" s="7"/>
      <c r="F889" s="7"/>
      <c r="G889" s="7"/>
      <c r="H889" s="7"/>
      <c r="I889" s="7"/>
      <c r="J889" s="7"/>
      <c r="K889" s="7"/>
      <c r="L889" s="7"/>
      <c r="M889" s="7"/>
      <c r="N889" s="7"/>
      <c r="O889" s="7"/>
      <c r="P889" s="7"/>
      <c r="Q889" s="7"/>
      <c r="R889" s="64"/>
      <c r="S889" s="64"/>
      <c r="T889" s="64"/>
      <c r="U889" s="64"/>
      <c r="V889" s="64"/>
      <c r="W889" s="64"/>
    </row>
    <row r="890" spans="1:23" ht="30" customHeight="1">
      <c r="A890" s="8"/>
      <c r="B890" s="7"/>
      <c r="C890" s="33"/>
      <c r="D890" s="7"/>
      <c r="E890" s="7"/>
      <c r="F890" s="7"/>
      <c r="G890" s="7"/>
      <c r="H890" s="7"/>
      <c r="I890" s="7"/>
      <c r="J890" s="7"/>
      <c r="K890" s="7"/>
      <c r="L890" s="7"/>
      <c r="M890" s="7"/>
      <c r="N890" s="7"/>
      <c r="O890" s="7"/>
      <c r="P890" s="7"/>
      <c r="Q890" s="7"/>
      <c r="R890" s="64"/>
      <c r="S890" s="64"/>
      <c r="T890" s="64"/>
      <c r="U890" s="64"/>
      <c r="V890" s="64"/>
      <c r="W890" s="64"/>
    </row>
    <row r="891" spans="1:23" ht="30" customHeight="1">
      <c r="A891" s="8"/>
      <c r="B891" s="7"/>
      <c r="C891" s="33"/>
      <c r="D891" s="7"/>
      <c r="E891" s="7"/>
      <c r="F891" s="7"/>
      <c r="G891" s="7"/>
      <c r="H891" s="7"/>
      <c r="I891" s="7"/>
      <c r="J891" s="7"/>
      <c r="K891" s="7"/>
      <c r="L891" s="7"/>
      <c r="M891" s="7"/>
      <c r="N891" s="7"/>
      <c r="O891" s="7"/>
      <c r="P891" s="7"/>
      <c r="Q891" s="7"/>
      <c r="R891" s="64"/>
      <c r="S891" s="64"/>
      <c r="T891" s="64"/>
      <c r="U891" s="64"/>
      <c r="V891" s="64"/>
      <c r="W891" s="64"/>
    </row>
    <row r="892" spans="1:23" ht="30" customHeight="1">
      <c r="A892" s="8"/>
      <c r="B892" s="7"/>
      <c r="C892" s="33"/>
      <c r="D892" s="7"/>
      <c r="E892" s="7"/>
      <c r="F892" s="7"/>
      <c r="G892" s="7"/>
      <c r="H892" s="7"/>
      <c r="I892" s="7"/>
      <c r="J892" s="7"/>
      <c r="K892" s="7"/>
      <c r="L892" s="7"/>
      <c r="M892" s="7"/>
      <c r="N892" s="7"/>
      <c r="O892" s="7"/>
      <c r="P892" s="7"/>
      <c r="Q892" s="7"/>
      <c r="R892" s="64"/>
      <c r="S892" s="64"/>
      <c r="T892" s="64"/>
      <c r="U892" s="64"/>
      <c r="V892" s="64"/>
      <c r="W892" s="64"/>
    </row>
    <row r="893" spans="1:23" ht="30" customHeight="1">
      <c r="A893" s="8"/>
      <c r="B893" s="7"/>
      <c r="C893" s="33"/>
      <c r="D893" s="7"/>
      <c r="E893" s="7"/>
      <c r="F893" s="7"/>
      <c r="G893" s="7"/>
      <c r="H893" s="7"/>
      <c r="I893" s="7"/>
      <c r="J893" s="7"/>
      <c r="K893" s="7"/>
      <c r="L893" s="7"/>
      <c r="M893" s="7"/>
      <c r="N893" s="7"/>
      <c r="O893" s="7"/>
      <c r="P893" s="7"/>
      <c r="Q893" s="7"/>
      <c r="R893" s="64"/>
      <c r="S893" s="64"/>
      <c r="T893" s="64"/>
      <c r="U893" s="64"/>
      <c r="V893" s="64"/>
      <c r="W893" s="64"/>
    </row>
    <row r="894" spans="1:23" ht="30" customHeight="1">
      <c r="A894" s="8"/>
      <c r="B894" s="7"/>
      <c r="C894" s="33"/>
      <c r="D894" s="7"/>
      <c r="E894" s="7"/>
      <c r="F894" s="7"/>
      <c r="G894" s="7"/>
      <c r="H894" s="7"/>
      <c r="I894" s="7"/>
      <c r="J894" s="7"/>
      <c r="K894" s="7"/>
      <c r="L894" s="7"/>
      <c r="M894" s="7"/>
      <c r="N894" s="7"/>
      <c r="O894" s="7"/>
      <c r="P894" s="7"/>
      <c r="Q894" s="7"/>
      <c r="R894" s="64"/>
      <c r="S894" s="64"/>
      <c r="T894" s="64"/>
      <c r="U894" s="64"/>
      <c r="V894" s="64"/>
      <c r="W894" s="64"/>
    </row>
    <row r="895" spans="1:23" ht="30" customHeight="1">
      <c r="A895" s="8"/>
      <c r="B895" s="7"/>
      <c r="C895" s="33"/>
      <c r="D895" s="7"/>
      <c r="E895" s="7"/>
      <c r="F895" s="7"/>
      <c r="G895" s="7"/>
      <c r="H895" s="7"/>
      <c r="I895" s="7"/>
      <c r="J895" s="7"/>
      <c r="K895" s="7"/>
      <c r="L895" s="7"/>
      <c r="M895" s="7"/>
      <c r="N895" s="7"/>
      <c r="O895" s="7"/>
      <c r="P895" s="7"/>
      <c r="Q895" s="7"/>
      <c r="R895" s="64"/>
      <c r="S895" s="64"/>
      <c r="T895" s="64"/>
      <c r="U895" s="64"/>
      <c r="V895" s="64"/>
      <c r="W895" s="64"/>
    </row>
    <row r="896" spans="1:23" ht="30" customHeight="1">
      <c r="A896" s="8"/>
      <c r="B896" s="7"/>
      <c r="C896" s="33"/>
      <c r="D896" s="7"/>
      <c r="E896" s="7"/>
      <c r="F896" s="7"/>
      <c r="G896" s="7"/>
      <c r="H896" s="7"/>
      <c r="I896" s="7"/>
      <c r="J896" s="7"/>
      <c r="K896" s="7"/>
      <c r="L896" s="7"/>
      <c r="M896" s="7"/>
      <c r="N896" s="7"/>
      <c r="O896" s="7"/>
      <c r="P896" s="7"/>
      <c r="Q896" s="7"/>
      <c r="R896" s="64"/>
      <c r="S896" s="64"/>
      <c r="T896" s="64"/>
      <c r="U896" s="64"/>
      <c r="V896" s="64"/>
      <c r="W896" s="64"/>
    </row>
    <row r="897" spans="1:23" ht="30" customHeight="1">
      <c r="A897" s="8"/>
      <c r="B897" s="7"/>
      <c r="C897" s="33"/>
      <c r="D897" s="7"/>
      <c r="E897" s="7"/>
      <c r="F897" s="7"/>
      <c r="G897" s="7"/>
      <c r="H897" s="7"/>
      <c r="I897" s="7"/>
      <c r="J897" s="7"/>
      <c r="K897" s="7"/>
      <c r="L897" s="7"/>
      <c r="M897" s="7"/>
      <c r="N897" s="7"/>
      <c r="O897" s="7"/>
      <c r="P897" s="7"/>
      <c r="Q897" s="7"/>
      <c r="R897" s="64"/>
      <c r="S897" s="64"/>
      <c r="T897" s="64"/>
      <c r="U897" s="64"/>
      <c r="V897" s="64"/>
      <c r="W897" s="64"/>
    </row>
    <row r="898" spans="1:23" ht="30" customHeight="1">
      <c r="A898" s="8"/>
      <c r="B898" s="7"/>
      <c r="C898" s="33"/>
      <c r="D898" s="7"/>
      <c r="E898" s="7"/>
      <c r="F898" s="7"/>
      <c r="G898" s="7"/>
      <c r="H898" s="7"/>
      <c r="I898" s="7"/>
      <c r="J898" s="7"/>
      <c r="K898" s="7"/>
      <c r="L898" s="7"/>
      <c r="M898" s="7"/>
      <c r="N898" s="7"/>
      <c r="O898" s="7"/>
      <c r="P898" s="7"/>
      <c r="Q898" s="7"/>
      <c r="R898" s="64"/>
      <c r="S898" s="64"/>
      <c r="T898" s="64"/>
      <c r="U898" s="64"/>
      <c r="V898" s="64"/>
      <c r="W898" s="64"/>
    </row>
    <row r="899" spans="1:23" ht="30" customHeight="1">
      <c r="A899" s="8"/>
      <c r="B899" s="7"/>
      <c r="C899" s="33"/>
      <c r="D899" s="7"/>
      <c r="E899" s="7"/>
      <c r="F899" s="7"/>
      <c r="G899" s="7"/>
      <c r="H899" s="7"/>
      <c r="I899" s="7"/>
      <c r="J899" s="7"/>
      <c r="K899" s="7"/>
      <c r="L899" s="7"/>
      <c r="M899" s="7"/>
      <c r="N899" s="7"/>
      <c r="O899" s="7"/>
      <c r="P899" s="7"/>
      <c r="Q899" s="7"/>
      <c r="R899" s="64"/>
      <c r="S899" s="64"/>
      <c r="T899" s="64"/>
      <c r="U899" s="64"/>
      <c r="V899" s="64"/>
      <c r="W899" s="64"/>
    </row>
    <row r="900" spans="1:23" ht="30" customHeight="1">
      <c r="A900" s="8"/>
      <c r="B900" s="7"/>
      <c r="C900" s="33"/>
      <c r="D900" s="7"/>
      <c r="E900" s="7"/>
      <c r="F900" s="7"/>
      <c r="G900" s="7"/>
      <c r="H900" s="7"/>
      <c r="I900" s="7"/>
      <c r="J900" s="7"/>
      <c r="K900" s="7"/>
      <c r="L900" s="7"/>
      <c r="M900" s="7"/>
      <c r="N900" s="7"/>
      <c r="O900" s="7"/>
      <c r="P900" s="7"/>
      <c r="Q900" s="7"/>
      <c r="R900" s="64"/>
      <c r="S900" s="64"/>
      <c r="T900" s="64"/>
      <c r="U900" s="64"/>
      <c r="V900" s="64"/>
      <c r="W900" s="64"/>
    </row>
    <row r="901" spans="1:23" ht="30" customHeight="1">
      <c r="A901" s="8"/>
      <c r="B901" s="7"/>
      <c r="C901" s="33"/>
      <c r="D901" s="7"/>
      <c r="E901" s="7"/>
      <c r="F901" s="7"/>
      <c r="G901" s="7"/>
      <c r="H901" s="7"/>
      <c r="I901" s="7"/>
      <c r="J901" s="7"/>
      <c r="K901" s="7"/>
      <c r="L901" s="7"/>
      <c r="M901" s="7"/>
      <c r="N901" s="7"/>
      <c r="O901" s="7"/>
      <c r="P901" s="7"/>
      <c r="Q901" s="7"/>
      <c r="R901" s="64"/>
      <c r="S901" s="64"/>
      <c r="T901" s="64"/>
      <c r="U901" s="64"/>
      <c r="V901" s="64"/>
      <c r="W901" s="64"/>
    </row>
    <row r="902" spans="1:23" ht="30" customHeight="1">
      <c r="A902" s="8"/>
      <c r="B902" s="7"/>
      <c r="C902" s="33"/>
      <c r="D902" s="7"/>
      <c r="E902" s="7"/>
      <c r="F902" s="7"/>
      <c r="G902" s="7"/>
      <c r="H902" s="7"/>
      <c r="I902" s="7"/>
      <c r="J902" s="7"/>
      <c r="K902" s="7"/>
      <c r="L902" s="7"/>
      <c r="M902" s="7"/>
      <c r="N902" s="7"/>
      <c r="O902" s="7"/>
      <c r="P902" s="7"/>
      <c r="Q902" s="7"/>
      <c r="R902" s="64"/>
      <c r="S902" s="64"/>
      <c r="T902" s="64"/>
      <c r="U902" s="64"/>
      <c r="V902" s="64"/>
      <c r="W902" s="64"/>
    </row>
    <row r="903" spans="1:23" ht="30" customHeight="1">
      <c r="A903" s="8"/>
      <c r="B903" s="7"/>
      <c r="C903" s="33"/>
      <c r="D903" s="7"/>
      <c r="E903" s="7"/>
      <c r="F903" s="7"/>
      <c r="G903" s="7"/>
      <c r="H903" s="7"/>
      <c r="I903" s="7"/>
      <c r="J903" s="7"/>
      <c r="K903" s="7"/>
      <c r="L903" s="7"/>
      <c r="M903" s="7"/>
      <c r="N903" s="7"/>
      <c r="O903" s="7"/>
      <c r="P903" s="7"/>
      <c r="Q903" s="7"/>
      <c r="R903" s="64"/>
      <c r="S903" s="64"/>
      <c r="T903" s="64"/>
      <c r="U903" s="64"/>
      <c r="V903" s="64"/>
      <c r="W903" s="64"/>
    </row>
    <row r="904" spans="1:23" ht="30" customHeight="1">
      <c r="A904" s="8"/>
      <c r="B904" s="7"/>
      <c r="C904" s="33"/>
      <c r="D904" s="7"/>
      <c r="E904" s="7"/>
      <c r="F904" s="7"/>
      <c r="G904" s="7"/>
      <c r="H904" s="7"/>
      <c r="I904" s="7"/>
      <c r="J904" s="7"/>
      <c r="K904" s="7"/>
      <c r="L904" s="7"/>
      <c r="M904" s="7"/>
      <c r="N904" s="7"/>
      <c r="O904" s="7"/>
      <c r="P904" s="7"/>
      <c r="Q904" s="7"/>
      <c r="R904" s="64"/>
      <c r="S904" s="64"/>
      <c r="T904" s="64"/>
      <c r="U904" s="64"/>
      <c r="V904" s="64"/>
      <c r="W904" s="64"/>
    </row>
    <row r="905" spans="1:23" ht="30" customHeight="1">
      <c r="A905" s="8"/>
      <c r="B905" s="7"/>
      <c r="C905" s="33"/>
      <c r="D905" s="7"/>
      <c r="E905" s="7"/>
      <c r="F905" s="7"/>
      <c r="G905" s="7"/>
      <c r="H905" s="7"/>
      <c r="I905" s="7"/>
      <c r="J905" s="7"/>
      <c r="K905" s="7"/>
      <c r="L905" s="7"/>
      <c r="M905" s="7"/>
      <c r="N905" s="7"/>
      <c r="O905" s="7"/>
      <c r="P905" s="7"/>
      <c r="Q905" s="7"/>
      <c r="R905" s="64"/>
      <c r="S905" s="64"/>
      <c r="T905" s="64"/>
      <c r="U905" s="64"/>
      <c r="V905" s="64"/>
      <c r="W905" s="64"/>
    </row>
    <row r="906" spans="1:23" ht="30" customHeight="1">
      <c r="A906" s="8"/>
      <c r="B906" s="7"/>
      <c r="C906" s="33"/>
      <c r="D906" s="7"/>
      <c r="E906" s="7"/>
      <c r="F906" s="7"/>
      <c r="G906" s="7"/>
      <c r="H906" s="7"/>
      <c r="I906" s="7"/>
      <c r="J906" s="7"/>
      <c r="K906" s="7"/>
      <c r="L906" s="7"/>
      <c r="M906" s="7"/>
      <c r="N906" s="7"/>
      <c r="O906" s="7"/>
      <c r="P906" s="7"/>
      <c r="Q906" s="7"/>
      <c r="R906" s="64"/>
      <c r="S906" s="64"/>
      <c r="T906" s="64"/>
      <c r="U906" s="64"/>
      <c r="V906" s="64"/>
      <c r="W906" s="64"/>
    </row>
    <row r="907" spans="1:23" ht="30" customHeight="1">
      <c r="A907" s="8"/>
      <c r="B907" s="7"/>
      <c r="C907" s="33"/>
      <c r="D907" s="7"/>
      <c r="E907" s="7"/>
      <c r="F907" s="7"/>
      <c r="G907" s="7"/>
      <c r="H907" s="7"/>
      <c r="I907" s="7"/>
      <c r="J907" s="7"/>
      <c r="K907" s="7"/>
      <c r="L907" s="7"/>
      <c r="M907" s="7"/>
      <c r="N907" s="7"/>
      <c r="O907" s="7"/>
      <c r="P907" s="7"/>
      <c r="Q907" s="7"/>
      <c r="R907" s="64"/>
      <c r="S907" s="64"/>
      <c r="T907" s="64"/>
      <c r="U907" s="64"/>
      <c r="V907" s="64"/>
      <c r="W907" s="64"/>
    </row>
    <row r="908" spans="1:23" ht="30" customHeight="1">
      <c r="A908" s="8"/>
      <c r="B908" s="7"/>
      <c r="C908" s="33"/>
      <c r="D908" s="7"/>
      <c r="E908" s="7"/>
      <c r="F908" s="7"/>
      <c r="G908" s="7"/>
      <c r="H908" s="7"/>
      <c r="I908" s="7"/>
      <c r="J908" s="7"/>
      <c r="K908" s="7"/>
      <c r="L908" s="7"/>
      <c r="M908" s="7"/>
      <c r="N908" s="7"/>
      <c r="O908" s="7"/>
      <c r="P908" s="7"/>
      <c r="Q908" s="7"/>
      <c r="R908" s="64"/>
      <c r="S908" s="64"/>
      <c r="T908" s="64"/>
      <c r="U908" s="64"/>
      <c r="V908" s="64"/>
      <c r="W908" s="64"/>
    </row>
    <row r="909" spans="1:23" ht="30" customHeight="1">
      <c r="A909" s="8"/>
      <c r="B909" s="7"/>
      <c r="C909" s="33"/>
      <c r="D909" s="7"/>
      <c r="E909" s="7"/>
      <c r="F909" s="7"/>
      <c r="G909" s="7"/>
      <c r="H909" s="7"/>
      <c r="I909" s="7"/>
      <c r="J909" s="7"/>
      <c r="K909" s="7"/>
      <c r="L909" s="7"/>
      <c r="M909" s="7"/>
      <c r="N909" s="7"/>
      <c r="O909" s="7"/>
      <c r="P909" s="7"/>
      <c r="Q909" s="7"/>
      <c r="R909" s="64"/>
      <c r="S909" s="64"/>
      <c r="T909" s="64"/>
      <c r="U909" s="64"/>
      <c r="V909" s="64"/>
      <c r="W909" s="64"/>
    </row>
    <row r="910" spans="1:23" ht="30" customHeight="1">
      <c r="A910" s="8"/>
      <c r="B910" s="7"/>
      <c r="C910" s="33"/>
      <c r="D910" s="7"/>
      <c r="E910" s="7"/>
      <c r="F910" s="7"/>
      <c r="G910" s="7"/>
      <c r="H910" s="7"/>
      <c r="I910" s="7"/>
      <c r="J910" s="7"/>
      <c r="K910" s="7"/>
      <c r="L910" s="7"/>
      <c r="M910" s="7"/>
      <c r="N910" s="7"/>
      <c r="O910" s="7"/>
      <c r="P910" s="7"/>
      <c r="Q910" s="7"/>
      <c r="R910" s="64"/>
      <c r="S910" s="64"/>
      <c r="T910" s="64"/>
      <c r="U910" s="64"/>
      <c r="V910" s="64"/>
      <c r="W910" s="64"/>
    </row>
    <row r="911" spans="1:23" ht="30" customHeight="1">
      <c r="A911" s="8"/>
      <c r="B911" s="7"/>
      <c r="C911" s="33"/>
      <c r="D911" s="7"/>
      <c r="E911" s="7"/>
      <c r="F911" s="7"/>
      <c r="G911" s="7"/>
      <c r="H911" s="7"/>
      <c r="I911" s="7"/>
      <c r="J911" s="7"/>
      <c r="K911" s="7"/>
      <c r="L911" s="7"/>
      <c r="M911" s="7"/>
      <c r="N911" s="7"/>
      <c r="O911" s="7"/>
      <c r="P911" s="7"/>
      <c r="Q911" s="7"/>
      <c r="R911" s="64"/>
      <c r="S911" s="64"/>
      <c r="T911" s="64"/>
      <c r="U911" s="64"/>
      <c r="V911" s="64"/>
      <c r="W911" s="64"/>
    </row>
    <row r="912" spans="1:23" ht="30" customHeight="1">
      <c r="A912" s="8"/>
      <c r="B912" s="7"/>
      <c r="C912" s="33"/>
      <c r="D912" s="7"/>
      <c r="E912" s="7"/>
      <c r="F912" s="7"/>
      <c r="G912" s="7"/>
      <c r="H912" s="7"/>
      <c r="I912" s="7"/>
      <c r="J912" s="7"/>
      <c r="K912" s="7"/>
      <c r="L912" s="7"/>
      <c r="M912" s="7"/>
      <c r="N912" s="7"/>
      <c r="O912" s="7"/>
      <c r="P912" s="7"/>
      <c r="Q912" s="7"/>
      <c r="R912" s="64"/>
      <c r="S912" s="64"/>
      <c r="T912" s="64"/>
      <c r="U912" s="64"/>
      <c r="V912" s="64"/>
      <c r="W912" s="64"/>
    </row>
    <row r="913" spans="1:23" ht="30" customHeight="1">
      <c r="A913" s="8"/>
      <c r="B913" s="7"/>
      <c r="C913" s="33"/>
      <c r="D913" s="7"/>
      <c r="E913" s="7"/>
      <c r="F913" s="7"/>
      <c r="G913" s="7"/>
      <c r="H913" s="7"/>
      <c r="I913" s="7"/>
      <c r="J913" s="7"/>
      <c r="K913" s="7"/>
      <c r="L913" s="7"/>
      <c r="M913" s="7"/>
      <c r="N913" s="7"/>
      <c r="O913" s="7"/>
      <c r="P913" s="7"/>
      <c r="Q913" s="7"/>
      <c r="R913" s="64"/>
      <c r="S913" s="64"/>
      <c r="T913" s="64"/>
      <c r="U913" s="64"/>
      <c r="V913" s="64"/>
      <c r="W913" s="64"/>
    </row>
    <row r="914" spans="1:23" ht="30" customHeight="1">
      <c r="A914" s="8"/>
      <c r="B914" s="7"/>
      <c r="C914" s="33"/>
      <c r="D914" s="7"/>
      <c r="E914" s="7"/>
      <c r="F914" s="7"/>
      <c r="G914" s="7"/>
      <c r="H914" s="7"/>
      <c r="I914" s="7"/>
      <c r="J914" s="7"/>
      <c r="K914" s="7"/>
      <c r="L914" s="7"/>
      <c r="M914" s="7"/>
      <c r="N914" s="7"/>
      <c r="O914" s="7"/>
      <c r="P914" s="7"/>
      <c r="Q914" s="7"/>
      <c r="R914" s="64"/>
      <c r="S914" s="64"/>
      <c r="T914" s="64"/>
      <c r="U914" s="64"/>
      <c r="V914" s="64"/>
      <c r="W914" s="64"/>
    </row>
    <row r="915" spans="1:23" ht="30" customHeight="1">
      <c r="A915" s="8"/>
      <c r="B915" s="7"/>
      <c r="C915" s="33"/>
      <c r="D915" s="7"/>
      <c r="E915" s="7"/>
      <c r="F915" s="7"/>
      <c r="G915" s="7"/>
      <c r="H915" s="7"/>
      <c r="I915" s="7"/>
      <c r="J915" s="7"/>
      <c r="K915" s="7"/>
      <c r="L915" s="7"/>
      <c r="M915" s="7"/>
      <c r="N915" s="7"/>
      <c r="O915" s="7"/>
      <c r="P915" s="7"/>
      <c r="Q915" s="7"/>
      <c r="R915" s="64"/>
      <c r="S915" s="64"/>
      <c r="T915" s="64"/>
      <c r="U915" s="64"/>
      <c r="V915" s="64"/>
      <c r="W915" s="64"/>
    </row>
    <row r="916" spans="1:23" ht="30" customHeight="1">
      <c r="A916" s="8"/>
      <c r="B916" s="7"/>
      <c r="C916" s="33"/>
      <c r="D916" s="7"/>
      <c r="E916" s="7"/>
      <c r="F916" s="7"/>
      <c r="G916" s="7"/>
      <c r="H916" s="7"/>
      <c r="I916" s="7"/>
      <c r="J916" s="7"/>
      <c r="K916" s="7"/>
      <c r="L916" s="7"/>
      <c r="M916" s="7"/>
      <c r="N916" s="7"/>
      <c r="O916" s="7"/>
      <c r="P916" s="7"/>
      <c r="Q916" s="7"/>
      <c r="R916" s="64"/>
      <c r="S916" s="64"/>
      <c r="T916" s="64"/>
      <c r="U916" s="64"/>
      <c r="V916" s="64"/>
      <c r="W916" s="64"/>
    </row>
    <row r="917" spans="1:23" ht="30" customHeight="1">
      <c r="A917" s="8"/>
      <c r="B917" s="7"/>
      <c r="C917" s="33"/>
      <c r="D917" s="7"/>
      <c r="E917" s="7"/>
      <c r="F917" s="7"/>
      <c r="G917" s="7"/>
      <c r="H917" s="7"/>
      <c r="I917" s="7"/>
      <c r="J917" s="7"/>
      <c r="K917" s="7"/>
      <c r="L917" s="7"/>
      <c r="M917" s="7"/>
      <c r="N917" s="7"/>
      <c r="O917" s="7"/>
      <c r="P917" s="7"/>
      <c r="Q917" s="7"/>
      <c r="R917" s="64"/>
      <c r="S917" s="64"/>
      <c r="T917" s="64"/>
      <c r="U917" s="64"/>
      <c r="V917" s="64"/>
      <c r="W917" s="64"/>
    </row>
    <row r="918" spans="1:23" ht="30" customHeight="1">
      <c r="A918" s="8"/>
      <c r="B918" s="7"/>
      <c r="C918" s="33"/>
      <c r="D918" s="7"/>
      <c r="E918" s="7"/>
      <c r="F918" s="7"/>
      <c r="G918" s="7"/>
      <c r="H918" s="7"/>
      <c r="I918" s="7"/>
      <c r="J918" s="7"/>
      <c r="K918" s="7"/>
      <c r="L918" s="7"/>
      <c r="M918" s="7"/>
      <c r="N918" s="7"/>
      <c r="O918" s="7"/>
      <c r="P918" s="7"/>
      <c r="Q918" s="7"/>
      <c r="R918" s="64"/>
      <c r="S918" s="64"/>
      <c r="T918" s="64"/>
      <c r="U918" s="64"/>
      <c r="V918" s="64"/>
      <c r="W918" s="64"/>
    </row>
    <row r="919" spans="1:23" ht="30" customHeight="1">
      <c r="A919" s="8"/>
      <c r="B919" s="7"/>
      <c r="C919" s="33"/>
      <c r="D919" s="7"/>
      <c r="E919" s="7"/>
      <c r="F919" s="7"/>
      <c r="G919" s="7"/>
      <c r="H919" s="7"/>
      <c r="I919" s="7"/>
      <c r="J919" s="7"/>
      <c r="K919" s="7"/>
      <c r="L919" s="7"/>
      <c r="M919" s="7"/>
      <c r="N919" s="7"/>
      <c r="O919" s="7"/>
      <c r="P919" s="7"/>
      <c r="Q919" s="7"/>
      <c r="R919" s="64"/>
      <c r="S919" s="64"/>
      <c r="T919" s="64"/>
      <c r="U919" s="64"/>
      <c r="V919" s="64"/>
      <c r="W919" s="64"/>
    </row>
    <row r="920" spans="1:23" ht="30" customHeight="1">
      <c r="A920" s="8"/>
      <c r="B920" s="7"/>
      <c r="C920" s="33"/>
      <c r="D920" s="7"/>
      <c r="E920" s="7"/>
      <c r="F920" s="7"/>
      <c r="G920" s="7"/>
      <c r="H920" s="7"/>
      <c r="I920" s="7"/>
      <c r="J920" s="7"/>
      <c r="K920" s="7"/>
      <c r="L920" s="7"/>
      <c r="M920" s="7"/>
      <c r="N920" s="7"/>
      <c r="O920" s="7"/>
      <c r="P920" s="7"/>
      <c r="Q920" s="7"/>
      <c r="R920" s="64"/>
      <c r="S920" s="64"/>
      <c r="T920" s="64"/>
      <c r="U920" s="64"/>
      <c r="V920" s="64"/>
      <c r="W920" s="64"/>
    </row>
    <row r="921" spans="1:23" ht="30" customHeight="1">
      <c r="A921" s="8"/>
      <c r="B921" s="7"/>
      <c r="C921" s="33"/>
      <c r="D921" s="7"/>
      <c r="E921" s="7"/>
      <c r="F921" s="7"/>
      <c r="G921" s="7"/>
      <c r="H921" s="7"/>
      <c r="I921" s="7"/>
      <c r="J921" s="7"/>
      <c r="K921" s="7"/>
      <c r="L921" s="7"/>
      <c r="M921" s="7"/>
      <c r="N921" s="7"/>
      <c r="O921" s="7"/>
      <c r="P921" s="7"/>
      <c r="Q921" s="7"/>
      <c r="R921" s="64"/>
      <c r="S921" s="64"/>
      <c r="T921" s="64"/>
      <c r="U921" s="64"/>
      <c r="V921" s="64"/>
      <c r="W921" s="64"/>
    </row>
    <row r="922" spans="1:23" ht="30" customHeight="1">
      <c r="A922" s="8"/>
      <c r="B922" s="7"/>
      <c r="C922" s="33"/>
      <c r="D922" s="7"/>
      <c r="E922" s="7"/>
      <c r="F922" s="7"/>
      <c r="G922" s="7"/>
      <c r="H922" s="7"/>
      <c r="I922" s="7"/>
      <c r="J922" s="7"/>
      <c r="K922" s="7"/>
      <c r="L922" s="7"/>
      <c r="M922" s="7"/>
      <c r="N922" s="7"/>
      <c r="O922" s="7"/>
      <c r="P922" s="7"/>
      <c r="Q922" s="7"/>
      <c r="R922" s="64"/>
      <c r="S922" s="64"/>
      <c r="T922" s="64"/>
      <c r="U922" s="64"/>
      <c r="V922" s="64"/>
      <c r="W922" s="64"/>
    </row>
    <row r="923" spans="1:23" ht="30" customHeight="1">
      <c r="A923" s="8"/>
      <c r="B923" s="7"/>
      <c r="C923" s="33"/>
      <c r="D923" s="7"/>
      <c r="E923" s="7"/>
      <c r="F923" s="7"/>
      <c r="G923" s="7"/>
      <c r="H923" s="7"/>
      <c r="I923" s="7"/>
      <c r="J923" s="7"/>
      <c r="K923" s="7"/>
      <c r="L923" s="7"/>
      <c r="M923" s="7"/>
      <c r="N923" s="7"/>
      <c r="O923" s="7"/>
      <c r="P923" s="7"/>
      <c r="Q923" s="7"/>
      <c r="R923" s="64"/>
      <c r="S923" s="64"/>
      <c r="T923" s="64"/>
      <c r="U923" s="64"/>
      <c r="V923" s="64"/>
      <c r="W923" s="64"/>
    </row>
    <row r="924" spans="1:23" ht="30" customHeight="1">
      <c r="A924" s="8"/>
      <c r="B924" s="7"/>
      <c r="C924" s="33"/>
      <c r="D924" s="7"/>
      <c r="E924" s="7"/>
      <c r="F924" s="7"/>
      <c r="G924" s="7"/>
      <c r="H924" s="7"/>
      <c r="I924" s="7"/>
      <c r="J924" s="7"/>
      <c r="K924" s="7"/>
      <c r="L924" s="7"/>
      <c r="M924" s="7"/>
      <c r="N924" s="7"/>
      <c r="O924" s="7"/>
      <c r="P924" s="7"/>
      <c r="Q924" s="7"/>
      <c r="R924" s="64"/>
      <c r="S924" s="64"/>
      <c r="T924" s="64"/>
      <c r="U924" s="64"/>
      <c r="V924" s="64"/>
      <c r="W924" s="64"/>
    </row>
    <row r="925" spans="1:23" ht="30" customHeight="1">
      <c r="A925" s="8"/>
      <c r="B925" s="7"/>
      <c r="C925" s="33"/>
      <c r="D925" s="7"/>
      <c r="E925" s="7"/>
      <c r="F925" s="7"/>
      <c r="G925" s="7"/>
      <c r="H925" s="7"/>
      <c r="I925" s="7"/>
      <c r="J925" s="7"/>
      <c r="K925" s="7"/>
      <c r="L925" s="7"/>
      <c r="M925" s="7"/>
      <c r="N925" s="7"/>
      <c r="O925" s="7"/>
      <c r="P925" s="7"/>
      <c r="Q925" s="7"/>
      <c r="R925" s="64"/>
      <c r="S925" s="64"/>
      <c r="T925" s="64"/>
      <c r="U925" s="64"/>
      <c r="V925" s="64"/>
      <c r="W925" s="64"/>
    </row>
    <row r="926" spans="1:23" ht="30" customHeight="1">
      <c r="A926" s="8"/>
      <c r="B926" s="7"/>
      <c r="C926" s="33"/>
      <c r="D926" s="7"/>
      <c r="E926" s="7"/>
      <c r="F926" s="7"/>
      <c r="G926" s="7"/>
      <c r="H926" s="7"/>
      <c r="I926" s="7"/>
      <c r="J926" s="7"/>
      <c r="K926" s="7"/>
      <c r="L926" s="7"/>
      <c r="M926" s="7"/>
      <c r="N926" s="7"/>
      <c r="O926" s="7"/>
      <c r="P926" s="7"/>
      <c r="Q926" s="7"/>
      <c r="R926" s="64"/>
      <c r="S926" s="64"/>
      <c r="T926" s="64"/>
      <c r="U926" s="64"/>
      <c r="V926" s="64"/>
      <c r="W926" s="64"/>
    </row>
    <row r="927" spans="1:23" ht="30" customHeight="1">
      <c r="A927" s="8"/>
      <c r="B927" s="7"/>
      <c r="C927" s="33"/>
      <c r="D927" s="7"/>
      <c r="E927" s="7"/>
      <c r="F927" s="7"/>
      <c r="G927" s="7"/>
      <c r="H927" s="7"/>
      <c r="I927" s="7"/>
      <c r="J927" s="7"/>
      <c r="K927" s="7"/>
      <c r="L927" s="7"/>
      <c r="M927" s="7"/>
      <c r="N927" s="7"/>
      <c r="O927" s="7"/>
      <c r="P927" s="7"/>
      <c r="Q927" s="7"/>
      <c r="R927" s="64"/>
      <c r="S927" s="64"/>
      <c r="T927" s="64"/>
      <c r="U927" s="64"/>
      <c r="V927" s="64"/>
      <c r="W927" s="64"/>
    </row>
    <row r="928" spans="1:23" ht="30" customHeight="1">
      <c r="A928" s="8"/>
      <c r="B928" s="7"/>
      <c r="C928" s="33"/>
      <c r="D928" s="7"/>
      <c r="E928" s="7"/>
      <c r="F928" s="7"/>
      <c r="G928" s="7"/>
      <c r="H928" s="7"/>
      <c r="I928" s="7"/>
      <c r="J928" s="7"/>
      <c r="K928" s="7"/>
      <c r="L928" s="7"/>
      <c r="M928" s="7"/>
      <c r="N928" s="7"/>
      <c r="O928" s="7"/>
      <c r="P928" s="7"/>
      <c r="Q928" s="7"/>
      <c r="R928" s="64"/>
      <c r="S928" s="64"/>
      <c r="T928" s="64"/>
      <c r="U928" s="64"/>
      <c r="V928" s="64"/>
      <c r="W928" s="64"/>
    </row>
    <row r="929" spans="1:23" ht="30" customHeight="1">
      <c r="A929" s="8"/>
      <c r="B929" s="7"/>
      <c r="C929" s="33"/>
      <c r="D929" s="7"/>
      <c r="E929" s="7"/>
      <c r="F929" s="7"/>
      <c r="G929" s="7"/>
      <c r="H929" s="7"/>
      <c r="I929" s="7"/>
      <c r="J929" s="7"/>
      <c r="K929" s="7"/>
      <c r="L929" s="7"/>
      <c r="M929" s="7"/>
      <c r="N929" s="7"/>
      <c r="O929" s="7"/>
      <c r="P929" s="7"/>
      <c r="Q929" s="7"/>
      <c r="R929" s="64"/>
      <c r="S929" s="64"/>
      <c r="T929" s="64"/>
      <c r="U929" s="64"/>
      <c r="V929" s="64"/>
      <c r="W929" s="64"/>
    </row>
    <row r="930" spans="1:23" ht="30" customHeight="1">
      <c r="A930" s="8"/>
      <c r="B930" s="7"/>
      <c r="C930" s="33"/>
      <c r="D930" s="7"/>
      <c r="E930" s="7"/>
      <c r="F930" s="7"/>
      <c r="G930" s="7"/>
      <c r="H930" s="7"/>
      <c r="I930" s="7"/>
      <c r="J930" s="7"/>
      <c r="K930" s="7"/>
      <c r="L930" s="7"/>
      <c r="M930" s="7"/>
      <c r="N930" s="7"/>
      <c r="O930" s="7"/>
      <c r="P930" s="7"/>
      <c r="Q930" s="7"/>
      <c r="R930" s="64"/>
      <c r="S930" s="64"/>
      <c r="T930" s="64"/>
      <c r="U930" s="64"/>
      <c r="V930" s="64"/>
      <c r="W930" s="64"/>
    </row>
    <row r="931" spans="1:23" ht="30" customHeight="1">
      <c r="A931" s="8"/>
      <c r="B931" s="7"/>
      <c r="C931" s="33"/>
      <c r="D931" s="7"/>
      <c r="E931" s="7"/>
      <c r="F931" s="7"/>
      <c r="G931" s="7"/>
      <c r="H931" s="7"/>
      <c r="I931" s="7"/>
      <c r="J931" s="7"/>
      <c r="K931" s="7"/>
      <c r="L931" s="7"/>
      <c r="M931" s="7"/>
      <c r="N931" s="7"/>
      <c r="O931" s="7"/>
      <c r="P931" s="7"/>
      <c r="Q931" s="7"/>
      <c r="R931" s="64"/>
      <c r="S931" s="64"/>
      <c r="T931" s="64"/>
      <c r="U931" s="64"/>
      <c r="V931" s="64"/>
      <c r="W931" s="64"/>
    </row>
    <row r="932" spans="1:23" ht="30" customHeight="1">
      <c r="A932" s="8"/>
      <c r="B932" s="7"/>
      <c r="C932" s="33"/>
      <c r="D932" s="7"/>
      <c r="E932" s="7"/>
      <c r="F932" s="7"/>
      <c r="G932" s="7"/>
      <c r="H932" s="7"/>
      <c r="I932" s="7"/>
      <c r="J932" s="7"/>
      <c r="K932" s="7"/>
      <c r="L932" s="7"/>
      <c r="M932" s="7"/>
      <c r="N932" s="7"/>
      <c r="O932" s="7"/>
      <c r="P932" s="7"/>
      <c r="Q932" s="7"/>
      <c r="R932" s="64"/>
      <c r="S932" s="64"/>
      <c r="T932" s="64"/>
      <c r="U932" s="64"/>
      <c r="V932" s="64"/>
      <c r="W932" s="64"/>
    </row>
    <row r="933" spans="1:23" ht="30" customHeight="1">
      <c r="A933" s="8"/>
      <c r="B933" s="7"/>
      <c r="C933" s="33"/>
      <c r="D933" s="7"/>
      <c r="E933" s="7"/>
      <c r="F933" s="7"/>
      <c r="G933" s="7"/>
      <c r="H933" s="7"/>
      <c r="I933" s="7"/>
      <c r="J933" s="7"/>
      <c r="K933" s="7"/>
      <c r="L933" s="7"/>
      <c r="M933" s="7"/>
      <c r="N933" s="7"/>
      <c r="O933" s="7"/>
      <c r="P933" s="7"/>
      <c r="Q933" s="7"/>
      <c r="R933" s="64"/>
      <c r="S933" s="64"/>
      <c r="T933" s="64"/>
      <c r="U933" s="64"/>
      <c r="V933" s="64"/>
      <c r="W933" s="64"/>
    </row>
    <row r="934" spans="1:23" ht="30" customHeight="1">
      <c r="A934" s="8"/>
      <c r="B934" s="7"/>
      <c r="C934" s="33"/>
      <c r="D934" s="7"/>
      <c r="E934" s="7"/>
      <c r="F934" s="7"/>
      <c r="G934" s="7"/>
      <c r="H934" s="7"/>
      <c r="I934" s="7"/>
      <c r="J934" s="7"/>
      <c r="K934" s="7"/>
      <c r="L934" s="7"/>
      <c r="M934" s="7"/>
      <c r="N934" s="7"/>
      <c r="O934" s="7"/>
      <c r="P934" s="7"/>
      <c r="Q934" s="7"/>
      <c r="R934" s="64"/>
      <c r="S934" s="64"/>
      <c r="T934" s="64"/>
      <c r="U934" s="64"/>
      <c r="V934" s="64"/>
      <c r="W934" s="64"/>
    </row>
    <row r="935" spans="1:23" ht="30" customHeight="1">
      <c r="A935" s="8"/>
      <c r="B935" s="7"/>
      <c r="C935" s="33"/>
      <c r="D935" s="7"/>
      <c r="E935" s="7"/>
      <c r="F935" s="7"/>
      <c r="G935" s="7"/>
      <c r="H935" s="7"/>
      <c r="I935" s="7"/>
      <c r="J935" s="7"/>
      <c r="K935" s="7"/>
      <c r="L935" s="7"/>
      <c r="M935" s="7"/>
      <c r="N935" s="7"/>
      <c r="O935" s="7"/>
      <c r="P935" s="7"/>
      <c r="Q935" s="7"/>
      <c r="R935" s="64"/>
      <c r="S935" s="64"/>
      <c r="T935" s="64"/>
      <c r="U935" s="64"/>
      <c r="V935" s="64"/>
      <c r="W935" s="64"/>
    </row>
    <row r="936" spans="1:23" ht="30" customHeight="1">
      <c r="A936" s="8"/>
      <c r="B936" s="7"/>
      <c r="C936" s="33"/>
      <c r="D936" s="7"/>
      <c r="E936" s="7"/>
      <c r="F936" s="7"/>
      <c r="G936" s="7"/>
      <c r="H936" s="7"/>
      <c r="I936" s="7"/>
      <c r="J936" s="7"/>
      <c r="K936" s="7"/>
      <c r="L936" s="7"/>
      <c r="M936" s="7"/>
      <c r="N936" s="7"/>
      <c r="O936" s="7"/>
      <c r="P936" s="7"/>
      <c r="Q936" s="7"/>
      <c r="R936" s="64"/>
      <c r="S936" s="64"/>
      <c r="T936" s="64"/>
      <c r="U936" s="64"/>
      <c r="V936" s="64"/>
      <c r="W936" s="64"/>
    </row>
    <row r="937" spans="1:23" ht="30" customHeight="1">
      <c r="A937" s="8"/>
      <c r="B937" s="7"/>
      <c r="C937" s="33"/>
      <c r="D937" s="7"/>
      <c r="E937" s="7"/>
      <c r="F937" s="7"/>
      <c r="G937" s="7"/>
      <c r="H937" s="7"/>
      <c r="I937" s="7"/>
      <c r="J937" s="7"/>
      <c r="K937" s="7"/>
      <c r="L937" s="7"/>
      <c r="M937" s="7"/>
      <c r="N937" s="7"/>
      <c r="O937" s="7"/>
      <c r="P937" s="7"/>
      <c r="Q937" s="7"/>
      <c r="R937" s="64"/>
      <c r="S937" s="64"/>
      <c r="T937" s="64"/>
      <c r="U937" s="64"/>
      <c r="V937" s="64"/>
      <c r="W937" s="64"/>
    </row>
    <row r="938" spans="1:23" ht="30" customHeight="1">
      <c r="A938" s="8"/>
      <c r="B938" s="7"/>
      <c r="C938" s="33"/>
      <c r="D938" s="7"/>
      <c r="E938" s="7"/>
      <c r="F938" s="7"/>
      <c r="G938" s="7"/>
      <c r="H938" s="7"/>
      <c r="I938" s="7"/>
      <c r="J938" s="7"/>
      <c r="K938" s="7"/>
      <c r="L938" s="7"/>
      <c r="M938" s="7"/>
      <c r="N938" s="7"/>
      <c r="O938" s="7"/>
      <c r="P938" s="7"/>
      <c r="Q938" s="7"/>
      <c r="R938" s="64"/>
      <c r="S938" s="64"/>
      <c r="T938" s="64"/>
      <c r="U938" s="64"/>
      <c r="V938" s="64"/>
      <c r="W938" s="64"/>
    </row>
    <row r="939" spans="1:23" ht="30" customHeight="1">
      <c r="A939" s="8"/>
      <c r="B939" s="7"/>
      <c r="C939" s="33"/>
      <c r="D939" s="7"/>
      <c r="E939" s="7"/>
      <c r="F939" s="7"/>
      <c r="G939" s="7"/>
      <c r="H939" s="7"/>
      <c r="I939" s="7"/>
      <c r="J939" s="7"/>
      <c r="K939" s="7"/>
      <c r="L939" s="7"/>
      <c r="M939" s="7"/>
      <c r="N939" s="7"/>
      <c r="O939" s="7"/>
      <c r="P939" s="7"/>
      <c r="Q939" s="7"/>
      <c r="R939" s="64"/>
      <c r="S939" s="64"/>
      <c r="T939" s="64"/>
      <c r="U939" s="64"/>
      <c r="V939" s="64"/>
      <c r="W939" s="64"/>
    </row>
    <row r="940" spans="1:23" ht="30" customHeight="1">
      <c r="A940" s="8"/>
      <c r="B940" s="7"/>
      <c r="C940" s="33"/>
      <c r="D940" s="7"/>
      <c r="E940" s="7"/>
      <c r="F940" s="7"/>
      <c r="G940" s="7"/>
      <c r="H940" s="7"/>
      <c r="I940" s="7"/>
      <c r="J940" s="7"/>
      <c r="K940" s="7"/>
      <c r="L940" s="7"/>
      <c r="M940" s="7"/>
      <c r="N940" s="7"/>
      <c r="O940" s="7"/>
      <c r="P940" s="7"/>
      <c r="Q940" s="7"/>
      <c r="R940" s="64"/>
      <c r="S940" s="64"/>
      <c r="T940" s="64"/>
      <c r="U940" s="64"/>
      <c r="V940" s="64"/>
      <c r="W940" s="64"/>
    </row>
    <row r="941" spans="1:23" ht="30" customHeight="1">
      <c r="A941" s="8"/>
      <c r="B941" s="7"/>
      <c r="C941" s="33"/>
      <c r="D941" s="7"/>
      <c r="E941" s="7"/>
      <c r="F941" s="7"/>
      <c r="G941" s="7"/>
      <c r="H941" s="7"/>
      <c r="I941" s="7"/>
      <c r="J941" s="7"/>
      <c r="K941" s="7"/>
      <c r="L941" s="7"/>
      <c r="M941" s="7"/>
      <c r="N941" s="7"/>
      <c r="O941" s="7"/>
      <c r="P941" s="7"/>
      <c r="Q941" s="7"/>
      <c r="R941" s="64"/>
      <c r="S941" s="64"/>
      <c r="T941" s="64"/>
      <c r="U941" s="64"/>
      <c r="V941" s="64"/>
      <c r="W941" s="64"/>
    </row>
    <row r="942" spans="1:23" ht="30" customHeight="1">
      <c r="A942" s="8"/>
      <c r="B942" s="7"/>
      <c r="C942" s="33"/>
      <c r="D942" s="7"/>
      <c r="E942" s="7"/>
      <c r="F942" s="7"/>
      <c r="G942" s="7"/>
      <c r="H942" s="7"/>
      <c r="I942" s="7"/>
      <c r="J942" s="7"/>
      <c r="K942" s="7"/>
      <c r="L942" s="7"/>
      <c r="M942" s="7"/>
      <c r="N942" s="7"/>
      <c r="O942" s="7"/>
      <c r="P942" s="7"/>
      <c r="Q942" s="7"/>
      <c r="R942" s="64"/>
      <c r="S942" s="64"/>
      <c r="T942" s="64"/>
      <c r="U942" s="64"/>
      <c r="V942" s="64"/>
      <c r="W942" s="64"/>
    </row>
    <row r="943" spans="1:23" ht="30" customHeight="1">
      <c r="A943" s="8"/>
      <c r="B943" s="7"/>
      <c r="C943" s="33"/>
      <c r="D943" s="7"/>
      <c r="E943" s="7"/>
      <c r="F943" s="7"/>
      <c r="G943" s="7"/>
      <c r="H943" s="7"/>
      <c r="I943" s="7"/>
      <c r="J943" s="7"/>
      <c r="K943" s="7"/>
      <c r="L943" s="7"/>
      <c r="M943" s="7"/>
      <c r="N943" s="7"/>
      <c r="O943" s="7"/>
      <c r="P943" s="7"/>
      <c r="Q943" s="7"/>
      <c r="R943" s="64"/>
      <c r="S943" s="64"/>
      <c r="T943" s="64"/>
      <c r="U943" s="64"/>
      <c r="V943" s="64"/>
      <c r="W943" s="64"/>
    </row>
    <row r="944" spans="1:23" ht="30" customHeight="1">
      <c r="A944" s="8"/>
      <c r="B944" s="7"/>
      <c r="C944" s="33"/>
      <c r="D944" s="7"/>
      <c r="E944" s="7"/>
      <c r="F944" s="7"/>
      <c r="G944" s="7"/>
      <c r="H944" s="7"/>
      <c r="I944" s="7"/>
      <c r="J944" s="7"/>
      <c r="K944" s="7"/>
      <c r="L944" s="7"/>
      <c r="M944" s="7"/>
      <c r="N944" s="7"/>
      <c r="O944" s="7"/>
      <c r="P944" s="7"/>
      <c r="Q944" s="7"/>
      <c r="R944" s="64"/>
      <c r="S944" s="64"/>
      <c r="T944" s="64"/>
      <c r="U944" s="64"/>
      <c r="V944" s="64"/>
      <c r="W944" s="64"/>
    </row>
    <row r="945" spans="1:23" ht="30" customHeight="1">
      <c r="A945" s="8"/>
      <c r="B945" s="7"/>
      <c r="C945" s="33"/>
      <c r="D945" s="7"/>
      <c r="E945" s="7"/>
      <c r="F945" s="7"/>
      <c r="G945" s="7"/>
      <c r="H945" s="7"/>
      <c r="I945" s="7"/>
      <c r="J945" s="7"/>
      <c r="K945" s="7"/>
      <c r="L945" s="7"/>
      <c r="M945" s="7"/>
      <c r="N945" s="7"/>
      <c r="O945" s="7"/>
      <c r="P945" s="7"/>
      <c r="Q945" s="7"/>
      <c r="R945" s="64"/>
      <c r="S945" s="64"/>
      <c r="T945" s="64"/>
      <c r="U945" s="64"/>
      <c r="V945" s="64"/>
      <c r="W945" s="64"/>
    </row>
    <row r="946" spans="1:23" ht="30" customHeight="1">
      <c r="A946" s="8"/>
      <c r="B946" s="7"/>
      <c r="C946" s="33"/>
      <c r="D946" s="7"/>
      <c r="E946" s="7"/>
      <c r="F946" s="7"/>
      <c r="G946" s="7"/>
      <c r="H946" s="7"/>
      <c r="I946" s="7"/>
      <c r="J946" s="7"/>
      <c r="K946" s="7"/>
      <c r="L946" s="7"/>
      <c r="M946" s="7"/>
      <c r="N946" s="7"/>
      <c r="O946" s="7"/>
      <c r="P946" s="7"/>
      <c r="Q946" s="7"/>
      <c r="R946" s="64"/>
      <c r="S946" s="64"/>
      <c r="T946" s="64"/>
      <c r="U946" s="64"/>
      <c r="V946" s="64"/>
      <c r="W946" s="64"/>
    </row>
    <row r="947" spans="1:23" ht="30" customHeight="1">
      <c r="A947" s="8"/>
      <c r="B947" s="7"/>
      <c r="C947" s="33"/>
      <c r="D947" s="7"/>
      <c r="E947" s="7"/>
      <c r="F947" s="7"/>
      <c r="G947" s="7"/>
      <c r="H947" s="7"/>
      <c r="I947" s="7"/>
      <c r="J947" s="7"/>
      <c r="K947" s="7"/>
      <c r="L947" s="7"/>
      <c r="M947" s="7"/>
      <c r="N947" s="7"/>
      <c r="O947" s="7"/>
      <c r="P947" s="7"/>
      <c r="Q947" s="7"/>
      <c r="R947" s="64"/>
      <c r="S947" s="64"/>
      <c r="T947" s="64"/>
      <c r="U947" s="64"/>
      <c r="V947" s="64"/>
      <c r="W947" s="64"/>
    </row>
    <row r="948" spans="1:23" ht="30" customHeight="1">
      <c r="A948" s="8"/>
      <c r="B948" s="7"/>
      <c r="C948" s="33"/>
      <c r="D948" s="7"/>
      <c r="E948" s="7"/>
      <c r="F948" s="7"/>
      <c r="G948" s="7"/>
      <c r="H948" s="7"/>
      <c r="I948" s="7"/>
      <c r="J948" s="7"/>
      <c r="K948" s="7"/>
      <c r="L948" s="7"/>
      <c r="M948" s="7"/>
      <c r="N948" s="7"/>
      <c r="O948" s="7"/>
      <c r="P948" s="7"/>
      <c r="Q948" s="7"/>
      <c r="R948" s="64"/>
      <c r="S948" s="64"/>
      <c r="T948" s="64"/>
      <c r="U948" s="64"/>
      <c r="V948" s="64"/>
      <c r="W948" s="64"/>
    </row>
    <row r="949" spans="1:23" ht="30" customHeight="1">
      <c r="A949" s="8"/>
      <c r="B949" s="7"/>
      <c r="C949" s="33"/>
      <c r="D949" s="7"/>
      <c r="E949" s="7"/>
      <c r="F949" s="7"/>
      <c r="G949" s="7"/>
      <c r="H949" s="7"/>
      <c r="I949" s="7"/>
      <c r="J949" s="7"/>
      <c r="K949" s="7"/>
      <c r="L949" s="7"/>
      <c r="M949" s="7"/>
      <c r="N949" s="7"/>
      <c r="O949" s="7"/>
      <c r="P949" s="7"/>
      <c r="Q949" s="7"/>
      <c r="R949" s="64"/>
      <c r="S949" s="64"/>
      <c r="T949" s="64"/>
      <c r="U949" s="64"/>
      <c r="V949" s="64"/>
      <c r="W949" s="64"/>
    </row>
    <row r="950" spans="1:23" ht="30" customHeight="1">
      <c r="A950" s="8"/>
      <c r="B950" s="7"/>
      <c r="C950" s="33"/>
      <c r="D950" s="7"/>
      <c r="E950" s="7"/>
      <c r="F950" s="7"/>
      <c r="G950" s="7"/>
      <c r="H950" s="7"/>
      <c r="I950" s="7"/>
      <c r="J950" s="7"/>
      <c r="K950" s="7"/>
      <c r="L950" s="7"/>
      <c r="M950" s="7"/>
      <c r="N950" s="7"/>
      <c r="O950" s="7"/>
      <c r="P950" s="7"/>
      <c r="Q950" s="7"/>
      <c r="R950" s="64"/>
      <c r="S950" s="64"/>
      <c r="T950" s="64"/>
      <c r="U950" s="64"/>
      <c r="V950" s="64"/>
      <c r="W950" s="64"/>
    </row>
    <row r="951" spans="1:23" ht="30" customHeight="1">
      <c r="A951" s="8"/>
      <c r="B951" s="7"/>
      <c r="C951" s="33"/>
      <c r="D951" s="7"/>
      <c r="E951" s="7"/>
      <c r="F951" s="7"/>
      <c r="G951" s="7"/>
      <c r="H951" s="7"/>
      <c r="I951" s="7"/>
      <c r="J951" s="7"/>
      <c r="K951" s="7"/>
      <c r="L951" s="7"/>
      <c r="M951" s="7"/>
      <c r="N951" s="7"/>
      <c r="O951" s="7"/>
      <c r="P951" s="7"/>
      <c r="Q951" s="7"/>
      <c r="R951" s="64"/>
      <c r="S951" s="64"/>
      <c r="T951" s="64"/>
      <c r="U951" s="64"/>
      <c r="V951" s="64"/>
      <c r="W951" s="64"/>
    </row>
    <row r="952" spans="1:23" ht="30" customHeight="1">
      <c r="A952" s="8"/>
      <c r="B952" s="7"/>
      <c r="C952" s="33"/>
      <c r="D952" s="7"/>
      <c r="E952" s="7"/>
      <c r="F952" s="7"/>
      <c r="G952" s="7"/>
      <c r="H952" s="7"/>
      <c r="I952" s="7"/>
      <c r="J952" s="7"/>
      <c r="K952" s="7"/>
      <c r="L952" s="7"/>
      <c r="M952" s="7"/>
      <c r="N952" s="7"/>
      <c r="O952" s="7"/>
      <c r="P952" s="7"/>
      <c r="Q952" s="7"/>
      <c r="R952" s="64"/>
      <c r="S952" s="64"/>
      <c r="T952" s="64"/>
      <c r="U952" s="64"/>
      <c r="V952" s="64"/>
      <c r="W952" s="64"/>
    </row>
    <row r="953" spans="1:23" ht="30" customHeight="1">
      <c r="A953" s="8"/>
      <c r="B953" s="7"/>
      <c r="C953" s="33"/>
      <c r="D953" s="7"/>
      <c r="E953" s="7"/>
      <c r="F953" s="7"/>
      <c r="G953" s="7"/>
      <c r="H953" s="7"/>
      <c r="I953" s="7"/>
      <c r="J953" s="7"/>
      <c r="K953" s="7"/>
      <c r="L953" s="7"/>
      <c r="M953" s="7"/>
      <c r="N953" s="7"/>
      <c r="O953" s="7"/>
      <c r="P953" s="7"/>
      <c r="Q953" s="7"/>
      <c r="R953" s="64"/>
      <c r="S953" s="64"/>
      <c r="T953" s="64"/>
      <c r="U953" s="64"/>
      <c r="V953" s="64"/>
      <c r="W953" s="64"/>
    </row>
    <row r="954" spans="1:23" ht="30" customHeight="1">
      <c r="A954" s="8"/>
      <c r="B954" s="7"/>
      <c r="C954" s="33"/>
      <c r="D954" s="7"/>
      <c r="E954" s="7"/>
      <c r="F954" s="7"/>
      <c r="G954" s="7"/>
      <c r="H954" s="7"/>
      <c r="I954" s="7"/>
      <c r="J954" s="7"/>
      <c r="K954" s="7"/>
      <c r="L954" s="7"/>
      <c r="M954" s="7"/>
      <c r="N954" s="7"/>
      <c r="O954" s="7"/>
      <c r="P954" s="7"/>
      <c r="Q954" s="7"/>
      <c r="R954" s="64"/>
      <c r="S954" s="64"/>
      <c r="T954" s="64"/>
      <c r="U954" s="64"/>
      <c r="V954" s="64"/>
      <c r="W954" s="64"/>
    </row>
    <row r="955" spans="1:23" ht="30" customHeight="1">
      <c r="A955" s="8"/>
      <c r="B955" s="7"/>
      <c r="C955" s="33"/>
      <c r="D955" s="7"/>
      <c r="E955" s="7"/>
      <c r="F955" s="7"/>
      <c r="G955" s="7"/>
      <c r="H955" s="7"/>
      <c r="I955" s="7"/>
      <c r="J955" s="7"/>
      <c r="K955" s="7"/>
      <c r="L955" s="7"/>
      <c r="M955" s="7"/>
      <c r="N955" s="7"/>
      <c r="O955" s="7"/>
      <c r="P955" s="7"/>
      <c r="Q955" s="7"/>
      <c r="R955" s="64"/>
      <c r="S955" s="64"/>
      <c r="T955" s="64"/>
      <c r="U955" s="64"/>
      <c r="V955" s="64"/>
      <c r="W955" s="64"/>
    </row>
    <row r="956" spans="1:23" ht="30" customHeight="1">
      <c r="A956" s="8"/>
      <c r="B956" s="7"/>
      <c r="C956" s="33"/>
      <c r="D956" s="7"/>
      <c r="E956" s="7"/>
      <c r="F956" s="7"/>
      <c r="G956" s="7"/>
      <c r="H956" s="7"/>
      <c r="I956" s="7"/>
      <c r="J956" s="7"/>
      <c r="K956" s="7"/>
      <c r="L956" s="7"/>
      <c r="M956" s="7"/>
      <c r="N956" s="7"/>
      <c r="O956" s="7"/>
      <c r="P956" s="7"/>
      <c r="Q956" s="7"/>
      <c r="R956" s="64"/>
      <c r="S956" s="64"/>
      <c r="T956" s="64"/>
      <c r="U956" s="64"/>
      <c r="V956" s="64"/>
      <c r="W956" s="64"/>
    </row>
    <row r="957" spans="1:23" ht="30" customHeight="1">
      <c r="A957" s="8"/>
      <c r="B957" s="7"/>
      <c r="C957" s="33"/>
      <c r="D957" s="7"/>
      <c r="E957" s="7"/>
      <c r="F957" s="7"/>
      <c r="G957" s="7"/>
      <c r="H957" s="7"/>
      <c r="I957" s="7"/>
      <c r="J957" s="7"/>
      <c r="K957" s="7"/>
      <c r="L957" s="7"/>
      <c r="M957" s="7"/>
      <c r="N957" s="7"/>
      <c r="O957" s="7"/>
      <c r="P957" s="7"/>
      <c r="Q957" s="7"/>
      <c r="R957" s="64"/>
      <c r="S957" s="64"/>
      <c r="T957" s="64"/>
      <c r="U957" s="64"/>
      <c r="V957" s="64"/>
      <c r="W957" s="64"/>
    </row>
    <row r="958" spans="1:23" ht="30" customHeight="1">
      <c r="A958" s="8"/>
      <c r="B958" s="7"/>
      <c r="C958" s="33"/>
      <c r="D958" s="7"/>
      <c r="E958" s="7"/>
      <c r="F958" s="7"/>
      <c r="G958" s="7"/>
      <c r="H958" s="7"/>
      <c r="I958" s="7"/>
      <c r="J958" s="7"/>
      <c r="K958" s="7"/>
      <c r="L958" s="7"/>
      <c r="M958" s="7"/>
      <c r="N958" s="7"/>
      <c r="O958" s="7"/>
      <c r="P958" s="7"/>
      <c r="Q958" s="7"/>
      <c r="R958" s="64"/>
      <c r="S958" s="64"/>
      <c r="T958" s="64"/>
      <c r="U958" s="64"/>
      <c r="V958" s="64"/>
      <c r="W958" s="64"/>
    </row>
    <row r="959" spans="1:23" ht="30" customHeight="1">
      <c r="A959" s="8"/>
      <c r="B959" s="7"/>
      <c r="C959" s="33"/>
      <c r="D959" s="7"/>
      <c r="E959" s="7"/>
      <c r="F959" s="7"/>
      <c r="G959" s="7"/>
      <c r="H959" s="7"/>
      <c r="I959" s="7"/>
      <c r="J959" s="7"/>
      <c r="K959" s="7"/>
      <c r="L959" s="7"/>
      <c r="M959" s="7"/>
      <c r="N959" s="7"/>
      <c r="O959" s="7"/>
      <c r="P959" s="7"/>
      <c r="Q959" s="7"/>
      <c r="R959" s="64"/>
      <c r="S959" s="64"/>
      <c r="T959" s="64"/>
      <c r="U959" s="64"/>
      <c r="V959" s="64"/>
      <c r="W959" s="64"/>
    </row>
    <row r="960" spans="1:23" ht="30" customHeight="1">
      <c r="A960" s="8"/>
      <c r="B960" s="7"/>
      <c r="C960" s="33"/>
      <c r="D960" s="7"/>
      <c r="E960" s="7"/>
      <c r="F960" s="7"/>
      <c r="G960" s="7"/>
      <c r="H960" s="7"/>
      <c r="I960" s="7"/>
      <c r="J960" s="7"/>
      <c r="K960" s="7"/>
      <c r="L960" s="7"/>
      <c r="M960" s="7"/>
      <c r="N960" s="7"/>
      <c r="O960" s="7"/>
      <c r="P960" s="7"/>
      <c r="Q960" s="7"/>
      <c r="R960" s="64"/>
      <c r="S960" s="64"/>
      <c r="T960" s="64"/>
      <c r="U960" s="64"/>
      <c r="V960" s="64"/>
      <c r="W960" s="64"/>
    </row>
    <row r="961" spans="1:23" ht="30" customHeight="1">
      <c r="A961" s="8"/>
      <c r="B961" s="7"/>
      <c r="C961" s="33"/>
      <c r="D961" s="7"/>
      <c r="E961" s="7"/>
      <c r="F961" s="7"/>
      <c r="G961" s="7"/>
      <c r="H961" s="7"/>
      <c r="I961" s="7"/>
      <c r="J961" s="7"/>
      <c r="K961" s="7"/>
      <c r="L961" s="7"/>
      <c r="M961" s="7"/>
      <c r="N961" s="7"/>
      <c r="O961" s="7"/>
      <c r="P961" s="7"/>
      <c r="Q961" s="7"/>
      <c r="R961" s="64"/>
      <c r="S961" s="64"/>
      <c r="T961" s="64"/>
      <c r="U961" s="64"/>
      <c r="V961" s="64"/>
      <c r="W961" s="64"/>
    </row>
    <row r="962" spans="1:23" ht="30" customHeight="1">
      <c r="A962" s="8"/>
      <c r="B962" s="7"/>
      <c r="C962" s="33"/>
      <c r="D962" s="7"/>
      <c r="E962" s="7"/>
      <c r="F962" s="7"/>
      <c r="G962" s="7"/>
      <c r="H962" s="7"/>
      <c r="I962" s="7"/>
      <c r="J962" s="7"/>
      <c r="K962" s="7"/>
      <c r="L962" s="7"/>
      <c r="M962" s="7"/>
      <c r="N962" s="7"/>
      <c r="O962" s="7"/>
      <c r="P962" s="7"/>
      <c r="Q962" s="7"/>
      <c r="R962" s="64"/>
      <c r="S962" s="64"/>
      <c r="T962" s="64"/>
      <c r="U962" s="64"/>
      <c r="V962" s="64"/>
      <c r="W962" s="64"/>
    </row>
    <row r="963" spans="1:23" ht="30" customHeight="1">
      <c r="A963" s="8"/>
      <c r="B963" s="7"/>
      <c r="C963" s="33"/>
      <c r="D963" s="7"/>
      <c r="E963" s="7"/>
      <c r="F963" s="7"/>
      <c r="G963" s="7"/>
      <c r="H963" s="7"/>
      <c r="I963" s="7"/>
      <c r="J963" s="7"/>
      <c r="K963" s="7"/>
      <c r="L963" s="7"/>
      <c r="M963" s="7"/>
      <c r="N963" s="7"/>
      <c r="O963" s="7"/>
      <c r="P963" s="7"/>
      <c r="Q963" s="7"/>
      <c r="R963" s="64"/>
      <c r="S963" s="64"/>
      <c r="T963" s="64"/>
      <c r="U963" s="64"/>
      <c r="V963" s="64"/>
      <c r="W963" s="64"/>
    </row>
    <row r="964" spans="1:23" ht="30" customHeight="1">
      <c r="A964" s="8"/>
      <c r="B964" s="7"/>
      <c r="C964" s="33"/>
      <c r="D964" s="7"/>
      <c r="E964" s="7"/>
      <c r="F964" s="7"/>
      <c r="G964" s="7"/>
      <c r="H964" s="7"/>
      <c r="I964" s="7"/>
      <c r="J964" s="7"/>
      <c r="K964" s="7"/>
      <c r="L964" s="7"/>
      <c r="M964" s="7"/>
      <c r="N964" s="7"/>
      <c r="O964" s="7"/>
      <c r="P964" s="7"/>
      <c r="Q964" s="7"/>
      <c r="R964" s="64"/>
      <c r="S964" s="64"/>
      <c r="T964" s="64"/>
      <c r="U964" s="64"/>
      <c r="V964" s="64"/>
      <c r="W964" s="64"/>
    </row>
    <row r="965" spans="1:23" ht="30" customHeight="1">
      <c r="A965" s="8"/>
      <c r="B965" s="7"/>
      <c r="C965" s="33"/>
      <c r="D965" s="7"/>
      <c r="E965" s="7"/>
      <c r="F965" s="7"/>
      <c r="G965" s="7"/>
      <c r="H965" s="7"/>
      <c r="I965" s="7"/>
      <c r="J965" s="7"/>
      <c r="K965" s="7"/>
      <c r="L965" s="7"/>
      <c r="M965" s="7"/>
      <c r="N965" s="7"/>
      <c r="O965" s="7"/>
      <c r="P965" s="7"/>
      <c r="Q965" s="7"/>
      <c r="R965" s="64"/>
      <c r="S965" s="64"/>
      <c r="T965" s="64"/>
      <c r="U965" s="64"/>
      <c r="V965" s="64"/>
      <c r="W965" s="64"/>
    </row>
    <row r="966" spans="1:23" ht="30" customHeight="1">
      <c r="A966" s="8"/>
      <c r="B966" s="7"/>
      <c r="C966" s="33"/>
      <c r="D966" s="7"/>
      <c r="E966" s="7"/>
      <c r="F966" s="7"/>
      <c r="G966" s="7"/>
      <c r="H966" s="7"/>
      <c r="I966" s="7"/>
      <c r="J966" s="7"/>
      <c r="K966" s="7"/>
      <c r="L966" s="7"/>
      <c r="M966" s="7"/>
      <c r="N966" s="7"/>
      <c r="O966" s="7"/>
      <c r="P966" s="7"/>
      <c r="Q966" s="7"/>
      <c r="R966" s="64"/>
      <c r="S966" s="64"/>
      <c r="T966" s="64"/>
      <c r="U966" s="64"/>
      <c r="V966" s="64"/>
      <c r="W966" s="64"/>
    </row>
    <row r="967" spans="1:23" ht="30" customHeight="1">
      <c r="A967" s="8"/>
      <c r="B967" s="7"/>
      <c r="C967" s="33"/>
      <c r="D967" s="7"/>
      <c r="E967" s="7"/>
      <c r="F967" s="7"/>
      <c r="G967" s="7"/>
      <c r="H967" s="7"/>
      <c r="I967" s="7"/>
      <c r="J967" s="7"/>
      <c r="K967" s="7"/>
      <c r="L967" s="7"/>
      <c r="M967" s="7"/>
      <c r="N967" s="7"/>
      <c r="O967" s="7"/>
      <c r="P967" s="7"/>
      <c r="Q967" s="7"/>
      <c r="R967" s="64"/>
      <c r="S967" s="64"/>
      <c r="T967" s="64"/>
      <c r="U967" s="64"/>
      <c r="V967" s="64"/>
      <c r="W967" s="64"/>
    </row>
    <row r="968" spans="1:23" ht="30" customHeight="1">
      <c r="A968" s="8"/>
      <c r="B968" s="7"/>
      <c r="C968" s="33"/>
      <c r="D968" s="7"/>
      <c r="E968" s="7"/>
      <c r="F968" s="7"/>
      <c r="G968" s="7"/>
      <c r="H968" s="7"/>
      <c r="I968" s="7"/>
      <c r="J968" s="7"/>
      <c r="K968" s="7"/>
      <c r="L968" s="7"/>
      <c r="M968" s="7"/>
      <c r="N968" s="7"/>
      <c r="O968" s="7"/>
      <c r="P968" s="7"/>
      <c r="Q968" s="7"/>
      <c r="R968" s="64"/>
      <c r="S968" s="64"/>
      <c r="T968" s="64"/>
      <c r="U968" s="64"/>
      <c r="V968" s="64"/>
      <c r="W968" s="64"/>
    </row>
    <row r="969" spans="1:23" ht="30" customHeight="1">
      <c r="A969" s="8"/>
      <c r="B969" s="7"/>
      <c r="C969" s="33"/>
      <c r="D969" s="7"/>
      <c r="E969" s="7"/>
      <c r="F969" s="7"/>
      <c r="G969" s="7"/>
      <c r="H969" s="7"/>
      <c r="I969" s="7"/>
      <c r="J969" s="7"/>
      <c r="K969" s="7"/>
      <c r="L969" s="7"/>
      <c r="M969" s="7"/>
      <c r="N969" s="7"/>
      <c r="O969" s="7"/>
      <c r="P969" s="7"/>
      <c r="Q969" s="7"/>
      <c r="R969" s="64"/>
      <c r="S969" s="64"/>
      <c r="T969" s="64"/>
      <c r="U969" s="64"/>
      <c r="V969" s="64"/>
      <c r="W969" s="64"/>
    </row>
    <row r="970" spans="1:23" ht="30" customHeight="1">
      <c r="A970" s="8"/>
      <c r="B970" s="7"/>
      <c r="C970" s="33"/>
      <c r="D970" s="7"/>
      <c r="E970" s="7"/>
      <c r="F970" s="7"/>
      <c r="G970" s="7"/>
      <c r="H970" s="7"/>
      <c r="I970" s="7"/>
      <c r="J970" s="7"/>
      <c r="K970" s="7"/>
      <c r="L970" s="7"/>
      <c r="M970" s="7"/>
      <c r="N970" s="7"/>
      <c r="O970" s="7"/>
      <c r="P970" s="7"/>
      <c r="Q970" s="7"/>
      <c r="R970" s="64"/>
      <c r="S970" s="64"/>
      <c r="T970" s="64"/>
      <c r="U970" s="64"/>
      <c r="V970" s="64"/>
      <c r="W970" s="64"/>
    </row>
    <row r="971" spans="1:23" ht="30" customHeight="1">
      <c r="A971" s="8"/>
      <c r="B971" s="7"/>
      <c r="C971" s="33"/>
      <c r="D971" s="7"/>
      <c r="E971" s="7"/>
      <c r="F971" s="7"/>
      <c r="G971" s="7"/>
      <c r="H971" s="7"/>
      <c r="I971" s="7"/>
      <c r="J971" s="7"/>
      <c r="K971" s="7"/>
      <c r="L971" s="7"/>
      <c r="M971" s="7"/>
      <c r="N971" s="7"/>
      <c r="O971" s="7"/>
      <c r="P971" s="7"/>
      <c r="Q971" s="7"/>
      <c r="R971" s="64"/>
      <c r="S971" s="64"/>
      <c r="T971" s="64"/>
      <c r="U971" s="64"/>
      <c r="V971" s="64"/>
      <c r="W971" s="64"/>
    </row>
    <row r="972" spans="1:23" ht="30" customHeight="1">
      <c r="A972" s="8"/>
      <c r="B972" s="7"/>
      <c r="C972" s="33"/>
      <c r="D972" s="7"/>
      <c r="E972" s="7"/>
      <c r="F972" s="7"/>
      <c r="G972" s="7"/>
      <c r="H972" s="7"/>
      <c r="I972" s="7"/>
      <c r="J972" s="7"/>
      <c r="K972" s="7"/>
      <c r="L972" s="7"/>
      <c r="M972" s="7"/>
      <c r="N972" s="7"/>
      <c r="O972" s="7"/>
      <c r="P972" s="7"/>
      <c r="Q972" s="7"/>
      <c r="R972" s="64"/>
      <c r="S972" s="64"/>
      <c r="T972" s="64"/>
      <c r="U972" s="64"/>
      <c r="V972" s="64"/>
      <c r="W972" s="64"/>
    </row>
    <row r="973" spans="1:23" ht="30" customHeight="1">
      <c r="A973" s="8"/>
      <c r="B973" s="7"/>
      <c r="C973" s="33"/>
      <c r="D973" s="7"/>
      <c r="E973" s="7"/>
      <c r="F973" s="7"/>
      <c r="G973" s="7"/>
      <c r="H973" s="7"/>
      <c r="I973" s="7"/>
      <c r="J973" s="7"/>
      <c r="K973" s="7"/>
      <c r="L973" s="7"/>
      <c r="M973" s="7"/>
      <c r="N973" s="7"/>
      <c r="O973" s="7"/>
      <c r="P973" s="7"/>
      <c r="Q973" s="7"/>
      <c r="R973" s="64"/>
      <c r="S973" s="64"/>
      <c r="T973" s="64"/>
      <c r="U973" s="64"/>
      <c r="V973" s="64"/>
      <c r="W973" s="64"/>
    </row>
    <row r="974" spans="1:23" ht="30" customHeight="1">
      <c r="A974" s="8"/>
      <c r="B974" s="7"/>
      <c r="C974" s="33"/>
      <c r="D974" s="7"/>
      <c r="E974" s="7"/>
      <c r="F974" s="7"/>
      <c r="G974" s="7"/>
      <c r="H974" s="7"/>
      <c r="I974" s="7"/>
      <c r="J974" s="7"/>
      <c r="K974" s="7"/>
      <c r="L974" s="7"/>
      <c r="M974" s="7"/>
      <c r="N974" s="7"/>
      <c r="O974" s="7"/>
      <c r="P974" s="7"/>
      <c r="Q974" s="7"/>
      <c r="R974" s="64"/>
      <c r="S974" s="64"/>
      <c r="T974" s="64"/>
      <c r="U974" s="64"/>
      <c r="V974" s="64"/>
      <c r="W974" s="64"/>
    </row>
    <row r="975" spans="1:23" ht="30" customHeight="1">
      <c r="A975" s="8"/>
      <c r="B975" s="7"/>
      <c r="C975" s="33"/>
      <c r="D975" s="7"/>
      <c r="E975" s="7"/>
      <c r="F975" s="7"/>
      <c r="G975" s="7"/>
      <c r="H975" s="7"/>
      <c r="I975" s="7"/>
      <c r="J975" s="7"/>
      <c r="K975" s="7"/>
      <c r="L975" s="7"/>
      <c r="M975" s="7"/>
      <c r="N975" s="7"/>
      <c r="O975" s="7"/>
      <c r="P975" s="7"/>
      <c r="Q975" s="7"/>
      <c r="R975" s="64"/>
      <c r="S975" s="64"/>
      <c r="T975" s="64"/>
      <c r="U975" s="64"/>
      <c r="V975" s="64"/>
      <c r="W975" s="64"/>
    </row>
    <row r="976" spans="1:23" ht="30" customHeight="1">
      <c r="A976" s="8"/>
      <c r="B976" s="7"/>
      <c r="C976" s="33"/>
      <c r="D976" s="7"/>
      <c r="E976" s="7"/>
      <c r="F976" s="7"/>
      <c r="G976" s="7"/>
      <c r="H976" s="7"/>
      <c r="I976" s="7"/>
      <c r="J976" s="7"/>
      <c r="K976" s="7"/>
      <c r="L976" s="7"/>
      <c r="M976" s="7"/>
      <c r="N976" s="7"/>
      <c r="O976" s="7"/>
      <c r="P976" s="7"/>
      <c r="Q976" s="7"/>
      <c r="R976" s="64"/>
      <c r="S976" s="64"/>
      <c r="T976" s="64"/>
      <c r="U976" s="64"/>
      <c r="V976" s="64"/>
      <c r="W976" s="64"/>
    </row>
    <row r="977" spans="1:23" ht="30" customHeight="1">
      <c r="A977" s="8"/>
      <c r="B977" s="7"/>
      <c r="C977" s="33"/>
      <c r="D977" s="7"/>
      <c r="E977" s="7"/>
      <c r="F977" s="7"/>
      <c r="G977" s="7"/>
      <c r="H977" s="7"/>
      <c r="I977" s="7"/>
      <c r="J977" s="7"/>
      <c r="K977" s="7"/>
      <c r="L977" s="7"/>
      <c r="M977" s="7"/>
      <c r="N977" s="7"/>
      <c r="O977" s="7"/>
      <c r="P977" s="7"/>
      <c r="Q977" s="7"/>
      <c r="R977" s="64"/>
      <c r="S977" s="64"/>
      <c r="T977" s="64"/>
      <c r="U977" s="64"/>
      <c r="V977" s="64"/>
      <c r="W977" s="64"/>
    </row>
    <row r="978" spans="1:23" ht="30" customHeight="1">
      <c r="A978" s="8"/>
      <c r="B978" s="7"/>
      <c r="C978" s="33"/>
      <c r="D978" s="7"/>
      <c r="E978" s="7"/>
      <c r="F978" s="7"/>
      <c r="G978" s="7"/>
      <c r="H978" s="7"/>
      <c r="I978" s="7"/>
      <c r="J978" s="7"/>
      <c r="K978" s="7"/>
      <c r="L978" s="7"/>
      <c r="M978" s="7"/>
      <c r="N978" s="7"/>
      <c r="O978" s="7"/>
      <c r="P978" s="7"/>
      <c r="Q978" s="7"/>
      <c r="R978" s="64"/>
      <c r="S978" s="64"/>
      <c r="T978" s="64"/>
      <c r="U978" s="64"/>
      <c r="V978" s="64"/>
      <c r="W978" s="64"/>
    </row>
    <row r="979" spans="1:23" ht="30" customHeight="1">
      <c r="A979" s="8"/>
      <c r="B979" s="7"/>
      <c r="C979" s="33"/>
      <c r="D979" s="7"/>
      <c r="E979" s="7"/>
      <c r="F979" s="7"/>
      <c r="G979" s="7"/>
      <c r="H979" s="7"/>
      <c r="I979" s="7"/>
      <c r="J979" s="7"/>
      <c r="K979" s="7"/>
      <c r="L979" s="7"/>
      <c r="M979" s="7"/>
      <c r="N979" s="7"/>
      <c r="O979" s="7"/>
      <c r="P979" s="7"/>
      <c r="Q979" s="7"/>
      <c r="R979" s="64"/>
      <c r="S979" s="64"/>
      <c r="T979" s="64"/>
      <c r="U979" s="64"/>
      <c r="V979" s="64"/>
      <c r="W979" s="64"/>
    </row>
    <row r="980" spans="1:23" ht="30" customHeight="1">
      <c r="A980" s="8"/>
      <c r="B980" s="7"/>
      <c r="C980" s="33"/>
      <c r="D980" s="7"/>
      <c r="E980" s="7"/>
      <c r="F980" s="7"/>
      <c r="G980" s="7"/>
      <c r="H980" s="7"/>
      <c r="I980" s="7"/>
      <c r="J980" s="7"/>
      <c r="K980" s="7"/>
      <c r="L980" s="7"/>
      <c r="M980" s="7"/>
      <c r="N980" s="7"/>
      <c r="O980" s="7"/>
      <c r="P980" s="7"/>
      <c r="Q980" s="7"/>
      <c r="R980" s="64"/>
      <c r="S980" s="64"/>
      <c r="T980" s="64"/>
      <c r="U980" s="64"/>
      <c r="V980" s="64"/>
      <c r="W980" s="64"/>
    </row>
    <row r="981" spans="1:23" ht="30" customHeight="1">
      <c r="A981" s="8"/>
      <c r="B981" s="7"/>
      <c r="C981" s="33"/>
      <c r="D981" s="7"/>
      <c r="E981" s="7"/>
      <c r="F981" s="7"/>
      <c r="G981" s="7"/>
      <c r="H981" s="7"/>
      <c r="I981" s="7"/>
      <c r="J981" s="7"/>
      <c r="K981" s="7"/>
      <c r="L981" s="7"/>
      <c r="M981" s="7"/>
      <c r="N981" s="7"/>
      <c r="O981" s="7"/>
      <c r="P981" s="7"/>
      <c r="Q981" s="7"/>
      <c r="R981" s="64"/>
      <c r="S981" s="64"/>
      <c r="T981" s="64"/>
      <c r="U981" s="64"/>
      <c r="V981" s="64"/>
      <c r="W981" s="64"/>
    </row>
    <row r="982" spans="1:23" ht="30" customHeight="1">
      <c r="A982" s="8"/>
      <c r="B982" s="7"/>
      <c r="C982" s="33"/>
      <c r="D982" s="7"/>
      <c r="E982" s="7"/>
      <c r="F982" s="7"/>
      <c r="G982" s="7"/>
      <c r="H982" s="7"/>
      <c r="I982" s="7"/>
      <c r="J982" s="7"/>
      <c r="K982" s="7"/>
      <c r="L982" s="7"/>
      <c r="M982" s="7"/>
      <c r="N982" s="7"/>
      <c r="O982" s="7"/>
      <c r="P982" s="7"/>
      <c r="Q982" s="7"/>
      <c r="R982" s="64"/>
      <c r="S982" s="64"/>
      <c r="T982" s="64"/>
      <c r="U982" s="64"/>
      <c r="V982" s="64"/>
      <c r="W982" s="64"/>
    </row>
    <row r="983" spans="1:23" ht="30" customHeight="1">
      <c r="A983" s="8"/>
      <c r="B983" s="7"/>
      <c r="C983" s="33"/>
      <c r="D983" s="7"/>
      <c r="E983" s="7"/>
      <c r="F983" s="7"/>
      <c r="G983" s="7"/>
      <c r="H983" s="7"/>
      <c r="I983" s="7"/>
      <c r="J983" s="7"/>
      <c r="K983" s="7"/>
      <c r="L983" s="7"/>
      <c r="M983" s="7"/>
      <c r="N983" s="7"/>
      <c r="O983" s="7"/>
      <c r="P983" s="7"/>
      <c r="Q983" s="7"/>
      <c r="R983" s="64"/>
      <c r="S983" s="64"/>
      <c r="T983" s="64"/>
      <c r="U983" s="64"/>
      <c r="V983" s="64"/>
      <c r="W983" s="64"/>
    </row>
    <row r="984" spans="1:23" ht="30" customHeight="1">
      <c r="A984" s="8"/>
      <c r="B984" s="7"/>
      <c r="C984" s="33"/>
      <c r="D984" s="7"/>
      <c r="E984" s="7"/>
      <c r="F984" s="7"/>
      <c r="G984" s="7"/>
      <c r="H984" s="7"/>
      <c r="I984" s="7"/>
      <c r="J984" s="7"/>
      <c r="K984" s="7"/>
      <c r="L984" s="7"/>
      <c r="M984" s="7"/>
      <c r="N984" s="7"/>
      <c r="O984" s="7"/>
      <c r="P984" s="7"/>
      <c r="Q984" s="7"/>
      <c r="R984" s="64"/>
      <c r="S984" s="64"/>
      <c r="T984" s="64"/>
      <c r="U984" s="64"/>
      <c r="V984" s="64"/>
      <c r="W984" s="64"/>
    </row>
    <row r="985" spans="1:23" ht="30" customHeight="1">
      <c r="A985" s="8"/>
      <c r="B985" s="7"/>
      <c r="C985" s="33"/>
      <c r="D985" s="7"/>
      <c r="E985" s="7"/>
      <c r="F985" s="7"/>
      <c r="G985" s="7"/>
      <c r="H985" s="7"/>
      <c r="I985" s="7"/>
      <c r="J985" s="7"/>
      <c r="K985" s="7"/>
      <c r="L985" s="7"/>
      <c r="M985" s="7"/>
      <c r="N985" s="7"/>
      <c r="O985" s="7"/>
      <c r="P985" s="7"/>
      <c r="Q985" s="7"/>
      <c r="R985" s="64"/>
      <c r="S985" s="64"/>
      <c r="T985" s="64"/>
      <c r="U985" s="64"/>
      <c r="V985" s="64"/>
      <c r="W985" s="64"/>
    </row>
    <row r="986" spans="1:23" ht="30" customHeight="1">
      <c r="A986" s="8"/>
      <c r="B986" s="7"/>
      <c r="C986" s="33"/>
      <c r="D986" s="7"/>
      <c r="E986" s="7"/>
      <c r="F986" s="7"/>
      <c r="G986" s="7"/>
      <c r="H986" s="7"/>
      <c r="I986" s="7"/>
      <c r="J986" s="7"/>
      <c r="K986" s="7"/>
      <c r="L986" s="7"/>
      <c r="M986" s="7"/>
      <c r="N986" s="7"/>
      <c r="O986" s="7"/>
      <c r="P986" s="7"/>
      <c r="Q986" s="7"/>
      <c r="R986" s="64"/>
      <c r="S986" s="64"/>
      <c r="T986" s="64"/>
      <c r="U986" s="64"/>
      <c r="V986" s="64"/>
      <c r="W986" s="64"/>
    </row>
    <row r="987" spans="1:23" ht="30" customHeight="1">
      <c r="A987" s="8"/>
      <c r="B987" s="7"/>
      <c r="C987" s="33"/>
      <c r="D987" s="7"/>
      <c r="E987" s="7"/>
      <c r="F987" s="7"/>
      <c r="G987" s="7"/>
      <c r="H987" s="7"/>
      <c r="I987" s="7"/>
      <c r="J987" s="7"/>
      <c r="K987" s="7"/>
      <c r="L987" s="7"/>
      <c r="M987" s="7"/>
      <c r="N987" s="7"/>
      <c r="O987" s="7"/>
      <c r="P987" s="7"/>
      <c r="Q987" s="7"/>
      <c r="R987" s="64"/>
      <c r="S987" s="64"/>
      <c r="T987" s="64"/>
      <c r="U987" s="64"/>
      <c r="V987" s="64"/>
      <c r="W987" s="64"/>
    </row>
    <row r="988" spans="1:23" ht="30" customHeight="1">
      <c r="A988" s="8"/>
      <c r="B988" s="7"/>
      <c r="C988" s="33"/>
      <c r="D988" s="7"/>
      <c r="E988" s="7"/>
      <c r="F988" s="7"/>
      <c r="G988" s="7"/>
      <c r="H988" s="7"/>
      <c r="I988" s="7"/>
      <c r="J988" s="7"/>
      <c r="K988" s="7"/>
      <c r="L988" s="7"/>
      <c r="M988" s="7"/>
      <c r="N988" s="7"/>
      <c r="O988" s="7"/>
      <c r="P988" s="7"/>
      <c r="Q988" s="7"/>
      <c r="R988" s="64"/>
      <c r="S988" s="64"/>
      <c r="T988" s="64"/>
      <c r="U988" s="64"/>
      <c r="V988" s="64"/>
      <c r="W988" s="64"/>
    </row>
    <row r="989" spans="1:23" ht="30" customHeight="1">
      <c r="A989" s="8"/>
      <c r="B989" s="7"/>
      <c r="C989" s="33"/>
      <c r="D989" s="7"/>
      <c r="E989" s="7"/>
      <c r="F989" s="7"/>
      <c r="G989" s="7"/>
      <c r="H989" s="7"/>
      <c r="I989" s="7"/>
      <c r="J989" s="7"/>
      <c r="K989" s="7"/>
      <c r="L989" s="7"/>
      <c r="M989" s="7"/>
      <c r="N989" s="7"/>
      <c r="O989" s="7"/>
      <c r="P989" s="7"/>
      <c r="Q989" s="7"/>
      <c r="R989" s="64"/>
      <c r="S989" s="64"/>
      <c r="T989" s="64"/>
      <c r="U989" s="64"/>
      <c r="V989" s="64"/>
      <c r="W989" s="64"/>
    </row>
    <row r="990" spans="1:23" ht="30" customHeight="1">
      <c r="A990" s="8"/>
      <c r="B990" s="7"/>
      <c r="C990" s="33"/>
      <c r="D990" s="7"/>
      <c r="E990" s="7"/>
      <c r="F990" s="7"/>
      <c r="G990" s="7"/>
      <c r="H990" s="7"/>
      <c r="I990" s="7"/>
      <c r="J990" s="7"/>
      <c r="K990" s="7"/>
      <c r="L990" s="7"/>
      <c r="M990" s="7"/>
      <c r="N990" s="7"/>
      <c r="O990" s="7"/>
      <c r="P990" s="7"/>
      <c r="Q990" s="7"/>
      <c r="R990" s="64"/>
      <c r="S990" s="64"/>
      <c r="T990" s="64"/>
      <c r="U990" s="64"/>
      <c r="V990" s="64"/>
      <c r="W990" s="64"/>
    </row>
    <row r="991" spans="1:23" ht="30" customHeight="1">
      <c r="A991" s="8"/>
      <c r="B991" s="7"/>
      <c r="C991" s="33"/>
      <c r="D991" s="7"/>
      <c r="E991" s="7"/>
      <c r="F991" s="7"/>
      <c r="G991" s="7"/>
      <c r="H991" s="7"/>
      <c r="I991" s="7"/>
      <c r="J991" s="7"/>
      <c r="K991" s="7"/>
      <c r="L991" s="7"/>
      <c r="M991" s="7"/>
      <c r="N991" s="7"/>
      <c r="O991" s="7"/>
      <c r="P991" s="7"/>
      <c r="Q991" s="7"/>
      <c r="R991" s="64"/>
      <c r="S991" s="64"/>
      <c r="T991" s="64"/>
      <c r="U991" s="64"/>
      <c r="V991" s="64"/>
      <c r="W991" s="64"/>
    </row>
    <row r="992" spans="1:23" ht="30" customHeight="1">
      <c r="A992" s="8"/>
      <c r="B992" s="7"/>
      <c r="C992" s="33"/>
      <c r="D992" s="7"/>
      <c r="E992" s="7"/>
      <c r="F992" s="7"/>
      <c r="G992" s="7"/>
      <c r="H992" s="7"/>
      <c r="I992" s="7"/>
      <c r="J992" s="7"/>
      <c r="K992" s="7"/>
      <c r="L992" s="7"/>
      <c r="M992" s="7"/>
      <c r="N992" s="7"/>
      <c r="O992" s="7"/>
      <c r="P992" s="7"/>
      <c r="Q992" s="7"/>
      <c r="R992" s="64"/>
      <c r="S992" s="64"/>
      <c r="T992" s="64"/>
      <c r="U992" s="64"/>
      <c r="V992" s="64"/>
      <c r="W992" s="64"/>
    </row>
    <row r="993" spans="1:23" ht="30" customHeight="1">
      <c r="A993" s="8"/>
      <c r="B993" s="7"/>
      <c r="C993" s="33"/>
      <c r="D993" s="7"/>
      <c r="E993" s="7"/>
      <c r="F993" s="7"/>
      <c r="G993" s="7"/>
      <c r="H993" s="7"/>
      <c r="I993" s="7"/>
      <c r="J993" s="7"/>
      <c r="K993" s="7"/>
      <c r="L993" s="7"/>
      <c r="M993" s="7"/>
      <c r="N993" s="7"/>
      <c r="O993" s="7"/>
      <c r="P993" s="7"/>
      <c r="Q993" s="7"/>
      <c r="R993" s="64"/>
      <c r="S993" s="64"/>
      <c r="T993" s="64"/>
      <c r="U993" s="64"/>
      <c r="V993" s="64"/>
      <c r="W993" s="64"/>
    </row>
    <row r="994" spans="1:23" ht="30" customHeight="1">
      <c r="A994" s="8"/>
      <c r="B994" s="7"/>
      <c r="C994" s="33"/>
      <c r="D994" s="7"/>
      <c r="E994" s="7"/>
      <c r="F994" s="7"/>
      <c r="G994" s="7"/>
      <c r="H994" s="7"/>
      <c r="I994" s="7"/>
      <c r="J994" s="7"/>
      <c r="K994" s="7"/>
      <c r="L994" s="7"/>
      <c r="M994" s="7"/>
      <c r="N994" s="7"/>
      <c r="O994" s="7"/>
      <c r="P994" s="7"/>
      <c r="Q994" s="7"/>
      <c r="R994" s="64"/>
      <c r="S994" s="64"/>
      <c r="T994" s="64"/>
      <c r="U994" s="64"/>
      <c r="V994" s="64"/>
      <c r="W994" s="64"/>
    </row>
    <row r="995" spans="1:23" ht="30" customHeight="1">
      <c r="A995" s="8"/>
      <c r="B995" s="7"/>
      <c r="C995" s="33"/>
      <c r="D995" s="7"/>
      <c r="E995" s="7"/>
      <c r="F995" s="7"/>
      <c r="G995" s="7"/>
      <c r="H995" s="7"/>
      <c r="I995" s="7"/>
      <c r="J995" s="7"/>
      <c r="K995" s="7"/>
      <c r="L995" s="7"/>
      <c r="M995" s="7"/>
      <c r="N995" s="7"/>
      <c r="O995" s="7"/>
      <c r="P995" s="7"/>
      <c r="Q995" s="7"/>
      <c r="R995" s="64"/>
      <c r="S995" s="64"/>
      <c r="T995" s="64"/>
      <c r="U995" s="64"/>
      <c r="V995" s="64"/>
      <c r="W995" s="64"/>
    </row>
    <row r="996" spans="1:23" ht="30" customHeight="1">
      <c r="A996" s="8"/>
      <c r="B996" s="7"/>
      <c r="C996" s="33"/>
      <c r="D996" s="7"/>
      <c r="E996" s="7"/>
      <c r="F996" s="7"/>
      <c r="G996" s="7"/>
      <c r="H996" s="7"/>
      <c r="I996" s="7"/>
      <c r="J996" s="7"/>
      <c r="K996" s="7"/>
      <c r="L996" s="7"/>
      <c r="M996" s="7"/>
      <c r="N996" s="7"/>
      <c r="O996" s="7"/>
      <c r="P996" s="7"/>
      <c r="Q996" s="7"/>
      <c r="R996" s="64"/>
      <c r="S996" s="64"/>
      <c r="T996" s="64"/>
      <c r="U996" s="64"/>
      <c r="V996" s="64"/>
      <c r="W996" s="64"/>
    </row>
    <row r="997" spans="1:23" ht="30" customHeight="1">
      <c r="A997" s="8"/>
      <c r="B997" s="7"/>
      <c r="C997" s="33"/>
      <c r="D997" s="7"/>
      <c r="E997" s="7"/>
      <c r="F997" s="7"/>
      <c r="G997" s="7"/>
      <c r="H997" s="7"/>
      <c r="I997" s="7"/>
      <c r="J997" s="7"/>
      <c r="K997" s="7"/>
      <c r="L997" s="7"/>
      <c r="M997" s="7"/>
      <c r="N997" s="7"/>
      <c r="O997" s="7"/>
      <c r="P997" s="7"/>
      <c r="Q997" s="7"/>
      <c r="R997" s="64"/>
      <c r="S997" s="64"/>
      <c r="T997" s="64"/>
      <c r="U997" s="64"/>
      <c r="V997" s="64"/>
      <c r="W997" s="64"/>
    </row>
    <row r="998" spans="1:23" ht="30" customHeight="1">
      <c r="A998" s="8"/>
      <c r="B998" s="7"/>
      <c r="C998" s="33"/>
      <c r="D998" s="7"/>
      <c r="E998" s="7"/>
      <c r="F998" s="7"/>
      <c r="G998" s="7"/>
      <c r="H998" s="7"/>
      <c r="I998" s="7"/>
      <c r="J998" s="7"/>
      <c r="K998" s="7"/>
      <c r="L998" s="7"/>
      <c r="M998" s="7"/>
      <c r="N998" s="7"/>
      <c r="O998" s="7"/>
      <c r="P998" s="7"/>
      <c r="Q998" s="7"/>
      <c r="R998" s="64"/>
      <c r="S998" s="64"/>
      <c r="T998" s="64"/>
      <c r="U998" s="64"/>
      <c r="V998" s="64"/>
      <c r="W998" s="64"/>
    </row>
    <row r="999" spans="1:23" ht="30" customHeight="1">
      <c r="A999" s="8"/>
      <c r="B999" s="7"/>
      <c r="C999" s="33"/>
      <c r="D999" s="7"/>
      <c r="E999" s="7"/>
      <c r="F999" s="7"/>
      <c r="G999" s="7"/>
      <c r="H999" s="7"/>
      <c r="I999" s="7"/>
      <c r="J999" s="7"/>
      <c r="K999" s="7"/>
      <c r="L999" s="7"/>
      <c r="M999" s="7"/>
      <c r="N999" s="7"/>
      <c r="O999" s="7"/>
      <c r="P999" s="7"/>
      <c r="Q999" s="7"/>
      <c r="R999" s="64"/>
      <c r="S999" s="64"/>
      <c r="T999" s="64"/>
      <c r="U999" s="64"/>
      <c r="V999" s="64"/>
      <c r="W999" s="64"/>
    </row>
    <row r="1000" spans="1:23" ht="30" customHeight="1">
      <c r="A1000" s="8"/>
      <c r="B1000" s="7"/>
      <c r="C1000" s="33"/>
      <c r="D1000" s="7"/>
      <c r="E1000" s="7"/>
      <c r="F1000" s="7"/>
      <c r="G1000" s="7"/>
      <c r="H1000" s="7"/>
      <c r="I1000" s="7"/>
      <c r="J1000" s="7"/>
      <c r="K1000" s="7"/>
      <c r="L1000" s="7"/>
      <c r="M1000" s="7"/>
      <c r="N1000" s="7"/>
      <c r="O1000" s="7"/>
      <c r="P1000" s="7"/>
      <c r="Q1000" s="7"/>
      <c r="R1000" s="64"/>
      <c r="S1000" s="64"/>
      <c r="T1000" s="64"/>
      <c r="U1000" s="64"/>
      <c r="V1000" s="64"/>
      <c r="W1000" s="64"/>
    </row>
    <row r="1001" spans="1:23" ht="30" customHeight="1">
      <c r="A1001" s="8"/>
      <c r="B1001" s="7"/>
      <c r="C1001" s="33"/>
      <c r="D1001" s="7"/>
      <c r="E1001" s="7"/>
      <c r="F1001" s="7"/>
      <c r="G1001" s="7"/>
      <c r="H1001" s="7"/>
      <c r="I1001" s="7"/>
      <c r="J1001" s="7"/>
      <c r="K1001" s="7"/>
      <c r="L1001" s="7"/>
      <c r="M1001" s="7"/>
      <c r="N1001" s="7"/>
      <c r="O1001" s="7"/>
      <c r="P1001" s="7"/>
      <c r="Q1001" s="7"/>
      <c r="R1001" s="64"/>
      <c r="S1001" s="64"/>
      <c r="T1001" s="64"/>
      <c r="U1001" s="64"/>
      <c r="V1001" s="64"/>
      <c r="W1001" s="64"/>
    </row>
    <row r="1002" spans="1:23" ht="30" customHeight="1">
      <c r="A1002" s="8"/>
      <c r="B1002" s="7"/>
      <c r="C1002" s="33"/>
      <c r="D1002" s="7"/>
      <c r="E1002" s="7"/>
      <c r="F1002" s="7"/>
      <c r="G1002" s="7"/>
      <c r="H1002" s="7"/>
      <c r="I1002" s="7"/>
      <c r="J1002" s="7"/>
      <c r="K1002" s="7"/>
      <c r="L1002" s="7"/>
      <c r="M1002" s="7"/>
      <c r="N1002" s="7"/>
      <c r="O1002" s="7"/>
      <c r="P1002" s="7"/>
      <c r="Q1002" s="7"/>
      <c r="R1002" s="64"/>
      <c r="S1002" s="64"/>
      <c r="T1002" s="64"/>
      <c r="U1002" s="64"/>
      <c r="V1002" s="64"/>
      <c r="W1002" s="64"/>
    </row>
    <row r="1003" spans="1:23" ht="30" customHeight="1">
      <c r="A1003" s="8"/>
      <c r="B1003" s="7"/>
      <c r="C1003" s="33"/>
      <c r="D1003" s="7"/>
      <c r="E1003" s="7"/>
      <c r="F1003" s="7"/>
      <c r="G1003" s="7"/>
      <c r="H1003" s="7"/>
      <c r="I1003" s="7"/>
      <c r="J1003" s="7"/>
      <c r="K1003" s="7"/>
      <c r="L1003" s="7"/>
      <c r="M1003" s="7"/>
      <c r="N1003" s="7"/>
      <c r="O1003" s="7"/>
      <c r="P1003" s="7"/>
      <c r="Q1003" s="7"/>
      <c r="R1003" s="64"/>
      <c r="S1003" s="64"/>
      <c r="T1003" s="64"/>
      <c r="U1003" s="64"/>
      <c r="V1003" s="64"/>
      <c r="W1003" s="64"/>
    </row>
    <row r="1004" spans="1:23" ht="30" customHeight="1">
      <c r="A1004" s="8"/>
      <c r="B1004" s="7"/>
      <c r="C1004" s="33"/>
      <c r="D1004" s="7"/>
      <c r="E1004" s="7"/>
      <c r="F1004" s="7"/>
      <c r="G1004" s="7"/>
      <c r="H1004" s="7"/>
      <c r="I1004" s="7"/>
      <c r="J1004" s="7"/>
      <c r="K1004" s="7"/>
      <c r="L1004" s="7"/>
      <c r="M1004" s="7"/>
      <c r="N1004" s="7"/>
      <c r="O1004" s="7"/>
      <c r="P1004" s="7"/>
      <c r="Q1004" s="7"/>
      <c r="R1004" s="64"/>
      <c r="S1004" s="64"/>
      <c r="T1004" s="64"/>
      <c r="U1004" s="64"/>
      <c r="V1004" s="64"/>
      <c r="W1004" s="64"/>
    </row>
    <row r="1005" spans="1:23" ht="30" customHeight="1">
      <c r="A1005" s="8"/>
      <c r="B1005" s="7"/>
      <c r="C1005" s="33"/>
      <c r="D1005" s="7"/>
      <c r="E1005" s="7"/>
      <c r="F1005" s="7"/>
      <c r="G1005" s="7"/>
      <c r="H1005" s="7"/>
      <c r="I1005" s="7"/>
      <c r="J1005" s="7"/>
      <c r="K1005" s="7"/>
      <c r="L1005" s="7"/>
      <c r="M1005" s="7"/>
      <c r="N1005" s="7"/>
      <c r="O1005" s="7"/>
      <c r="P1005" s="7"/>
      <c r="Q1005" s="7"/>
      <c r="R1005" s="64"/>
      <c r="S1005" s="64"/>
      <c r="T1005" s="64"/>
      <c r="U1005" s="64"/>
      <c r="V1005" s="64"/>
      <c r="W1005" s="64"/>
    </row>
    <row r="1006" spans="1:23" ht="30" customHeight="1">
      <c r="A1006" s="8"/>
      <c r="B1006" s="7"/>
      <c r="C1006" s="33"/>
      <c r="D1006" s="7"/>
      <c r="E1006" s="7"/>
      <c r="F1006" s="7"/>
      <c r="G1006" s="7"/>
      <c r="H1006" s="7"/>
      <c r="I1006" s="7"/>
      <c r="J1006" s="7"/>
      <c r="K1006" s="7"/>
      <c r="L1006" s="7"/>
      <c r="M1006" s="7"/>
      <c r="N1006" s="7"/>
      <c r="O1006" s="7"/>
      <c r="P1006" s="7"/>
      <c r="Q1006" s="7"/>
      <c r="R1006" s="64"/>
      <c r="S1006" s="64"/>
      <c r="T1006" s="64"/>
      <c r="U1006" s="64"/>
      <c r="V1006" s="64"/>
      <c r="W1006" s="64"/>
    </row>
    <row r="1007" spans="1:23" ht="30" customHeight="1">
      <c r="A1007" s="8"/>
      <c r="B1007" s="7"/>
      <c r="C1007" s="33"/>
      <c r="D1007" s="7"/>
      <c r="E1007" s="7"/>
      <c r="F1007" s="7"/>
      <c r="G1007" s="7"/>
      <c r="H1007" s="7"/>
      <c r="I1007" s="7"/>
      <c r="J1007" s="7"/>
      <c r="K1007" s="7"/>
      <c r="L1007" s="7"/>
      <c r="M1007" s="7"/>
      <c r="N1007" s="7"/>
      <c r="O1007" s="7"/>
      <c r="P1007" s="7"/>
      <c r="Q1007" s="7"/>
      <c r="R1007" s="64"/>
      <c r="S1007" s="64"/>
      <c r="T1007" s="64"/>
      <c r="U1007" s="64"/>
      <c r="V1007" s="64"/>
      <c r="W1007" s="64"/>
    </row>
    <row r="1008" spans="1:23" ht="30" customHeight="1">
      <c r="A1008" s="8"/>
      <c r="B1008" s="7"/>
      <c r="C1008" s="33"/>
      <c r="D1008" s="7"/>
      <c r="E1008" s="7"/>
      <c r="F1008" s="7"/>
      <c r="G1008" s="7"/>
      <c r="H1008" s="7"/>
      <c r="I1008" s="7"/>
      <c r="J1008" s="7"/>
      <c r="K1008" s="7"/>
      <c r="L1008" s="7"/>
      <c r="M1008" s="7"/>
      <c r="N1008" s="7"/>
      <c r="O1008" s="7"/>
      <c r="P1008" s="7"/>
      <c r="Q1008" s="7"/>
      <c r="R1008" s="64"/>
      <c r="S1008" s="64"/>
      <c r="T1008" s="64"/>
      <c r="U1008" s="64"/>
      <c r="V1008" s="64"/>
      <c r="W1008" s="64"/>
    </row>
    <row r="1009" spans="1:23" ht="30" customHeight="1">
      <c r="A1009" s="8"/>
      <c r="B1009" s="7"/>
      <c r="C1009" s="33"/>
      <c r="D1009" s="7"/>
      <c r="E1009" s="7"/>
      <c r="F1009" s="7"/>
      <c r="G1009" s="7"/>
      <c r="H1009" s="7"/>
      <c r="I1009" s="7"/>
      <c r="J1009" s="7"/>
      <c r="K1009" s="7"/>
      <c r="L1009" s="7"/>
      <c r="M1009" s="7"/>
      <c r="N1009" s="7"/>
      <c r="O1009" s="7"/>
      <c r="P1009" s="7"/>
      <c r="Q1009" s="7"/>
      <c r="R1009" s="64"/>
      <c r="S1009" s="64"/>
      <c r="T1009" s="64"/>
      <c r="U1009" s="64"/>
      <c r="V1009" s="64"/>
      <c r="W1009" s="64"/>
    </row>
    <row r="1010" spans="1:23" ht="30" customHeight="1">
      <c r="A1010" s="8"/>
      <c r="B1010" s="7"/>
      <c r="C1010" s="33"/>
      <c r="D1010" s="7"/>
      <c r="E1010" s="7"/>
      <c r="F1010" s="7"/>
      <c r="G1010" s="7"/>
      <c r="H1010" s="7"/>
      <c r="I1010" s="7"/>
      <c r="J1010" s="7"/>
      <c r="K1010" s="7"/>
      <c r="L1010" s="7"/>
      <c r="M1010" s="7"/>
      <c r="N1010" s="7"/>
      <c r="O1010" s="7"/>
      <c r="P1010" s="7"/>
      <c r="Q1010" s="7"/>
      <c r="R1010" s="64"/>
      <c r="S1010" s="64"/>
      <c r="T1010" s="64"/>
      <c r="U1010" s="64"/>
      <c r="V1010" s="64"/>
      <c r="W1010" s="64"/>
    </row>
    <row r="1011" spans="1:23" ht="30" customHeight="1">
      <c r="A1011" s="8"/>
      <c r="B1011" s="7"/>
      <c r="C1011" s="33"/>
      <c r="D1011" s="7"/>
      <c r="E1011" s="7"/>
      <c r="F1011" s="7"/>
      <c r="G1011" s="7"/>
      <c r="H1011" s="7"/>
      <c r="I1011" s="7"/>
      <c r="J1011" s="7"/>
      <c r="K1011" s="7"/>
      <c r="L1011" s="7"/>
      <c r="M1011" s="7"/>
      <c r="N1011" s="7"/>
      <c r="O1011" s="7"/>
      <c r="P1011" s="7"/>
      <c r="Q1011" s="7"/>
      <c r="R1011" s="64"/>
      <c r="S1011" s="64"/>
      <c r="T1011" s="64"/>
      <c r="U1011" s="64"/>
      <c r="V1011" s="64"/>
      <c r="W1011" s="64"/>
    </row>
    <row r="1012" spans="1:23" ht="30" customHeight="1">
      <c r="A1012" s="8"/>
      <c r="B1012" s="7"/>
      <c r="C1012" s="33"/>
      <c r="D1012" s="7"/>
      <c r="E1012" s="7"/>
      <c r="F1012" s="7"/>
      <c r="G1012" s="7"/>
      <c r="H1012" s="7"/>
      <c r="I1012" s="7"/>
      <c r="J1012" s="7"/>
      <c r="K1012" s="7"/>
      <c r="L1012" s="7"/>
      <c r="M1012" s="7"/>
      <c r="N1012" s="7"/>
      <c r="O1012" s="7"/>
      <c r="P1012" s="7"/>
      <c r="Q1012" s="7"/>
      <c r="R1012" s="64"/>
      <c r="S1012" s="64"/>
      <c r="T1012" s="64"/>
      <c r="U1012" s="64"/>
      <c r="V1012" s="64"/>
      <c r="W1012" s="64"/>
    </row>
    <row r="1013" spans="1:23" ht="30" customHeight="1">
      <c r="A1013" s="8"/>
      <c r="B1013" s="7"/>
      <c r="C1013" s="33"/>
      <c r="D1013" s="7"/>
      <c r="E1013" s="7"/>
      <c r="F1013" s="7"/>
      <c r="G1013" s="7"/>
      <c r="H1013" s="7"/>
      <c r="I1013" s="7"/>
      <c r="J1013" s="7"/>
      <c r="K1013" s="7"/>
      <c r="L1013" s="7"/>
      <c r="M1013" s="7"/>
      <c r="N1013" s="7"/>
      <c r="O1013" s="7"/>
      <c r="P1013" s="7"/>
      <c r="Q1013" s="7"/>
      <c r="R1013" s="64"/>
      <c r="S1013" s="64"/>
      <c r="T1013" s="64"/>
      <c r="U1013" s="64"/>
      <c r="V1013" s="64"/>
      <c r="W1013" s="64"/>
    </row>
    <row r="1014" spans="1:23" ht="30" customHeight="1">
      <c r="A1014" s="8"/>
      <c r="B1014" s="7"/>
      <c r="C1014" s="33"/>
      <c r="D1014" s="7"/>
      <c r="E1014" s="7"/>
      <c r="F1014" s="7"/>
      <c r="G1014" s="7"/>
      <c r="H1014" s="7"/>
      <c r="I1014" s="7"/>
      <c r="J1014" s="7"/>
      <c r="K1014" s="7"/>
      <c r="L1014" s="7"/>
      <c r="M1014" s="7"/>
      <c r="N1014" s="7"/>
      <c r="O1014" s="7"/>
      <c r="P1014" s="7"/>
      <c r="Q1014" s="7"/>
      <c r="R1014" s="64"/>
      <c r="S1014" s="64"/>
      <c r="T1014" s="64"/>
      <c r="U1014" s="64"/>
      <c r="V1014" s="64"/>
      <c r="W1014" s="64"/>
    </row>
    <row r="1015" spans="1:23" ht="30" customHeight="1">
      <c r="A1015" s="8"/>
      <c r="B1015" s="7"/>
      <c r="C1015" s="33"/>
      <c r="D1015" s="7"/>
      <c r="E1015" s="7"/>
      <c r="F1015" s="7"/>
      <c r="G1015" s="7"/>
      <c r="H1015" s="7"/>
      <c r="I1015" s="7"/>
      <c r="J1015" s="7"/>
      <c r="K1015" s="7"/>
      <c r="L1015" s="7"/>
      <c r="M1015" s="7"/>
      <c r="N1015" s="7"/>
      <c r="O1015" s="7"/>
      <c r="P1015" s="7"/>
      <c r="Q1015" s="7"/>
      <c r="R1015" s="64"/>
      <c r="S1015" s="64"/>
      <c r="T1015" s="64"/>
      <c r="U1015" s="64"/>
      <c r="V1015" s="64"/>
      <c r="W1015" s="64"/>
    </row>
    <row r="1016" spans="1:23" ht="30" customHeight="1">
      <c r="A1016" s="8"/>
      <c r="B1016" s="7"/>
      <c r="C1016" s="33"/>
      <c r="D1016" s="7"/>
      <c r="E1016" s="7"/>
      <c r="F1016" s="7"/>
      <c r="G1016" s="7"/>
      <c r="H1016" s="7"/>
      <c r="I1016" s="7"/>
      <c r="J1016" s="7"/>
      <c r="K1016" s="7"/>
      <c r="L1016" s="7"/>
      <c r="M1016" s="7"/>
      <c r="N1016" s="7"/>
      <c r="O1016" s="7"/>
      <c r="P1016" s="7"/>
      <c r="Q1016" s="7"/>
      <c r="R1016" s="64"/>
      <c r="S1016" s="64"/>
      <c r="T1016" s="64"/>
      <c r="U1016" s="64"/>
      <c r="V1016" s="64"/>
      <c r="W1016" s="64"/>
    </row>
    <row r="1017" spans="1:23" ht="30" customHeight="1">
      <c r="A1017" s="8"/>
      <c r="F1017" s="7"/>
      <c r="G1017" s="7"/>
      <c r="H1017" s="7"/>
      <c r="I1017" s="7"/>
      <c r="J1017" s="7"/>
      <c r="K1017" s="7"/>
      <c r="L1017" s="7"/>
      <c r="M1017" s="7"/>
      <c r="N1017" s="7"/>
      <c r="O1017" s="7"/>
      <c r="P1017" s="7"/>
      <c r="Q1017" s="7"/>
      <c r="R1017" s="64"/>
      <c r="S1017" s="64"/>
      <c r="T1017" s="64"/>
      <c r="U1017" s="64"/>
      <c r="V1017" s="64"/>
      <c r="W1017" s="64"/>
    </row>
  </sheetData>
  <mergeCells count="126">
    <mergeCell ref="A12:C12"/>
    <mergeCell ref="D12:G12"/>
    <mergeCell ref="M18:M19"/>
    <mergeCell ref="N18:N19"/>
    <mergeCell ref="O18:O19"/>
    <mergeCell ref="P18:P19"/>
    <mergeCell ref="Q18:Q19"/>
    <mergeCell ref="L16:L17"/>
    <mergeCell ref="K16:K17"/>
    <mergeCell ref="J16:J17"/>
    <mergeCell ref="I16:I17"/>
    <mergeCell ref="I18:I19"/>
    <mergeCell ref="J18:J19"/>
    <mergeCell ref="K18:K19"/>
    <mergeCell ref="L18:L19"/>
    <mergeCell ref="Q16:Q17"/>
    <mergeCell ref="P16:P17"/>
    <mergeCell ref="O16:O17"/>
    <mergeCell ref="N16:N17"/>
    <mergeCell ref="M16:M17"/>
    <mergeCell ref="M12:M13"/>
    <mergeCell ref="L12:L13"/>
    <mergeCell ref="K12:K13"/>
    <mergeCell ref="J12:J13"/>
    <mergeCell ref="I12:I13"/>
    <mergeCell ref="N14:N15"/>
    <mergeCell ref="O14:O15"/>
    <mergeCell ref="P14:P15"/>
    <mergeCell ref="Q14:Q15"/>
    <mergeCell ref="Q12:Q13"/>
    <mergeCell ref="P12:P13"/>
    <mergeCell ref="O12:O13"/>
    <mergeCell ref="N12:N13"/>
    <mergeCell ref="I14:I15"/>
    <mergeCell ref="J14:J15"/>
    <mergeCell ref="K14:K15"/>
    <mergeCell ref="L14:L15"/>
    <mergeCell ref="M14:M15"/>
    <mergeCell ref="M10:M11"/>
    <mergeCell ref="N10:N11"/>
    <mergeCell ref="O10:O11"/>
    <mergeCell ref="P10:P11"/>
    <mergeCell ref="Q10:Q11"/>
    <mergeCell ref="L8:L9"/>
    <mergeCell ref="K8:K9"/>
    <mergeCell ref="J8:J9"/>
    <mergeCell ref="I8:I9"/>
    <mergeCell ref="I10:I11"/>
    <mergeCell ref="K10:K11"/>
    <mergeCell ref="L10:L11"/>
    <mergeCell ref="J10:J11"/>
    <mergeCell ref="Q8:Q9"/>
    <mergeCell ref="P8:P9"/>
    <mergeCell ref="O8:O9"/>
    <mergeCell ref="N8:N9"/>
    <mergeCell ref="M8:M9"/>
    <mergeCell ref="K4:K5"/>
    <mergeCell ref="J4:J5"/>
    <mergeCell ref="I4:I5"/>
    <mergeCell ref="Q6:Q7"/>
    <mergeCell ref="P6:P7"/>
    <mergeCell ref="O6:O7"/>
    <mergeCell ref="N6:N7"/>
    <mergeCell ref="M6:M7"/>
    <mergeCell ref="L6:L7"/>
    <mergeCell ref="K6:K7"/>
    <mergeCell ref="J6:J7"/>
    <mergeCell ref="I6:I7"/>
    <mergeCell ref="P4:P5"/>
    <mergeCell ref="O4:O5"/>
    <mergeCell ref="N4:N5"/>
    <mergeCell ref="M4:M5"/>
    <mergeCell ref="L4:L5"/>
    <mergeCell ref="A24:A30"/>
    <mergeCell ref="C24:G24"/>
    <mergeCell ref="C25:G25"/>
    <mergeCell ref="C26:G26"/>
    <mergeCell ref="C27:G27"/>
    <mergeCell ref="C28:G28"/>
    <mergeCell ref="C29:G29"/>
    <mergeCell ref="C30:G30"/>
    <mergeCell ref="I1:Q1"/>
    <mergeCell ref="D6:G6"/>
    <mergeCell ref="A7:C7"/>
    <mergeCell ref="D7:G7"/>
    <mergeCell ref="A8:C8"/>
    <mergeCell ref="D8:G8"/>
    <mergeCell ref="Q2:Q3"/>
    <mergeCell ref="P2:P3"/>
    <mergeCell ref="O2:O3"/>
    <mergeCell ref="N2:N3"/>
    <mergeCell ref="M2:M3"/>
    <mergeCell ref="L2:L3"/>
    <mergeCell ref="K2:K3"/>
    <mergeCell ref="J2:J3"/>
    <mergeCell ref="I2:I3"/>
    <mergeCell ref="Q4:Q5"/>
    <mergeCell ref="A11:C11"/>
    <mergeCell ref="D11:G11"/>
    <mergeCell ref="A1:G1"/>
    <mergeCell ref="A2:C2"/>
    <mergeCell ref="D2:G2"/>
    <mergeCell ref="A3:C3"/>
    <mergeCell ref="D3:G3"/>
    <mergeCell ref="A4:C4"/>
    <mergeCell ref="D4:G4"/>
    <mergeCell ref="A5:C5"/>
    <mergeCell ref="D5:G5"/>
    <mergeCell ref="A6:C6"/>
    <mergeCell ref="A9:C9"/>
    <mergeCell ref="D9:G9"/>
    <mergeCell ref="A10:C10"/>
    <mergeCell ref="D10:G10"/>
    <mergeCell ref="A16:A22"/>
    <mergeCell ref="C16:G16"/>
    <mergeCell ref="C17:G17"/>
    <mergeCell ref="C18:G18"/>
    <mergeCell ref="C19:G19"/>
    <mergeCell ref="C20:G20"/>
    <mergeCell ref="C21:G21"/>
    <mergeCell ref="C22:G22"/>
    <mergeCell ref="N22:Q22"/>
    <mergeCell ref="J22:M22"/>
    <mergeCell ref="N21:Q21"/>
    <mergeCell ref="J21:M21"/>
    <mergeCell ref="I21:I22"/>
  </mergeCells>
  <conditionalFormatting sqref="I2">
    <cfRule type="containsBlanks" dxfId="71" priority="19">
      <formula>LEN(TRIM(I2))=0</formula>
    </cfRule>
  </conditionalFormatting>
  <conditionalFormatting sqref="I2">
    <cfRule type="cellIs" dxfId="70" priority="20" operator="equal">
      <formula>0</formula>
    </cfRule>
  </conditionalFormatting>
  <conditionalFormatting sqref="J2 J6 J10 J14 J18">
    <cfRule type="containsBlanks" dxfId="69" priority="17">
      <formula>LEN(TRIM(J2))=0</formula>
    </cfRule>
  </conditionalFormatting>
  <conditionalFormatting sqref="J2 J6 J10 J14 J18">
    <cfRule type="cellIs" dxfId="68" priority="18" operator="equal">
      <formula>0</formula>
    </cfRule>
  </conditionalFormatting>
  <conditionalFormatting sqref="L2 L6 L10 L14 L18">
    <cfRule type="containsBlanks" dxfId="67" priority="15">
      <formula>LEN(TRIM(L2))=0</formula>
    </cfRule>
  </conditionalFormatting>
  <conditionalFormatting sqref="L2 L6 L10 L14 L18">
    <cfRule type="cellIs" dxfId="66" priority="16" operator="equal">
      <formula>0</formula>
    </cfRule>
  </conditionalFormatting>
  <conditionalFormatting sqref="N2 N6 N10 N14 N18">
    <cfRule type="containsBlanks" dxfId="65" priority="13">
      <formula>LEN(TRIM(N2))=0</formula>
    </cfRule>
  </conditionalFormatting>
  <conditionalFormatting sqref="N2 N6 N10 N14 N18">
    <cfRule type="cellIs" dxfId="64" priority="14" operator="equal">
      <formula>0</formula>
    </cfRule>
  </conditionalFormatting>
  <conditionalFormatting sqref="P2 P6 P10 P14 P18">
    <cfRule type="containsBlanks" dxfId="63" priority="11">
      <formula>LEN(TRIM(P2))=0</formula>
    </cfRule>
  </conditionalFormatting>
  <conditionalFormatting sqref="P2 P6 P10 P14 P18">
    <cfRule type="cellIs" dxfId="62" priority="12" operator="equal">
      <formula>0</formula>
    </cfRule>
  </conditionalFormatting>
  <conditionalFormatting sqref="I4:Q4">
    <cfRule type="containsBlanks" dxfId="61" priority="9">
      <formula>LEN(TRIM(I4))=0</formula>
    </cfRule>
  </conditionalFormatting>
  <conditionalFormatting sqref="I4:Q4">
    <cfRule type="cellIs" dxfId="60" priority="10" operator="equal">
      <formula>0</formula>
    </cfRule>
  </conditionalFormatting>
  <conditionalFormatting sqref="I8:Q8">
    <cfRule type="containsBlanks" dxfId="59" priority="7">
      <formula>LEN(TRIM(I8))=0</formula>
    </cfRule>
  </conditionalFormatting>
  <conditionalFormatting sqref="I8:Q8">
    <cfRule type="cellIs" dxfId="58" priority="8" operator="equal">
      <formula>0</formula>
    </cfRule>
  </conditionalFormatting>
  <conditionalFormatting sqref="I12:Q12">
    <cfRule type="containsBlanks" dxfId="57" priority="5">
      <formula>LEN(TRIM(I12))=0</formula>
    </cfRule>
  </conditionalFormatting>
  <conditionalFormatting sqref="I12:Q12">
    <cfRule type="cellIs" dxfId="56" priority="6" operator="equal">
      <formula>0</formula>
    </cfRule>
  </conditionalFormatting>
  <conditionalFormatting sqref="I16:Q16">
    <cfRule type="containsBlanks" dxfId="55" priority="3">
      <formula>LEN(TRIM(I16))=0</formula>
    </cfRule>
  </conditionalFormatting>
  <conditionalFormatting sqref="I16:Q16">
    <cfRule type="cellIs" dxfId="54" priority="4" operator="equal">
      <formula>0</formula>
    </cfRule>
  </conditionalFormatting>
  <conditionalFormatting sqref="Q18 O18 M18 K18 I18 I14 K14 M14 O14 Q14 Q10 O10 M10 K10 I10 I6 K6 M6 O6 Q6 Q2 O2 M2 K2">
    <cfRule type="containsBlanks" dxfId="53" priority="1">
      <formula>LEN(TRIM(I2))=0</formula>
    </cfRule>
  </conditionalFormatting>
  <conditionalFormatting sqref="Q18 O18 M18 K18 I18 I14 K14 M14 O14 Q14 Q10 O10 M10 K10 I10 I6 K6 M6 O6 Q6 Q2 O2 M2 K2">
    <cfRule type="cellIs" dxfId="52" priority="2"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50"/>
  <sheetViews>
    <sheetView tabSelected="1" zoomScaleNormal="100" workbookViewId="0">
      <selection activeCell="R25" sqref="R25"/>
    </sheetView>
  </sheetViews>
  <sheetFormatPr defaultRowHeight="15.95" customHeight="1"/>
  <cols>
    <col min="1" max="1" width="38.5703125" bestFit="1" customWidth="1"/>
    <col min="2" max="2" width="17.140625" customWidth="1"/>
    <col min="11" max="11" width="15.28515625" customWidth="1"/>
    <col min="12" max="12" width="16" style="1" customWidth="1"/>
    <col min="13" max="13" width="20.140625" style="23" customWidth="1"/>
    <col min="14" max="14" width="22.5703125" customWidth="1"/>
    <col min="15" max="15" width="9.140625" style="279"/>
    <col min="16" max="16" width="23.85546875" customWidth="1"/>
    <col min="17" max="17" width="14.28515625" customWidth="1"/>
    <col min="30" max="30" width="31.42578125" bestFit="1" customWidth="1"/>
    <col min="31" max="31" width="9.140625" style="1"/>
    <col min="33" max="33" width="11.140625" customWidth="1"/>
    <col min="34" max="47" width="8.7109375" style="32" customWidth="1"/>
    <col min="48" max="48" width="31.42578125" style="32" customWidth="1"/>
    <col min="49" max="50" width="8.7109375" style="32" customWidth="1"/>
    <col min="51" max="51" width="8.140625" style="32" customWidth="1"/>
    <col min="52" max="52" width="12.85546875" style="32" customWidth="1"/>
    <col min="53" max="53" width="8.28515625" style="32" customWidth="1"/>
    <col min="54" max="54" width="8.7109375" style="32" customWidth="1"/>
    <col min="57" max="57" width="8.140625" customWidth="1"/>
    <col min="58" max="58" width="12.85546875" customWidth="1"/>
    <col min="59" max="59" width="8.28515625" customWidth="1"/>
  </cols>
  <sheetData>
    <row r="1" spans="1:54" ht="35.1" customHeight="1" thickBot="1">
      <c r="A1" s="12"/>
      <c r="B1" s="676" t="s">
        <v>990</v>
      </c>
      <c r="C1" s="677"/>
      <c r="D1" s="677"/>
      <c r="E1" s="677"/>
      <c r="F1" s="677"/>
      <c r="G1" s="677"/>
      <c r="H1" s="677"/>
      <c r="I1" s="677"/>
      <c r="J1" s="677"/>
      <c r="K1" s="677"/>
      <c r="L1" s="872" t="s">
        <v>887</v>
      </c>
      <c r="M1" s="170" t="s">
        <v>991</v>
      </c>
      <c r="N1" s="873" t="s">
        <v>992</v>
      </c>
      <c r="O1" s="278">
        <f ca="1">VLOOKUP(P2,$AA$2:$AB$6,2,FALSE)</f>
        <v>1.0212765957446808</v>
      </c>
      <c r="P1" s="896" t="s">
        <v>7594</v>
      </c>
      <c r="Q1" s="313"/>
      <c r="R1" s="874" t="s">
        <v>7595</v>
      </c>
      <c r="S1" s="874" t="s">
        <v>7596</v>
      </c>
      <c r="T1" s="874" t="s">
        <v>7597</v>
      </c>
      <c r="U1" s="874" t="s">
        <v>7598</v>
      </c>
      <c r="V1" s="874" t="s">
        <v>7599</v>
      </c>
      <c r="W1" s="313" t="s">
        <v>770</v>
      </c>
      <c r="X1" s="313" t="s">
        <v>7600</v>
      </c>
      <c r="Y1" s="313"/>
      <c r="Z1" s="313"/>
      <c r="AK1" s="59" t="s">
        <v>542</v>
      </c>
      <c r="AL1" s="59" t="s">
        <v>542</v>
      </c>
      <c r="AM1" s="59" t="s">
        <v>543</v>
      </c>
      <c r="AN1" s="59" t="s">
        <v>544</v>
      </c>
      <c r="AO1" s="32">
        <f ca="1">INDEX($AI$2:$AI$101,RANDBETWEEN(1,10))</f>
        <v>3</v>
      </c>
      <c r="AP1" s="32" t="str">
        <f t="shared" ref="AP1:AR2" ca="1" si="0">INDEX(AK$2:AK$101,RANDBETWEEN(1,100))</f>
        <v>Ox</v>
      </c>
      <c r="AQ1" s="32" t="str">
        <f t="shared" ca="1" si="0"/>
        <v>Tower</v>
      </c>
      <c r="AR1" s="32" t="str">
        <f t="shared" ca="1" si="0"/>
        <v>Heroic</v>
      </c>
      <c r="AS1" s="32" t="str">
        <f ca="1">INDEX(AN$2:AN$101,RANDBETWEEN(1,10))</f>
        <v>Lounge</v>
      </c>
      <c r="AV1" s="32" t="s">
        <v>767</v>
      </c>
      <c r="AY1" s="32" t="s">
        <v>884</v>
      </c>
      <c r="AZ1" s="32" t="s">
        <v>885</v>
      </c>
      <c r="BA1" s="32" t="s">
        <v>886</v>
      </c>
    </row>
    <row r="2" spans="1:54" s="13" customFormat="1" ht="35.1" customHeight="1" thickBot="1">
      <c r="A2" s="443" t="str">
        <f ca="1">$AH$2</f>
        <v>The Heroic Ox</v>
      </c>
      <c r="B2" s="875" t="str">
        <f ca="1">IF(R2="",CONCATENATE(CHOOSE(RANDBETWEEN(1,4),"Roasted","Grilled","Sauteed","Raw","Seasoned")," ",T2,", ",CHOOSE(RANDBETWEEN(1,4),"roasted","grilled","sauteed","raw","seasoned")," ",U2,", and a bowl of ",V2,IF(W2="","",CONCATENATE(". It includes ",W2," slices of bread."))),CONCATENATE(CHOOSE(RANDBETWEEN(1,5),"Baked","Stewed","Grilled","Roasted","Smoked")," ",R2," prepared with ",S2,". The sides are ",CHOOSE(RANDBETWEEN(1,4),"roasted","grilled","sauteed","raw","seasoned")," ",T2,", ",CHOOSE(RANDBETWEEN(1,4),"roasted","grilled","sauteed","raw","seasoned")," ",U2,", and a bowl of ",V2,IF(W2="","",CONCATENATE(". It includes ",W2," slices of bread."))))</f>
        <v>Grilled Figs, raw Raisins (large), and a bowl of unshelled broad beans. It includes 2 slices of bread.</v>
      </c>
      <c r="C2" s="674"/>
      <c r="D2" s="674"/>
      <c r="E2" s="674"/>
      <c r="F2" s="674"/>
      <c r="G2" s="674"/>
      <c r="H2" s="674"/>
      <c r="I2" s="674"/>
      <c r="J2" s="674"/>
      <c r="K2" s="675"/>
      <c r="L2" s="876" t="str">
        <f ca="1">CHOOSE(RANDBETWEEN(1,2),$AD$40,$AD$41)</f>
        <v>Barley beer</v>
      </c>
      <c r="M2" s="877">
        <f ca="1">ROUNDUP(X2*$O$1,0)</f>
        <v>5</v>
      </c>
      <c r="N2" s="345">
        <f ca="1">ROUNDUP(IF(L2="","",VLOOKUP(L2,$AD$30:$AE$48,2,FALSE))*O1,0)</f>
        <v>2</v>
      </c>
      <c r="O2" s="30">
        <f ca="1">RANDBETWEEN(1,5)</f>
        <v>4</v>
      </c>
      <c r="P2" s="878" t="s">
        <v>7601</v>
      </c>
      <c r="Q2" s="313"/>
      <c r="R2" s="879" t="str">
        <f ca="1">IF($P$2="Lower",CHOOSE(RANDBETWEEN(1,5),INDEX($AD$63:$AD$111,RANDBETWEEN(1,49)),INDEX($AD$113:$AD$124,RANDBETWEEN(1,12)),"","",""),IF($P$2="Middle",CHOOSE(RANDBETWEEN(1,4),INDEX($AD$63:$AD$111,RANDBETWEEN(1,49)),INDEX($AD$113:$AD$124,RANDBETWEEN(1,12)),"",""),IF($P$2="Upper",CHOOSE(RANDBETWEEN(1,3),INDEX($AD$63:$AD$111,RANDBETWEEN(1,49)),INDEX($AD$113:$AD$124,RANDBETWEEN(1,12)),""),IF($P$2="Noble",CHOOSE(RANDBETWEEN(1,2),INDEX($AD$63:$AD$111,RANDBETWEEN(1,49)),INDEX($AD$113:$AD$124,RANDBETWEEN(1,12))),IF(P2="Royal",CHOOSE(RANDBETWEEN(1,2),INDEX($AD$63:$AD$111,RANDBETWEEN(1,49)),INDEX($AD$113:$AD$124,RANDBETWEEN(1,12))),"")))))</f>
        <v/>
      </c>
      <c r="S2" s="879" t="str">
        <f ca="1">IF(R2="","",INDEX($AD$50:$AD$61,RANDBETWEEN(1,12)))</f>
        <v/>
      </c>
      <c r="T2" s="879" t="str">
        <f ca="1">INDEX($AD$126:$AD$224,RANDBETWEEN(1,99))</f>
        <v>Figs</v>
      </c>
      <c r="U2" s="879" t="str">
        <f ca="1">INDEX($AD$126:$AD$224,RANDBETWEEN(1,99))</f>
        <v>Raisins (large)</v>
      </c>
      <c r="V2" s="879" t="str">
        <f ca="1">INDEX($AD$3:$AD$28,RANDBETWEEN(1,26))</f>
        <v>unshelled broad beans</v>
      </c>
      <c r="W2" s="880">
        <f ca="1">IF(RANDBETWEEN(-1,3)&lt;0,"",RANDBETWEEN(1,3))</f>
        <v>2</v>
      </c>
      <c r="X2" s="880">
        <f ca="1">IFERROR(VLOOKUP(R2,$AD$3:$AE$224,2,FALSE),0)+IFERROR(VLOOKUP(S2,$AD$3:$AE$224,2,FALSE),0)+IFERROR(VLOOKUP(T2,$AD$3:$AE$224,2,FALSE),0)+IFERROR(VLOOKUP(U2,$AD$3:$AE$224,2,FALSE),0)+IFERROR(VLOOKUP(V2,$AD$3:$AE$224,2,FALSE),0)+IFERROR(ROUNDUP(W2*0.5,0),0)</f>
        <v>4</v>
      </c>
      <c r="Y2" s="880"/>
      <c r="Z2" s="880"/>
      <c r="AA2" s="31" t="s">
        <v>7602</v>
      </c>
      <c r="AB2" s="895">
        <f ca="1">1+(50/RANDBETWEEN(5,15))</f>
        <v>6.5555555555555554</v>
      </c>
      <c r="AC2" s="51"/>
      <c r="AD2" s="52" t="s">
        <v>768</v>
      </c>
      <c r="AE2" s="23" t="s">
        <v>7584</v>
      </c>
      <c r="AH2" s="18" t="str">
        <f ca="1">IF($AO1=1,CONCATENATE(AR1," ",AP1),IF($AO1=2,CONCATENATE(AR1," ",AP1," ",AS1),IF($AO1=3, CONCATENATE("The ",AR1," ",AP1),IF($AO1=4,CONCATENATE("The ",AR1," ",AP1," ",AS1),IF($AO1=5,CONCATENATE(AP1," ",AQ1),IF($AO1=6,CONCATENATE(AP1," ",AQ1," ",AS1),IF($AO1=7,CONCATENATE("The ",AP1," ",AQ1),IF($AO1=8,CONCATENATE("The ",AP1," ",AQ1," ",AS1,),IF($AO1=9,CONCATENATE(AR1," ",AS1),IF($AO1=10,CONCATENATE("The ",AR1," ",AS1)))))))))))</f>
        <v>The Heroic Ox</v>
      </c>
      <c r="AI2" s="18">
        <v>1</v>
      </c>
      <c r="AJ2" s="18" t="s">
        <v>545</v>
      </c>
      <c r="AK2" s="18" t="s">
        <v>546</v>
      </c>
      <c r="AL2" s="18" t="s">
        <v>546</v>
      </c>
      <c r="AM2" s="18" t="s">
        <v>547</v>
      </c>
      <c r="AN2" s="18" t="s">
        <v>548</v>
      </c>
      <c r="AO2" s="32">
        <f ca="1">INDEX($AI$2:$AI$101,RANDBETWEEN(1,10))</f>
        <v>6</v>
      </c>
      <c r="AP2" s="32" t="str">
        <f t="shared" ca="1" si="0"/>
        <v>Trophy</v>
      </c>
      <c r="AQ2" s="32" t="str">
        <f t="shared" ca="1" si="0"/>
        <v>Forest</v>
      </c>
      <c r="AR2" s="32" t="str">
        <f t="shared" ca="1" si="0"/>
        <v>Silver</v>
      </c>
      <c r="AS2" s="32" t="str">
        <f ca="1">INDEX(AN$2:AN$101,RANDBETWEEN(1,10))</f>
        <v>Club (House)</v>
      </c>
      <c r="AT2" s="18"/>
      <c r="AU2" s="18"/>
      <c r="AV2" s="110" t="s">
        <v>768</v>
      </c>
      <c r="AW2" s="18"/>
      <c r="AX2" s="18">
        <v>1</v>
      </c>
      <c r="AY2" s="18" t="str">
        <f t="shared" ref="AY2:AY11" ca="1" si="1">INDEX($AD$63:$AD$111,RANDBETWEEN(1,49))</f>
        <v>bred Turtle dove</v>
      </c>
      <c r="AZ2" s="18" t="str">
        <f t="shared" ref="AZ2:AZ18" ca="1" si="2">INDEX($AD$126:$AD$224,RANDBETWEEN(1,99))</f>
        <v>Raisins (smoked)</v>
      </c>
      <c r="BA2" s="18" t="str">
        <f ca="1">INDEX($AD$3:$AD$28,RANDBETWEEN(1,26))</f>
        <v>shelled peas</v>
      </c>
      <c r="BB2" s="18"/>
    </row>
    <row r="3" spans="1:54" s="13" customFormat="1" ht="35.1" customHeight="1">
      <c r="A3" s="672"/>
      <c r="B3" s="881" t="str">
        <f ca="1">IF(R3="",CONCATENATE(CHOOSE(RANDBETWEEN(1,4),"Roasted","Grilled","Sauteed","Raw","Seasoned")," ",T3,", ",CHOOSE(RANDBETWEEN(1,4),"roasted","grilled","sauteed","raw","seasoned")," ",U3,", and a bowl of ",V3,IF(W3="","",CONCATENATE(". It includes ",W3," slices of bread."))),CONCATENATE(CHOOSE(RANDBETWEEN(1,5),"Baked","Stewed","Grilled","Roasted","Smoked")," ",R3," prepared with ",S3,". The sides are ",CHOOSE(RANDBETWEEN(1,4),"roasted","grilled","sauteed","raw","seasoned")," ",T3,", ",CHOOSE(RANDBETWEEN(1,4),"roasted","grilled","sauteed","raw","seasoned")," ",U3,", and a bowl of ",V3,IF(W3="","",CONCATENATE(". It includes ",W3," slices of bread."))))</f>
        <v>Roasted Sea fish prepared with Date Honey. The sides are roasted Pistachios, roasted Wild Asparagus, and a bowl of Oats. It includes 3 slices of bread.</v>
      </c>
      <c r="C3" s="882"/>
      <c r="D3" s="882"/>
      <c r="E3" s="882"/>
      <c r="F3" s="882"/>
      <c r="G3" s="882"/>
      <c r="H3" s="882"/>
      <c r="I3" s="882"/>
      <c r="J3" s="882"/>
      <c r="K3" s="883"/>
      <c r="L3" s="884" t="str">
        <f ca="1">IF($O$2&gt;1,INDEX($AD$30:$AD$48,RANDBETWEEN(1,19)),"")</f>
        <v>Surrentine</v>
      </c>
      <c r="M3" s="885">
        <f ca="1">ROUNDUP(X3*$O$1,0)</f>
        <v>27</v>
      </c>
      <c r="N3" s="346">
        <f ca="1">IF(L3="","",ROUNDUP(VLOOKUP(L3,$AD$30:$AE$48,2,FALSE)*$O$1,0))</f>
        <v>11</v>
      </c>
      <c r="O3" s="30">
        <f ca="1">RANDBETWEEN(2,5)</f>
        <v>3</v>
      </c>
      <c r="P3" s="12"/>
      <c r="Q3" s="313"/>
      <c r="R3" s="879" t="str">
        <f ca="1">IF($P$2="Lower",CHOOSE(RANDBETWEEN(1,5),INDEX($AD$63:$AD$111,RANDBETWEEN(1,49)),INDEX($AD$113:$AD$124,RANDBETWEEN(1,12)),"","",""),IF($P$2="Middle",CHOOSE(RANDBETWEEN(1,4),INDEX($AD$63:$AD$111,RANDBETWEEN(1,49)),INDEX($AD$113:$AD$124,RANDBETWEEN(1,12)),"",""),IF($P$2="Upper",CHOOSE(RANDBETWEEN(1,3),INDEX($AD$63:$AD$111,RANDBETWEEN(1,49)),INDEX($AD$113:$AD$124,RANDBETWEEN(1,12)),""),IF($P$2="Noble",CHOOSE(RANDBETWEEN(1,2),INDEX($AD$63:$AD$111,RANDBETWEEN(1,49)),INDEX($AD$113:$AD$124,RANDBETWEEN(1,12))),IF(P2="Royal",CHOOSE(RANDBETWEEN(1,2),INDEX($AD$63:$AD$111,RANDBETWEEN(1,49)),INDEX($AD$113:$AD$124,RANDBETWEEN(1,12))),"")))))</f>
        <v>Sea fish</v>
      </c>
      <c r="S3" s="879" t="str">
        <f t="shared" ref="S3:S6" ca="1" si="3">IF(R3="","",INDEX($AD$50:$AD$61,RANDBETWEEN(1,12)))</f>
        <v>Date Honey</v>
      </c>
      <c r="T3" s="879" t="str">
        <f ca="1">INDEX($AD$126:$AD$224,RANDBETWEEN(1,99))</f>
        <v>Pistachios</v>
      </c>
      <c r="U3" s="879" t="str">
        <f ca="1">INDEX($AD$126:$AD$224,RANDBETWEEN(1,99))</f>
        <v>Wild Asparagus</v>
      </c>
      <c r="V3" s="879" t="str">
        <f ca="1">INDEX($AD$3:$AD$28,RANDBETWEEN(1,26))</f>
        <v>Oats</v>
      </c>
      <c r="W3" s="880">
        <f t="shared" ref="W3:W6" ca="1" si="4">IF(RANDBETWEEN(-1,3)&lt;0,"",RANDBETWEEN(1,3))</f>
        <v>3</v>
      </c>
      <c r="X3" s="880">
        <f t="shared" ref="X3:X6" ca="1" si="5">IFERROR(VLOOKUP(R3,$AD$3:$AE$224,2,FALSE),0)+IFERROR(VLOOKUP(S3,$AD$3:$AE$224,2,FALSE),0)+IFERROR(VLOOKUP(T3,$AD$3:$AE$224,2,FALSE),0)+IFERROR(VLOOKUP(U3,$AD$3:$AE$224,2,FALSE),0)+IFERROR(VLOOKUP(V3,$AD$3:$AE$224,2,FALSE),0)+IFERROR(ROUNDUP(W3*0.5,0),0)</f>
        <v>26</v>
      </c>
      <c r="Y3" s="880"/>
      <c r="Z3" s="880"/>
      <c r="AA3" s="13" t="s">
        <v>7603</v>
      </c>
      <c r="AB3" s="895">
        <f ca="1">1+(20/RANDBETWEEN(5,15))</f>
        <v>3.5</v>
      </c>
      <c r="AC3" s="47">
        <v>1</v>
      </c>
      <c r="AD3" s="48" t="s">
        <v>769</v>
      </c>
      <c r="AE3" s="23">
        <v>2</v>
      </c>
      <c r="AF3" s="13" t="s">
        <v>7585</v>
      </c>
      <c r="AH3" s="18" t="str">
        <f ca="1">IF($AO2=1,CONCATENATE(AR2," ",AP2),IF($AO2=2,CONCATENATE(AR2," ",AP2," ",AS2),IF($AO2=3, CONCATENATE("The ",AR2," ",AP2),IF($AO2=4,CONCATENATE("The ",AR2," ",AP2," ",AS2),IF($AO2=5,CONCATENATE(AP2," ",AQ2),IF($AO2=6,CONCATENATE(AP2," ",AQ2," ",AS2),IF($AO2=7,CONCATENATE("The ",AP2," ",AQ2),IF($AO2=8,CONCATENATE("The ",AP2," ",AQ2," ",AS2,),IF($AO2=9,CONCATENATE(AR2," ",AS2),IF($AO2=10,CONCATENATE("The ",AR2," ",AS2)))))))))))</f>
        <v>Trophy Forest Club (House)</v>
      </c>
      <c r="AI3" s="18">
        <v>2</v>
      </c>
      <c r="AJ3" s="18" t="s">
        <v>549</v>
      </c>
      <c r="AK3" s="18" t="s">
        <v>550</v>
      </c>
      <c r="AL3" s="18" t="s">
        <v>550</v>
      </c>
      <c r="AM3" s="18" t="s">
        <v>551</v>
      </c>
      <c r="AN3" s="18" t="s">
        <v>552</v>
      </c>
      <c r="AO3" s="18"/>
      <c r="AP3" s="18"/>
      <c r="AQ3" s="18"/>
      <c r="AR3" s="18"/>
      <c r="AS3" s="18"/>
      <c r="AT3" s="18"/>
      <c r="AU3" s="18">
        <v>1</v>
      </c>
      <c r="AV3" s="18" t="s">
        <v>769</v>
      </c>
      <c r="AW3" s="18"/>
      <c r="AX3" s="18">
        <v>2</v>
      </c>
      <c r="AY3" s="18" t="str">
        <f t="shared" ca="1" si="1"/>
        <v>Goose (fattened)</v>
      </c>
      <c r="AZ3" s="18" t="str">
        <f t="shared" ca="1" si="2"/>
        <v>Figs (Carian, pressed)</v>
      </c>
      <c r="BA3" s="18" t="str">
        <f t="shared" ref="BA3:BA18" ca="1" si="6">INDEX($AD$3:$AD$28,RANDBETWEEN(1,26))</f>
        <v>mustard seed</v>
      </c>
      <c r="BB3" s="18"/>
    </row>
    <row r="4" spans="1:54" s="13" customFormat="1" ht="35.1" customHeight="1">
      <c r="A4" s="672"/>
      <c r="B4" s="886" t="str">
        <f ca="1">IF($O$3&gt;2,IF(R4="",CONCATENATE(CHOOSE(RANDBETWEEN(1,4),"Roasted","Grilled","Sauteed","Raw","Seasoned")," ",T4,", ",CHOOSE(RANDBETWEEN(1,4),"roasted","grilled","sauteed","raw","seasoned")," ",U4,", and a bowl of ",V4,IF(W4="","",CONCATENATE(". It includes ",W4," slices of bread."))),CONCATENATE(CHOOSE(RANDBETWEEN(1,5),"Baked","Stewed","Grilled","Roasted","Smoked")," ",R4," prepared with ",S4,". The sides are ",CHOOSE(RANDBETWEEN(1,4),"roasted","grilled","sauteed","raw","seasoned")," ",T4,", ",CHOOSE(RANDBETWEEN(1,4),"roasted","grilled","sauteed","raw","seasoned")," ",U4,", and a bowl of ",V4,IF(W4="","",CONCATENATE(". It includes ",W4," slices of bread.")))),"")</f>
        <v>Stewed Sardines prepared with Vinegar. The sides are raw Cucumbers (small), roasted Turnips (large), and a bowl of bitter vetch</v>
      </c>
      <c r="C4" s="887"/>
      <c r="D4" s="887"/>
      <c r="E4" s="887"/>
      <c r="F4" s="887"/>
      <c r="G4" s="887"/>
      <c r="H4" s="887"/>
      <c r="I4" s="887"/>
      <c r="J4" s="887"/>
      <c r="K4" s="888"/>
      <c r="L4" s="884" t="str">
        <f ca="1">IF($O$2&gt;2,INDEX($AD$30:$AD$48,RANDBETWEEN(1,19)),"")</f>
        <v>Must, boiled down 1/2</v>
      </c>
      <c r="M4" s="885">
        <f ca="1">IF(B4="","",ROUNDUP(X4*$O$1,0))</f>
        <v>22</v>
      </c>
      <c r="N4" s="346">
        <f ca="1">IF(L4="","",ROUNDUP(VLOOKUP(L4,$AD$30:$AE$48,2,FALSE)*$O$1,0))</f>
        <v>6</v>
      </c>
      <c r="O4" s="30"/>
      <c r="P4" s="12"/>
      <c r="Q4" s="313"/>
      <c r="R4" s="879" t="str">
        <f ca="1">IF($P$2="Lower",CHOOSE(RANDBETWEEN(1,5),INDEX($AD$63:$AD$111,RANDBETWEEN(1,49)),INDEX($AD$113:$AD$124,RANDBETWEEN(1,12)),"","",""),IF($P$2="Middle",CHOOSE(RANDBETWEEN(1,4),INDEX($AD$63:$AD$111,RANDBETWEEN(1,49)),INDEX($AD$113:$AD$124,RANDBETWEEN(1,12)),"",""),IF($P$2="Upper",CHOOSE(RANDBETWEEN(1,3),INDEX($AD$63:$AD$111,RANDBETWEEN(1,49)),INDEX($AD$113:$AD$124,RANDBETWEEN(1,12)),""),IF($P$2="Noble",CHOOSE(RANDBETWEEN(1,2),INDEX($AD$63:$AD$111,RANDBETWEEN(1,49)),INDEX($AD$113:$AD$124,RANDBETWEEN(1,12))),IF(P2="Royal",CHOOSE(RANDBETWEEN(1,2),INDEX($AD$63:$AD$111,RANDBETWEEN(1,49)),INDEX($AD$113:$AD$124,RANDBETWEEN(1,12))),"")))))</f>
        <v>Sardines</v>
      </c>
      <c r="S4" s="879" t="str">
        <f t="shared" ca="1" si="3"/>
        <v>Vinegar</v>
      </c>
      <c r="T4" s="879" t="str">
        <f ca="1">INDEX($AD$126:$AD$224,RANDBETWEEN(1,99))</f>
        <v>Cucumbers (small)</v>
      </c>
      <c r="U4" s="879" t="str">
        <f ca="1">INDEX($AD$126:$AD$224,RANDBETWEEN(1,99))</f>
        <v>Turnips (large)</v>
      </c>
      <c r="V4" s="879" t="str">
        <f ca="1">INDEX($AD$3:$AD$28,RANDBETWEEN(1,26))</f>
        <v>bitter vetch</v>
      </c>
      <c r="W4" s="880" t="str">
        <f t="shared" ca="1" si="4"/>
        <v/>
      </c>
      <c r="X4" s="880">
        <f t="shared" ca="1" si="5"/>
        <v>21</v>
      </c>
      <c r="Y4" s="880"/>
      <c r="Z4" s="880"/>
      <c r="AA4" s="13" t="s">
        <v>7604</v>
      </c>
      <c r="AB4" s="895">
        <f ca="1">1+(10/RANDBETWEEN(5,15))</f>
        <v>2.25</v>
      </c>
      <c r="AC4" s="47">
        <v>3</v>
      </c>
      <c r="AD4" s="48" t="s">
        <v>888</v>
      </c>
      <c r="AE4" s="23">
        <v>2</v>
      </c>
      <c r="AF4" s="13" t="s">
        <v>7585</v>
      </c>
      <c r="AH4" s="18"/>
      <c r="AI4" s="18">
        <v>3</v>
      </c>
      <c r="AJ4" s="18" t="s">
        <v>553</v>
      </c>
      <c r="AK4" s="18" t="s">
        <v>554</v>
      </c>
      <c r="AL4" s="18" t="s">
        <v>554</v>
      </c>
      <c r="AM4" s="18" t="s">
        <v>555</v>
      </c>
      <c r="AN4" s="18" t="s">
        <v>556</v>
      </c>
      <c r="AO4" s="18"/>
      <c r="AP4" s="18"/>
      <c r="AQ4" s="18"/>
      <c r="AR4" s="18"/>
      <c r="AS4" s="18"/>
      <c r="AT4" s="18"/>
      <c r="AU4" s="18">
        <v>2</v>
      </c>
      <c r="AV4" s="18" t="s">
        <v>888</v>
      </c>
      <c r="AW4" s="18"/>
      <c r="AX4" s="18">
        <v>3</v>
      </c>
      <c r="AY4" s="18" t="str">
        <f t="shared" ca="1" si="1"/>
        <v>Pork</v>
      </c>
      <c r="AZ4" s="18" t="str">
        <f t="shared" ca="1" si="2"/>
        <v>Parsnips (small)</v>
      </c>
      <c r="BA4" s="18" t="str">
        <f t="shared" ca="1" si="6"/>
        <v>chickpeas</v>
      </c>
      <c r="BB4" s="18"/>
    </row>
    <row r="5" spans="1:54" s="13" customFormat="1" ht="35.1" customHeight="1">
      <c r="A5" s="672"/>
      <c r="B5" s="886" t="str">
        <f ca="1">IF($O$3&gt;3,IF(R5="",CONCATENATE(CHOOSE(RANDBETWEEN(1,4),"Roasted","Grilled","Sauteed","Raw","Seasoned")," ",T5,", ",CHOOSE(RANDBETWEEN(1,4),"roasted","grilled","sauteed","raw","seasoned")," ",U5,", and a bowl of ",V5,IF(W5="","",CONCATENATE(". It includes ",W5," slices of bread."))),CONCATENATE(CHOOSE(RANDBETWEEN(1,5),"Baked","Stewed","Grilled","Roasted","Smoked")," ",R5," prepared with ",S5,". The sides are ",CHOOSE(RANDBETWEEN(1,4),"roasted","grilled","sauteed","raw","seasoned")," ",T5,", ",CHOOSE(RANDBETWEEN(1,4),"roasted","grilled","sauteed","raw","seasoned")," ",U5,", and a bowl of ",V5,IF(W5="","",CONCATENATE(". It includes ",W5," slices of bread.")))),"")</f>
        <v/>
      </c>
      <c r="C5" s="887"/>
      <c r="D5" s="887"/>
      <c r="E5" s="887"/>
      <c r="F5" s="887"/>
      <c r="G5" s="887"/>
      <c r="H5" s="887"/>
      <c r="I5" s="887"/>
      <c r="J5" s="887"/>
      <c r="K5" s="888"/>
      <c r="L5" s="884" t="str">
        <f ca="1">IF($O$2&gt;3,INDEX($AD$30:$AD$48,RANDBETWEEN(1,19)),"")</f>
        <v>Sabine</v>
      </c>
      <c r="M5" s="885" t="str">
        <f t="shared" ref="M5:M6" ca="1" si="7">IF(B5="","",ROUNDUP(X5*$O$1,0))</f>
        <v/>
      </c>
      <c r="N5" s="346">
        <f ca="1">IF(L5="","",ROUNDUP(VLOOKUP(L5,$AD$30:$AE$48,2,FALSE)*$O$1,0))</f>
        <v>11</v>
      </c>
      <c r="O5" s="30"/>
      <c r="P5" s="12"/>
      <c r="Q5" s="313"/>
      <c r="R5" s="879" t="str">
        <f ca="1">IF($P$2="Lower",CHOOSE(RANDBETWEEN(1,5),INDEX($AD$63:$AD$111,RANDBETWEEN(1,49)),INDEX($AD$113:$AD$124,RANDBETWEEN(1,12)),"","",""),IF($P$2="Middle",CHOOSE(RANDBETWEEN(1,4),INDEX($AD$63:$AD$111,RANDBETWEEN(1,49)),INDEX($AD$113:$AD$124,RANDBETWEEN(1,12)),"",""),IF($P$2="Upper",CHOOSE(RANDBETWEEN(1,3),INDEX($AD$63:$AD$111,RANDBETWEEN(1,49)),INDEX($AD$113:$AD$124,RANDBETWEEN(1,12)),""),IF($P$2="Noble",CHOOSE(RANDBETWEEN(1,2),INDEX($AD$63:$AD$111,RANDBETWEEN(1,49)),INDEX($AD$113:$AD$124,RANDBETWEEN(1,12))),IF(P2="Royal",CHOOSE(RANDBETWEEN(1,2),INDEX($AD$63:$AD$111,RANDBETWEEN(1,49)),INDEX($AD$113:$AD$124,RANDBETWEEN(1,12))),"")))))</f>
        <v/>
      </c>
      <c r="S5" s="879" t="str">
        <f t="shared" ca="1" si="3"/>
        <v/>
      </c>
      <c r="T5" s="879" t="str">
        <f ca="1">INDEX($AD$126:$AD$224,RANDBETWEEN(1,99))</f>
        <v>Truffle</v>
      </c>
      <c r="U5" s="879" t="str">
        <f ca="1">INDEX($AD$126:$AD$224,RANDBETWEEN(1,99))</f>
        <v>Dried Damsons (Moneaean, fresh)</v>
      </c>
      <c r="V5" s="879" t="str">
        <f ca="1">INDEX($AD$3:$AD$28,RANDBETWEEN(1,26))</f>
        <v>unshelled broad beans</v>
      </c>
      <c r="W5" s="880" t="str">
        <f t="shared" ca="1" si="4"/>
        <v/>
      </c>
      <c r="X5" s="880">
        <f t="shared" ca="1" si="5"/>
        <v>3</v>
      </c>
      <c r="Y5" s="880"/>
      <c r="Z5" s="880"/>
      <c r="AA5" s="13" t="s">
        <v>7601</v>
      </c>
      <c r="AB5" s="895">
        <f ca="1">1+(1/RANDBETWEEN(20,50))</f>
        <v>1.0212765957446808</v>
      </c>
      <c r="AC5" s="47">
        <v>4</v>
      </c>
      <c r="AD5" s="48" t="s">
        <v>7486</v>
      </c>
      <c r="AE5" s="23">
        <v>2</v>
      </c>
      <c r="AF5" s="13" t="s">
        <v>7585</v>
      </c>
      <c r="AH5" s="18"/>
      <c r="AI5" s="18">
        <v>4</v>
      </c>
      <c r="AJ5" s="18" t="s">
        <v>557</v>
      </c>
      <c r="AK5" s="18" t="s">
        <v>558</v>
      </c>
      <c r="AL5" s="18" t="s">
        <v>558</v>
      </c>
      <c r="AM5" s="18" t="s">
        <v>559</v>
      </c>
      <c r="AN5" s="18" t="s">
        <v>560</v>
      </c>
      <c r="AO5" s="18"/>
      <c r="AP5" s="18"/>
      <c r="AQ5" s="18"/>
      <c r="AR5" s="18"/>
      <c r="AS5" s="18"/>
      <c r="AT5" s="18"/>
      <c r="AU5" s="18">
        <v>3</v>
      </c>
      <c r="AV5" s="18" t="s">
        <v>770</v>
      </c>
      <c r="AW5" s="18"/>
      <c r="AX5" s="18">
        <v>4</v>
      </c>
      <c r="AY5" s="18" t="str">
        <f t="shared" ca="1" si="1"/>
        <v>Hen pheasant</v>
      </c>
      <c r="AZ5" s="18" t="str">
        <f t="shared" ca="1" si="2"/>
        <v>Radishes (small)</v>
      </c>
      <c r="BA5" s="18" t="str">
        <f t="shared" ca="1" si="6"/>
        <v>Oats</v>
      </c>
      <c r="BB5" s="18"/>
    </row>
    <row r="6" spans="1:54" s="13" customFormat="1" ht="35.1" customHeight="1" thickBot="1">
      <c r="A6" s="673"/>
      <c r="B6" s="889" t="str">
        <f ca="1">IF($O$3&gt;4,IF(R6="",CONCATENATE(CHOOSE(RANDBETWEEN(1,4),"Roasted","Grilled","Sauteed","Raw","Seasoned")," ",T6,", ",CHOOSE(RANDBETWEEN(1,4),"roasted","grilled","sauteed","raw","seasoned")," ",U6,", and a bowl of ",V6),CONCATENATE(CHOOSE(RANDBETWEEN(1,5),"Baked","Stewed","Grilled","Roasted","Smoked")," ",R6," prepared with ",S6,". The sides are ",CHOOSE(RANDBETWEEN(1,4),"roasted","grilled","sauteed","raw","seasoned")," ",T6,", ",CHOOSE(RANDBETWEEN(1,4),"roasted","grilled","sauteed","raw","seasoned")," ",U6,", and a bowl of ",V6,IF(W6="","",CONCATENATE(". It includes ",W6," slices of bread.")))),"")</f>
        <v/>
      </c>
      <c r="C6" s="890"/>
      <c r="D6" s="890"/>
      <c r="E6" s="890"/>
      <c r="F6" s="890"/>
      <c r="G6" s="890"/>
      <c r="H6" s="890"/>
      <c r="I6" s="890"/>
      <c r="J6" s="890"/>
      <c r="K6" s="891"/>
      <c r="L6" s="892" t="str">
        <f ca="1">IF($O$2&gt;4,INDEX($AD$30:$AD$48,RANDBETWEEN(1,19)),"")</f>
        <v/>
      </c>
      <c r="M6" s="893" t="str">
        <f t="shared" ca="1" si="7"/>
        <v/>
      </c>
      <c r="N6" s="347" t="str">
        <f ca="1">IF(L6="","",ROUNDUP(VLOOKUP(L6,$AD$30:$AE$48,2,FALSE)*$O$1,0))</f>
        <v/>
      </c>
      <c r="O6" s="30"/>
      <c r="P6" s="12"/>
      <c r="Q6" s="313"/>
      <c r="R6" s="879" t="str">
        <f ca="1">IF($P$2="Lower",CHOOSE(RANDBETWEEN(1,5),INDEX($AD$63:$AD$111,RANDBETWEEN(1,49)),INDEX($AD$113:$AD$124,RANDBETWEEN(1,12)),"","",""),IF($P$2="Middle",CHOOSE(RANDBETWEEN(1,4),INDEX($AD$63:$AD$111,RANDBETWEEN(1,49)),INDEX($AD$113:$AD$124,RANDBETWEEN(1,12)),"",""),IF($P$2="Upper",CHOOSE(RANDBETWEEN(1,3),INDEX($AD$63:$AD$111,RANDBETWEEN(1,49)),INDEX($AD$113:$AD$124,RANDBETWEEN(1,12)),""),IF($P$2="Noble",CHOOSE(RANDBETWEEN(1,2),INDEX($AD$63:$AD$111,RANDBETWEEN(1,49)),INDEX($AD$113:$AD$124,RANDBETWEEN(1,12))),IF(P2="Royal",CHOOSE(RANDBETWEEN(1,2),INDEX($AD$63:$AD$111,RANDBETWEEN(1,49)),INDEX($AD$113:$AD$124,RANDBETWEEN(1,12))),"")))))</f>
        <v>fresh sea urchins</v>
      </c>
      <c r="S6" s="879" t="str">
        <f t="shared" ca="1" si="3"/>
        <v>Spiced salt</v>
      </c>
      <c r="T6" s="879" t="str">
        <f ca="1">INDEX($AD$126:$AD$224,RANDBETWEEN(1,99))</f>
        <v>Fresh cheese</v>
      </c>
      <c r="U6" s="879" t="str">
        <f ca="1">INDEX($AD$126:$AD$224,RANDBETWEEN(1,99))</f>
        <v>Snails (small)</v>
      </c>
      <c r="V6" s="879" t="str">
        <f ca="1">INDEX($AD$3:$AD$28,RANDBETWEEN(1,26))</f>
        <v>Rye</v>
      </c>
      <c r="W6" s="880">
        <f t="shared" ca="1" si="4"/>
        <v>3</v>
      </c>
      <c r="X6" s="880">
        <f t="shared" ca="1" si="5"/>
        <v>31</v>
      </c>
      <c r="Y6" s="880"/>
      <c r="Z6" s="880"/>
      <c r="AA6" s="13" t="s">
        <v>7605</v>
      </c>
      <c r="AB6" s="895">
        <f ca="1">1-(1/RANDBETWEEN(5,30))</f>
        <v>0.96296296296296302</v>
      </c>
      <c r="AC6" s="47">
        <v>6</v>
      </c>
      <c r="AD6" s="48" t="s">
        <v>889</v>
      </c>
      <c r="AE6" s="23">
        <v>2</v>
      </c>
      <c r="AF6" s="13" t="s">
        <v>7585</v>
      </c>
      <c r="AH6" s="18"/>
      <c r="AI6" s="18">
        <v>5</v>
      </c>
      <c r="AJ6" s="18" t="s">
        <v>561</v>
      </c>
      <c r="AK6" s="18" t="s">
        <v>562</v>
      </c>
      <c r="AL6" s="18" t="s">
        <v>562</v>
      </c>
      <c r="AM6" s="18" t="s">
        <v>563</v>
      </c>
      <c r="AN6" s="18" t="s">
        <v>564</v>
      </c>
      <c r="AO6" s="18"/>
      <c r="AP6" s="18"/>
      <c r="AQ6" s="18"/>
      <c r="AR6" s="18"/>
      <c r="AS6" s="18"/>
      <c r="AT6" s="18"/>
      <c r="AU6" s="18">
        <v>4</v>
      </c>
      <c r="AV6" s="18" t="s">
        <v>889</v>
      </c>
      <c r="AW6" s="18"/>
      <c r="AX6" s="18">
        <v>5</v>
      </c>
      <c r="AY6" s="18" t="str">
        <f t="shared" ca="1" si="1"/>
        <v>Quails</v>
      </c>
      <c r="AZ6" s="18" t="str">
        <f t="shared" ca="1" si="2"/>
        <v>Large Artichokes</v>
      </c>
      <c r="BA6" s="18" t="str">
        <f t="shared" ca="1" si="6"/>
        <v>chickpeas</v>
      </c>
      <c r="BB6" s="18"/>
    </row>
    <row r="7" spans="1:54" ht="24.95" customHeight="1" thickBot="1">
      <c r="A7" s="12"/>
      <c r="B7" s="12"/>
      <c r="C7" s="12"/>
      <c r="D7" s="12"/>
      <c r="E7" s="12"/>
      <c r="F7" s="12"/>
      <c r="G7" s="12"/>
      <c r="H7" s="12"/>
      <c r="I7" s="12"/>
      <c r="J7" s="12"/>
      <c r="K7" s="12"/>
      <c r="L7" s="11"/>
      <c r="M7" s="24"/>
      <c r="N7" s="12"/>
      <c r="O7" s="278"/>
      <c r="P7" s="12"/>
      <c r="Q7" s="12"/>
      <c r="R7" s="12"/>
      <c r="S7" s="12"/>
      <c r="T7" s="12"/>
      <c r="U7" s="12"/>
      <c r="V7" s="12"/>
      <c r="W7" s="12"/>
      <c r="X7" s="12"/>
      <c r="Y7" s="12"/>
      <c r="Z7" s="12"/>
      <c r="AC7" s="49">
        <v>7</v>
      </c>
      <c r="AD7" s="50" t="s">
        <v>890</v>
      </c>
      <c r="AE7" s="1">
        <v>1</v>
      </c>
      <c r="AF7" t="s">
        <v>7585</v>
      </c>
      <c r="AI7" s="32">
        <v>6</v>
      </c>
      <c r="AJ7" s="32" t="s">
        <v>565</v>
      </c>
      <c r="AK7" s="32" t="s">
        <v>566</v>
      </c>
      <c r="AL7" s="32" t="s">
        <v>566</v>
      </c>
      <c r="AM7" s="32" t="s">
        <v>567</v>
      </c>
      <c r="AN7" s="32" t="s">
        <v>568</v>
      </c>
      <c r="AU7" s="32">
        <v>5</v>
      </c>
      <c r="AV7" s="32" t="s">
        <v>890</v>
      </c>
      <c r="AX7" s="32">
        <v>6</v>
      </c>
      <c r="AY7" s="18" t="str">
        <f t="shared" ca="1" si="1"/>
        <v>Fattened pheasant</v>
      </c>
      <c r="AZ7" s="18" t="str">
        <f t="shared" ca="1" si="2"/>
        <v>Turnips (large)</v>
      </c>
      <c r="BA7" s="18" t="str">
        <f t="shared" ca="1" si="6"/>
        <v>cooked lupines</v>
      </c>
    </row>
    <row r="8" spans="1:54" ht="30" customHeight="1">
      <c r="A8" s="105" t="str">
        <f>$B$84</f>
        <v>Your first impression is that it is:</v>
      </c>
      <c r="B8" s="562" t="str">
        <f ca="1">INDEX($B$85:$B$104,RANDBETWEEN(1,20))</f>
        <v>Charming, and nearly quaint.</v>
      </c>
      <c r="C8" s="894"/>
      <c r="D8" s="563"/>
      <c r="E8" s="108"/>
      <c r="F8" s="666" t="s">
        <v>2467</v>
      </c>
      <c r="G8" s="667"/>
      <c r="H8" s="667"/>
      <c r="I8" s="668"/>
      <c r="J8" s="669" t="str">
        <f ca="1">CONCATENATE(INDEX($B$110:$B$121,RANDBETWEEN(1,12))," It is drawing ",INDEX($M$110:$M$114,RANDBETWEEN(1,5))," of the patrons.")</f>
        <v>HORSESHOES. It is drawing A COUPLE of the patrons.</v>
      </c>
      <c r="K8" s="670"/>
      <c r="L8" s="670"/>
      <c r="M8" s="670"/>
      <c r="N8" s="671"/>
      <c r="O8" s="278"/>
      <c r="P8" s="12"/>
      <c r="Q8" s="12"/>
      <c r="R8" s="12"/>
      <c r="S8" s="12"/>
      <c r="T8" s="12"/>
      <c r="U8" s="12"/>
      <c r="V8" s="12"/>
      <c r="W8" s="12"/>
      <c r="X8" s="12"/>
      <c r="Y8" s="12"/>
      <c r="Z8" s="12"/>
      <c r="AC8" s="49">
        <v>8</v>
      </c>
      <c r="AD8" s="50" t="s">
        <v>771</v>
      </c>
      <c r="AE8" s="1">
        <v>5</v>
      </c>
      <c r="AF8" t="s">
        <v>7585</v>
      </c>
      <c r="AI8" s="32">
        <v>7</v>
      </c>
      <c r="AJ8" s="32" t="s">
        <v>569</v>
      </c>
      <c r="AK8" s="32" t="s">
        <v>570</v>
      </c>
      <c r="AL8" s="32" t="s">
        <v>570</v>
      </c>
      <c r="AM8" s="32" t="s">
        <v>571</v>
      </c>
      <c r="AN8" s="32" t="s">
        <v>572</v>
      </c>
      <c r="AU8" s="32">
        <v>6</v>
      </c>
      <c r="AV8" s="32" t="s">
        <v>771</v>
      </c>
      <c r="AX8" s="32">
        <v>7</v>
      </c>
      <c r="AY8" s="18" t="str">
        <f t="shared" ca="1" si="1"/>
        <v>Hen pheasant</v>
      </c>
      <c r="AZ8" s="18" t="str">
        <f t="shared" ca="1" si="2"/>
        <v>Dried Damsons (Moneaean, old)</v>
      </c>
      <c r="BA8" s="18" t="str">
        <f t="shared" ca="1" si="6"/>
        <v>hulled spelt grits</v>
      </c>
    </row>
    <row r="9" spans="1:54" ht="30" customHeight="1">
      <c r="A9" s="106" t="str">
        <f>$C$84</f>
        <v>The front door is:</v>
      </c>
      <c r="B9" s="691" t="str">
        <f ca="1">INDEX($C$85:$C$91,RANDBETWEEN(1,7))</f>
        <v>Thick wood</v>
      </c>
      <c r="C9" s="692"/>
      <c r="D9" s="693"/>
      <c r="E9" s="108"/>
      <c r="F9" s="660" t="s">
        <v>2456</v>
      </c>
      <c r="G9" s="661"/>
      <c r="H9" s="661"/>
      <c r="I9" s="662"/>
      <c r="J9" s="663" t="str">
        <f ca="1">INDEX($C$110:$C$121,RANDBETWEEN(1,12))</f>
        <v>AN INDIVIDUAL insisting they can cleanse the bar of evil.</v>
      </c>
      <c r="K9" s="664"/>
      <c r="L9" s="664"/>
      <c r="M9" s="664"/>
      <c r="N9" s="665"/>
      <c r="O9" s="278"/>
      <c r="P9" s="12"/>
      <c r="Q9" s="12"/>
      <c r="R9" s="12"/>
      <c r="S9" s="12"/>
      <c r="T9" s="12"/>
      <c r="U9" s="12"/>
      <c r="V9" s="12"/>
      <c r="W9" s="12"/>
      <c r="X9" s="12"/>
      <c r="Y9" s="12"/>
      <c r="Z9" s="12"/>
      <c r="AC9" s="49">
        <v>9</v>
      </c>
      <c r="AD9" s="50" t="s">
        <v>772</v>
      </c>
      <c r="AE9" s="1">
        <v>2</v>
      </c>
      <c r="AF9" t="s">
        <v>7585</v>
      </c>
      <c r="AI9" s="32">
        <v>8</v>
      </c>
      <c r="AJ9" s="32" t="s">
        <v>573</v>
      </c>
      <c r="AK9" s="32" t="s">
        <v>574</v>
      </c>
      <c r="AL9" s="32" t="s">
        <v>574</v>
      </c>
      <c r="AM9" s="32" t="s">
        <v>575</v>
      </c>
      <c r="AN9" s="32" t="s">
        <v>576</v>
      </c>
      <c r="AU9" s="32">
        <v>7</v>
      </c>
      <c r="AV9" s="32" t="s">
        <v>772</v>
      </c>
      <c r="AX9" s="32">
        <v>8</v>
      </c>
      <c r="AY9" s="18" t="str">
        <f t="shared" ca="1" si="1"/>
        <v>Thrushes</v>
      </c>
      <c r="AZ9" s="18" t="str">
        <f t="shared" ca="1" si="2"/>
        <v>Shelled Almonds</v>
      </c>
      <c r="BA9" s="18" t="str">
        <f t="shared" ca="1" si="6"/>
        <v>ground wheat</v>
      </c>
    </row>
    <row r="10" spans="1:54" ht="30" customHeight="1">
      <c r="A10" s="106" t="str">
        <f>$D$84</f>
        <v>Once inside, you see that it is:</v>
      </c>
      <c r="B10" s="691" t="str">
        <f ca="1">CONCATENATE(INDEX($D$85:$D$94,RANDBETWEEN(1,10)),", ",INDEX($E$85:$E$91,RANDBETWEEN(1,7)),", and ",INDEX($F$85:$F$95,RANDBETWEEN(1,11)))</f>
        <v>Cold, Damp, and Recently upgraded</v>
      </c>
      <c r="C10" s="692"/>
      <c r="D10" s="693"/>
      <c r="E10" s="108"/>
      <c r="F10" s="660" t="s">
        <v>2455</v>
      </c>
      <c r="G10" s="661"/>
      <c r="H10" s="661"/>
      <c r="I10" s="662"/>
      <c r="J10" s="663" t="str">
        <f ca="1">INDEX($D$110:$D$115,RANDBETWEEN(1,6))</f>
        <v>Tonight's special cocktail: Suckerpunch. Each glass of this potent purple-red punch has several small writhing tentacles that reach out of the glass to attach to your face with their suckers. It actually feels kind of nice.</v>
      </c>
      <c r="K10" s="664"/>
      <c r="L10" s="664"/>
      <c r="M10" s="664"/>
      <c r="N10" s="665"/>
      <c r="O10" s="278"/>
      <c r="P10" s="12"/>
      <c r="Q10" s="12"/>
      <c r="R10" s="12"/>
      <c r="S10" s="12"/>
      <c r="T10" s="12"/>
      <c r="U10" s="12"/>
      <c r="V10" s="12"/>
      <c r="W10" s="12"/>
      <c r="X10" s="12"/>
      <c r="Y10" s="12"/>
      <c r="Z10" s="12"/>
      <c r="AC10" s="49">
        <v>16</v>
      </c>
      <c r="AD10" s="50" t="s">
        <v>892</v>
      </c>
      <c r="AE10" s="1">
        <v>2</v>
      </c>
      <c r="AF10" t="s">
        <v>7585</v>
      </c>
      <c r="AI10" s="32">
        <v>9</v>
      </c>
      <c r="AJ10" s="32" t="s">
        <v>577</v>
      </c>
      <c r="AK10" s="32" t="s">
        <v>578</v>
      </c>
      <c r="AL10" s="32" t="s">
        <v>578</v>
      </c>
      <c r="AM10" s="32" t="s">
        <v>579</v>
      </c>
      <c r="AN10" s="32" t="s">
        <v>580</v>
      </c>
      <c r="AU10" s="32">
        <v>8</v>
      </c>
      <c r="AV10" s="32" t="s">
        <v>891</v>
      </c>
      <c r="AX10" s="32">
        <v>9</v>
      </c>
      <c r="AY10" s="18" t="str">
        <f t="shared" ca="1" si="1"/>
        <v>wild Turtle dove</v>
      </c>
      <c r="AZ10" s="18" t="str">
        <f t="shared" ca="1" si="2"/>
        <v>Rosehips</v>
      </c>
      <c r="BA10" s="18" t="str">
        <f t="shared" ca="1" si="6"/>
        <v>shelled broad beans</v>
      </c>
    </row>
    <row r="11" spans="1:54" ht="30" customHeight="1">
      <c r="A11" s="106" t="str">
        <f>$G$84</f>
        <v xml:space="preserve">Most of the tables are </v>
      </c>
      <c r="B11" s="691" t="str">
        <f ca="1">INDEX($G$85:$G$104,RANDBETWEEN(1,4))</f>
        <v>Packed</v>
      </c>
      <c r="C11" s="692"/>
      <c r="D11" s="693"/>
      <c r="E11" s="108"/>
      <c r="F11" s="660" t="s">
        <v>2457</v>
      </c>
      <c r="G11" s="661"/>
      <c r="H11" s="661"/>
      <c r="I11" s="662"/>
      <c r="J11" s="663" t="str">
        <f ca="1">INDEX($E$110:$E$126,RANDBETWEEN(1,17))</f>
        <v>A GROUP OF MEN are loudly discussing a caravan they raided.</v>
      </c>
      <c r="K11" s="664"/>
      <c r="L11" s="664"/>
      <c r="M11" s="664"/>
      <c r="N11" s="665"/>
      <c r="O11" s="278"/>
      <c r="P11" s="12"/>
      <c r="Q11" s="12"/>
      <c r="R11" s="12"/>
      <c r="S11" s="12"/>
      <c r="T11" s="12"/>
      <c r="U11" s="12"/>
      <c r="V11" s="12"/>
      <c r="W11" s="12"/>
      <c r="X11" s="12"/>
      <c r="Y11" s="12"/>
      <c r="Z11" s="12"/>
      <c r="AC11" s="49">
        <v>17</v>
      </c>
      <c r="AD11" s="50" t="s">
        <v>773</v>
      </c>
      <c r="AE11" s="1">
        <v>2</v>
      </c>
      <c r="AF11" t="s">
        <v>7585</v>
      </c>
      <c r="AI11" s="32">
        <v>10</v>
      </c>
      <c r="AJ11" s="32" t="s">
        <v>581</v>
      </c>
      <c r="AK11" s="32" t="s">
        <v>582</v>
      </c>
      <c r="AL11" s="32" t="s">
        <v>582</v>
      </c>
      <c r="AM11" s="32" t="s">
        <v>583</v>
      </c>
      <c r="AN11" s="32" t="s">
        <v>584</v>
      </c>
      <c r="AU11" s="32">
        <v>9</v>
      </c>
      <c r="AV11" s="32" t="s">
        <v>892</v>
      </c>
      <c r="AX11" s="32">
        <v>10</v>
      </c>
      <c r="AY11" s="18" t="str">
        <f t="shared" ca="1" si="1"/>
        <v>Chickens</v>
      </c>
      <c r="AZ11" s="18" t="str">
        <f t="shared" ca="1" si="2"/>
        <v>Quinces (small)</v>
      </c>
      <c r="BA11" s="18" t="str">
        <f t="shared" ca="1" si="6"/>
        <v>sweet peas</v>
      </c>
    </row>
    <row r="12" spans="1:54" ht="30" customHeight="1" thickBot="1">
      <c r="A12" s="106" t="str">
        <f>$H$84</f>
        <v xml:space="preserve">The atmosphere is </v>
      </c>
      <c r="B12" s="691" t="str">
        <f ca="1">INDEX($H$85:$H$95,RANDBETWEEN(1,11))</f>
        <v>Unpleasant</v>
      </c>
      <c r="C12" s="692"/>
      <c r="D12" s="693"/>
      <c r="E12" s="108"/>
      <c r="F12" s="639" t="s">
        <v>2458</v>
      </c>
      <c r="G12" s="640"/>
      <c r="H12" s="640"/>
      <c r="I12" s="641"/>
      <c r="J12" s="642" t="str">
        <f ca="1">INDEX($F$110:$F$149,RANDBETWEEN(1,40))</f>
        <v>They accept a generous line of credit</v>
      </c>
      <c r="K12" s="643"/>
      <c r="L12" s="643"/>
      <c r="M12" s="643"/>
      <c r="N12" s="644"/>
      <c r="O12" s="278"/>
      <c r="P12" s="12"/>
      <c r="Q12" s="12"/>
      <c r="R12" s="12"/>
      <c r="S12" s="12"/>
      <c r="T12" s="12"/>
      <c r="U12" s="12"/>
      <c r="V12" s="12"/>
      <c r="W12" s="12"/>
      <c r="X12" s="12"/>
      <c r="Y12" s="12"/>
      <c r="Z12" s="12"/>
      <c r="AC12" s="49">
        <v>18</v>
      </c>
      <c r="AD12" s="50" t="s">
        <v>7487</v>
      </c>
      <c r="AE12" s="1">
        <v>1</v>
      </c>
      <c r="AF12" t="s">
        <v>7585</v>
      </c>
      <c r="AI12" s="32">
        <v>11</v>
      </c>
      <c r="AK12" s="32" t="s">
        <v>585</v>
      </c>
      <c r="AL12" s="32" t="s">
        <v>585</v>
      </c>
      <c r="AM12" s="32" t="s">
        <v>586</v>
      </c>
      <c r="AN12" s="32" t="s">
        <v>587</v>
      </c>
      <c r="AU12" s="32">
        <v>10</v>
      </c>
      <c r="AV12" s="32" t="s">
        <v>773</v>
      </c>
      <c r="AX12" s="32">
        <v>11</v>
      </c>
      <c r="AY12" s="32" t="str">
        <f ca="1">INDEX($AD$113:$AD$124,RANDBETWEEN(1,12))</f>
        <v>Sea fish</v>
      </c>
      <c r="AZ12" s="18" t="str">
        <f t="shared" ca="1" si="2"/>
        <v>Onions (green, small)</v>
      </c>
      <c r="BA12" s="18" t="str">
        <f t="shared" ca="1" si="6"/>
        <v>shelled peas</v>
      </c>
    </row>
    <row r="13" spans="1:54" ht="45" customHeight="1" thickBot="1">
      <c r="A13" s="107" t="str">
        <f>$I$84</f>
        <v>Firepit</v>
      </c>
      <c r="B13" s="697" t="str">
        <f ca="1">INDEX($I$85:$I$89,RANDBETWEEN(1,4))</f>
        <v>The hearth is cool and cold, like there has been no fire lately</v>
      </c>
      <c r="C13" s="698"/>
      <c r="D13" s="699"/>
      <c r="E13" s="108"/>
      <c r="F13" s="654" t="s">
        <v>6386</v>
      </c>
      <c r="G13" s="655"/>
      <c r="H13" s="655"/>
      <c r="I13" s="656"/>
      <c r="J13" s="659" t="str">
        <f ca="1">CHOOSE(RANDBETWEEN(1,2),CONCATENATE("Recently, I heard that ",INDEX($N$109:$N$128,RANDBETWEEN(1,20))," ",INDEX($O$109:$O$128,RANDBETWEEN(1,20))," was seen with ",INDEX($P$109:$P$128,RANDBETWEEN(1,20))," down near ",INDEX($Q$109:$Q$128,RANDBETWEEN(1,20))," and, get this, nearby there was ",INDEX($R$109:$R$128,RANDBETWEEN(1,20)),". I heard it from ",INDEX($S$109:$S$128,RANDBETWEEN(1,20))," so it ",INDEX($T$109:$T$128,RANDBETWEEN(1,20)),". Who knows."),CONCATENATE(CHOOSE(RANDBETWEEN(1,8),"My mother","My father","My brother","My sister","My cousin","My friend","My coworker","My neighbor")," told me about ",INDEX($N$135:$N$144,RANDBETWEEN(1,10))," that ",INDEX($O$135:$O$144,RANDBETWEEN(1,10))," and discovered ",INDEX($P$135:$P$144,RANDBETWEEN(1,10))," And now ",INDEX($Q$135:$Q$144,RANDBETWEEN(1,10))))</f>
        <v>Recently, I heard that one night last week a pirate was seen with a prostitute down near the mages guild and, get this, nearby there was a werewolf. I heard it from a grocer so it must be true. Who knows.</v>
      </c>
      <c r="K13" s="657"/>
      <c r="L13" s="657"/>
      <c r="M13" s="657"/>
      <c r="N13" s="658"/>
      <c r="O13" s="278"/>
      <c r="P13" s="12"/>
      <c r="Q13" s="12"/>
      <c r="R13" s="12"/>
      <c r="S13" s="12"/>
      <c r="T13" s="12"/>
      <c r="U13" s="12"/>
      <c r="V13" s="12"/>
      <c r="W13" s="12"/>
      <c r="X13" s="12"/>
      <c r="Y13" s="12"/>
      <c r="Z13" s="12"/>
      <c r="AC13" s="49">
        <v>19</v>
      </c>
      <c r="AD13" s="50" t="s">
        <v>894</v>
      </c>
      <c r="AE13" s="1">
        <v>1</v>
      </c>
      <c r="AF13" t="s">
        <v>7585</v>
      </c>
      <c r="AI13" s="32">
        <v>12</v>
      </c>
      <c r="AK13" s="32" t="s">
        <v>588</v>
      </c>
      <c r="AL13" s="32" t="s">
        <v>588</v>
      </c>
      <c r="AM13" s="32" t="s">
        <v>589</v>
      </c>
      <c r="AN13" s="32" t="s">
        <v>590</v>
      </c>
      <c r="AU13" s="32">
        <v>11</v>
      </c>
      <c r="AV13" s="32" t="s">
        <v>893</v>
      </c>
      <c r="AX13" s="32">
        <v>12</v>
      </c>
      <c r="AY13" s="32" t="str">
        <f ca="1">INDEX($AD$113:$AD$124,RANDBETWEEN(1,12))</f>
        <v>Oysters</v>
      </c>
      <c r="AZ13" s="18" t="str">
        <f t="shared" ca="1" si="2"/>
        <v>Cabbage sprouts</v>
      </c>
      <c r="BA13" s="18" t="str">
        <f t="shared" ca="1" si="6"/>
        <v>ground wheat</v>
      </c>
    </row>
    <row r="14" spans="1:54" ht="65.099999999999994" customHeight="1" thickBot="1">
      <c r="A14" s="12"/>
      <c r="B14" s="12"/>
      <c r="C14" s="12"/>
      <c r="D14" s="12"/>
      <c r="E14" s="108"/>
      <c r="F14" s="654" t="s">
        <v>6795</v>
      </c>
      <c r="G14" s="655"/>
      <c r="H14" s="655"/>
      <c r="I14" s="656"/>
      <c r="J14" s="659" t="str">
        <f ca="1">CONCATENATE(INDEX($N$150:$N$159,RANDBETWEEN(1,10))," ",INDEX($O$151:$O$170,RANDBETWEEN(1,20))," ",INDEX($P$151:$P$250,RANDBETWEEN(1,100)),", ",INDEX($Q$151:$Q$170,RANDBETWEEN(1,20))," ",INDEX($R$151:$R$170,RANDBETWEEN(1,20)),". People say that ",INDEX($S$151:$S$160,RANDBETWEEN(1,10))," ",INDEX($T$151:$T$160,RANDBETWEEN(1,6))," ",INDEX($U$151:$U$170,RANDBETWEEN(1,20)))</f>
        <v>Etched into a stone is the warning of a  ever burning  sanctuary, long forgotten  below the city. People say that people who’ve seen it starts rambling in a strange language. Might explain why, a collector of sorts  starts singing and dancing, when asked about the place.</v>
      </c>
      <c r="K14" s="657"/>
      <c r="L14" s="657"/>
      <c r="M14" s="657"/>
      <c r="N14" s="658"/>
      <c r="O14" s="278"/>
      <c r="P14" s="12"/>
      <c r="Q14" s="12"/>
      <c r="R14" s="12"/>
      <c r="S14" s="12"/>
      <c r="T14" s="12"/>
      <c r="U14" s="12"/>
      <c r="V14" s="12"/>
      <c r="W14" s="12"/>
      <c r="X14" s="12"/>
      <c r="Y14" s="12"/>
      <c r="Z14" s="12"/>
      <c r="AC14" s="49">
        <v>20</v>
      </c>
      <c r="AD14" s="50" t="s">
        <v>7488</v>
      </c>
      <c r="AE14" s="1">
        <v>2</v>
      </c>
      <c r="AF14" t="s">
        <v>7585</v>
      </c>
      <c r="AI14" s="32">
        <v>13</v>
      </c>
      <c r="AK14" s="32" t="s">
        <v>591</v>
      </c>
      <c r="AL14" s="32" t="s">
        <v>591</v>
      </c>
      <c r="AM14" s="32" t="s">
        <v>592</v>
      </c>
      <c r="AN14" s="32" t="s">
        <v>593</v>
      </c>
      <c r="AU14" s="32">
        <v>12</v>
      </c>
      <c r="AV14" s="32" t="s">
        <v>894</v>
      </c>
      <c r="AX14" s="32">
        <v>13</v>
      </c>
      <c r="AY14" s="32" t="str">
        <f ca="1">INDEX($AD$113:$AD$124,RANDBETWEEN(1,12))</f>
        <v>Salted fish</v>
      </c>
      <c r="AZ14" s="18" t="str">
        <f t="shared" ca="1" si="2"/>
        <v>Large Artichokes</v>
      </c>
      <c r="BA14" s="18" t="str">
        <f t="shared" ca="1" si="6"/>
        <v>chickpeas</v>
      </c>
    </row>
    <row r="15" spans="1:54" s="13" customFormat="1" ht="30" customHeight="1" thickBot="1">
      <c r="A15" s="12"/>
      <c r="B15" s="12"/>
      <c r="C15" s="12"/>
      <c r="D15" s="12"/>
      <c r="E15" s="12"/>
      <c r="F15" s="12"/>
      <c r="G15" s="12"/>
      <c r="H15" s="12"/>
      <c r="I15" s="12"/>
      <c r="J15" s="12"/>
      <c r="K15" s="12"/>
      <c r="L15" s="100"/>
      <c r="M15" s="100"/>
      <c r="N15" s="100"/>
      <c r="O15" s="278"/>
      <c r="P15" s="12"/>
      <c r="Q15" s="12"/>
      <c r="R15" s="12"/>
      <c r="S15" s="12"/>
      <c r="T15" s="12"/>
      <c r="U15" s="12"/>
      <c r="V15" s="12"/>
      <c r="W15" s="12"/>
      <c r="X15" s="12"/>
      <c r="Y15" s="12"/>
      <c r="Z15" s="12"/>
      <c r="AC15" s="47">
        <v>21</v>
      </c>
      <c r="AD15" s="48" t="s">
        <v>7489</v>
      </c>
      <c r="AE15" s="23">
        <v>1</v>
      </c>
      <c r="AF15" s="13" t="s">
        <v>7585</v>
      </c>
      <c r="AH15" s="18"/>
      <c r="AI15" s="18">
        <v>14</v>
      </c>
      <c r="AJ15" s="18"/>
      <c r="AK15" s="18" t="s">
        <v>594</v>
      </c>
      <c r="AL15" s="18" t="s">
        <v>594</v>
      </c>
      <c r="AM15" s="18" t="s">
        <v>595</v>
      </c>
      <c r="AN15" s="18" t="s">
        <v>596</v>
      </c>
      <c r="AO15" s="18"/>
      <c r="AP15" s="18"/>
      <c r="AQ15" s="18"/>
      <c r="AR15" s="18"/>
      <c r="AS15" s="18"/>
      <c r="AT15" s="18"/>
      <c r="AU15" s="18">
        <v>13</v>
      </c>
      <c r="AV15" s="18" t="s">
        <v>895</v>
      </c>
      <c r="AW15" s="18"/>
      <c r="AX15" s="32">
        <v>14</v>
      </c>
      <c r="AY15" s="32" t="str">
        <f ca="1">INDEX($AD$113:$AD$124,RANDBETWEEN(1,12))</f>
        <v>poor River fish</v>
      </c>
      <c r="AZ15" s="18" t="str">
        <f t="shared" ca="1" si="2"/>
        <v>Olives from Tarsus</v>
      </c>
      <c r="BA15" s="18" t="str">
        <f t="shared" ca="1" si="6"/>
        <v>sesame</v>
      </c>
      <c r="BB15" s="18"/>
    </row>
    <row r="16" spans="1:54" s="13" customFormat="1" ht="30" customHeight="1">
      <c r="A16" s="645" t="s">
        <v>2459</v>
      </c>
      <c r="B16" s="93" t="s">
        <v>2416</v>
      </c>
      <c r="C16" s="426" t="str">
        <f ca="1">CONCATENATE(INDEX('NPC''s'!$I$106:$I$115,RANDBETWEEN(1,10))," in stature, with a ",INDEX('NPC''s'!$J$106:$J$125,RANDBETWEEN(1,20))," body, and ",INDEX('NPC''s'!$K$106:$K$111,RANDBETWEEN(1,6)))</f>
        <v>AVERAGE  in stature, with a THIN AND PETITE body, and A LIGHT TOUCH.</v>
      </c>
      <c r="D16" s="426"/>
      <c r="E16" s="426"/>
      <c r="F16" s="426"/>
      <c r="G16" s="426"/>
      <c r="H16" s="426"/>
      <c r="I16" s="426"/>
      <c r="J16" s="426"/>
      <c r="K16" s="427"/>
      <c r="L16" s="24"/>
      <c r="M16" s="648" t="str">
        <f>$N$84</f>
        <v>The Barkeep greets you with:</v>
      </c>
      <c r="N16" s="650" t="str">
        <f ca="1">INDEX($N$85:$N$92,RANDBETWEEN(1,8))</f>
        <v>A mug of ale.</v>
      </c>
      <c r="O16" s="278"/>
      <c r="P16" s="12"/>
      <c r="Q16" s="12"/>
      <c r="R16" s="12"/>
      <c r="S16" s="12"/>
      <c r="T16" s="12"/>
      <c r="U16" s="12"/>
      <c r="V16" s="12"/>
      <c r="W16" s="12"/>
      <c r="X16" s="12"/>
      <c r="Y16" s="12"/>
      <c r="Z16" s="12"/>
      <c r="AC16" s="47">
        <v>22</v>
      </c>
      <c r="AD16" s="48" t="s">
        <v>774</v>
      </c>
      <c r="AE16" s="23">
        <v>2</v>
      </c>
      <c r="AF16" s="13" t="s">
        <v>7585</v>
      </c>
      <c r="AH16" s="18"/>
      <c r="AI16" s="18">
        <v>15</v>
      </c>
      <c r="AJ16" s="18"/>
      <c r="AK16" s="18" t="s">
        <v>597</v>
      </c>
      <c r="AL16" s="18" t="s">
        <v>597</v>
      </c>
      <c r="AM16" s="18" t="s">
        <v>598</v>
      </c>
      <c r="AN16" s="18" t="s">
        <v>599</v>
      </c>
      <c r="AO16" s="18"/>
      <c r="AP16" s="18"/>
      <c r="AQ16" s="18"/>
      <c r="AR16" s="18"/>
      <c r="AS16" s="18"/>
      <c r="AT16" s="18"/>
      <c r="AU16" s="18">
        <v>14</v>
      </c>
      <c r="AV16" s="18" t="s">
        <v>896</v>
      </c>
      <c r="AW16" s="18"/>
      <c r="AX16" s="32">
        <v>15</v>
      </c>
      <c r="AY16" s="32" t="str">
        <f ca="1">INDEX($AD$113:$AD$124,RANDBETWEEN(1,12))</f>
        <v>Sea mussels</v>
      </c>
      <c r="AZ16" s="18" t="str">
        <f t="shared" ca="1" si="2"/>
        <v>Gourds (small)</v>
      </c>
      <c r="BA16" s="18" t="str">
        <f t="shared" ca="1" si="6"/>
        <v>lentils</v>
      </c>
      <c r="BB16" s="18"/>
    </row>
    <row r="17" spans="1:54" s="13" customFormat="1" ht="30" customHeight="1" thickBot="1">
      <c r="A17" s="646"/>
      <c r="B17" s="94" t="s">
        <v>2415</v>
      </c>
      <c r="C17" s="422" t="str">
        <f ca="1">CONCATENATE(INDEX('NPC''s'!$B$106:$B$125,RANDBETWEEN(1,20)),", ",INDEX('NPC''s'!$C$106:$C$117,RANDBETWEEN(1,12)),", and ",INDEX('NPC''s'!$D$106:$D$115,RANDBETWEEN(1,10)),". They have ",INDEX('NPC''s'!$H$106:$H$113,RANDBETWEEN(1,8)),", ",INDEX('NPC''s'!$E$106:$E$117,RANDBETWEEN(1,12)),", ",INDEX('NPC''s'!$F$106:$F$113,RANDBETWEEN(1,8)),", and ",INDEX('NPC''s'!$G$106:$G$125,RANDBETWEEN(1,20)))</f>
        <v>PENETRATING EYES, EARS THAT STICK OUT, and PURSED LIPS. They have TERRIBLE SCARRING, AN ANGULAR NOSE, AN UNDERBITE, and SHORT-CROPPED HAIR</v>
      </c>
      <c r="D17" s="422"/>
      <c r="E17" s="422"/>
      <c r="F17" s="422"/>
      <c r="G17" s="422"/>
      <c r="H17" s="422"/>
      <c r="I17" s="422"/>
      <c r="J17" s="422"/>
      <c r="K17" s="423"/>
      <c r="L17" s="31"/>
      <c r="M17" s="649"/>
      <c r="N17" s="651"/>
      <c r="O17" s="278"/>
      <c r="P17" s="12"/>
      <c r="Q17" s="12"/>
      <c r="R17" s="12"/>
      <c r="S17" s="12"/>
      <c r="T17" s="12"/>
      <c r="U17" s="12"/>
      <c r="V17" s="12"/>
      <c r="W17" s="12"/>
      <c r="X17" s="12"/>
      <c r="Y17" s="12"/>
      <c r="Z17" s="12"/>
      <c r="AC17" s="47">
        <v>23</v>
      </c>
      <c r="AD17" s="48" t="s">
        <v>897</v>
      </c>
      <c r="AE17" s="23">
        <v>2</v>
      </c>
      <c r="AF17" s="13" t="s">
        <v>7585</v>
      </c>
      <c r="AH17" s="18"/>
      <c r="AI17" s="18">
        <v>16</v>
      </c>
      <c r="AJ17" s="18"/>
      <c r="AK17" s="18" t="s">
        <v>600</v>
      </c>
      <c r="AL17" s="18" t="s">
        <v>600</v>
      </c>
      <c r="AM17" s="18" t="s">
        <v>601</v>
      </c>
      <c r="AN17" s="18"/>
      <c r="AO17" s="18"/>
      <c r="AP17" s="18"/>
      <c r="AQ17" s="18"/>
      <c r="AR17" s="18"/>
      <c r="AS17" s="18"/>
      <c r="AT17" s="18"/>
      <c r="AU17" s="18">
        <v>15</v>
      </c>
      <c r="AV17" s="18" t="s">
        <v>774</v>
      </c>
      <c r="AW17" s="18"/>
      <c r="AX17" s="32">
        <v>16</v>
      </c>
      <c r="AZ17" s="18" t="str">
        <f t="shared" ca="1" si="2"/>
        <v>Lettuce</v>
      </c>
      <c r="BA17" s="18" t="str">
        <f t="shared" ca="1" si="6"/>
        <v>raw lupines</v>
      </c>
      <c r="BB17" s="18"/>
    </row>
    <row r="18" spans="1:54" s="13" customFormat="1" ht="30" customHeight="1" thickBot="1">
      <c r="A18" s="646"/>
      <c r="B18" s="94" t="s">
        <v>2417</v>
      </c>
      <c r="C18" s="422" t="str">
        <f ca="1">CONCATENATE(INDEX('NPC''s'!$M$106:$M$117,RANDBETWEEN(1,12)),", made of ",INDEX('NPC''s'!$N$106:$N$115,RANDBETWEEN(1,10)))</f>
        <v>A BRACELET, made of BRONZE</v>
      </c>
      <c r="D18" s="422"/>
      <c r="E18" s="422"/>
      <c r="F18" s="422"/>
      <c r="G18" s="422"/>
      <c r="H18" s="422"/>
      <c r="I18" s="422"/>
      <c r="J18" s="422"/>
      <c r="K18" s="423"/>
      <c r="L18" s="31"/>
      <c r="M18" s="31"/>
      <c r="N18" s="31"/>
      <c r="O18" s="278"/>
      <c r="P18" s="12"/>
      <c r="Q18" s="12"/>
      <c r="R18" s="12"/>
      <c r="S18" s="12"/>
      <c r="T18" s="12"/>
      <c r="U18" s="12"/>
      <c r="V18" s="12"/>
      <c r="W18" s="12"/>
      <c r="X18" s="12"/>
      <c r="Y18" s="12"/>
      <c r="Z18" s="12"/>
      <c r="AC18" s="47">
        <v>24</v>
      </c>
      <c r="AD18" s="48" t="s">
        <v>775</v>
      </c>
      <c r="AE18" s="23">
        <v>1</v>
      </c>
      <c r="AF18" s="13" t="s">
        <v>7585</v>
      </c>
      <c r="AH18" s="18"/>
      <c r="AI18" s="18">
        <v>17</v>
      </c>
      <c r="AJ18" s="18"/>
      <c r="AK18" s="18" t="s">
        <v>602</v>
      </c>
      <c r="AL18" s="18" t="s">
        <v>602</v>
      </c>
      <c r="AM18" s="18" t="s">
        <v>603</v>
      </c>
      <c r="AN18" s="18"/>
      <c r="AO18" s="18"/>
      <c r="AP18" s="18"/>
      <c r="AQ18" s="18"/>
      <c r="AR18" s="18"/>
      <c r="AS18" s="18"/>
      <c r="AT18" s="18"/>
      <c r="AU18" s="18">
        <v>16</v>
      </c>
      <c r="AV18" s="18" t="s">
        <v>897</v>
      </c>
      <c r="AW18" s="18"/>
      <c r="AX18" s="32">
        <v>17</v>
      </c>
      <c r="AZ18" s="18" t="str">
        <f t="shared" ca="1" si="2"/>
        <v>Figs</v>
      </c>
      <c r="BA18" s="18" t="str">
        <f t="shared" ca="1" si="6"/>
        <v>sesame</v>
      </c>
      <c r="BB18" s="18"/>
    </row>
    <row r="19" spans="1:54" s="13" customFormat="1" ht="30" customHeight="1">
      <c r="A19" s="646"/>
      <c r="B19" s="94" t="s">
        <v>2418</v>
      </c>
      <c r="C19" s="422" t="str">
        <f ca="1">CONCATENATE(INDEX('NPC''s'!$O$106:$O$113,RANDBETWEEN(1,8)))</f>
        <v>TORN IN PLACES; MISSING BUTTONS</v>
      </c>
      <c r="D19" s="422"/>
      <c r="E19" s="422"/>
      <c r="F19" s="422"/>
      <c r="G19" s="422"/>
      <c r="H19" s="422"/>
      <c r="I19" s="422"/>
      <c r="J19" s="422"/>
      <c r="K19" s="423"/>
      <c r="L19" s="31"/>
      <c r="M19" s="648" t="str">
        <f>$O$84</f>
        <v>The Server is looking for:</v>
      </c>
      <c r="N19" s="650" t="str">
        <f ca="1">INDEX($O$85:$O$92,RANDBETWEEN(1,6))</f>
        <v xml:space="preserve"> Someone more important to talk to.</v>
      </c>
      <c r="O19" s="278"/>
      <c r="P19" s="12"/>
      <c r="Q19" s="12"/>
      <c r="R19" s="12"/>
      <c r="S19" s="12"/>
      <c r="T19" s="12"/>
      <c r="U19" s="12"/>
      <c r="V19" s="12"/>
      <c r="W19" s="12"/>
      <c r="X19" s="12"/>
      <c r="Y19" s="12"/>
      <c r="Z19" s="12"/>
      <c r="AC19" s="47">
        <v>26</v>
      </c>
      <c r="AD19" s="48" t="s">
        <v>898</v>
      </c>
      <c r="AE19" s="23">
        <v>2</v>
      </c>
      <c r="AF19" s="13" t="s">
        <v>7585</v>
      </c>
      <c r="AH19" s="18"/>
      <c r="AI19" s="18">
        <v>18</v>
      </c>
      <c r="AJ19" s="18"/>
      <c r="AK19" s="18" t="s">
        <v>604</v>
      </c>
      <c r="AL19" s="18" t="s">
        <v>604</v>
      </c>
      <c r="AM19" s="18" t="s">
        <v>605</v>
      </c>
      <c r="AN19" s="18"/>
      <c r="AO19" s="18"/>
      <c r="AP19" s="18"/>
      <c r="AQ19" s="18"/>
      <c r="AR19" s="18"/>
      <c r="AS19" s="18"/>
      <c r="AT19" s="18"/>
      <c r="AU19" s="18">
        <v>17</v>
      </c>
      <c r="AV19" s="18" t="s">
        <v>775</v>
      </c>
      <c r="AW19" s="18"/>
      <c r="AX19" s="18"/>
      <c r="AY19" s="18"/>
      <c r="AZ19" s="18"/>
      <c r="BA19" s="18"/>
      <c r="BB19" s="18"/>
    </row>
    <row r="20" spans="1:54" ht="30" customHeight="1">
      <c r="A20" s="646"/>
      <c r="B20" s="94" t="s">
        <v>2435</v>
      </c>
      <c r="C20" s="422" t="str">
        <f ca="1">CONCATENATE(INDEX('NPC''s'!$S$106:$S$113,RANDBETWEEN(1,8)))</f>
        <v>FANATICAL TRUE BELIEVER</v>
      </c>
      <c r="D20" s="422"/>
      <c r="E20" s="422"/>
      <c r="F20" s="422"/>
      <c r="G20" s="422"/>
      <c r="H20" s="422"/>
      <c r="I20" s="422"/>
      <c r="J20" s="422"/>
      <c r="K20" s="423"/>
      <c r="L20" s="31"/>
      <c r="M20" s="652"/>
      <c r="N20" s="653"/>
      <c r="O20" s="278"/>
      <c r="P20" s="12"/>
      <c r="Q20" s="12"/>
      <c r="R20" s="12"/>
      <c r="S20" s="12"/>
      <c r="T20" s="12"/>
      <c r="U20" s="12"/>
      <c r="V20" s="12"/>
      <c r="W20" s="12"/>
      <c r="X20" s="12"/>
      <c r="Y20" s="12"/>
      <c r="Z20" s="12"/>
      <c r="AC20" s="49">
        <v>27</v>
      </c>
      <c r="AD20" s="50" t="s">
        <v>899</v>
      </c>
      <c r="AE20" s="1">
        <v>1</v>
      </c>
      <c r="AF20" t="s">
        <v>7585</v>
      </c>
      <c r="AI20" s="32">
        <v>19</v>
      </c>
      <c r="AK20" s="32" t="s">
        <v>606</v>
      </c>
      <c r="AL20" s="32" t="s">
        <v>606</v>
      </c>
      <c r="AM20" s="32" t="s">
        <v>607</v>
      </c>
      <c r="AU20" s="32">
        <v>18</v>
      </c>
      <c r="AV20" s="32" t="s">
        <v>898</v>
      </c>
    </row>
    <row r="21" spans="1:54" ht="30" customHeight="1" thickBot="1">
      <c r="A21" s="646"/>
      <c r="B21" s="94" t="s">
        <v>2420</v>
      </c>
      <c r="C21" s="422" t="str">
        <f ca="1">CONCATENATE(INDEX('NPC''s'!$T$106:$T$111,RANDBETWEEN(1,6)))</f>
        <v>OTHER GENDERS</v>
      </c>
      <c r="D21" s="422"/>
      <c r="E21" s="422"/>
      <c r="F21" s="422"/>
      <c r="G21" s="422"/>
      <c r="H21" s="422"/>
      <c r="I21" s="422"/>
      <c r="J21" s="422"/>
      <c r="K21" s="423"/>
      <c r="L21" s="31"/>
      <c r="M21" s="133" t="str">
        <f>$P$84</f>
        <v>They carry:</v>
      </c>
      <c r="N21" s="163" t="str">
        <f ca="1">INDEX($P$85:$P$88,RANDBETWEEN(1,4))</f>
        <v>An unusual belt purse.</v>
      </c>
      <c r="O21" s="278"/>
      <c r="P21" s="12"/>
      <c r="Q21" s="12"/>
      <c r="R21" s="12"/>
      <c r="S21" s="12"/>
      <c r="T21" s="12"/>
      <c r="U21" s="12"/>
      <c r="V21" s="12"/>
      <c r="W21" s="12"/>
      <c r="X21" s="12"/>
      <c r="Y21" s="12"/>
      <c r="Z21" s="12"/>
      <c r="AC21" s="49">
        <v>30</v>
      </c>
      <c r="AD21" s="50" t="s">
        <v>900</v>
      </c>
      <c r="AE21" s="1">
        <v>3</v>
      </c>
      <c r="AF21" t="s">
        <v>7585</v>
      </c>
      <c r="AI21" s="32">
        <v>20</v>
      </c>
      <c r="AK21" s="32" t="s">
        <v>608</v>
      </c>
      <c r="AL21" s="32" t="s">
        <v>608</v>
      </c>
      <c r="AM21" s="32" t="s">
        <v>609</v>
      </c>
      <c r="AU21" s="32">
        <v>19</v>
      </c>
      <c r="AV21" s="32" t="s">
        <v>899</v>
      </c>
    </row>
    <row r="22" spans="1:54" ht="35.1" customHeight="1" thickBot="1">
      <c r="A22" s="647"/>
      <c r="B22" s="95" t="s">
        <v>2419</v>
      </c>
      <c r="C22" s="415" t="str">
        <f ca="1">CONCATENATE("Their current mood is ",INDEX('NPC''s'!$R$106:$R$125,RANDBETWEEN(1,20)),". When calm, they are ",INDEX('NPC''s'!$P$106:$P$137,RANDBETWEEN(1,32)),", and when stressed they are ",INDEX('NPC''s'!$Q$106:$Q$137,RANDBETWEEN(1,32)))</f>
        <v>Their current mood is DESPONDANT. When calm, they are STRICT, and when stressed they are IMPRACTICAL</v>
      </c>
      <c r="D22" s="415"/>
      <c r="E22" s="415"/>
      <c r="F22" s="415"/>
      <c r="G22" s="415"/>
      <c r="H22" s="415"/>
      <c r="I22" s="415"/>
      <c r="J22" s="415"/>
      <c r="K22" s="416"/>
      <c r="L22" s="11"/>
      <c r="M22" s="24"/>
      <c r="N22" s="12"/>
      <c r="O22" s="30"/>
      <c r="P22" s="31"/>
      <c r="Q22" s="31"/>
      <c r="R22" s="31"/>
      <c r="S22" s="31"/>
      <c r="T22" s="31"/>
      <c r="U22" s="31"/>
      <c r="V22" s="31"/>
      <c r="W22" s="31"/>
      <c r="X22" s="31"/>
      <c r="Y22" s="31"/>
      <c r="Z22" s="31"/>
      <c r="AC22" s="49">
        <v>31</v>
      </c>
      <c r="AD22" s="50" t="s">
        <v>776</v>
      </c>
      <c r="AE22" s="1">
        <v>1</v>
      </c>
      <c r="AF22" t="s">
        <v>7585</v>
      </c>
      <c r="AI22" s="32">
        <v>21</v>
      </c>
      <c r="AK22" s="32" t="s">
        <v>610</v>
      </c>
      <c r="AL22" s="32" t="s">
        <v>610</v>
      </c>
      <c r="AM22" s="32" t="s">
        <v>611</v>
      </c>
      <c r="AU22" s="32">
        <v>20</v>
      </c>
      <c r="AV22" s="32" t="s">
        <v>900</v>
      </c>
      <c r="AX22" s="32">
        <v>1</v>
      </c>
      <c r="AY22" s="32" t="str">
        <f ca="1">CONCATENATE(INDEX($AY$2:$AY$16,RANDBETWEEN(1,15))," with sides of ",INDEX($AZ$2:$AZ$18,RANDBETWEEN(1,17))," and ",INDEX($AZ$2:$AZ$18,RANDBETWEEN(1,17)),", and a serving of ",INDEX($BA$2:$BA$18,RANDBETWEEN(1,17)))</f>
        <v>Salted fish with sides of Radishes (small) and Radishes (small), and a serving of hulled spelt grits</v>
      </c>
    </row>
    <row r="23" spans="1:54" ht="9.9499999999999993" customHeight="1" thickBot="1">
      <c r="A23" s="12"/>
      <c r="B23" s="12"/>
      <c r="C23" s="12"/>
      <c r="D23" s="12"/>
      <c r="E23" s="12"/>
      <c r="F23" s="12"/>
      <c r="G23" s="12"/>
      <c r="H23" s="12"/>
      <c r="I23" s="12"/>
      <c r="J23" s="12"/>
      <c r="K23" s="12"/>
      <c r="L23" s="11"/>
      <c r="M23" s="24"/>
      <c r="N23" s="12"/>
      <c r="O23" s="278"/>
      <c r="P23" s="12"/>
      <c r="Q23" s="12"/>
      <c r="R23" s="12"/>
      <c r="S23" s="12"/>
      <c r="T23" s="12"/>
      <c r="U23" s="12"/>
      <c r="V23" s="12"/>
      <c r="W23" s="31"/>
      <c r="X23" s="31"/>
      <c r="Y23" s="31"/>
      <c r="Z23" s="31"/>
      <c r="AC23" s="49">
        <v>32</v>
      </c>
      <c r="AD23" s="50" t="s">
        <v>777</v>
      </c>
      <c r="AE23" s="1">
        <v>3</v>
      </c>
      <c r="AF23" t="s">
        <v>7585</v>
      </c>
      <c r="AI23" s="32">
        <v>22</v>
      </c>
      <c r="AK23" s="32" t="s">
        <v>612</v>
      </c>
      <c r="AL23" s="32" t="s">
        <v>612</v>
      </c>
      <c r="AM23" s="32" t="s">
        <v>613</v>
      </c>
      <c r="AU23" s="32">
        <v>21</v>
      </c>
      <c r="AV23" s="32" t="s">
        <v>776</v>
      </c>
      <c r="AX23" s="32">
        <v>2</v>
      </c>
      <c r="AY23" s="32" t="str">
        <f t="shared" ref="AY23:AY41" ca="1" si="8">CONCATENATE(INDEX($AY$2:$AY$16,RANDBETWEEN(1,15))," with sides of ",INDEX($AZ$2:$AZ$18,RANDBETWEEN(1,17))," and ",INDEX($AZ$2:$AZ$18,RANDBETWEEN(1,17)),", and a serving of ",INDEX($BA$2:$BA$18,RANDBETWEEN(1,17)))</f>
        <v>Quails with sides of Cabbage sprouts and Large Artichokes, and a serving of sesame</v>
      </c>
    </row>
    <row r="24" spans="1:54" ht="30" customHeight="1">
      <c r="A24" s="636" t="s">
        <v>2468</v>
      </c>
      <c r="B24" s="93" t="s">
        <v>2416</v>
      </c>
      <c r="C24" s="426" t="str">
        <f ca="1">CONCATENATE(INDEX('NPC''s'!$I$106:$I$115,RANDBETWEEN(1,10))," in stature, with a ",INDEX('NPC''s'!$J$106:$J$125,RANDBETWEEN(1,20))," body, and ",INDEX('NPC''s'!$K$106:$K$111,RANDBETWEEN(1,6)))</f>
        <v>SHORT in stature, with a BIG AND BROAD body, and A LIGHT TOUCH.</v>
      </c>
      <c r="D24" s="426"/>
      <c r="E24" s="426"/>
      <c r="F24" s="426"/>
      <c r="G24" s="426"/>
      <c r="H24" s="426"/>
      <c r="I24" s="426"/>
      <c r="J24" s="426"/>
      <c r="K24" s="427"/>
      <c r="L24" s="11"/>
      <c r="M24" s="24"/>
      <c r="N24" s="12"/>
      <c r="O24" s="278"/>
      <c r="P24" s="12"/>
      <c r="Q24" s="12"/>
      <c r="R24" s="12"/>
      <c r="S24" s="12"/>
      <c r="T24" s="12"/>
      <c r="U24" s="12"/>
      <c r="V24" s="12"/>
      <c r="W24" s="31"/>
      <c r="X24" s="31"/>
      <c r="Y24" s="31"/>
      <c r="Z24" s="31"/>
      <c r="AC24" s="49">
        <v>33</v>
      </c>
      <c r="AD24" s="50" t="s">
        <v>7490</v>
      </c>
      <c r="AE24" s="1">
        <v>2</v>
      </c>
      <c r="AF24" t="s">
        <v>7585</v>
      </c>
      <c r="AI24" s="32">
        <v>23</v>
      </c>
      <c r="AK24" s="32" t="s">
        <v>614</v>
      </c>
      <c r="AL24" s="32" t="s">
        <v>614</v>
      </c>
      <c r="AM24" s="32" t="s">
        <v>615</v>
      </c>
      <c r="AU24" s="32">
        <v>22</v>
      </c>
      <c r="AV24" s="32" t="s">
        <v>777</v>
      </c>
      <c r="AX24" s="32">
        <v>3</v>
      </c>
      <c r="AY24" s="32" t="str">
        <f t="shared" ca="1" si="8"/>
        <v>Oysters with sides of Rosehips and Rosehips, and a serving of lentils</v>
      </c>
    </row>
    <row r="25" spans="1:54" ht="30" customHeight="1">
      <c r="A25" s="637"/>
      <c r="B25" s="94" t="s">
        <v>2415</v>
      </c>
      <c r="C25" s="422" t="str">
        <f ca="1">CONCATENATE(INDEX('NPC''s'!$B$106:$B$125,RANDBETWEEN(1,20)),", ",INDEX('NPC''s'!$C$106:$C$117,RANDBETWEEN(1,12)),", and ",INDEX('NPC''s'!$D$106:$D$115,RANDBETWEEN(1,10)),". They have ",INDEX('NPC''s'!$H$106:$H$113,RANDBETWEEN(1,8)),", ",INDEX('NPC''s'!$E$106:$E$117,RANDBETWEEN(1,12)),", ",INDEX('NPC''s'!$F$106:$F$113,RANDBETWEEN(1,8)),", and ",INDEX('NPC''s'!$G$106:$G$125,RANDBETWEEN(1,20)))</f>
        <v>SMILING EYES, EARS THAT STICK OUT, and THEIR MOUTH HANGS OPEN. They have A LARGE MOLE, A BROAD NOSE, A SQUARE JAW, and THICK HAIR</v>
      </c>
      <c r="D25" s="422"/>
      <c r="E25" s="422"/>
      <c r="F25" s="422"/>
      <c r="G25" s="422"/>
      <c r="H25" s="422"/>
      <c r="I25" s="422"/>
      <c r="J25" s="422"/>
      <c r="K25" s="423"/>
      <c r="L25" s="11"/>
      <c r="M25" s="24"/>
      <c r="N25" s="12"/>
      <c r="O25" s="278"/>
      <c r="P25" s="12"/>
      <c r="Q25" s="12"/>
      <c r="R25" s="12"/>
      <c r="S25" s="12"/>
      <c r="T25" s="12"/>
      <c r="U25" s="12"/>
      <c r="V25" s="12"/>
      <c r="W25" s="31"/>
      <c r="X25" s="31"/>
      <c r="Y25" s="31"/>
      <c r="Z25" s="31"/>
      <c r="AC25" s="49">
        <v>34</v>
      </c>
      <c r="AD25" s="50" t="s">
        <v>901</v>
      </c>
      <c r="AE25" s="1">
        <v>3</v>
      </c>
      <c r="AF25" t="s">
        <v>7585</v>
      </c>
      <c r="AI25" s="32">
        <v>24</v>
      </c>
      <c r="AK25" s="32" t="s">
        <v>616</v>
      </c>
      <c r="AL25" s="32" t="s">
        <v>616</v>
      </c>
      <c r="AM25" s="32" t="s">
        <v>617</v>
      </c>
      <c r="AU25" s="32">
        <v>23</v>
      </c>
      <c r="AV25" s="32" t="s">
        <v>901</v>
      </c>
      <c r="AX25" s="32">
        <v>4</v>
      </c>
      <c r="AY25" s="32" t="str">
        <f t="shared" ca="1" si="8"/>
        <v>Quails with sides of Large Artichokes and Onions (green, small), and a serving of sweet peas</v>
      </c>
    </row>
    <row r="26" spans="1:54" ht="30" customHeight="1">
      <c r="A26" s="637"/>
      <c r="B26" s="94" t="s">
        <v>2417</v>
      </c>
      <c r="C26" s="422" t="str">
        <f ca="1">CONCATENATE(INDEX('NPC''s'!$M$106:$M$117,RANDBETWEEN(1,12)),", made of ",INDEX('NPC''s'!$N$106:$N$115,RANDBETWEEN(1,10)))</f>
        <v>SEVERAL RINGS, made of LEATHER</v>
      </c>
      <c r="D26" s="422"/>
      <c r="E26" s="422"/>
      <c r="F26" s="422"/>
      <c r="G26" s="422"/>
      <c r="H26" s="422"/>
      <c r="I26" s="422"/>
      <c r="J26" s="422"/>
      <c r="K26" s="423"/>
      <c r="L26" s="11"/>
      <c r="M26" s="24"/>
      <c r="N26" s="12"/>
      <c r="O26" s="278"/>
      <c r="P26" s="12"/>
      <c r="Q26" s="12"/>
      <c r="R26" s="12"/>
      <c r="S26" s="12"/>
      <c r="T26" s="12"/>
      <c r="U26" s="12"/>
      <c r="V26" s="12"/>
      <c r="W26" s="31"/>
      <c r="X26" s="31"/>
      <c r="Y26" s="31"/>
      <c r="Z26" s="31"/>
      <c r="AC26" s="49">
        <v>35</v>
      </c>
      <c r="AD26" s="50" t="s">
        <v>778</v>
      </c>
      <c r="AE26" s="1">
        <v>1</v>
      </c>
      <c r="AF26" t="s">
        <v>7585</v>
      </c>
      <c r="AI26" s="32">
        <v>25</v>
      </c>
      <c r="AK26" s="32" t="s">
        <v>618</v>
      </c>
      <c r="AL26" s="32" t="s">
        <v>618</v>
      </c>
      <c r="AM26" s="32" t="s">
        <v>619</v>
      </c>
      <c r="AU26" s="32">
        <v>24</v>
      </c>
      <c r="AV26" s="32" t="s">
        <v>778</v>
      </c>
      <c r="AX26" s="32">
        <v>5</v>
      </c>
      <c r="AY26" s="32" t="str">
        <f t="shared" ca="1" si="8"/>
        <v>wild Turtle dove with sides of Shelled Almonds and Large Artichokes, and a serving of chickpeas</v>
      </c>
    </row>
    <row r="27" spans="1:54" ht="30" customHeight="1">
      <c r="A27" s="637"/>
      <c r="B27" s="94" t="s">
        <v>2418</v>
      </c>
      <c r="C27" s="422" t="str">
        <f ca="1">CONCATENATE(INDEX('NPC''s'!$O$106:$O$113,RANDBETWEEN(1,8)))</f>
        <v>FADED, BUT GOOD CONDITION</v>
      </c>
      <c r="D27" s="422"/>
      <c r="E27" s="422"/>
      <c r="F27" s="422"/>
      <c r="G27" s="422"/>
      <c r="H27" s="422"/>
      <c r="I27" s="422"/>
      <c r="J27" s="422"/>
      <c r="K27" s="423"/>
      <c r="L27" s="11"/>
      <c r="M27" s="24"/>
      <c r="N27" s="12"/>
      <c r="O27" s="278"/>
      <c r="P27" s="12"/>
      <c r="Q27" s="12"/>
      <c r="R27" s="12"/>
      <c r="S27" s="12"/>
      <c r="T27" s="12"/>
      <c r="U27" s="12"/>
      <c r="V27" s="12"/>
      <c r="W27" s="12"/>
      <c r="X27" s="12"/>
      <c r="Y27" s="12"/>
      <c r="Z27" s="12"/>
      <c r="AC27" s="49">
        <v>37</v>
      </c>
      <c r="AD27" s="50" t="s">
        <v>902</v>
      </c>
      <c r="AE27" s="1">
        <v>1</v>
      </c>
      <c r="AF27" t="s">
        <v>7585</v>
      </c>
      <c r="AI27" s="32">
        <v>26</v>
      </c>
      <c r="AK27" s="32" t="s">
        <v>620</v>
      </c>
      <c r="AL27" s="32" t="s">
        <v>620</v>
      </c>
      <c r="AM27" s="32" t="s">
        <v>621</v>
      </c>
      <c r="AU27" s="32">
        <v>25</v>
      </c>
      <c r="AV27" s="32" t="s">
        <v>902</v>
      </c>
      <c r="AX27" s="32">
        <v>6</v>
      </c>
      <c r="AY27" s="32" t="str">
        <f t="shared" ca="1" si="8"/>
        <v>Hen pheasant with sides of Radishes (small) and Large Artichokes, and a serving of sweet peas</v>
      </c>
    </row>
    <row r="28" spans="1:54" ht="30" customHeight="1">
      <c r="A28" s="637"/>
      <c r="B28" s="94" t="s">
        <v>2435</v>
      </c>
      <c r="C28" s="422" t="str">
        <f ca="1">CONCATENATE(INDEX('NPC''s'!$S$106:$S$113,RANDBETWEEN(1,8)))</f>
        <v>CRITICAL STUDENT</v>
      </c>
      <c r="D28" s="422"/>
      <c r="E28" s="422"/>
      <c r="F28" s="422"/>
      <c r="G28" s="422"/>
      <c r="H28" s="422"/>
      <c r="I28" s="422"/>
      <c r="J28" s="422"/>
      <c r="K28" s="423"/>
      <c r="L28" s="11"/>
      <c r="M28" s="24"/>
      <c r="N28" s="12"/>
      <c r="O28" s="278"/>
      <c r="P28" s="12"/>
      <c r="Q28" s="12"/>
      <c r="R28" s="12"/>
      <c r="S28" s="12"/>
      <c r="T28" s="12"/>
      <c r="U28" s="12"/>
      <c r="V28" s="12"/>
      <c r="W28" s="12"/>
      <c r="X28" s="12"/>
      <c r="Y28" s="12"/>
      <c r="Z28" s="12"/>
      <c r="AC28" s="49">
        <v>39</v>
      </c>
      <c r="AD28" s="50" t="s">
        <v>903</v>
      </c>
      <c r="AE28" s="1">
        <v>1</v>
      </c>
      <c r="AF28" t="s">
        <v>7585</v>
      </c>
      <c r="AI28" s="32">
        <v>27</v>
      </c>
      <c r="AK28" s="32" t="s">
        <v>622</v>
      </c>
      <c r="AL28" s="32" t="s">
        <v>622</v>
      </c>
      <c r="AM28" s="32" t="s">
        <v>623</v>
      </c>
      <c r="AU28" s="32">
        <v>26</v>
      </c>
      <c r="AV28" s="32" t="s">
        <v>903</v>
      </c>
      <c r="AX28" s="32">
        <v>7</v>
      </c>
      <c r="AY28" s="32" t="str">
        <f t="shared" ca="1" si="8"/>
        <v>bred Turtle dove with sides of Shelled Almonds and Radishes (small), and a serving of mustard seed</v>
      </c>
    </row>
    <row r="29" spans="1:54" ht="30" customHeight="1">
      <c r="A29" s="637"/>
      <c r="B29" s="94" t="s">
        <v>2420</v>
      </c>
      <c r="C29" s="422" t="str">
        <f ca="1">CONCATENATE(INDEX('NPC''s'!$T$106:$T$111,RANDBETWEEN(1,6)))</f>
        <v>BEGGARS</v>
      </c>
      <c r="D29" s="422"/>
      <c r="E29" s="422"/>
      <c r="F29" s="422"/>
      <c r="G29" s="422"/>
      <c r="H29" s="422"/>
      <c r="I29" s="422"/>
      <c r="J29" s="422"/>
      <c r="K29" s="423"/>
      <c r="L29" s="11"/>
      <c r="M29" s="24"/>
      <c r="N29" s="12"/>
      <c r="O29" s="278"/>
      <c r="P29" s="12"/>
      <c r="Q29" s="12"/>
      <c r="R29" s="12"/>
      <c r="S29" s="12"/>
      <c r="T29" s="12"/>
      <c r="U29" s="12"/>
      <c r="V29" s="12"/>
      <c r="W29" s="12"/>
      <c r="X29" s="12"/>
      <c r="Y29" s="12"/>
      <c r="Z29" s="12"/>
      <c r="AC29" s="53"/>
      <c r="AD29" s="54" t="s">
        <v>5370</v>
      </c>
      <c r="AI29" s="32">
        <v>28</v>
      </c>
      <c r="AK29" s="32" t="s">
        <v>624</v>
      </c>
      <c r="AL29" s="32" t="s">
        <v>624</v>
      </c>
      <c r="AM29" s="32" t="s">
        <v>625</v>
      </c>
      <c r="AV29" s="111" t="s">
        <v>779</v>
      </c>
      <c r="AX29" s="32">
        <v>8</v>
      </c>
      <c r="AY29" s="32" t="str">
        <f t="shared" ca="1" si="8"/>
        <v>poor River fish with sides of Turnips (large) and Gourds (small), and a serving of Oats</v>
      </c>
    </row>
    <row r="30" spans="1:54" ht="35.1" customHeight="1" thickBot="1">
      <c r="A30" s="638"/>
      <c r="B30" s="95" t="s">
        <v>2419</v>
      </c>
      <c r="C30" s="415" t="str">
        <f ca="1">CONCATENATE("Their current mood is ",INDEX('NPC''s'!$R$106:$R$125,RANDBETWEEN(1,20)),". When calm, they are ",INDEX('NPC''s'!$P$106:$P$137,RANDBETWEEN(1,32)),", and when stressed they are ",INDEX('NPC''s'!$Q$106:$Q$137,RANDBETWEEN(1,32)))</f>
        <v>Their current mood is FOCUSED. When calm, they are CHEERFUL, and when stressed they are IMPRACTICAL</v>
      </c>
      <c r="D30" s="415"/>
      <c r="E30" s="415"/>
      <c r="F30" s="415"/>
      <c r="G30" s="415"/>
      <c r="H30" s="415"/>
      <c r="I30" s="415"/>
      <c r="J30" s="415"/>
      <c r="K30" s="416"/>
      <c r="L30" s="11"/>
      <c r="M30" s="24"/>
      <c r="N30" s="12"/>
      <c r="O30" s="278"/>
      <c r="P30" s="12"/>
      <c r="Q30" s="12"/>
      <c r="R30" s="12"/>
      <c r="S30" s="12"/>
      <c r="T30" s="12"/>
      <c r="U30" s="12"/>
      <c r="V30" s="12"/>
      <c r="W30" s="12"/>
      <c r="X30" s="12"/>
      <c r="Y30" s="12"/>
      <c r="Z30" s="12"/>
      <c r="AC30" s="49">
        <v>1</v>
      </c>
      <c r="AD30" s="50" t="s">
        <v>780</v>
      </c>
      <c r="AE30" s="1">
        <v>10</v>
      </c>
      <c r="AF30" t="s">
        <v>7585</v>
      </c>
      <c r="AI30" s="32">
        <v>29</v>
      </c>
      <c r="AK30" s="32" t="s">
        <v>626</v>
      </c>
      <c r="AL30" s="32" t="s">
        <v>626</v>
      </c>
      <c r="AM30" s="32" t="s">
        <v>627</v>
      </c>
      <c r="AV30" s="32" t="s">
        <v>780</v>
      </c>
      <c r="AX30" s="32">
        <v>9</v>
      </c>
      <c r="AY30" s="32" t="str">
        <f t="shared" ca="1" si="8"/>
        <v>Sea fish with sides of Cabbage sprouts and Shelled Almonds, and a serving of Oats</v>
      </c>
    </row>
    <row r="31" spans="1:54" ht="9.9499999999999993" customHeight="1" thickBot="1">
      <c r="A31" s="12"/>
      <c r="B31" s="12"/>
      <c r="C31" s="12"/>
      <c r="D31" s="12"/>
      <c r="E31" s="12"/>
      <c r="F31" s="12"/>
      <c r="G31" s="12"/>
      <c r="H31" s="12"/>
      <c r="I31" s="12"/>
      <c r="J31" s="12"/>
      <c r="K31" s="12"/>
      <c r="L31" s="11"/>
      <c r="M31" s="24"/>
      <c r="N31" s="12"/>
      <c r="O31" s="278"/>
      <c r="P31" s="12"/>
      <c r="Q31" s="12"/>
      <c r="R31" s="12"/>
      <c r="S31" s="12"/>
      <c r="T31" s="12"/>
      <c r="U31" s="12"/>
      <c r="V31" s="12"/>
      <c r="W31" s="12"/>
      <c r="X31" s="12"/>
      <c r="Y31" s="12"/>
      <c r="Z31" s="12"/>
      <c r="AC31" s="49">
        <v>2</v>
      </c>
      <c r="AD31" s="50" t="s">
        <v>781</v>
      </c>
      <c r="AE31" s="1">
        <v>10</v>
      </c>
      <c r="AF31" t="s">
        <v>7585</v>
      </c>
      <c r="AI31" s="32">
        <v>30</v>
      </c>
      <c r="AK31" s="32" t="s">
        <v>628</v>
      </c>
      <c r="AL31" s="32" t="s">
        <v>628</v>
      </c>
      <c r="AM31" s="32" t="s">
        <v>629</v>
      </c>
      <c r="AV31" s="32" t="s">
        <v>781</v>
      </c>
      <c r="AX31" s="32">
        <v>10</v>
      </c>
      <c r="AY31" s="32" t="str">
        <f t="shared" ca="1" si="8"/>
        <v>Oysters with sides of Quinces (small) and Gourds (small), and a serving of shelled peas</v>
      </c>
    </row>
    <row r="32" spans="1:54" ht="30" customHeight="1">
      <c r="A32" s="636" t="s">
        <v>2468</v>
      </c>
      <c r="B32" s="93" t="s">
        <v>2416</v>
      </c>
      <c r="C32" s="426" t="str">
        <f ca="1">CONCATENATE(INDEX('NPC''s'!$I$106:$I$115,RANDBETWEEN(1,10))," in stature, with a ",INDEX('NPC''s'!$J$106:$J$125,RANDBETWEEN(1,20))," body, and ",INDEX('NPC''s'!$K$106:$K$111,RANDBETWEEN(1,6)))</f>
        <v>AVERAGE  in stature, with a THIN AND PETITE body, and DELICATE HANDS.</v>
      </c>
      <c r="D32" s="426"/>
      <c r="E32" s="426"/>
      <c r="F32" s="426"/>
      <c r="G32" s="426"/>
      <c r="H32" s="426"/>
      <c r="I32" s="426"/>
      <c r="J32" s="426"/>
      <c r="K32" s="427"/>
      <c r="L32" s="11"/>
      <c r="M32" s="24"/>
      <c r="N32" s="12"/>
      <c r="O32" s="278"/>
      <c r="P32" s="12"/>
      <c r="Q32" s="12"/>
      <c r="R32" s="12"/>
      <c r="S32" s="12"/>
      <c r="T32" s="12"/>
      <c r="U32" s="12"/>
      <c r="V32" s="12"/>
      <c r="W32" s="12"/>
      <c r="X32" s="12"/>
      <c r="Y32" s="12"/>
      <c r="Z32" s="12"/>
      <c r="AC32" s="49">
        <v>3</v>
      </c>
      <c r="AD32" s="50" t="s">
        <v>782</v>
      </c>
      <c r="AE32" s="1">
        <v>10</v>
      </c>
      <c r="AF32" t="s">
        <v>7585</v>
      </c>
      <c r="AI32" s="32">
        <v>31</v>
      </c>
      <c r="AK32" s="32" t="s">
        <v>630</v>
      </c>
      <c r="AL32" s="32" t="s">
        <v>630</v>
      </c>
      <c r="AM32" s="32" t="s">
        <v>631</v>
      </c>
      <c r="AV32" s="32" t="s">
        <v>782</v>
      </c>
      <c r="AX32" s="32">
        <v>11</v>
      </c>
      <c r="AY32" s="32" t="str">
        <f t="shared" ca="1" si="8"/>
        <v>Goose (fattened) with sides of Lettuce and Rosehips, and a serving of sweet peas</v>
      </c>
    </row>
    <row r="33" spans="1:51" ht="30" customHeight="1">
      <c r="A33" s="637"/>
      <c r="B33" s="94" t="s">
        <v>2415</v>
      </c>
      <c r="C33" s="422" t="str">
        <f ca="1">CONCATENATE(INDEX('NPC''s'!$B$106:$B$125,RANDBETWEEN(1,20)),", ",INDEX('NPC''s'!$C$106:$C$117,RANDBETWEEN(1,12)),", and ",INDEX('NPC''s'!$D$106:$D$115,RANDBETWEEN(1,10)),". They have ",INDEX('NPC''s'!$H$106:$H$113,RANDBETWEEN(1,8)),", ",INDEX('NPC''s'!$E$106:$E$117,RANDBETWEEN(1,12)),", ",INDEX('NPC''s'!$F$106:$F$113,RANDBETWEEN(1,8)),", and ",INDEX('NPC''s'!$G$106:$G$125,RANDBETWEEN(1,20)))</f>
        <v>COLD EYES, LONG EAR LOBES, and PURSED LIPS. They have TIGHT, DRAWN CHEEKS, A HAWK-LIKE NOSE, A CLEFT CHIN, and WISPY HAIR</v>
      </c>
      <c r="D33" s="422"/>
      <c r="E33" s="422"/>
      <c r="F33" s="422"/>
      <c r="G33" s="422"/>
      <c r="H33" s="422"/>
      <c r="I33" s="422"/>
      <c r="J33" s="422"/>
      <c r="K33" s="423"/>
      <c r="L33" s="11"/>
      <c r="M33" s="24"/>
      <c r="N33" s="12"/>
      <c r="O33" s="278"/>
      <c r="P33" s="12"/>
      <c r="Q33" s="12"/>
      <c r="R33" s="12"/>
      <c r="S33" s="12"/>
      <c r="T33" s="12"/>
      <c r="U33" s="12"/>
      <c r="V33" s="12"/>
      <c r="W33" s="12"/>
      <c r="X33" s="12"/>
      <c r="Y33" s="12"/>
      <c r="Z33" s="12"/>
      <c r="AC33" s="49">
        <v>4</v>
      </c>
      <c r="AD33" s="50" t="s">
        <v>783</v>
      </c>
      <c r="AE33" s="1">
        <v>10</v>
      </c>
      <c r="AF33" t="s">
        <v>7585</v>
      </c>
      <c r="AI33" s="32">
        <v>32</v>
      </c>
      <c r="AK33" s="32" t="s">
        <v>632</v>
      </c>
      <c r="AL33" s="32" t="s">
        <v>632</v>
      </c>
      <c r="AM33" s="32" t="s">
        <v>633</v>
      </c>
      <c r="AV33" s="32" t="s">
        <v>783</v>
      </c>
      <c r="AX33" s="32">
        <v>12</v>
      </c>
      <c r="AY33" s="32" t="str">
        <f t="shared" ca="1" si="8"/>
        <v>Goose (fattened) with sides of Shelled Almonds and Gourds (small), and a serving of ground wheat</v>
      </c>
    </row>
    <row r="34" spans="1:51" ht="30" customHeight="1">
      <c r="A34" s="637"/>
      <c r="B34" s="94" t="s">
        <v>2417</v>
      </c>
      <c r="C34" s="422" t="str">
        <f ca="1">CONCATENATE(INDEX('NPC''s'!$M$106:$M$117,RANDBETWEEN(1,12)),", made of ",INDEX('NPC''s'!$N$106:$N$115,RANDBETWEEN(1,10)))</f>
        <v>A SMALL CHAIN AROUND NECK, made of STONE</v>
      </c>
      <c r="D34" s="422"/>
      <c r="E34" s="422"/>
      <c r="F34" s="422"/>
      <c r="G34" s="422"/>
      <c r="H34" s="422"/>
      <c r="I34" s="422"/>
      <c r="J34" s="422"/>
      <c r="K34" s="423"/>
      <c r="L34" s="11"/>
      <c r="M34" s="24"/>
      <c r="N34" s="12"/>
      <c r="O34" s="278"/>
      <c r="P34" s="12"/>
      <c r="Q34" s="12"/>
      <c r="R34" s="12"/>
      <c r="S34" s="12"/>
      <c r="T34" s="12"/>
      <c r="U34" s="12"/>
      <c r="V34" s="12"/>
      <c r="W34" s="12"/>
      <c r="X34" s="12"/>
      <c r="Y34" s="12"/>
      <c r="Z34" s="12"/>
      <c r="AC34" s="49">
        <v>5</v>
      </c>
      <c r="AD34" s="50" t="s">
        <v>784</v>
      </c>
      <c r="AE34" s="1">
        <v>10</v>
      </c>
      <c r="AF34" t="s">
        <v>7585</v>
      </c>
      <c r="AI34" s="32">
        <v>33</v>
      </c>
      <c r="AK34" s="32" t="s">
        <v>634</v>
      </c>
      <c r="AL34" s="32" t="s">
        <v>634</v>
      </c>
      <c r="AM34" s="32" t="s">
        <v>635</v>
      </c>
      <c r="AV34" s="32" t="s">
        <v>784</v>
      </c>
      <c r="AX34" s="32">
        <v>13</v>
      </c>
      <c r="AY34" s="32" t="str">
        <f t="shared" ca="1" si="8"/>
        <v>Hen pheasant with sides of Cabbage sprouts and Parsnips (small), and a serving of Oats</v>
      </c>
    </row>
    <row r="35" spans="1:51" ht="30" customHeight="1">
      <c r="A35" s="637"/>
      <c r="B35" s="94" t="s">
        <v>2418</v>
      </c>
      <c r="C35" s="422" t="str">
        <f ca="1">CONCATENATE(INDEX('NPC''s'!$O$106:$O$113,RANDBETWEEN(1,8)))</f>
        <v>TATTERED AND WORN</v>
      </c>
      <c r="D35" s="422"/>
      <c r="E35" s="422"/>
      <c r="F35" s="422"/>
      <c r="G35" s="422"/>
      <c r="H35" s="422"/>
      <c r="I35" s="422"/>
      <c r="J35" s="422"/>
      <c r="K35" s="423"/>
      <c r="L35" s="11"/>
      <c r="M35" s="24"/>
      <c r="N35" s="12"/>
      <c r="O35" s="278"/>
      <c r="P35" s="12"/>
      <c r="Q35" s="12"/>
      <c r="R35" s="12"/>
      <c r="S35" s="12"/>
      <c r="T35" s="12"/>
      <c r="U35" s="12"/>
      <c r="V35" s="12"/>
      <c r="W35" s="12"/>
      <c r="X35" s="12"/>
      <c r="Y35" s="12"/>
      <c r="Z35" s="12"/>
      <c r="AC35" s="49">
        <v>6</v>
      </c>
      <c r="AD35" s="50" t="s">
        <v>785</v>
      </c>
      <c r="AE35" s="1">
        <v>10</v>
      </c>
      <c r="AF35" t="s">
        <v>7585</v>
      </c>
      <c r="AI35" s="32">
        <v>34</v>
      </c>
      <c r="AK35" s="32" t="s">
        <v>636</v>
      </c>
      <c r="AL35" s="32" t="s">
        <v>636</v>
      </c>
      <c r="AM35" s="32" t="s">
        <v>637</v>
      </c>
      <c r="AV35" s="32" t="s">
        <v>785</v>
      </c>
      <c r="AX35" s="32">
        <v>14</v>
      </c>
      <c r="AY35" s="32" t="str">
        <f t="shared" ca="1" si="8"/>
        <v>Thrushes with sides of Large Artichokes and Onions (green, small), and a serving of chickpeas</v>
      </c>
    </row>
    <row r="36" spans="1:51" ht="30" customHeight="1">
      <c r="A36" s="637"/>
      <c r="B36" s="94" t="s">
        <v>2435</v>
      </c>
      <c r="C36" s="422" t="str">
        <f ca="1">CONCATENATE(INDEX('NPC''s'!$S$106:$S$113,RANDBETWEEN(1,8)))</f>
        <v>CAUTIOUS LISTENER</v>
      </c>
      <c r="D36" s="422"/>
      <c r="E36" s="422"/>
      <c r="F36" s="422"/>
      <c r="G36" s="422"/>
      <c r="H36" s="422"/>
      <c r="I36" s="422"/>
      <c r="J36" s="422"/>
      <c r="K36" s="423"/>
      <c r="L36" s="11"/>
      <c r="M36" s="24"/>
      <c r="N36" s="12"/>
      <c r="O36" s="278"/>
      <c r="P36" s="12"/>
      <c r="Q36" s="12"/>
      <c r="R36" s="12"/>
      <c r="S36" s="12"/>
      <c r="T36" s="12"/>
      <c r="U36" s="12"/>
      <c r="V36" s="12"/>
      <c r="W36" s="12"/>
      <c r="X36" s="12"/>
      <c r="Y36" s="12"/>
      <c r="Z36" s="12"/>
      <c r="AC36" s="49">
        <v>7</v>
      </c>
      <c r="AD36" s="50" t="s">
        <v>786</v>
      </c>
      <c r="AE36" s="1">
        <v>10</v>
      </c>
      <c r="AF36" t="s">
        <v>7585</v>
      </c>
      <c r="AI36" s="32">
        <v>35</v>
      </c>
      <c r="AK36" s="32" t="s">
        <v>638</v>
      </c>
      <c r="AL36" s="32" t="s">
        <v>638</v>
      </c>
      <c r="AM36" s="32" t="s">
        <v>639</v>
      </c>
      <c r="AV36" s="32" t="s">
        <v>786</v>
      </c>
      <c r="AX36" s="32">
        <v>15</v>
      </c>
      <c r="AY36" s="32" t="str">
        <f t="shared" ca="1" si="8"/>
        <v>Chickens with sides of Olives from Tarsus and Large Artichokes, and a serving of shelled peas</v>
      </c>
    </row>
    <row r="37" spans="1:51" ht="30" customHeight="1">
      <c r="A37" s="637"/>
      <c r="B37" s="94" t="s">
        <v>2420</v>
      </c>
      <c r="C37" s="422" t="str">
        <f ca="1">CONCATENATE(INDEX('NPC''s'!$T$106:$T$111,RANDBETWEEN(1,6)))</f>
        <v>FISHERS</v>
      </c>
      <c r="D37" s="422"/>
      <c r="E37" s="422"/>
      <c r="F37" s="422"/>
      <c r="G37" s="422"/>
      <c r="H37" s="422"/>
      <c r="I37" s="422"/>
      <c r="J37" s="422"/>
      <c r="K37" s="423"/>
      <c r="L37" s="11"/>
      <c r="M37" s="24"/>
      <c r="N37" s="12"/>
      <c r="O37" s="278"/>
      <c r="P37" s="12"/>
      <c r="Q37" s="12"/>
      <c r="R37" s="12"/>
      <c r="S37" s="12"/>
      <c r="T37" s="12"/>
      <c r="U37" s="12"/>
      <c r="V37" s="12"/>
      <c r="W37" s="12"/>
      <c r="X37" s="12"/>
      <c r="Y37" s="12"/>
      <c r="Z37" s="12"/>
      <c r="AC37" s="49">
        <v>8</v>
      </c>
      <c r="AD37" s="50" t="s">
        <v>787</v>
      </c>
      <c r="AE37" s="1">
        <v>10</v>
      </c>
      <c r="AF37" t="s">
        <v>7585</v>
      </c>
      <c r="AI37" s="32">
        <v>36</v>
      </c>
      <c r="AK37" s="32" t="s">
        <v>640</v>
      </c>
      <c r="AL37" s="32" t="s">
        <v>640</v>
      </c>
      <c r="AM37" s="32" t="s">
        <v>641</v>
      </c>
      <c r="AV37" s="32" t="s">
        <v>787</v>
      </c>
      <c r="AX37" s="32">
        <v>16</v>
      </c>
      <c r="AY37" s="32" t="str">
        <f t="shared" ca="1" si="8"/>
        <v>Chickens with sides of Figs and Shelled Almonds, and a serving of shelled peas</v>
      </c>
    </row>
    <row r="38" spans="1:51" ht="35.1" customHeight="1" thickBot="1">
      <c r="A38" s="638"/>
      <c r="B38" s="95" t="s">
        <v>2419</v>
      </c>
      <c r="C38" s="415" t="str">
        <f ca="1">CONCATENATE("Their current mood is ",INDEX('NPC''s'!$R$106:$R$125,RANDBETWEEN(1,20)),". When calm, they are ",INDEX('NPC''s'!$P$106:$P$137,RANDBETWEEN(1,32)),", and when stressed they are ",INDEX('NPC''s'!$Q$106:$Q$137,RANDBETWEEN(1,32)))</f>
        <v>Their current mood is FRIENDLY. When calm, they are AGREEABLE, and when stressed they are DETERMINED</v>
      </c>
      <c r="D38" s="415"/>
      <c r="E38" s="415"/>
      <c r="F38" s="415"/>
      <c r="G38" s="415"/>
      <c r="H38" s="415"/>
      <c r="I38" s="415"/>
      <c r="J38" s="415"/>
      <c r="K38" s="416"/>
      <c r="L38" s="11"/>
      <c r="M38" s="24"/>
      <c r="N38" s="12"/>
      <c r="O38" s="278"/>
      <c r="P38" s="12"/>
      <c r="Q38" s="12"/>
      <c r="R38" s="12"/>
      <c r="S38" s="12"/>
      <c r="T38" s="12"/>
      <c r="U38" s="12"/>
      <c r="V38" s="12"/>
      <c r="W38" s="12"/>
      <c r="X38" s="12"/>
      <c r="Y38" s="12"/>
      <c r="Z38" s="12"/>
      <c r="AC38" s="49">
        <v>9</v>
      </c>
      <c r="AD38" s="50" t="s">
        <v>788</v>
      </c>
      <c r="AE38" s="1">
        <v>5</v>
      </c>
      <c r="AF38" t="s">
        <v>7585</v>
      </c>
      <c r="AI38" s="32">
        <v>37</v>
      </c>
      <c r="AK38" s="32" t="s">
        <v>642</v>
      </c>
      <c r="AL38" s="32" t="s">
        <v>642</v>
      </c>
      <c r="AM38" s="32" t="s">
        <v>643</v>
      </c>
      <c r="AV38" s="32" t="s">
        <v>788</v>
      </c>
      <c r="AX38" s="32">
        <v>17</v>
      </c>
      <c r="AY38" s="32" t="str">
        <f t="shared" ca="1" si="8"/>
        <v>Goose (fattened) with sides of Parsnips (small) and Parsnips (small), and a serving of hulled spelt grits</v>
      </c>
    </row>
    <row r="39" spans="1:51" ht="15.95" customHeight="1">
      <c r="A39" s="12"/>
      <c r="B39" s="12"/>
      <c r="C39" s="12"/>
      <c r="D39" s="12"/>
      <c r="E39" s="12"/>
      <c r="F39" s="12"/>
      <c r="G39" s="12"/>
      <c r="H39" s="12"/>
      <c r="I39" s="12"/>
      <c r="J39" s="12"/>
      <c r="K39" s="12"/>
      <c r="L39" s="11"/>
      <c r="M39" s="24"/>
      <c r="N39" s="12"/>
      <c r="O39" s="278"/>
      <c r="P39" s="12"/>
      <c r="Q39" s="12"/>
      <c r="R39" s="12"/>
      <c r="S39" s="12"/>
      <c r="T39" s="12"/>
      <c r="U39" s="12"/>
      <c r="V39" s="12"/>
      <c r="W39" s="12"/>
      <c r="X39" s="12"/>
      <c r="Y39" s="12"/>
      <c r="Z39" s="12"/>
      <c r="AC39" s="49">
        <v>10</v>
      </c>
      <c r="AD39" s="50" t="s">
        <v>789</v>
      </c>
      <c r="AE39" s="1">
        <v>2</v>
      </c>
      <c r="AF39" t="s">
        <v>7585</v>
      </c>
      <c r="AI39" s="32">
        <v>38</v>
      </c>
      <c r="AK39" s="32" t="s">
        <v>644</v>
      </c>
      <c r="AL39" s="32" t="s">
        <v>644</v>
      </c>
      <c r="AM39" s="32" t="s">
        <v>645</v>
      </c>
      <c r="AV39" s="32" t="s">
        <v>789</v>
      </c>
      <c r="AX39" s="32">
        <v>18</v>
      </c>
      <c r="AY39" s="32" t="str">
        <f t="shared" ca="1" si="8"/>
        <v>Oysters with sides of Figs and Raisins (smoked), and a serving of sweet peas</v>
      </c>
    </row>
    <row r="40" spans="1:51" ht="30" customHeight="1" thickBot="1">
      <c r="A40" s="12"/>
      <c r="B40" s="12"/>
      <c r="C40" s="12"/>
      <c r="D40" s="12"/>
      <c r="E40" s="12"/>
      <c r="F40" s="12"/>
      <c r="G40" s="12"/>
      <c r="H40" s="12"/>
      <c r="I40" s="12"/>
      <c r="J40" s="12"/>
      <c r="K40" s="12"/>
      <c r="L40" s="11"/>
      <c r="M40" s="24"/>
      <c r="N40" s="12"/>
      <c r="O40" s="278"/>
      <c r="P40" s="12"/>
      <c r="Q40" s="12"/>
      <c r="R40" s="12"/>
      <c r="S40" s="12"/>
      <c r="T40" s="12"/>
      <c r="U40" s="12"/>
      <c r="V40" s="12"/>
      <c r="W40" s="12"/>
      <c r="X40" s="12"/>
      <c r="Y40" s="12"/>
      <c r="Z40" s="12"/>
      <c r="AC40" s="49">
        <v>11</v>
      </c>
      <c r="AD40" s="50" t="s">
        <v>790</v>
      </c>
      <c r="AE40" s="1">
        <v>1</v>
      </c>
      <c r="AF40" t="s">
        <v>7585</v>
      </c>
      <c r="AI40" s="32">
        <v>39</v>
      </c>
      <c r="AK40" s="32" t="s">
        <v>646</v>
      </c>
      <c r="AL40" s="32" t="s">
        <v>646</v>
      </c>
      <c r="AM40" s="32" t="s">
        <v>647</v>
      </c>
      <c r="AV40" s="32" t="s">
        <v>790</v>
      </c>
      <c r="AX40" s="32">
        <v>19</v>
      </c>
      <c r="AY40" s="32" t="str">
        <f t="shared" ca="1" si="8"/>
        <v>wild Turtle dove with sides of Cabbage sprouts and Shelled Almonds, and a serving of sesame</v>
      </c>
    </row>
    <row r="41" spans="1:51" ht="30" customHeight="1" thickBot="1">
      <c r="A41" s="12"/>
      <c r="B41" s="676" t="s">
        <v>990</v>
      </c>
      <c r="C41" s="677"/>
      <c r="D41" s="677"/>
      <c r="E41" s="677"/>
      <c r="F41" s="677"/>
      <c r="G41" s="677"/>
      <c r="H41" s="677"/>
      <c r="I41" s="677"/>
      <c r="J41" s="677"/>
      <c r="K41" s="677"/>
      <c r="L41" s="872" t="s">
        <v>887</v>
      </c>
      <c r="M41" s="170" t="s">
        <v>991</v>
      </c>
      <c r="N41" s="873" t="s">
        <v>992</v>
      </c>
      <c r="O41" s="278">
        <f ca="1">VLOOKUP(P42,$AA$2:$AB$6,2,FALSE)</f>
        <v>1.0212765957446808</v>
      </c>
      <c r="P41" s="896" t="s">
        <v>7594</v>
      </c>
      <c r="Q41" s="313"/>
      <c r="R41" s="874" t="s">
        <v>7595</v>
      </c>
      <c r="S41" s="874" t="s">
        <v>7596</v>
      </c>
      <c r="T41" s="874" t="s">
        <v>7597</v>
      </c>
      <c r="U41" s="874" t="s">
        <v>7598</v>
      </c>
      <c r="V41" s="874" t="s">
        <v>7599</v>
      </c>
      <c r="W41" s="313" t="s">
        <v>770</v>
      </c>
      <c r="X41" s="313" t="s">
        <v>7600</v>
      </c>
      <c r="Y41" s="313"/>
      <c r="Z41" s="12"/>
      <c r="AC41" s="49">
        <v>12</v>
      </c>
      <c r="AD41" s="50" t="s">
        <v>791</v>
      </c>
      <c r="AE41" s="1">
        <v>1</v>
      </c>
      <c r="AF41" t="s">
        <v>7585</v>
      </c>
      <c r="AI41" s="32">
        <v>40</v>
      </c>
      <c r="AK41" s="32" t="s">
        <v>648</v>
      </c>
      <c r="AL41" s="32" t="s">
        <v>648</v>
      </c>
      <c r="AM41" s="32" t="s">
        <v>649</v>
      </c>
      <c r="AV41" s="32" t="s">
        <v>791</v>
      </c>
      <c r="AX41" s="32">
        <v>20</v>
      </c>
      <c r="AY41" s="32" t="str">
        <f t="shared" ca="1" si="8"/>
        <v>Pork with sides of Dried Damsons (Moneaean, old) and Lettuce, and a serving of ground wheat</v>
      </c>
    </row>
    <row r="42" spans="1:51" ht="30" customHeight="1" thickBot="1">
      <c r="A42" s="443" t="str">
        <f ca="1">$AH$3</f>
        <v>Trophy Forest Club (House)</v>
      </c>
      <c r="B42" s="875" t="str">
        <f ca="1">IF(R42="",CONCATENATE(CHOOSE(RANDBETWEEN(1,4),"Roasted","Grilled","Sauteed","Raw","Seasoned")," ",T42,", ",CHOOSE(RANDBETWEEN(1,4),"roasted","grilled","sauteed","raw","seasoned")," ",U42,", and a bowl of ",V42,IF(W42="","",CONCATENATE(". It includes ",W42," slices of bread."))),CONCATENATE(CHOOSE(RANDBETWEEN(1,5),"Baked","Stewed","Grilled","Roasted","Smoked")," ",R42," prepared with ",S42,". The sides are ",CHOOSE(RANDBETWEEN(1,4),"roasted","grilled","sauteed","raw","seasoned")," ",T42,", ",CHOOSE(RANDBETWEEN(1,4),"roasted","grilled","sauteed","raw","seasoned")," ",U42,", and a bowl of ",V42,IF(W42="","",CONCATENATE(". It includes ",W42," slices of bread."))))</f>
        <v>Sauteed Turnips (large), roasted Cucumbers (large), and a bowl of Oats. It includes 3 slices of bread.</v>
      </c>
      <c r="C42" s="674"/>
      <c r="D42" s="674"/>
      <c r="E42" s="674"/>
      <c r="F42" s="674"/>
      <c r="G42" s="674"/>
      <c r="H42" s="674"/>
      <c r="I42" s="674"/>
      <c r="J42" s="674"/>
      <c r="K42" s="675"/>
      <c r="L42" s="876" t="str">
        <f ca="1">CHOOSE(RANDBETWEEN(1,2),$AD$40,$AD$41)</f>
        <v>Wheat beer</v>
      </c>
      <c r="M42" s="877">
        <f ca="1">ROUNDUP(X42*$O$41,0)</f>
        <v>6</v>
      </c>
      <c r="N42" s="345">
        <f ca="1">ROUNDUP(IF(L42="","",VLOOKUP(L42,$AD$30:$AE$48,2,FALSE))*O41,0)</f>
        <v>2</v>
      </c>
      <c r="O42" s="30">
        <f ca="1">RANDBETWEEN(1,5)</f>
        <v>5</v>
      </c>
      <c r="P42" s="878" t="s">
        <v>7601</v>
      </c>
      <c r="Q42" s="313"/>
      <c r="R42" s="879" t="str">
        <f ca="1">IF($P$25="Lower",CHOOSE(RANDBETWEEN(1,5),INDEX($AD$63:$AD$111,RANDBETWEEN(1,49)),INDEX($AD$113:$AD$124,RANDBETWEEN(1,12)),"","",""),IF($P$25="Middle",CHOOSE(RANDBETWEEN(1,4),INDEX($AD$63:$AD$111,RANDBETWEEN(1,49)),INDEX($AD$113:$AD$124,RANDBETWEEN(1,12)),"",""),IF($P$25="Upper",CHOOSE(RANDBETWEEN(1,3),INDEX($AD$63:$AD$111,RANDBETWEEN(1,49)),INDEX($AD$113:$AD$124,RANDBETWEEN(1,12)),""),IF($P$25="Noble",CHOOSE(RANDBETWEEN(1,2),INDEX($AD$63:$AD$111,RANDBETWEEN(1,49)),INDEX($AD$113:$AD$124,RANDBETWEEN(1,12))),IF($P$25="Royal",CHOOSE(RANDBETWEEN(1,2),INDEX($AD$63:$AD$111,RANDBETWEEN(1,49)),INDEX($AD$113:$AD$124,RANDBETWEEN(1,12))),"")))))</f>
        <v/>
      </c>
      <c r="S42" s="879" t="str">
        <f ca="1">IF(R42="","",INDEX($AD$50:$AD$61,RANDBETWEEN(1,12)))</f>
        <v/>
      </c>
      <c r="T42" s="879" t="str">
        <f ca="1">INDEX($AD$126:$AD$224,RANDBETWEEN(1,99))</f>
        <v>Turnips (large)</v>
      </c>
      <c r="U42" s="879" t="str">
        <f ca="1">INDEX($AD$126:$AD$224,RANDBETWEEN(1,99))</f>
        <v>Cucumbers (large)</v>
      </c>
      <c r="V42" s="879" t="str">
        <f ca="1">INDEX($AD$3:$AD$28,RANDBETWEEN(1,26))</f>
        <v>Oats</v>
      </c>
      <c r="W42" s="880">
        <f ca="1">IF(RANDBETWEEN(-1,3)&lt;0,"",RANDBETWEEN(1,3))</f>
        <v>3</v>
      </c>
      <c r="X42" s="880">
        <f ca="1">IFERROR(VLOOKUP(R42,$AD$3:$AE$224,2,FALSE),0)+IFERROR(VLOOKUP(S42,$AD$3:$AE$224,2,FALSE),0)+IFERROR(VLOOKUP(T42,$AD$3:$AE$224,2,FALSE),0)+IFERROR(VLOOKUP(U42,$AD$3:$AE$224,2,FALSE),0)+IFERROR(VLOOKUP(V42,$AD$3:$AE$224,2,FALSE),0)+IFERROR(ROUNDUP(W42*0.5,0),0)</f>
        <v>5</v>
      </c>
      <c r="Y42" s="880"/>
      <c r="Z42" s="12"/>
      <c r="AC42" s="49">
        <v>13</v>
      </c>
      <c r="AD42" s="50" t="s">
        <v>792</v>
      </c>
      <c r="AE42" s="1">
        <v>10</v>
      </c>
      <c r="AF42" t="s">
        <v>7585</v>
      </c>
      <c r="AI42" s="32">
        <v>41</v>
      </c>
      <c r="AK42" s="32" t="s">
        <v>650</v>
      </c>
      <c r="AL42" s="32" t="s">
        <v>650</v>
      </c>
      <c r="AM42" s="32" t="s">
        <v>651</v>
      </c>
      <c r="AV42" s="32" t="s">
        <v>792</v>
      </c>
    </row>
    <row r="43" spans="1:51" ht="30" customHeight="1">
      <c r="A43" s="672"/>
      <c r="B43" s="881" t="str">
        <f ca="1">IF(R43="",CONCATENATE(CHOOSE(RANDBETWEEN(1,4),"Roasted","Grilled","Sauteed","Raw","Seasoned")," ",T43,", ",CHOOSE(RANDBETWEEN(1,4),"roasted","grilled","sauteed","raw","seasoned")," ",U43,", and a bowl of ",V43,IF(W43="","",CONCATENATE(". It includes ",W43," slices of bread."))),CONCATENATE(CHOOSE(RANDBETWEEN(1,5),"Baked","Stewed","Grilled","Roasted","Smoked")," ",R43," prepared with ",S43,". The sides are ",CHOOSE(RANDBETWEEN(1,4),"roasted","grilled","sauteed","raw","seasoned")," ",T43,", ",CHOOSE(RANDBETWEEN(1,4),"roasted","grilled","sauteed","raw","seasoned")," ",U43,", and a bowl of ",V43,IF(W43="","",CONCATENATE(". It includes ",W43," slices of bread."))))</f>
        <v>Roasted Mulberries, sauteed Lettuce, and a bowl of ground wheat</v>
      </c>
      <c r="C43" s="882"/>
      <c r="D43" s="882"/>
      <c r="E43" s="882"/>
      <c r="F43" s="882"/>
      <c r="G43" s="882"/>
      <c r="H43" s="882"/>
      <c r="I43" s="882"/>
      <c r="J43" s="882"/>
      <c r="K43" s="883"/>
      <c r="L43" s="884" t="str">
        <f ca="1">IF($O$42&gt;1,INDEX($AD$30:$AD$48,RANDBETWEEN(1,19)),"")</f>
        <v>Sabine</v>
      </c>
      <c r="M43" s="885">
        <f ca="1">ROUNDUP(X43*$O$41,0)</f>
        <v>4</v>
      </c>
      <c r="N43" s="346">
        <f ca="1">IF(L43="","",ROUNDUP(VLOOKUP(L43,$AD$30:$AE$48,2,FALSE)*$O$41,0))</f>
        <v>11</v>
      </c>
      <c r="O43" s="30">
        <f ca="1">RANDBETWEEN(2,5)</f>
        <v>4</v>
      </c>
      <c r="P43" s="12"/>
      <c r="Q43" s="313"/>
      <c r="R43" s="879" t="str">
        <f ca="1">IF($P$25="Lower",CHOOSE(RANDBETWEEN(1,5),INDEX($AD$63:$AD$111,RANDBETWEEN(1,49)),INDEX($AD$113:$AD$124,RANDBETWEEN(1,12)),"","",""),IF($P$25="Middle",CHOOSE(RANDBETWEEN(1,4),INDEX($AD$63:$AD$111,RANDBETWEEN(1,49)),INDEX($AD$113:$AD$124,RANDBETWEEN(1,12)),"",""),IF($P$25="Upper",CHOOSE(RANDBETWEEN(1,3),INDEX($AD$63:$AD$111,RANDBETWEEN(1,49)),INDEX($AD$113:$AD$124,RANDBETWEEN(1,12)),""),IF($P$25="Noble",CHOOSE(RANDBETWEEN(1,2),INDEX($AD$63:$AD$111,RANDBETWEEN(1,49)),INDEX($AD$113:$AD$124,RANDBETWEEN(1,12))),IF($P$25="Royal",CHOOSE(RANDBETWEEN(1,2),INDEX($AD$63:$AD$111,RANDBETWEEN(1,49)),INDEX($AD$113:$AD$124,RANDBETWEEN(1,12))),"")))))</f>
        <v/>
      </c>
      <c r="S43" s="879" t="str">
        <f t="shared" ref="S43:S46" ca="1" si="9">IF(R43="","",INDEX($AD$50:$AD$61,RANDBETWEEN(1,12)))</f>
        <v/>
      </c>
      <c r="T43" s="879" t="str">
        <f ca="1">INDEX($AD$126:$AD$224,RANDBETWEEN(1,99))</f>
        <v>Mulberries</v>
      </c>
      <c r="U43" s="879" t="str">
        <f ca="1">INDEX($AD$126:$AD$224,RANDBETWEEN(1,99))</f>
        <v>Lettuce</v>
      </c>
      <c r="V43" s="879" t="str">
        <f ca="1">INDEX($AD$3:$AD$28,RANDBETWEEN(1,26))</f>
        <v>ground wheat</v>
      </c>
      <c r="W43" s="880" t="str">
        <f t="shared" ref="W43:W46" ca="1" si="10">IF(RANDBETWEEN(-1,3)&lt;0,"",RANDBETWEEN(1,3))</f>
        <v/>
      </c>
      <c r="X43" s="880">
        <f t="shared" ref="X43:X46" ca="1" si="11">IFERROR(VLOOKUP(R43,$AD$3:$AE$224,2,FALSE),0)+IFERROR(VLOOKUP(S43,$AD$3:$AE$224,2,FALSE),0)+IFERROR(VLOOKUP(T43,$AD$3:$AE$224,2,FALSE),0)+IFERROR(VLOOKUP(U43,$AD$3:$AE$224,2,FALSE),0)+IFERROR(VLOOKUP(V43,$AD$3:$AE$224,2,FALSE),0)+IFERROR(ROUNDUP(W43*0.5,0),0)</f>
        <v>3</v>
      </c>
      <c r="Y43" s="880"/>
      <c r="Z43" s="12"/>
      <c r="AC43" s="49">
        <v>14</v>
      </c>
      <c r="AD43" s="50" t="s">
        <v>793</v>
      </c>
      <c r="AE43" s="1">
        <v>10</v>
      </c>
      <c r="AF43" t="s">
        <v>7585</v>
      </c>
      <c r="AI43" s="32">
        <v>42</v>
      </c>
      <c r="AK43" s="32" t="s">
        <v>652</v>
      </c>
      <c r="AL43" s="32" t="s">
        <v>652</v>
      </c>
      <c r="AM43" s="32" t="s">
        <v>653</v>
      </c>
      <c r="AV43" s="32" t="s">
        <v>793</v>
      </c>
    </row>
    <row r="44" spans="1:51" ht="30" customHeight="1">
      <c r="A44" s="672"/>
      <c r="B44" s="886" t="str">
        <f ca="1">IF($O$43&gt;2,IF(R44="",CONCATENATE(CHOOSE(RANDBETWEEN(1,4),"Roasted","Grilled","Sauteed","Raw","Seasoned")," ",T44,", ",CHOOSE(RANDBETWEEN(1,4),"roasted","grilled","sauteed","raw","seasoned")," ",U44,", and a bowl of ",V44,IF(W44="","",CONCATENATE(". It includes ",W44," slices of bread."))),CONCATENATE(CHOOSE(RANDBETWEEN(1,5),"Baked","Stewed","Grilled","Roasted","Smoked")," ",R44," prepared with ",S44,". The sides are ",CHOOSE(RANDBETWEEN(1,4),"roasted","grilled","sauteed","raw","seasoned")," ",T44,", ",CHOOSE(RANDBETWEEN(1,4),"roasted","grilled","sauteed","raw","seasoned")," ",U44,", and a bowl of ",V44,IF(W44="","",CONCATENATE(". It includes ",W44," slices of bread.")))),"")</f>
        <v>Grilled Hazelnuts, grilled Table grapes (hard or long), and a bowl of bitter vetch</v>
      </c>
      <c r="C44" s="887"/>
      <c r="D44" s="887"/>
      <c r="E44" s="887"/>
      <c r="F44" s="887"/>
      <c r="G44" s="887"/>
      <c r="H44" s="887"/>
      <c r="I44" s="887"/>
      <c r="J44" s="887"/>
      <c r="K44" s="888"/>
      <c r="L44" s="884" t="str">
        <f ca="1">IF($O$42&gt;2,INDEX($AD$30:$AD$48,RANDBETWEEN(1,19)),"")</f>
        <v>Setine</v>
      </c>
      <c r="M44" s="885">
        <f ca="1">IF(B44="","",ROUNDUP(X44*$O$41,0))</f>
        <v>5</v>
      </c>
      <c r="N44" s="346">
        <f ca="1">IF(L44="","",ROUNDUP(VLOOKUP(L44,$AD$30:$AE$48,2,FALSE)*$O$41,0))</f>
        <v>11</v>
      </c>
      <c r="O44" s="30"/>
      <c r="P44" s="12"/>
      <c r="Q44" s="313"/>
      <c r="R44" s="879" t="str">
        <f ca="1">IF($P$25="Lower",CHOOSE(RANDBETWEEN(1,5),INDEX($AD$63:$AD$111,RANDBETWEEN(1,49)),INDEX($AD$113:$AD$124,RANDBETWEEN(1,12)),"","",""),IF($P$25="Middle",CHOOSE(RANDBETWEEN(1,4),INDEX($AD$63:$AD$111,RANDBETWEEN(1,49)),INDEX($AD$113:$AD$124,RANDBETWEEN(1,12)),"",""),IF($P$25="Upper",CHOOSE(RANDBETWEEN(1,3),INDEX($AD$63:$AD$111,RANDBETWEEN(1,49)),INDEX($AD$113:$AD$124,RANDBETWEEN(1,12)),""),IF($P$25="Noble",CHOOSE(RANDBETWEEN(1,2),INDEX($AD$63:$AD$111,RANDBETWEEN(1,49)),INDEX($AD$113:$AD$124,RANDBETWEEN(1,12))),IF($P$25="Royal",CHOOSE(RANDBETWEEN(1,2),INDEX($AD$63:$AD$111,RANDBETWEEN(1,49)),INDEX($AD$113:$AD$124,RANDBETWEEN(1,12))),"")))))</f>
        <v/>
      </c>
      <c r="S44" s="879" t="str">
        <f t="shared" ca="1" si="9"/>
        <v/>
      </c>
      <c r="T44" s="879" t="str">
        <f ca="1">INDEX($AD$126:$AD$224,RANDBETWEEN(1,99))</f>
        <v>Hazelnuts</v>
      </c>
      <c r="U44" s="879" t="str">
        <f ca="1">INDEX($AD$126:$AD$224,RANDBETWEEN(1,99))</f>
        <v>Table grapes (hard or long)</v>
      </c>
      <c r="V44" s="879" t="str">
        <f ca="1">INDEX($AD$3:$AD$28,RANDBETWEEN(1,26))</f>
        <v>bitter vetch</v>
      </c>
      <c r="W44" s="880" t="str">
        <f t="shared" ca="1" si="10"/>
        <v/>
      </c>
      <c r="X44" s="880">
        <f t="shared" ca="1" si="11"/>
        <v>4</v>
      </c>
      <c r="Y44" s="880"/>
      <c r="Z44" s="12"/>
      <c r="AC44" s="49">
        <v>15</v>
      </c>
      <c r="AD44" s="50" t="s">
        <v>794</v>
      </c>
      <c r="AE44" s="1">
        <v>5</v>
      </c>
      <c r="AF44" t="s">
        <v>7585</v>
      </c>
      <c r="AI44" s="32">
        <v>43</v>
      </c>
      <c r="AK44" s="32" t="s">
        <v>654</v>
      </c>
      <c r="AL44" s="32" t="s">
        <v>654</v>
      </c>
      <c r="AM44" s="32" t="s">
        <v>655</v>
      </c>
      <c r="AV44" s="32" t="s">
        <v>794</v>
      </c>
    </row>
    <row r="45" spans="1:51" ht="30" customHeight="1">
      <c r="A45" s="672"/>
      <c r="B45" s="886" t="str">
        <f ca="1">IF($O$43&gt;3,IF(R45="",CONCATENATE(CHOOSE(RANDBETWEEN(1,4),"Roasted","Grilled","Sauteed","Raw","Seasoned")," ",T45,", ",CHOOSE(RANDBETWEEN(1,4),"roasted","grilled","sauteed","raw","seasoned")," ",U45,", and a bowl of ",V45,IF(W45="","",CONCATENATE(". It includes ",W45," slices of bread."))),CONCATENATE(CHOOSE(RANDBETWEEN(1,5),"Baked","Stewed","Grilled","Roasted","Smoked")," ",R45," prepared with ",S45,". The sides are ",CHOOSE(RANDBETWEEN(1,4),"roasted","grilled","sauteed","raw","seasoned")," ",T45,", ",CHOOSE(RANDBETWEEN(1,4),"roasted","grilled","sauteed","raw","seasoned")," ",U45,", and a bowl of ",V45,IF(W45="","",CONCATENATE(". It includes ",W45," slices of bread.")))),"")</f>
        <v>Roasted Dates (Nicolaan, old), raw Radishes (small), and a bowl of dried kidney beans. It includes 3 slices of bread.</v>
      </c>
      <c r="C45" s="887"/>
      <c r="D45" s="887"/>
      <c r="E45" s="887"/>
      <c r="F45" s="887"/>
      <c r="G45" s="887"/>
      <c r="H45" s="887"/>
      <c r="I45" s="887"/>
      <c r="J45" s="887"/>
      <c r="K45" s="888"/>
      <c r="L45" s="884" t="str">
        <f ca="1">IF($O$42&gt;3,INDEX($AD$30:$AD$48,RANDBETWEEN(1,19)),"")</f>
        <v>Wine, 1 yr old</v>
      </c>
      <c r="M45" s="885">
        <f ca="1">IF(B45="","",ROUNDUP(X45*$O$41,0))</f>
        <v>7</v>
      </c>
      <c r="N45" s="346">
        <f ca="1">IF(L45="","",ROUNDUP(VLOOKUP(L45,$AD$30:$AE$48,2,FALSE)*$O$41,0))</f>
        <v>6</v>
      </c>
      <c r="O45" s="30"/>
      <c r="P45" s="12"/>
      <c r="Q45" s="313"/>
      <c r="R45" s="879" t="str">
        <f ca="1">IF($P$25="Lower",CHOOSE(RANDBETWEEN(1,5),INDEX($AD$63:$AD$111,RANDBETWEEN(1,49)),INDEX($AD$113:$AD$124,RANDBETWEEN(1,12)),"","",""),IF($P$25="Middle",CHOOSE(RANDBETWEEN(1,4),INDEX($AD$63:$AD$111,RANDBETWEEN(1,49)),INDEX($AD$113:$AD$124,RANDBETWEEN(1,12)),"",""),IF($P$25="Upper",CHOOSE(RANDBETWEEN(1,3),INDEX($AD$63:$AD$111,RANDBETWEEN(1,49)),INDEX($AD$113:$AD$124,RANDBETWEEN(1,12)),""),IF($P$25="Noble",CHOOSE(RANDBETWEEN(1,2),INDEX($AD$63:$AD$111,RANDBETWEEN(1,49)),INDEX($AD$113:$AD$124,RANDBETWEEN(1,12))),IF($P$25="Royal",CHOOSE(RANDBETWEEN(1,2),INDEX($AD$63:$AD$111,RANDBETWEEN(1,49)),INDEX($AD$113:$AD$124,RANDBETWEEN(1,12))),"")))))</f>
        <v/>
      </c>
      <c r="S45" s="879" t="str">
        <f t="shared" ca="1" si="9"/>
        <v/>
      </c>
      <c r="T45" s="879" t="str">
        <f ca="1">INDEX($AD$126:$AD$224,RANDBETWEEN(1,99))</f>
        <v>Dates (Nicolaan, old)</v>
      </c>
      <c r="U45" s="879" t="str">
        <f ca="1">INDEX($AD$126:$AD$224,RANDBETWEEN(1,99))</f>
        <v>Radishes (small)</v>
      </c>
      <c r="V45" s="879" t="str">
        <f ca="1">INDEX($AD$3:$AD$28,RANDBETWEEN(1,26))</f>
        <v>dried kidney beans</v>
      </c>
      <c r="W45" s="880">
        <f t="shared" ca="1" si="10"/>
        <v>3</v>
      </c>
      <c r="X45" s="880">
        <f t="shared" ca="1" si="11"/>
        <v>6</v>
      </c>
      <c r="Y45" s="880"/>
      <c r="Z45" s="12"/>
      <c r="AC45" s="49">
        <v>16</v>
      </c>
      <c r="AD45" s="50" t="s">
        <v>795</v>
      </c>
      <c r="AE45" s="1">
        <v>5</v>
      </c>
      <c r="AF45" t="s">
        <v>7585</v>
      </c>
      <c r="AI45" s="32">
        <v>44</v>
      </c>
      <c r="AK45" s="32" t="s">
        <v>656</v>
      </c>
      <c r="AL45" s="32" t="s">
        <v>656</v>
      </c>
      <c r="AM45" s="32" t="s">
        <v>657</v>
      </c>
      <c r="AV45" s="32" t="s">
        <v>795</v>
      </c>
    </row>
    <row r="46" spans="1:51" ht="30" customHeight="1" thickBot="1">
      <c r="A46" s="673"/>
      <c r="B46" s="889" t="str">
        <f ca="1">IF($O$43&gt;4,IF(R46="",CONCATENATE(CHOOSE(RANDBETWEEN(1,4),"Roasted","Grilled","Sauteed","Raw","Seasoned")," ",T46,", ",CHOOSE(RANDBETWEEN(1,4),"roasted","grilled","sauteed","raw","seasoned")," ",U46,", and a bowl of ",V46),CONCATENATE(CHOOSE(RANDBETWEEN(1,5),"Baked","Stewed","Grilled","Roasted","Smoked")," ",R46," prepared with ",S46,". The sides are ",CHOOSE(RANDBETWEEN(1,4),"roasted","grilled","sauteed","raw","seasoned")," ",T46,", ",CHOOSE(RANDBETWEEN(1,4),"roasted","grilled","sauteed","raw","seasoned")," ",U46,", and a bowl of ",V46,IF(W46="","",CONCATENATE(". It includes ",W46," slices of bread.")))),"")</f>
        <v/>
      </c>
      <c r="C46" s="890"/>
      <c r="D46" s="890"/>
      <c r="E46" s="890"/>
      <c r="F46" s="890"/>
      <c r="G46" s="890"/>
      <c r="H46" s="890"/>
      <c r="I46" s="890"/>
      <c r="J46" s="890"/>
      <c r="K46" s="891"/>
      <c r="L46" s="892" t="str">
        <f ca="1">IF($O$42&gt;4,INDEX($AD$30:$AD$48,RANDBETWEEN(1,19)),"")</f>
        <v>Wine, 1 yr old</v>
      </c>
      <c r="M46" s="893" t="str">
        <f ca="1">IF(B46="","",ROUNDUP(X46*$O$41,0))</f>
        <v/>
      </c>
      <c r="N46" s="347">
        <f ca="1">IF(L46="","",ROUNDUP(VLOOKUP(L46,$AD$30:$AE$48,2,FALSE)*$O$41,0))</f>
        <v>6</v>
      </c>
      <c r="O46" s="30"/>
      <c r="P46" s="12"/>
      <c r="Q46" s="313"/>
      <c r="R46" s="879" t="str">
        <f ca="1">IF($P$25="Lower",CHOOSE(RANDBETWEEN(1,5),INDEX($AD$63:$AD$111,RANDBETWEEN(1,49)),INDEX($AD$113:$AD$124,RANDBETWEEN(1,12)),"","",""),IF($P$25="Middle",CHOOSE(RANDBETWEEN(1,4),INDEX($AD$63:$AD$111,RANDBETWEEN(1,49)),INDEX($AD$113:$AD$124,RANDBETWEEN(1,12)),"",""),IF($P$25="Upper",CHOOSE(RANDBETWEEN(1,3),INDEX($AD$63:$AD$111,RANDBETWEEN(1,49)),INDEX($AD$113:$AD$124,RANDBETWEEN(1,12)),""),IF($P$25="Noble",CHOOSE(RANDBETWEEN(1,2),INDEX($AD$63:$AD$111,RANDBETWEEN(1,49)),INDEX($AD$113:$AD$124,RANDBETWEEN(1,12))),IF($P$25="Royal",CHOOSE(RANDBETWEEN(1,2),INDEX($AD$63:$AD$111,RANDBETWEEN(1,49)),INDEX($AD$113:$AD$124,RANDBETWEEN(1,12))),"")))))</f>
        <v/>
      </c>
      <c r="S46" s="879" t="str">
        <f t="shared" ca="1" si="9"/>
        <v/>
      </c>
      <c r="T46" s="879" t="str">
        <f ca="1">INDEX($AD$126:$AD$224,RANDBETWEEN(1,99))</f>
        <v>Cultivated Asparagus</v>
      </c>
      <c r="U46" s="879" t="str">
        <f ca="1">INDEX($AD$126:$AD$224,RANDBETWEEN(1,99))</f>
        <v>Kidney beans</v>
      </c>
      <c r="V46" s="879" t="str">
        <f ca="1">INDEX($AD$3:$AD$28,RANDBETWEEN(1,26))</f>
        <v>Oats</v>
      </c>
      <c r="W46" s="880">
        <f t="shared" ca="1" si="10"/>
        <v>2</v>
      </c>
      <c r="X46" s="880">
        <f t="shared" ca="1" si="11"/>
        <v>4</v>
      </c>
      <c r="Y46" s="880"/>
      <c r="Z46" s="12"/>
      <c r="AC46" s="49">
        <v>17</v>
      </c>
      <c r="AD46" s="50" t="s">
        <v>796</v>
      </c>
      <c r="AE46" s="1">
        <v>10</v>
      </c>
      <c r="AF46" t="s">
        <v>7585</v>
      </c>
      <c r="AI46" s="32">
        <v>45</v>
      </c>
      <c r="AK46" s="32" t="s">
        <v>658</v>
      </c>
      <c r="AL46" s="32" t="s">
        <v>658</v>
      </c>
      <c r="AM46" s="32" t="s">
        <v>659</v>
      </c>
      <c r="AV46" s="32" t="s">
        <v>796</v>
      </c>
    </row>
    <row r="47" spans="1:51" ht="30" customHeight="1" thickBot="1">
      <c r="A47" s="12"/>
      <c r="B47" s="12"/>
      <c r="C47" s="12"/>
      <c r="D47" s="12"/>
      <c r="E47" s="12"/>
      <c r="F47" s="12"/>
      <c r="G47" s="12"/>
      <c r="H47" s="12"/>
      <c r="I47" s="12"/>
      <c r="J47" s="12"/>
      <c r="K47" s="12"/>
      <c r="L47" s="11"/>
      <c r="M47" s="24"/>
      <c r="N47" s="12"/>
      <c r="O47" s="278"/>
      <c r="P47" s="12"/>
      <c r="Q47" s="12"/>
      <c r="R47" s="12"/>
      <c r="S47" s="12"/>
      <c r="T47" s="12"/>
      <c r="U47" s="12"/>
      <c r="V47" s="12"/>
      <c r="W47" s="12"/>
      <c r="X47" s="12"/>
      <c r="Y47" s="12"/>
      <c r="Z47" s="12"/>
      <c r="AC47" s="49">
        <v>18</v>
      </c>
      <c r="AD47" s="50" t="s">
        <v>797</v>
      </c>
      <c r="AE47" s="1">
        <v>5</v>
      </c>
      <c r="AF47" t="s">
        <v>7585</v>
      </c>
      <c r="AI47" s="32">
        <v>46</v>
      </c>
      <c r="AK47" s="32" t="s">
        <v>660</v>
      </c>
      <c r="AL47" s="32" t="s">
        <v>660</v>
      </c>
      <c r="AM47" s="32" t="s">
        <v>661</v>
      </c>
      <c r="AV47" s="32" t="s">
        <v>797</v>
      </c>
    </row>
    <row r="48" spans="1:51" ht="30" customHeight="1">
      <c r="A48" s="105" t="str">
        <f>$B$84</f>
        <v>Your first impression is that it is:</v>
      </c>
      <c r="B48" s="562" t="str">
        <f ca="1">INDEX($B$85:$B$104,RANDBETWEEN(1,20))</f>
        <v>Losing popularity, and so falling into disrepair.</v>
      </c>
      <c r="C48" s="894"/>
      <c r="D48" s="563"/>
      <c r="E48" s="108"/>
      <c r="F48" s="666" t="s">
        <v>2467</v>
      </c>
      <c r="G48" s="667"/>
      <c r="H48" s="667"/>
      <c r="I48" s="668"/>
      <c r="J48" s="669" t="str">
        <f ca="1">CONCATENATE(INDEX($B$110:$B$121,RANDBETWEEN(1,12))," It is drawing ",INDEX($M$110:$M$114,RANDBETWEEN(1,5))," of the patrons.")</f>
        <v>A BORING STORY TELLER. It is drawing NONE of the patrons.</v>
      </c>
      <c r="K48" s="670"/>
      <c r="L48" s="670"/>
      <c r="M48" s="670"/>
      <c r="N48" s="671"/>
      <c r="O48" s="278"/>
      <c r="P48" s="12"/>
      <c r="Q48" s="12"/>
      <c r="R48" s="12"/>
      <c r="S48" s="12"/>
      <c r="T48" s="12"/>
      <c r="U48" s="12"/>
      <c r="V48" s="12"/>
      <c r="W48" s="12"/>
      <c r="X48" s="12"/>
      <c r="Y48" s="12"/>
      <c r="Z48" s="12"/>
      <c r="AC48" s="49">
        <v>19</v>
      </c>
      <c r="AD48" s="50" t="s">
        <v>798</v>
      </c>
      <c r="AE48" s="1">
        <v>5</v>
      </c>
      <c r="AF48" t="s">
        <v>7585</v>
      </c>
      <c r="AI48" s="32">
        <v>47</v>
      </c>
      <c r="AK48" s="32" t="s">
        <v>662</v>
      </c>
      <c r="AL48" s="32" t="s">
        <v>662</v>
      </c>
      <c r="AM48" s="32" t="s">
        <v>663</v>
      </c>
      <c r="AV48" s="32" t="s">
        <v>798</v>
      </c>
    </row>
    <row r="49" spans="1:48" ht="30" customHeight="1">
      <c r="A49" s="106" t="str">
        <f>$C$84</f>
        <v>The front door is:</v>
      </c>
      <c r="B49" s="691" t="str">
        <f ca="1">INDEX($C$85:$C$91,RANDBETWEEN(1,7))</f>
        <v>Thick wood</v>
      </c>
      <c r="C49" s="692"/>
      <c r="D49" s="693"/>
      <c r="E49" s="108"/>
      <c r="F49" s="660" t="s">
        <v>2456</v>
      </c>
      <c r="G49" s="661"/>
      <c r="H49" s="661"/>
      <c r="I49" s="662"/>
      <c r="J49" s="663" t="str">
        <f ca="1">INDEX($C$110:$C$121,RANDBETWEEN(1,12))</f>
        <v>TWO SOLDIERS are arguing over the quality of their equipment.</v>
      </c>
      <c r="K49" s="664"/>
      <c r="L49" s="664"/>
      <c r="M49" s="664"/>
      <c r="N49" s="665"/>
      <c r="O49" s="278"/>
      <c r="P49" s="12"/>
      <c r="Q49" s="12"/>
      <c r="R49" s="12"/>
      <c r="S49" s="12"/>
      <c r="T49" s="12"/>
      <c r="U49" s="12"/>
      <c r="V49" s="12"/>
      <c r="W49" s="12"/>
      <c r="X49" s="12"/>
      <c r="Y49" s="12"/>
      <c r="Z49" s="12"/>
      <c r="AC49" s="53"/>
      <c r="AD49" s="54" t="s">
        <v>7491</v>
      </c>
      <c r="AI49" s="32">
        <v>48</v>
      </c>
      <c r="AK49" s="32" t="s">
        <v>664</v>
      </c>
      <c r="AL49" s="32" t="s">
        <v>664</v>
      </c>
      <c r="AM49" s="32" t="s">
        <v>665</v>
      </c>
      <c r="AV49" s="111" t="s">
        <v>799</v>
      </c>
    </row>
    <row r="50" spans="1:48" ht="30" customHeight="1">
      <c r="A50" s="106" t="str">
        <f>$D$84</f>
        <v>Once inside, you see that it is:</v>
      </c>
      <c r="B50" s="691" t="str">
        <f ca="1">CONCATENATE(INDEX($D$85:$D$94,RANDBETWEEN(1,10)),", ",INDEX($E$85:$E$91,RANDBETWEEN(1,7)),", and ",INDEX($F$85:$F$95,RANDBETWEEN(1,11)))</f>
        <v>Hot, Dry, and Comfortable</v>
      </c>
      <c r="C50" s="692"/>
      <c r="D50" s="693"/>
      <c r="E50" s="108"/>
      <c r="F50" s="660" t="s">
        <v>2455</v>
      </c>
      <c r="G50" s="661"/>
      <c r="H50" s="661"/>
      <c r="I50" s="662"/>
      <c r="J50" s="663" t="str">
        <f ca="1">INDEX($D$110:$D$115,RANDBETWEEN(1,6))</f>
        <v>Tonight's special cocktail: Mindbomb. It's made with absinthe and explosive powder.</v>
      </c>
      <c r="K50" s="664"/>
      <c r="L50" s="664"/>
      <c r="M50" s="664"/>
      <c r="N50" s="665"/>
      <c r="O50" s="278"/>
      <c r="P50" s="12"/>
      <c r="Q50" s="12"/>
      <c r="R50" s="12"/>
      <c r="S50" s="12"/>
      <c r="T50" s="12"/>
      <c r="U50" s="12"/>
      <c r="V50" s="12"/>
      <c r="W50" s="12"/>
      <c r="X50" s="12"/>
      <c r="Y50" s="12"/>
      <c r="Z50" s="12"/>
      <c r="AC50" s="49">
        <v>1</v>
      </c>
      <c r="AD50" s="50" t="s">
        <v>800</v>
      </c>
      <c r="AE50" s="1">
        <v>1</v>
      </c>
      <c r="AF50" t="s">
        <v>7586</v>
      </c>
      <c r="AI50" s="32">
        <v>49</v>
      </c>
      <c r="AK50" s="32" t="s">
        <v>666</v>
      </c>
      <c r="AL50" s="32" t="s">
        <v>666</v>
      </c>
      <c r="AM50" s="32" t="s">
        <v>667</v>
      </c>
      <c r="AV50" s="32" t="s">
        <v>800</v>
      </c>
    </row>
    <row r="51" spans="1:48" ht="30" customHeight="1">
      <c r="A51" s="106" t="str">
        <f>$G$84</f>
        <v xml:space="preserve">Most of the tables are </v>
      </c>
      <c r="B51" s="691" t="str">
        <f ca="1">INDEX($G$85:$G$104,RANDBETWEEN(1,4))</f>
        <v>Sparsley populated</v>
      </c>
      <c r="C51" s="692"/>
      <c r="D51" s="693"/>
      <c r="E51" s="108"/>
      <c r="F51" s="660" t="s">
        <v>2457</v>
      </c>
      <c r="G51" s="661"/>
      <c r="H51" s="661"/>
      <c r="I51" s="662"/>
      <c r="J51" s="663" t="str">
        <f ca="1">INDEX($E$110:$E$126,RANDBETWEEN(1,17))</f>
        <v>A FORTUNE TELLER is beginning to draw an unruly crowd.</v>
      </c>
      <c r="K51" s="664"/>
      <c r="L51" s="664"/>
      <c r="M51" s="664"/>
      <c r="N51" s="665"/>
      <c r="O51" s="278"/>
      <c r="P51" s="12"/>
      <c r="Q51" s="12"/>
      <c r="R51" s="12"/>
      <c r="S51" s="12"/>
      <c r="T51" s="12"/>
      <c r="U51" s="12"/>
      <c r="V51" s="12"/>
      <c r="W51" s="12"/>
      <c r="X51" s="12"/>
      <c r="Y51" s="12"/>
      <c r="Z51" s="12"/>
      <c r="AC51" s="49">
        <v>2</v>
      </c>
      <c r="AD51" s="50" t="s">
        <v>7492</v>
      </c>
      <c r="AE51" s="1">
        <v>1</v>
      </c>
      <c r="AF51" t="s">
        <v>7586</v>
      </c>
      <c r="AI51" s="32">
        <v>50</v>
      </c>
      <c r="AK51" s="32" t="s">
        <v>668</v>
      </c>
      <c r="AL51" s="32" t="s">
        <v>668</v>
      </c>
      <c r="AM51" s="32" t="s">
        <v>669</v>
      </c>
      <c r="AV51" s="32" t="s">
        <v>800</v>
      </c>
    </row>
    <row r="52" spans="1:48" ht="35.1" customHeight="1" thickBot="1">
      <c r="A52" s="106" t="str">
        <f>$H$84</f>
        <v xml:space="preserve">The atmosphere is </v>
      </c>
      <c r="B52" s="691" t="str">
        <f ca="1">INDEX($H$85:$H$95,RANDBETWEEN(1,11))</f>
        <v>Elated</v>
      </c>
      <c r="C52" s="692"/>
      <c r="D52" s="693"/>
      <c r="E52" s="108"/>
      <c r="F52" s="639" t="s">
        <v>2458</v>
      </c>
      <c r="G52" s="640"/>
      <c r="H52" s="640"/>
      <c r="I52" s="641"/>
      <c r="J52" s="642" t="str">
        <f ca="1">INDEX($F$110:$F$149,RANDBETWEEN(1,40))</f>
        <v>their sausages, made on-site.</v>
      </c>
      <c r="K52" s="643"/>
      <c r="L52" s="643"/>
      <c r="M52" s="643"/>
      <c r="N52" s="644"/>
      <c r="O52" s="278"/>
      <c r="P52" s="12"/>
      <c r="Q52" s="12"/>
      <c r="R52" s="12"/>
      <c r="S52" s="12"/>
      <c r="T52" s="12"/>
      <c r="U52" s="12"/>
      <c r="V52" s="12"/>
      <c r="W52" s="12"/>
      <c r="X52" s="12"/>
      <c r="Y52" s="12"/>
      <c r="Z52" s="12"/>
      <c r="AC52" s="49">
        <v>3</v>
      </c>
      <c r="AD52" s="50" t="s">
        <v>1140</v>
      </c>
      <c r="AE52" s="1">
        <v>1</v>
      </c>
      <c r="AF52" t="s">
        <v>7586</v>
      </c>
      <c r="AI52" s="32">
        <v>51</v>
      </c>
      <c r="AK52" s="32" t="s">
        <v>670</v>
      </c>
      <c r="AL52" s="32" t="s">
        <v>670</v>
      </c>
      <c r="AM52" s="32" t="s">
        <v>671</v>
      </c>
      <c r="AV52" s="32" t="s">
        <v>2460</v>
      </c>
    </row>
    <row r="53" spans="1:48" ht="48.75" customHeight="1" thickBot="1">
      <c r="A53" s="107" t="str">
        <f>$I$84</f>
        <v>Firepit</v>
      </c>
      <c r="B53" s="697" t="str">
        <f ca="1">INDEX($I$85:$I$89,RANDBETWEEN(1,4))</f>
        <v>There is a warm fire burning in the hearth.</v>
      </c>
      <c r="C53" s="698"/>
      <c r="D53" s="699"/>
      <c r="E53" s="108"/>
      <c r="F53" s="654" t="s">
        <v>6386</v>
      </c>
      <c r="G53" s="655"/>
      <c r="H53" s="655"/>
      <c r="I53" s="656"/>
      <c r="J53" s="659" t="str">
        <f ca="1">CHOOSE(RANDBETWEEN(1,2),CONCATENATE("Recently, I heard that ",INDEX($N$109:$N$128,RANDBETWEEN(1,20))," ",INDEX($O$109:$O$128,RANDBETWEEN(1,20))," was seen with ",INDEX($P$109:$P$128,RANDBETWEEN(1,20))," down near ",INDEX($Q$109:$Q$128,RANDBETWEEN(1,20))," and, get this, nearby there was ",INDEX($R$109:$R$128,RANDBETWEEN(1,20)),". I heard it from ",INDEX($S$109:$S$128,RANDBETWEEN(1,20))," so it ",INDEX($T$109:$T$128,RANDBETWEEN(1,20)),". Who knows."),CONCATENATE(CHOOSE(RANDBETWEEN(1,8),"My mother","My father","My brother","My sister","My cousin","My friend","My coworker","My neighbor")," told me about ",INDEX($N$135:$N$144,RANDBETWEEN(1,10))," that ",INDEX($O$135:$O$144,RANDBETWEEN(1,10))," and discovered ",INDEX($P$135:$P$144,RANDBETWEEN(1,10))," And now ",INDEX($Q$135:$Q$144,RANDBETWEEN(1,10))))</f>
        <v>My brother told me about A temple priest that Got drunk and discovered A powerful artefact. And now People are sick!</v>
      </c>
      <c r="K53" s="657"/>
      <c r="L53" s="657"/>
      <c r="M53" s="657"/>
      <c r="N53" s="658"/>
      <c r="O53" s="278"/>
      <c r="P53" s="12"/>
      <c r="Q53" s="12"/>
      <c r="R53" s="12"/>
      <c r="S53" s="12"/>
      <c r="T53" s="12"/>
      <c r="U53" s="12"/>
      <c r="V53" s="12"/>
      <c r="W53" s="12"/>
      <c r="X53" s="12"/>
      <c r="Y53" s="12"/>
      <c r="Z53" s="12"/>
      <c r="AC53" s="49">
        <v>4</v>
      </c>
      <c r="AD53" s="50" t="s">
        <v>7493</v>
      </c>
      <c r="AE53" s="1">
        <v>2</v>
      </c>
      <c r="AF53" t="s">
        <v>7586</v>
      </c>
      <c r="AI53" s="32">
        <v>52</v>
      </c>
      <c r="AK53" s="32" t="s">
        <v>672</v>
      </c>
      <c r="AL53" s="32" t="s">
        <v>672</v>
      </c>
      <c r="AM53" s="32" t="s">
        <v>673</v>
      </c>
      <c r="AV53" s="32" t="s">
        <v>801</v>
      </c>
    </row>
    <row r="54" spans="1:48" ht="69.95" customHeight="1" thickBot="1">
      <c r="A54" s="108"/>
      <c r="B54" s="108"/>
      <c r="C54" s="108"/>
      <c r="D54" s="108"/>
      <c r="E54" s="108"/>
      <c r="F54" s="654" t="s">
        <v>6795</v>
      </c>
      <c r="G54" s="655"/>
      <c r="H54" s="655"/>
      <c r="I54" s="656"/>
      <c r="J54" s="659" t="str">
        <f ca="1">CONCATENATE(INDEX($N$150:$N$159,RANDBETWEEN(1,10))," ",INDEX($O$151:$O$170,RANDBETWEEN(1,20))," ",INDEX($P$151:$P$250,RANDBETWEEN(1,100)),", ",INDEX($Q$151:$Q$170,RANDBETWEEN(1,20))," ",INDEX($R$151:$R$170,RANDBETWEEN(1,20)),". People say that ",INDEX($S$151:$S$160,RANDBETWEEN(1,10))," ",INDEX($T$151:$T$160,RANDBETWEEN(1,6))," ",INDEX($U$151:$U$170,RANDBETWEEN(1,20)))</f>
        <v>In the corner of the taverns sits a group of pale figures, with low voices they’re talking about a  singing  tent,  said to house something truly abnormal  on a magical plane. People say that it’s definitely just a myth and you shouldn't worry. But, a visiting noble asks the players to destroy it.</v>
      </c>
      <c r="K54" s="657"/>
      <c r="L54" s="657"/>
      <c r="M54" s="657"/>
      <c r="N54" s="658"/>
      <c r="O54" s="278"/>
      <c r="P54" s="12"/>
      <c r="Q54" s="12"/>
      <c r="R54" s="12"/>
      <c r="S54" s="12"/>
      <c r="T54" s="12"/>
      <c r="U54" s="12"/>
      <c r="V54" s="12"/>
      <c r="W54" s="12"/>
      <c r="X54" s="12"/>
      <c r="Y54" s="12"/>
      <c r="Z54" s="12"/>
      <c r="AC54" s="49">
        <v>5</v>
      </c>
      <c r="AD54" s="50" t="s">
        <v>7494</v>
      </c>
      <c r="AE54" s="1">
        <v>2</v>
      </c>
      <c r="AF54" t="s">
        <v>7586</v>
      </c>
      <c r="AI54" s="32">
        <v>53</v>
      </c>
      <c r="AK54" s="32" t="s">
        <v>674</v>
      </c>
      <c r="AL54" s="32" t="s">
        <v>674</v>
      </c>
      <c r="AM54" s="32" t="s">
        <v>675</v>
      </c>
      <c r="AV54" s="32" t="s">
        <v>801</v>
      </c>
    </row>
    <row r="55" spans="1:48" ht="30" customHeight="1" thickBot="1">
      <c r="A55" s="108"/>
      <c r="B55" s="108"/>
      <c r="C55" s="108"/>
      <c r="D55" s="108"/>
      <c r="E55" s="108"/>
      <c r="F55" s="278"/>
      <c r="G55" s="278"/>
      <c r="H55" s="278"/>
      <c r="I55" s="278"/>
      <c r="J55" s="278"/>
      <c r="K55" s="278"/>
      <c r="L55" s="278"/>
      <c r="M55" s="278"/>
      <c r="N55" s="278"/>
      <c r="O55" s="278"/>
      <c r="P55" s="12"/>
      <c r="Q55" s="12"/>
      <c r="R55" s="12"/>
      <c r="S55" s="12"/>
      <c r="T55" s="12"/>
      <c r="U55" s="12"/>
      <c r="V55" s="12"/>
      <c r="W55" s="12"/>
      <c r="X55" s="12"/>
      <c r="Y55" s="12"/>
      <c r="Z55" s="12"/>
      <c r="AC55" s="49">
        <v>6</v>
      </c>
      <c r="AD55" s="50" t="s">
        <v>802</v>
      </c>
      <c r="AE55" s="1">
        <v>1</v>
      </c>
      <c r="AF55" t="s">
        <v>7586</v>
      </c>
      <c r="AI55" s="32">
        <v>54</v>
      </c>
      <c r="AK55" s="32" t="s">
        <v>676</v>
      </c>
      <c r="AL55" s="32" t="s">
        <v>676</v>
      </c>
      <c r="AM55" s="32" t="s">
        <v>677</v>
      </c>
      <c r="AV55" s="32" t="s">
        <v>802</v>
      </c>
    </row>
    <row r="56" spans="1:48" ht="30" customHeight="1">
      <c r="A56" s="645" t="s">
        <v>2459</v>
      </c>
      <c r="B56" s="93" t="s">
        <v>2416</v>
      </c>
      <c r="C56" s="426" t="str">
        <f ca="1">CONCATENATE(INDEX('NPC''s'!$I$106:$I$115,RANDBETWEEN(1,10))," in stature, with a ",INDEX('NPC''s'!$J$106:$J$125,RANDBETWEEN(1,20))," body, and ",INDEX('NPC''s'!$K$106:$K$111,RANDBETWEEN(1,6)))</f>
        <v>AVERAGE  in stature, with a BIG AND BROAD body, and POWERFUL HANDS.</v>
      </c>
      <c r="D56" s="426"/>
      <c r="E56" s="426"/>
      <c r="F56" s="426"/>
      <c r="G56" s="426"/>
      <c r="H56" s="426"/>
      <c r="I56" s="426"/>
      <c r="J56" s="426"/>
      <c r="K56" s="427"/>
      <c r="L56" s="24"/>
      <c r="M56" s="648" t="str">
        <f>$N$84</f>
        <v>The Barkeep greets you with:</v>
      </c>
      <c r="N56" s="650" t="str">
        <f ca="1">INDEX($N$85:$N$92,RANDBETWEEN(1,8))</f>
        <v>A goblet of wine.</v>
      </c>
      <c r="O56" s="278"/>
      <c r="P56" s="12"/>
      <c r="Q56" s="12"/>
      <c r="R56" s="12"/>
      <c r="S56" s="12"/>
      <c r="T56" s="12"/>
      <c r="U56" s="12"/>
      <c r="V56" s="12"/>
      <c r="W56" s="12"/>
      <c r="X56" s="12"/>
      <c r="Y56" s="12"/>
      <c r="Z56" s="12"/>
      <c r="AC56" s="49">
        <v>7</v>
      </c>
      <c r="AD56" s="50" t="s">
        <v>7495</v>
      </c>
      <c r="AE56" s="1">
        <v>2</v>
      </c>
      <c r="AF56" t="s">
        <v>7586</v>
      </c>
      <c r="AI56" s="32">
        <v>55</v>
      </c>
      <c r="AK56" s="32" t="s">
        <v>678</v>
      </c>
      <c r="AL56" s="32" t="s">
        <v>678</v>
      </c>
      <c r="AM56" s="32" t="s">
        <v>679</v>
      </c>
      <c r="AV56" s="32" t="s">
        <v>803</v>
      </c>
    </row>
    <row r="57" spans="1:48" ht="30" customHeight="1" thickBot="1">
      <c r="A57" s="646"/>
      <c r="B57" s="94" t="s">
        <v>2415</v>
      </c>
      <c r="C57" s="422" t="str">
        <f ca="1">CONCATENATE(INDEX('NPC''s'!$B$106:$B$125,RANDBETWEEN(1,20)),", ",INDEX('NPC''s'!$C$106:$C$117,RANDBETWEEN(1,12)),", and ",INDEX('NPC''s'!$D$106:$D$115,RANDBETWEEN(1,10)),". They have ",INDEX('NPC''s'!$H$106:$H$113,RANDBETWEEN(1,8)),", ",INDEX('NPC''s'!$E$106:$E$117,RANDBETWEEN(1,12)),", ",INDEX('NPC''s'!$F$106:$F$113,RANDBETWEEN(1,8)),", and ",INDEX('NPC''s'!$G$106:$G$125,RANDBETWEEN(1,20)))</f>
        <v>SLEEPY EYES, JUG-HANDLE EARS, and FULL LIPS. They have TERRIBLE SCARRING, A BROAD NOSE, A DIMPLE ON THE CHIN, and A SHAVED HEAD</v>
      </c>
      <c r="D57" s="422"/>
      <c r="E57" s="422"/>
      <c r="F57" s="422"/>
      <c r="G57" s="422"/>
      <c r="H57" s="422"/>
      <c r="I57" s="422"/>
      <c r="J57" s="422"/>
      <c r="K57" s="423"/>
      <c r="L57" s="31"/>
      <c r="M57" s="649"/>
      <c r="N57" s="651"/>
      <c r="O57" s="278"/>
      <c r="P57" s="12"/>
      <c r="Q57" s="12"/>
      <c r="R57" s="12"/>
      <c r="S57" s="12"/>
      <c r="T57" s="12"/>
      <c r="U57" s="12"/>
      <c r="V57" s="12"/>
      <c r="W57" s="12"/>
      <c r="X57" s="12"/>
      <c r="Y57" s="12"/>
      <c r="Z57" s="12"/>
      <c r="AC57" s="49">
        <v>8</v>
      </c>
      <c r="AD57" s="50" t="s">
        <v>7496</v>
      </c>
      <c r="AE57" s="1">
        <v>1</v>
      </c>
      <c r="AF57" t="s">
        <v>7586</v>
      </c>
      <c r="AI57" s="32">
        <v>56</v>
      </c>
      <c r="AK57" s="32" t="s">
        <v>680</v>
      </c>
      <c r="AL57" s="32" t="s">
        <v>680</v>
      </c>
      <c r="AM57" s="32" t="s">
        <v>681</v>
      </c>
      <c r="AV57" s="32" t="s">
        <v>803</v>
      </c>
    </row>
    <row r="58" spans="1:48" ht="30" customHeight="1" thickBot="1">
      <c r="A58" s="646"/>
      <c r="B58" s="94" t="s">
        <v>2417</v>
      </c>
      <c r="C58" s="422" t="str">
        <f ca="1">CONCATENATE(INDEX('NPC''s'!$M$106:$M$117,RANDBETWEEN(1,12)),", made of ",INDEX('NPC''s'!$N$106:$N$115,RANDBETWEEN(1,10)))</f>
        <v>A MEDALLION, made of COPPER</v>
      </c>
      <c r="D58" s="422"/>
      <c r="E58" s="422"/>
      <c r="F58" s="422"/>
      <c r="G58" s="422"/>
      <c r="H58" s="422"/>
      <c r="I58" s="422"/>
      <c r="J58" s="422"/>
      <c r="K58" s="423"/>
      <c r="L58" s="31"/>
      <c r="M58" s="31"/>
      <c r="N58" s="31"/>
      <c r="O58" s="278"/>
      <c r="P58" s="12"/>
      <c r="Q58" s="12"/>
      <c r="R58" s="12"/>
      <c r="S58" s="12"/>
      <c r="T58" s="12"/>
      <c r="U58" s="12"/>
      <c r="V58" s="12"/>
      <c r="W58" s="12"/>
      <c r="X58" s="12"/>
      <c r="Y58" s="12"/>
      <c r="Z58" s="12"/>
      <c r="AC58" s="49">
        <v>9</v>
      </c>
      <c r="AD58" s="50" t="s">
        <v>7497</v>
      </c>
      <c r="AE58" s="1">
        <v>2</v>
      </c>
      <c r="AF58" t="s">
        <v>7586</v>
      </c>
      <c r="AI58" s="32">
        <v>57</v>
      </c>
      <c r="AK58" s="32" t="s">
        <v>682</v>
      </c>
      <c r="AL58" s="32" t="s">
        <v>682</v>
      </c>
      <c r="AM58" s="32" t="s">
        <v>683</v>
      </c>
      <c r="AV58" s="32" t="s">
        <v>804</v>
      </c>
    </row>
    <row r="59" spans="1:48" ht="33" customHeight="1">
      <c r="A59" s="646"/>
      <c r="B59" s="94" t="s">
        <v>2418</v>
      </c>
      <c r="C59" s="422" t="str">
        <f ca="1">CONCATENATE(INDEX('NPC''s'!$O$106:$O$113,RANDBETWEEN(1,8)))</f>
        <v>A BIT OLD-FASHIONED</v>
      </c>
      <c r="D59" s="422"/>
      <c r="E59" s="422"/>
      <c r="F59" s="422"/>
      <c r="G59" s="422"/>
      <c r="H59" s="422"/>
      <c r="I59" s="422"/>
      <c r="J59" s="422"/>
      <c r="K59" s="423"/>
      <c r="L59" s="31"/>
      <c r="M59" s="648" t="str">
        <f>$O$84</f>
        <v>The Server is looking for:</v>
      </c>
      <c r="N59" s="650" t="str">
        <f ca="1">INDEX($O$85:$O$92,RANDBETWEEN(1,6))</f>
        <v xml:space="preserve"> Someone to do some pest removal.</v>
      </c>
      <c r="O59" s="278"/>
      <c r="P59" s="12"/>
      <c r="Q59" s="12"/>
      <c r="R59" s="12"/>
      <c r="S59" s="12"/>
      <c r="T59" s="12"/>
      <c r="U59" s="12"/>
      <c r="V59" s="12"/>
      <c r="W59" s="12"/>
      <c r="X59" s="12"/>
      <c r="Y59" s="12"/>
      <c r="Z59" s="12"/>
      <c r="AC59" s="49">
        <v>10</v>
      </c>
      <c r="AD59" s="50" t="s">
        <v>805</v>
      </c>
      <c r="AE59" s="1">
        <v>1</v>
      </c>
      <c r="AF59" t="s">
        <v>7586</v>
      </c>
      <c r="AI59" s="32">
        <v>58</v>
      </c>
      <c r="AK59" s="32" t="s">
        <v>684</v>
      </c>
      <c r="AL59" s="32" t="s">
        <v>684</v>
      </c>
      <c r="AM59" s="32" t="s">
        <v>685</v>
      </c>
      <c r="AV59" s="32" t="s">
        <v>805</v>
      </c>
    </row>
    <row r="60" spans="1:48" ht="30" customHeight="1">
      <c r="A60" s="646"/>
      <c r="B60" s="94" t="s">
        <v>2435</v>
      </c>
      <c r="C60" s="422" t="str">
        <f ca="1">CONCATENATE(INDEX('NPC''s'!$S$106:$S$113,RANDBETWEEN(1,8)))</f>
        <v>OPEN-MINDED SEEKER</v>
      </c>
      <c r="D60" s="422"/>
      <c r="E60" s="422"/>
      <c r="F60" s="422"/>
      <c r="G60" s="422"/>
      <c r="H60" s="422"/>
      <c r="I60" s="422"/>
      <c r="J60" s="422"/>
      <c r="K60" s="423"/>
      <c r="L60" s="31"/>
      <c r="M60" s="652"/>
      <c r="N60" s="653"/>
      <c r="O60" s="278"/>
      <c r="P60" s="12"/>
      <c r="Q60" s="12"/>
      <c r="R60" s="12"/>
      <c r="S60" s="12"/>
      <c r="T60" s="12"/>
      <c r="U60" s="12"/>
      <c r="V60" s="12"/>
      <c r="W60" s="12"/>
      <c r="X60" s="12"/>
      <c r="Y60" s="12"/>
      <c r="Z60" s="12"/>
      <c r="AC60" s="49">
        <v>11</v>
      </c>
      <c r="AD60" s="50" t="s">
        <v>806</v>
      </c>
      <c r="AE60" s="1">
        <v>1</v>
      </c>
      <c r="AF60" t="s">
        <v>7586</v>
      </c>
      <c r="AI60" s="32">
        <v>59</v>
      </c>
      <c r="AK60" s="32" t="s">
        <v>686</v>
      </c>
      <c r="AL60" s="32" t="s">
        <v>686</v>
      </c>
      <c r="AM60" s="32" t="s">
        <v>687</v>
      </c>
      <c r="AV60" s="32" t="s">
        <v>806</v>
      </c>
    </row>
    <row r="61" spans="1:48" ht="35.1" customHeight="1" thickBot="1">
      <c r="A61" s="646"/>
      <c r="B61" s="94" t="s">
        <v>2420</v>
      </c>
      <c r="C61" s="422" t="str">
        <f ca="1">CONCATENATE(INDEX('NPC''s'!$T$106:$T$111,RANDBETWEEN(1,6)))</f>
        <v>CHILDREN</v>
      </c>
      <c r="D61" s="422"/>
      <c r="E61" s="422"/>
      <c r="F61" s="422"/>
      <c r="G61" s="422"/>
      <c r="H61" s="422"/>
      <c r="I61" s="422"/>
      <c r="J61" s="422"/>
      <c r="K61" s="423"/>
      <c r="L61" s="31"/>
      <c r="M61" s="133" t="str">
        <f>$P$84</f>
        <v>They carry:</v>
      </c>
      <c r="N61" s="163" t="str">
        <f ca="1">INDEX($P$85:$P$88,RANDBETWEEN(1,4))</f>
        <v>A pristine silk handkerchief.</v>
      </c>
      <c r="O61" s="278"/>
      <c r="P61" s="12"/>
      <c r="Q61" s="12"/>
      <c r="R61" s="12"/>
      <c r="S61" s="12"/>
      <c r="T61" s="12"/>
      <c r="U61" s="12"/>
      <c r="V61" s="12"/>
      <c r="W61" s="12"/>
      <c r="X61" s="12"/>
      <c r="Y61" s="12"/>
      <c r="Z61" s="12"/>
      <c r="AC61" s="49">
        <v>12</v>
      </c>
      <c r="AD61" s="50" t="s">
        <v>807</v>
      </c>
      <c r="AE61" s="1">
        <v>1</v>
      </c>
      <c r="AF61" t="s">
        <v>7586</v>
      </c>
      <c r="AI61" s="32">
        <v>60</v>
      </c>
      <c r="AK61" s="32" t="s">
        <v>688</v>
      </c>
      <c r="AL61" s="32" t="s">
        <v>688</v>
      </c>
      <c r="AM61" s="32" t="s">
        <v>275</v>
      </c>
      <c r="AV61" s="32" t="s">
        <v>807</v>
      </c>
    </row>
    <row r="62" spans="1:48" ht="30" customHeight="1" thickBot="1">
      <c r="A62" s="647"/>
      <c r="B62" s="95" t="s">
        <v>2419</v>
      </c>
      <c r="C62" s="415" t="str">
        <f ca="1">CONCATENATE("Their current mood is ",INDEX('NPC''s'!$R$106:$R$125,RANDBETWEEN(1,20)),". When calm, they are ",INDEX('NPC''s'!$P$106:$P$137,RANDBETWEEN(1,32)),", and when stressed they are ",INDEX('NPC''s'!$Q$106:$Q$137,RANDBETWEEN(1,32)))</f>
        <v>Their current mood is HOPEFUL. When calm, they are OUTSPOKEN, and when stressed they are BELLIGERENT</v>
      </c>
      <c r="D62" s="415"/>
      <c r="E62" s="415"/>
      <c r="F62" s="415"/>
      <c r="G62" s="415"/>
      <c r="H62" s="415"/>
      <c r="I62" s="415"/>
      <c r="J62" s="415"/>
      <c r="K62" s="416"/>
      <c r="L62" s="11"/>
      <c r="M62" s="24"/>
      <c r="N62" s="12"/>
      <c r="O62" s="30"/>
      <c r="P62" s="31"/>
      <c r="Q62" s="31"/>
      <c r="R62" s="12"/>
      <c r="S62" s="12"/>
      <c r="T62" s="12"/>
      <c r="U62" s="12"/>
      <c r="V62" s="12"/>
      <c r="W62" s="12"/>
      <c r="X62" s="12"/>
      <c r="Y62" s="12"/>
      <c r="Z62" s="12"/>
      <c r="AC62" s="53"/>
      <c r="AD62" s="112" t="s">
        <v>884</v>
      </c>
      <c r="AI62" s="32">
        <v>61</v>
      </c>
      <c r="AK62" s="32" t="s">
        <v>689</v>
      </c>
      <c r="AL62" s="32" t="s">
        <v>689</v>
      </c>
      <c r="AM62" s="32" t="s">
        <v>690</v>
      </c>
      <c r="AV62" s="111" t="s">
        <v>808</v>
      </c>
    </row>
    <row r="63" spans="1:48" ht="15" customHeight="1" thickBot="1">
      <c r="A63" s="12"/>
      <c r="B63" s="12"/>
      <c r="C63" s="12"/>
      <c r="D63" s="12"/>
      <c r="E63" s="12"/>
      <c r="F63" s="12"/>
      <c r="G63" s="12"/>
      <c r="H63" s="12"/>
      <c r="I63" s="12"/>
      <c r="J63" s="12"/>
      <c r="K63" s="12"/>
      <c r="L63" s="11"/>
      <c r="M63" s="24"/>
      <c r="N63" s="12"/>
      <c r="O63" s="278"/>
      <c r="P63" s="12"/>
      <c r="Q63" s="12"/>
      <c r="R63" s="12"/>
      <c r="S63" s="12"/>
      <c r="T63" s="12"/>
      <c r="U63" s="12"/>
      <c r="V63" s="12"/>
      <c r="W63" s="12"/>
      <c r="X63" s="12"/>
      <c r="Y63" s="12"/>
      <c r="Z63" s="12"/>
      <c r="AC63" s="113">
        <v>1</v>
      </c>
      <c r="AD63" s="114" t="s">
        <v>809</v>
      </c>
      <c r="AE63" s="1">
        <v>15</v>
      </c>
      <c r="AF63" t="s">
        <v>7587</v>
      </c>
      <c r="AI63" s="32">
        <v>62</v>
      </c>
      <c r="AK63" s="32" t="s">
        <v>691</v>
      </c>
      <c r="AL63" s="32" t="s">
        <v>691</v>
      </c>
      <c r="AM63" s="32" t="s">
        <v>692</v>
      </c>
      <c r="AU63" s="32">
        <v>1</v>
      </c>
      <c r="AV63" s="32" t="s">
        <v>809</v>
      </c>
    </row>
    <row r="64" spans="1:48" ht="30" customHeight="1">
      <c r="A64" s="636" t="s">
        <v>2468</v>
      </c>
      <c r="B64" s="93" t="s">
        <v>2416</v>
      </c>
      <c r="C64" s="426" t="str">
        <f ca="1">CONCATENATE(INDEX('NPC''s'!$I$106:$I$115,RANDBETWEEN(1,10))," in stature, with a ",INDEX('NPC''s'!$J$106:$J$125,RANDBETWEEN(1,20))," body, and ",INDEX('NPC''s'!$K$106:$K$111,RANDBETWEEN(1,6)))</f>
        <v>UNUSUALLY TALL in stature, with a THIN AND WIRY body, and SOFT HANDS.</v>
      </c>
      <c r="D64" s="426"/>
      <c r="E64" s="426"/>
      <c r="F64" s="426"/>
      <c r="G64" s="426"/>
      <c r="H64" s="426"/>
      <c r="I64" s="426"/>
      <c r="J64" s="426"/>
      <c r="K64" s="427"/>
      <c r="L64" s="11"/>
      <c r="M64" s="24"/>
      <c r="N64" s="12"/>
      <c r="O64" s="278"/>
      <c r="P64" s="12"/>
      <c r="Q64" s="12"/>
      <c r="R64" s="12"/>
      <c r="S64" s="12"/>
      <c r="T64" s="12"/>
      <c r="U64" s="12"/>
      <c r="V64" s="12"/>
      <c r="W64" s="12"/>
      <c r="X64" s="12"/>
      <c r="Y64" s="12"/>
      <c r="Z64" s="12"/>
      <c r="AC64" s="113">
        <v>2</v>
      </c>
      <c r="AD64" s="114" t="s">
        <v>810</v>
      </c>
      <c r="AE64" s="1">
        <v>8</v>
      </c>
      <c r="AF64" t="s">
        <v>7587</v>
      </c>
      <c r="AI64" s="32">
        <v>63</v>
      </c>
      <c r="AK64" s="32" t="s">
        <v>693</v>
      </c>
      <c r="AL64" s="32" t="s">
        <v>693</v>
      </c>
      <c r="AM64" s="32" t="s">
        <v>694</v>
      </c>
      <c r="AU64" s="32">
        <v>2</v>
      </c>
      <c r="AV64" s="32" t="s">
        <v>810</v>
      </c>
    </row>
    <row r="65" spans="1:48" ht="30" customHeight="1">
      <c r="A65" s="637"/>
      <c r="B65" s="94" t="s">
        <v>2415</v>
      </c>
      <c r="C65" s="422" t="str">
        <f ca="1">CONCATENATE(INDEX('NPC''s'!$B$106:$B$125,RANDBETWEEN(1,20)),", ",INDEX('NPC''s'!$C$106:$C$117,RANDBETWEEN(1,12)),", and ",INDEX('NPC''s'!$D$106:$D$115,RANDBETWEEN(1,10)),". They have ",INDEX('NPC''s'!$H$106:$H$113,RANDBETWEEN(1,8)),", ",INDEX('NPC''s'!$E$106:$E$117,RANDBETWEEN(1,12)),", ",INDEX('NPC''s'!$F$106:$F$113,RANDBETWEEN(1,8)),", and ",INDEX('NPC''s'!$G$106:$G$125,RANDBETWEEN(1,20)))</f>
        <v>BRIGHT EYES, EARS THAT STICK OUT, and ONE+ FALSE TEETH. They have TERRIBLE SCARRING, AN ANGULAR NOSE, A SHARP JAWLINE, and AN UNUSUAL HAIRSTYLE</v>
      </c>
      <c r="D65" s="422"/>
      <c r="E65" s="422"/>
      <c r="F65" s="422"/>
      <c r="G65" s="422"/>
      <c r="H65" s="422"/>
      <c r="I65" s="422"/>
      <c r="J65" s="422"/>
      <c r="K65" s="423"/>
      <c r="L65" s="11"/>
      <c r="M65" s="24"/>
      <c r="N65" s="12"/>
      <c r="O65" s="278"/>
      <c r="P65" s="12"/>
      <c r="Q65" s="12"/>
      <c r="R65" s="12"/>
      <c r="S65" s="12"/>
      <c r="T65" s="12"/>
      <c r="U65" s="12"/>
      <c r="V65" s="12"/>
      <c r="W65" s="12"/>
      <c r="X65" s="12"/>
      <c r="Y65" s="12"/>
      <c r="Z65" s="12"/>
      <c r="AC65" s="113">
        <v>3</v>
      </c>
      <c r="AD65" s="114" t="s">
        <v>722</v>
      </c>
      <c r="AE65" s="1">
        <v>10</v>
      </c>
      <c r="AF65" t="s">
        <v>7587</v>
      </c>
      <c r="AI65" s="32">
        <v>64</v>
      </c>
      <c r="AK65" s="32" t="s">
        <v>695</v>
      </c>
      <c r="AL65" s="32" t="s">
        <v>695</v>
      </c>
      <c r="AM65" s="32" t="s">
        <v>696</v>
      </c>
      <c r="AU65" s="32">
        <v>3</v>
      </c>
      <c r="AV65" s="32" t="s">
        <v>722</v>
      </c>
    </row>
    <row r="66" spans="1:48" ht="30" customHeight="1">
      <c r="A66" s="637"/>
      <c r="B66" s="94" t="s">
        <v>2417</v>
      </c>
      <c r="C66" s="422" t="str">
        <f ca="1">CONCATENATE(INDEX('NPC''s'!$M$106:$M$117,RANDBETWEEN(1,12)),", made of ",INDEX('NPC''s'!$N$106:$N$115,RANDBETWEEN(1,10)))</f>
        <v>AN EARING, made of WOOD</v>
      </c>
      <c r="D66" s="422"/>
      <c r="E66" s="422"/>
      <c r="F66" s="422"/>
      <c r="G66" s="422"/>
      <c r="H66" s="422"/>
      <c r="I66" s="422"/>
      <c r="J66" s="422"/>
      <c r="K66" s="423"/>
      <c r="L66" s="11"/>
      <c r="M66" s="24"/>
      <c r="N66" s="12"/>
      <c r="O66" s="278"/>
      <c r="P66" s="12"/>
      <c r="Q66" s="12"/>
      <c r="R66" s="12"/>
      <c r="S66" s="12"/>
      <c r="T66" s="12"/>
      <c r="U66" s="12"/>
      <c r="V66" s="12"/>
      <c r="W66" s="12"/>
      <c r="X66" s="12"/>
      <c r="Y66" s="12"/>
      <c r="Z66" s="12"/>
      <c r="AC66" s="113">
        <v>4</v>
      </c>
      <c r="AD66" s="114" t="s">
        <v>811</v>
      </c>
      <c r="AE66" s="1">
        <v>8</v>
      </c>
      <c r="AF66" t="s">
        <v>7587</v>
      </c>
      <c r="AI66" s="32">
        <v>65</v>
      </c>
      <c r="AK66" s="32" t="s">
        <v>697</v>
      </c>
      <c r="AL66" s="32" t="s">
        <v>697</v>
      </c>
      <c r="AM66" s="32" t="s">
        <v>698</v>
      </c>
      <c r="AU66" s="32">
        <v>4</v>
      </c>
      <c r="AV66" s="32" t="s">
        <v>811</v>
      </c>
    </row>
    <row r="67" spans="1:48" ht="30" customHeight="1">
      <c r="A67" s="637"/>
      <c r="B67" s="94" t="s">
        <v>2418</v>
      </c>
      <c r="C67" s="422" t="str">
        <f ca="1">CONCATENATE(INDEX('NPC''s'!$O$106:$O$113,RANDBETWEEN(1,8)))</f>
        <v>HIGHEST QUALITY</v>
      </c>
      <c r="D67" s="422"/>
      <c r="E67" s="422"/>
      <c r="F67" s="422"/>
      <c r="G67" s="422"/>
      <c r="H67" s="422"/>
      <c r="I67" s="422"/>
      <c r="J67" s="422"/>
      <c r="K67" s="423"/>
      <c r="L67" s="11"/>
      <c r="M67" s="24"/>
      <c r="N67" s="12"/>
      <c r="O67" s="278"/>
      <c r="P67" s="12"/>
      <c r="Q67" s="12"/>
      <c r="R67" s="12"/>
      <c r="S67" s="12"/>
      <c r="T67" s="12"/>
      <c r="U67" s="12"/>
      <c r="V67" s="12"/>
      <c r="W67" s="12"/>
      <c r="X67" s="12"/>
      <c r="Y67" s="12"/>
      <c r="Z67" s="12"/>
      <c r="AC67" s="113">
        <v>5</v>
      </c>
      <c r="AD67" s="114" t="s">
        <v>812</v>
      </c>
      <c r="AE67" s="1">
        <v>20</v>
      </c>
      <c r="AF67" t="s">
        <v>7587</v>
      </c>
      <c r="AI67" s="32">
        <v>66</v>
      </c>
      <c r="AK67" s="32" t="s">
        <v>699</v>
      </c>
      <c r="AL67" s="32" t="s">
        <v>699</v>
      </c>
      <c r="AM67" s="32" t="s">
        <v>700</v>
      </c>
      <c r="AU67" s="32">
        <v>5</v>
      </c>
      <c r="AV67" s="32" t="s">
        <v>812</v>
      </c>
    </row>
    <row r="68" spans="1:48" ht="30" customHeight="1">
      <c r="A68" s="637"/>
      <c r="B68" s="94" t="s">
        <v>2435</v>
      </c>
      <c r="C68" s="422" t="str">
        <f ca="1">CONCATENATE(INDEX('NPC''s'!$S$106:$S$113,RANDBETWEEN(1,8)))</f>
        <v>FANATICAL TRUE BELIEVER</v>
      </c>
      <c r="D68" s="422"/>
      <c r="E68" s="422"/>
      <c r="F68" s="422"/>
      <c r="G68" s="422"/>
      <c r="H68" s="422"/>
      <c r="I68" s="422"/>
      <c r="J68" s="422"/>
      <c r="K68" s="423"/>
      <c r="L68" s="11"/>
      <c r="M68" s="24"/>
      <c r="N68" s="12"/>
      <c r="O68" s="278"/>
      <c r="P68" s="12"/>
      <c r="Q68" s="12"/>
      <c r="R68" s="12"/>
      <c r="S68" s="12"/>
      <c r="T68" s="12"/>
      <c r="U68" s="12"/>
      <c r="V68" s="12"/>
      <c r="W68" s="12"/>
      <c r="X68" s="12"/>
      <c r="Y68" s="12"/>
      <c r="Z68" s="12"/>
      <c r="AC68" s="113">
        <v>6</v>
      </c>
      <c r="AD68" s="114" t="s">
        <v>7498</v>
      </c>
      <c r="AE68" s="1">
        <v>12</v>
      </c>
      <c r="AF68" t="s">
        <v>7587</v>
      </c>
      <c r="AI68" s="32">
        <v>67</v>
      </c>
      <c r="AK68" s="32" t="s">
        <v>701</v>
      </c>
      <c r="AL68" s="32" t="s">
        <v>701</v>
      </c>
      <c r="AM68" s="32" t="s">
        <v>702</v>
      </c>
      <c r="AU68" s="32">
        <v>6</v>
      </c>
      <c r="AV68" s="32" t="s">
        <v>904</v>
      </c>
    </row>
    <row r="69" spans="1:48" ht="35.1" customHeight="1">
      <c r="A69" s="637"/>
      <c r="B69" s="94" t="s">
        <v>2420</v>
      </c>
      <c r="C69" s="422" t="str">
        <f ca="1">CONCATENATE(INDEX('NPC''s'!$T$106:$T$111,RANDBETWEEN(1,6)))</f>
        <v>OTHER GENDERS</v>
      </c>
      <c r="D69" s="422"/>
      <c r="E69" s="422"/>
      <c r="F69" s="422"/>
      <c r="G69" s="422"/>
      <c r="H69" s="422"/>
      <c r="I69" s="422"/>
      <c r="J69" s="422"/>
      <c r="K69" s="423"/>
      <c r="L69" s="11"/>
      <c r="M69" s="24"/>
      <c r="N69" s="12"/>
      <c r="O69" s="278"/>
      <c r="P69" s="12"/>
      <c r="Q69" s="12"/>
      <c r="R69" s="12"/>
      <c r="S69" s="12"/>
      <c r="T69" s="12"/>
      <c r="U69" s="12"/>
      <c r="V69" s="12"/>
      <c r="W69" s="12"/>
      <c r="X69" s="12"/>
      <c r="Y69" s="12"/>
      <c r="Z69" s="12"/>
      <c r="AC69" s="113">
        <v>7</v>
      </c>
      <c r="AD69" s="114" t="s">
        <v>7499</v>
      </c>
      <c r="AE69" s="1">
        <v>6</v>
      </c>
      <c r="AF69" t="s">
        <v>7587</v>
      </c>
      <c r="AI69" s="32">
        <v>68</v>
      </c>
      <c r="AK69" s="32" t="s">
        <v>703</v>
      </c>
      <c r="AL69" s="32" t="s">
        <v>703</v>
      </c>
      <c r="AM69" s="32" t="s">
        <v>704</v>
      </c>
      <c r="AU69" s="32">
        <v>7</v>
      </c>
      <c r="AV69" s="32" t="s">
        <v>905</v>
      </c>
    </row>
    <row r="70" spans="1:48" ht="30" customHeight="1" thickBot="1">
      <c r="A70" s="638"/>
      <c r="B70" s="95" t="s">
        <v>2419</v>
      </c>
      <c r="C70" s="415" t="str">
        <f ca="1">CONCATENATE("Their current mood is ",INDEX('NPC''s'!$R$106:$R$125,RANDBETWEEN(1,20)),". When calm, they are ",INDEX('NPC''s'!$P$106:$P$137,RANDBETWEEN(1,32)),", and when stressed they are ",INDEX('NPC''s'!$Q$106:$Q$137,RANDBETWEEN(1,32)))</f>
        <v>Their current mood is WITHDRAWN. When calm, they are MANIPULATIVE, and when stressed they are SPITEFUL</v>
      </c>
      <c r="D70" s="415"/>
      <c r="E70" s="415"/>
      <c r="F70" s="415"/>
      <c r="G70" s="415"/>
      <c r="H70" s="415"/>
      <c r="I70" s="415"/>
      <c r="J70" s="415"/>
      <c r="K70" s="416"/>
      <c r="L70" s="11"/>
      <c r="M70" s="24"/>
      <c r="N70" s="12"/>
      <c r="O70" s="278"/>
      <c r="P70" s="12"/>
      <c r="Q70" s="12"/>
      <c r="R70" s="12"/>
      <c r="S70" s="12"/>
      <c r="T70" s="12"/>
      <c r="U70" s="12"/>
      <c r="V70" s="12"/>
      <c r="W70" s="12"/>
      <c r="X70" s="12"/>
      <c r="Y70" s="12"/>
      <c r="Z70" s="12"/>
      <c r="AC70" s="113">
        <v>8</v>
      </c>
      <c r="AD70" s="114" t="s">
        <v>7500</v>
      </c>
      <c r="AE70" s="1">
        <v>50</v>
      </c>
      <c r="AF70" t="s">
        <v>7587</v>
      </c>
      <c r="AI70" s="32">
        <v>69</v>
      </c>
      <c r="AK70" s="32" t="s">
        <v>705</v>
      </c>
      <c r="AL70" s="32" t="s">
        <v>705</v>
      </c>
      <c r="AM70" s="32" t="s">
        <v>706</v>
      </c>
      <c r="AU70" s="32">
        <v>8</v>
      </c>
      <c r="AV70" s="32" t="s">
        <v>906</v>
      </c>
    </row>
    <row r="71" spans="1:48" ht="15" customHeight="1" thickBot="1">
      <c r="A71" s="12"/>
      <c r="B71" s="12"/>
      <c r="C71" s="12"/>
      <c r="D71" s="12"/>
      <c r="E71" s="12"/>
      <c r="F71" s="12"/>
      <c r="G71" s="12"/>
      <c r="H71" s="12"/>
      <c r="I71" s="12"/>
      <c r="J71" s="12"/>
      <c r="K71" s="12"/>
      <c r="L71" s="11"/>
      <c r="M71" s="24"/>
      <c r="N71" s="12"/>
      <c r="O71" s="278"/>
      <c r="P71" s="12"/>
      <c r="Q71" s="12"/>
      <c r="R71" s="12"/>
      <c r="S71" s="12"/>
      <c r="T71" s="12"/>
      <c r="U71" s="12"/>
      <c r="V71" s="12"/>
      <c r="W71" s="12"/>
      <c r="X71" s="12"/>
      <c r="Y71" s="12"/>
      <c r="Z71" s="12"/>
      <c r="AC71" s="113">
        <v>9</v>
      </c>
      <c r="AD71" s="114" t="s">
        <v>7501</v>
      </c>
      <c r="AE71" s="1">
        <v>25</v>
      </c>
      <c r="AF71" t="s">
        <v>7587</v>
      </c>
      <c r="AI71" s="32">
        <v>70</v>
      </c>
      <c r="AK71" s="32" t="s">
        <v>707</v>
      </c>
      <c r="AL71" s="32" t="s">
        <v>707</v>
      </c>
      <c r="AM71" s="32" t="s">
        <v>708</v>
      </c>
      <c r="AU71" s="32">
        <v>9</v>
      </c>
      <c r="AV71" s="32" t="s">
        <v>907</v>
      </c>
    </row>
    <row r="72" spans="1:48" ht="30" customHeight="1">
      <c r="A72" s="636" t="s">
        <v>2468</v>
      </c>
      <c r="B72" s="93" t="s">
        <v>2416</v>
      </c>
      <c r="C72" s="426" t="str">
        <f ca="1">CONCATENATE(INDEX('NPC''s'!$I$106:$I$115,RANDBETWEEN(1,10))," in stature, with a ",INDEX('NPC''s'!$J$106:$J$125,RANDBETWEEN(1,20))," body, and ",INDEX('NPC''s'!$K$106:$K$111,RANDBETWEEN(1,6)))</f>
        <v>SLIGHTLY BELOW AVERAGE in stature, with a GROTESQUELY OBESE body, and ROUGH HANDS.</v>
      </c>
      <c r="D72" s="426"/>
      <c r="E72" s="426"/>
      <c r="F72" s="426"/>
      <c r="G72" s="426"/>
      <c r="H72" s="426"/>
      <c r="I72" s="426"/>
      <c r="J72" s="426"/>
      <c r="K72" s="427"/>
      <c r="L72" s="11"/>
      <c r="M72" s="24"/>
      <c r="N72" s="12"/>
      <c r="O72" s="278"/>
      <c r="P72" s="12"/>
      <c r="Q72" s="12"/>
      <c r="R72" s="12"/>
      <c r="S72" s="12"/>
      <c r="T72" s="12"/>
      <c r="U72" s="12"/>
      <c r="V72" s="12"/>
      <c r="W72" s="12"/>
      <c r="X72" s="12"/>
      <c r="Y72" s="12"/>
      <c r="Z72" s="12"/>
      <c r="AC72" s="113">
        <v>10</v>
      </c>
      <c r="AD72" s="114" t="s">
        <v>813</v>
      </c>
      <c r="AE72" s="1">
        <v>75</v>
      </c>
      <c r="AF72" t="s">
        <v>7587</v>
      </c>
      <c r="AI72" s="32">
        <v>71</v>
      </c>
      <c r="AK72" s="32" t="s">
        <v>709</v>
      </c>
      <c r="AL72" s="32" t="s">
        <v>709</v>
      </c>
      <c r="AM72" s="32" t="s">
        <v>274</v>
      </c>
      <c r="AU72" s="32">
        <v>10</v>
      </c>
      <c r="AV72" s="32" t="s">
        <v>813</v>
      </c>
    </row>
    <row r="73" spans="1:48" ht="30" customHeight="1">
      <c r="A73" s="637"/>
      <c r="B73" s="94" t="s">
        <v>2415</v>
      </c>
      <c r="C73" s="422" t="str">
        <f ca="1">CONCATENATE(INDEX('NPC''s'!$B$106:$B$125,RANDBETWEEN(1,20)),", ",INDEX('NPC''s'!$C$106:$C$117,RANDBETWEEN(1,12)),", and ",INDEX('NPC''s'!$D$106:$D$115,RANDBETWEEN(1,10)),". They have ",INDEX('NPC''s'!$H$106:$H$113,RANDBETWEEN(1,8)),", ",INDEX('NPC''s'!$E$106:$E$117,RANDBETWEEN(1,12)),", ",INDEX('NPC''s'!$F$106:$F$113,RANDBETWEEN(1,8)),", and ",INDEX('NPC''s'!$G$106:$G$125,RANDBETWEEN(1,20)))</f>
        <v>DISTANT EYES, OVER-SIZED EARS, and ROTTING TEETH. They have CHUBBY CHEEKS, A CROOKED NOSE, A SQUARE JAW, and WAVY HAIR</v>
      </c>
      <c r="D73" s="422"/>
      <c r="E73" s="422"/>
      <c r="F73" s="422"/>
      <c r="G73" s="422"/>
      <c r="H73" s="422"/>
      <c r="I73" s="422"/>
      <c r="J73" s="422"/>
      <c r="K73" s="423"/>
      <c r="L73" s="11"/>
      <c r="M73" s="24"/>
      <c r="N73" s="12"/>
      <c r="O73" s="278"/>
      <c r="P73" s="12"/>
      <c r="Q73" s="12"/>
      <c r="R73" s="12"/>
      <c r="S73" s="12"/>
      <c r="T73" s="12"/>
      <c r="U73" s="12"/>
      <c r="V73" s="12"/>
      <c r="W73" s="12"/>
      <c r="X73" s="12"/>
      <c r="Y73" s="12"/>
      <c r="Z73" s="12"/>
      <c r="AC73" s="113">
        <v>11</v>
      </c>
      <c r="AD73" s="114" t="s">
        <v>7502</v>
      </c>
      <c r="AE73" s="1">
        <v>100</v>
      </c>
      <c r="AF73" t="s">
        <v>7587</v>
      </c>
      <c r="AI73" s="32">
        <v>72</v>
      </c>
      <c r="AK73" s="32" t="s">
        <v>710</v>
      </c>
      <c r="AL73" s="32" t="s">
        <v>710</v>
      </c>
      <c r="AM73" s="32" t="s">
        <v>711</v>
      </c>
      <c r="AU73" s="32">
        <v>11</v>
      </c>
      <c r="AV73" s="32" t="s">
        <v>908</v>
      </c>
    </row>
    <row r="74" spans="1:48" ht="30" customHeight="1">
      <c r="A74" s="637"/>
      <c r="B74" s="94" t="s">
        <v>2417</v>
      </c>
      <c r="C74" s="422" t="str">
        <f ca="1">CONCATENATE(INDEX('NPC''s'!$M$106:$M$117,RANDBETWEEN(1,12)),", made of ",INDEX('NPC''s'!$N$106:$N$115,RANDBETWEEN(1,10)))</f>
        <v>A SMALL CHAIN AROUND NECK, made of HEMP</v>
      </c>
      <c r="D74" s="422"/>
      <c r="E74" s="422"/>
      <c r="F74" s="422"/>
      <c r="G74" s="422"/>
      <c r="H74" s="422"/>
      <c r="I74" s="422"/>
      <c r="J74" s="422"/>
      <c r="K74" s="423"/>
      <c r="L74" s="11"/>
      <c r="M74" s="24"/>
      <c r="N74" s="12"/>
      <c r="O74" s="278"/>
      <c r="P74" s="12"/>
      <c r="Q74" s="12"/>
      <c r="R74" s="12"/>
      <c r="S74" s="12"/>
      <c r="T74" s="12"/>
      <c r="U74" s="12"/>
      <c r="V74" s="12"/>
      <c r="W74" s="12"/>
      <c r="X74" s="12"/>
      <c r="Y74" s="12"/>
      <c r="Z74" s="12"/>
      <c r="AC74" s="113">
        <v>12</v>
      </c>
      <c r="AD74" s="114" t="s">
        <v>7503</v>
      </c>
      <c r="AE74" s="1">
        <v>50</v>
      </c>
      <c r="AF74" t="s">
        <v>7587</v>
      </c>
      <c r="AI74" s="32">
        <v>73</v>
      </c>
      <c r="AK74" s="32" t="s">
        <v>712</v>
      </c>
      <c r="AL74" s="32" t="s">
        <v>712</v>
      </c>
      <c r="AM74" s="32" t="s">
        <v>713</v>
      </c>
      <c r="AU74" s="32">
        <v>12</v>
      </c>
      <c r="AV74" s="32" t="s">
        <v>909</v>
      </c>
    </row>
    <row r="75" spans="1:48" ht="30" customHeight="1">
      <c r="A75" s="637"/>
      <c r="B75" s="94" t="s">
        <v>2418</v>
      </c>
      <c r="C75" s="422" t="str">
        <f ca="1">CONCATENATE(INDEX('NPC''s'!$O$106:$O$113,RANDBETWEEN(1,8)))</f>
        <v>TATTERED AND WORN</v>
      </c>
      <c r="D75" s="422"/>
      <c r="E75" s="422"/>
      <c r="F75" s="422"/>
      <c r="G75" s="422"/>
      <c r="H75" s="422"/>
      <c r="I75" s="422"/>
      <c r="J75" s="422"/>
      <c r="K75" s="423"/>
      <c r="L75" s="11"/>
      <c r="M75" s="24"/>
      <c r="N75" s="12"/>
      <c r="O75" s="278"/>
      <c r="P75" s="12"/>
      <c r="Q75" s="12"/>
      <c r="R75" s="12"/>
      <c r="S75" s="12"/>
      <c r="T75" s="12"/>
      <c r="U75" s="12"/>
      <c r="V75" s="12"/>
      <c r="W75" s="12"/>
      <c r="X75" s="12"/>
      <c r="Y75" s="12"/>
      <c r="Z75" s="12"/>
      <c r="AC75" s="113">
        <v>13</v>
      </c>
      <c r="AD75" s="114" t="s">
        <v>814</v>
      </c>
      <c r="AE75" s="1">
        <v>15</v>
      </c>
      <c r="AF75" t="s">
        <v>7587</v>
      </c>
      <c r="AI75" s="32">
        <v>74</v>
      </c>
      <c r="AK75" s="32" t="s">
        <v>714</v>
      </c>
      <c r="AL75" s="32" t="s">
        <v>714</v>
      </c>
      <c r="AM75" s="32" t="s">
        <v>715</v>
      </c>
      <c r="AU75" s="32">
        <v>13</v>
      </c>
      <c r="AV75" s="32" t="s">
        <v>814</v>
      </c>
    </row>
    <row r="76" spans="1:48" ht="30" customHeight="1">
      <c r="A76" s="637"/>
      <c r="B76" s="94" t="s">
        <v>2435</v>
      </c>
      <c r="C76" s="422" t="str">
        <f ca="1">CONCATENATE(INDEX('NPC''s'!$S$106:$S$113,RANDBETWEEN(1,8)))</f>
        <v>OPEN-MINDED SEEKER</v>
      </c>
      <c r="D76" s="422"/>
      <c r="E76" s="422"/>
      <c r="F76" s="422"/>
      <c r="G76" s="422"/>
      <c r="H76" s="422"/>
      <c r="I76" s="422"/>
      <c r="J76" s="422"/>
      <c r="K76" s="423"/>
      <c r="L76" s="11"/>
      <c r="M76" s="24"/>
      <c r="N76" s="12"/>
      <c r="O76" s="278"/>
      <c r="P76" s="12"/>
      <c r="Q76" s="12"/>
      <c r="R76" s="12"/>
      <c r="S76" s="12"/>
      <c r="T76" s="12"/>
      <c r="U76" s="12"/>
      <c r="V76" s="12"/>
      <c r="W76" s="12"/>
      <c r="X76" s="12"/>
      <c r="Y76" s="12"/>
      <c r="Z76" s="12"/>
      <c r="AC76" s="113">
        <v>14</v>
      </c>
      <c r="AD76" s="114" t="s">
        <v>815</v>
      </c>
      <c r="AE76" s="1">
        <v>60</v>
      </c>
      <c r="AF76" t="s">
        <v>7587</v>
      </c>
      <c r="AI76" s="32">
        <v>75</v>
      </c>
      <c r="AK76" s="32" t="s">
        <v>716</v>
      </c>
      <c r="AL76" s="32" t="s">
        <v>716</v>
      </c>
      <c r="AM76" s="32" t="s">
        <v>717</v>
      </c>
      <c r="AU76" s="32">
        <v>14</v>
      </c>
      <c r="AV76" s="32" t="s">
        <v>815</v>
      </c>
    </row>
    <row r="77" spans="1:48" ht="35.1" customHeight="1">
      <c r="A77" s="637"/>
      <c r="B77" s="94" t="s">
        <v>2420</v>
      </c>
      <c r="C77" s="422" t="str">
        <f ca="1">CONCATENATE(INDEX('NPC''s'!$T$106:$T$111,RANDBETWEEN(1,6)))</f>
        <v>BEGGARS</v>
      </c>
      <c r="D77" s="422"/>
      <c r="E77" s="422"/>
      <c r="F77" s="422"/>
      <c r="G77" s="422"/>
      <c r="H77" s="422"/>
      <c r="I77" s="422"/>
      <c r="J77" s="422"/>
      <c r="K77" s="423"/>
      <c r="L77" s="11"/>
      <c r="M77" s="24"/>
      <c r="N77" s="12"/>
      <c r="O77" s="278"/>
      <c r="P77" s="12"/>
      <c r="Q77" s="12"/>
      <c r="R77" s="12"/>
      <c r="S77" s="12"/>
      <c r="T77" s="12"/>
      <c r="U77" s="12"/>
      <c r="V77" s="12"/>
      <c r="W77" s="12"/>
      <c r="X77" s="12"/>
      <c r="Y77" s="12"/>
      <c r="Z77" s="12"/>
      <c r="AC77" s="113">
        <v>15</v>
      </c>
      <c r="AD77" s="114" t="s">
        <v>816</v>
      </c>
      <c r="AE77" s="1">
        <v>40</v>
      </c>
      <c r="AF77" t="s">
        <v>7587</v>
      </c>
      <c r="AI77" s="32">
        <v>76</v>
      </c>
      <c r="AK77" s="32" t="s">
        <v>718</v>
      </c>
      <c r="AL77" s="32" t="s">
        <v>718</v>
      </c>
      <c r="AM77" s="32" t="s">
        <v>719</v>
      </c>
      <c r="AU77" s="32">
        <v>15</v>
      </c>
      <c r="AV77" s="32" t="s">
        <v>816</v>
      </c>
    </row>
    <row r="78" spans="1:48" ht="35.1" customHeight="1" thickBot="1">
      <c r="A78" s="638"/>
      <c r="B78" s="95" t="s">
        <v>2419</v>
      </c>
      <c r="C78" s="415" t="str">
        <f ca="1">CONCATENATE("Their current mood is ",INDEX('NPC''s'!$R$106:$R$125,RANDBETWEEN(1,20)),". When calm, they are ",INDEX('NPC''s'!$P$106:$P$137,RANDBETWEEN(1,32)),", and when stressed they are ",INDEX('NPC''s'!$Q$106:$Q$137,RANDBETWEEN(1,32)))</f>
        <v>Their current mood is CAREFREE. When calm, they are UNINTERESTED, and when stressed they are MANIPULATIVE</v>
      </c>
      <c r="D78" s="415"/>
      <c r="E78" s="415"/>
      <c r="F78" s="415"/>
      <c r="G78" s="415"/>
      <c r="H78" s="415"/>
      <c r="I78" s="415"/>
      <c r="J78" s="415"/>
      <c r="K78" s="416"/>
      <c r="L78" s="11"/>
      <c r="M78" s="24"/>
      <c r="N78" s="12"/>
      <c r="O78" s="278"/>
      <c r="P78" s="12"/>
      <c r="Q78" s="12"/>
      <c r="R78" s="12"/>
      <c r="S78" s="12"/>
      <c r="T78" s="12"/>
      <c r="U78" s="12"/>
      <c r="V78" s="12"/>
      <c r="W78" s="12"/>
      <c r="X78" s="12"/>
      <c r="Y78" s="12"/>
      <c r="Z78" s="12"/>
      <c r="AC78" s="113">
        <v>16</v>
      </c>
      <c r="AD78" s="114" t="s">
        <v>7504</v>
      </c>
      <c r="AE78" s="1">
        <v>62.5</v>
      </c>
      <c r="AF78" t="s">
        <v>7587</v>
      </c>
      <c r="AI78" s="32">
        <v>77</v>
      </c>
      <c r="AK78" s="32" t="s">
        <v>720</v>
      </c>
      <c r="AL78" s="32" t="s">
        <v>720</v>
      </c>
      <c r="AM78" s="32" t="s">
        <v>721</v>
      </c>
      <c r="AU78" s="32">
        <v>16</v>
      </c>
      <c r="AV78" s="32" t="s">
        <v>910</v>
      </c>
    </row>
    <row r="79" spans="1:48" ht="15.95" customHeight="1">
      <c r="A79" s="12"/>
      <c r="B79" s="12"/>
      <c r="C79" s="12"/>
      <c r="D79" s="12"/>
      <c r="E79" s="12"/>
      <c r="F79" s="12"/>
      <c r="G79" s="12"/>
      <c r="H79" s="12"/>
      <c r="I79" s="12"/>
      <c r="J79" s="12"/>
      <c r="K79" s="12"/>
      <c r="L79" s="11"/>
      <c r="M79" s="24"/>
      <c r="N79" s="12"/>
      <c r="O79" s="278"/>
      <c r="P79" s="12"/>
      <c r="Q79" s="12"/>
      <c r="R79" s="12"/>
      <c r="S79" s="12"/>
      <c r="T79" s="12"/>
      <c r="U79" s="12"/>
      <c r="V79" s="12"/>
      <c r="W79" s="12"/>
      <c r="X79" s="12"/>
      <c r="Y79" s="12"/>
      <c r="Z79" s="12"/>
      <c r="AC79" s="113">
        <v>17</v>
      </c>
      <c r="AD79" s="114" t="s">
        <v>7505</v>
      </c>
      <c r="AE79" s="1">
        <v>62.5</v>
      </c>
      <c r="AF79" t="s">
        <v>7587</v>
      </c>
      <c r="AI79" s="32">
        <v>78</v>
      </c>
      <c r="AK79" s="32" t="s">
        <v>722</v>
      </c>
      <c r="AL79" s="32" t="s">
        <v>722</v>
      </c>
      <c r="AM79" s="32" t="s">
        <v>723</v>
      </c>
      <c r="AU79" s="32">
        <v>17</v>
      </c>
      <c r="AV79" s="32" t="s">
        <v>911</v>
      </c>
    </row>
    <row r="80" spans="1:48" ht="15.95" customHeight="1">
      <c r="A80" s="12"/>
      <c r="B80" s="12"/>
      <c r="C80" s="12"/>
      <c r="D80" s="12"/>
      <c r="E80" s="12"/>
      <c r="F80" s="12"/>
      <c r="G80" s="12"/>
      <c r="H80" s="12"/>
      <c r="I80" s="12"/>
      <c r="J80" s="12"/>
      <c r="K80" s="12"/>
      <c r="L80" s="11"/>
      <c r="M80" s="24"/>
      <c r="N80" s="12"/>
      <c r="O80" s="278"/>
      <c r="P80" s="12"/>
      <c r="Q80" s="12"/>
      <c r="R80" s="12"/>
      <c r="S80" s="12"/>
      <c r="T80" s="12"/>
      <c r="U80" s="12"/>
      <c r="V80" s="12"/>
      <c r="W80" s="12"/>
      <c r="X80" s="12"/>
      <c r="Y80" s="12"/>
      <c r="Z80" s="12"/>
      <c r="AC80" s="113">
        <v>18</v>
      </c>
      <c r="AD80" s="114" t="s">
        <v>817</v>
      </c>
      <c r="AE80" s="1">
        <v>12</v>
      </c>
      <c r="AF80" t="s">
        <v>7587</v>
      </c>
      <c r="AI80" s="32">
        <v>79</v>
      </c>
      <c r="AK80" s="32" t="s">
        <v>724</v>
      </c>
      <c r="AL80" s="32" t="s">
        <v>724</v>
      </c>
      <c r="AM80" s="32" t="s">
        <v>276</v>
      </c>
      <c r="AU80" s="32">
        <v>18</v>
      </c>
      <c r="AV80" s="32" t="s">
        <v>817</v>
      </c>
    </row>
    <row r="81" spans="1:48" ht="15.95" customHeight="1">
      <c r="A81" s="78"/>
      <c r="B81" s="78"/>
      <c r="C81" s="78"/>
      <c r="D81" s="78"/>
      <c r="E81" s="78"/>
      <c r="F81" s="78"/>
      <c r="G81" s="78"/>
      <c r="H81" s="78"/>
      <c r="I81" s="78"/>
      <c r="J81" s="78"/>
      <c r="K81" s="78"/>
      <c r="L81" s="117"/>
      <c r="M81" s="76"/>
      <c r="N81" s="78"/>
      <c r="O81" s="278"/>
      <c r="P81" s="12"/>
      <c r="Q81" s="12"/>
      <c r="R81" s="12"/>
      <c r="S81" s="12"/>
      <c r="T81" s="12"/>
      <c r="U81" s="12"/>
      <c r="V81" s="12"/>
      <c r="W81" s="12"/>
      <c r="X81" s="12"/>
      <c r="Y81" s="12"/>
      <c r="Z81" s="12"/>
      <c r="AC81" s="113">
        <v>19</v>
      </c>
      <c r="AD81" s="114" t="s">
        <v>818</v>
      </c>
      <c r="AE81" s="1">
        <v>2</v>
      </c>
      <c r="AF81" t="s">
        <v>7587</v>
      </c>
      <c r="AI81" s="32">
        <v>80</v>
      </c>
      <c r="AK81" s="32" t="s">
        <v>725</v>
      </c>
      <c r="AL81" s="32" t="s">
        <v>725</v>
      </c>
      <c r="AM81" s="32" t="s">
        <v>726</v>
      </c>
      <c r="AU81" s="32">
        <v>19</v>
      </c>
      <c r="AV81" s="32" t="s">
        <v>818</v>
      </c>
    </row>
    <row r="82" spans="1:48" ht="15.95" customHeight="1">
      <c r="A82" s="78"/>
      <c r="B82" s="79"/>
      <c r="C82" s="79"/>
      <c r="D82" s="79"/>
      <c r="E82" s="79"/>
      <c r="F82" s="79"/>
      <c r="G82" s="79"/>
      <c r="H82" s="79"/>
      <c r="I82" s="79"/>
      <c r="J82" s="79"/>
      <c r="K82" s="79"/>
      <c r="L82" s="79"/>
      <c r="M82" s="79"/>
      <c r="N82" s="79"/>
      <c r="O82" s="278"/>
      <c r="P82" s="12"/>
      <c r="Q82" s="12"/>
      <c r="R82" s="12"/>
      <c r="S82" s="12"/>
      <c r="T82" s="12"/>
      <c r="U82" s="12"/>
      <c r="V82" s="12"/>
      <c r="W82" s="12"/>
      <c r="X82" s="12"/>
      <c r="Y82" s="12"/>
      <c r="Z82" s="12"/>
      <c r="AC82" s="113">
        <v>20</v>
      </c>
      <c r="AD82" s="114" t="s">
        <v>819</v>
      </c>
      <c r="AE82" s="1">
        <v>40</v>
      </c>
      <c r="AF82" t="s">
        <v>7587</v>
      </c>
      <c r="AI82" s="32">
        <v>81</v>
      </c>
      <c r="AK82" s="32" t="s">
        <v>727</v>
      </c>
      <c r="AL82" s="32" t="s">
        <v>727</v>
      </c>
      <c r="AM82" s="32" t="s">
        <v>728</v>
      </c>
      <c r="AU82" s="32">
        <v>20</v>
      </c>
      <c r="AV82" s="32" t="s">
        <v>819</v>
      </c>
    </row>
    <row r="83" spans="1:48" ht="15.95" customHeight="1">
      <c r="A83" s="78"/>
      <c r="B83" s="79"/>
      <c r="C83" s="79"/>
      <c r="D83" s="79"/>
      <c r="E83" s="79"/>
      <c r="F83" s="79"/>
      <c r="G83" s="79"/>
      <c r="H83" s="79"/>
      <c r="I83" s="79"/>
      <c r="J83" s="79"/>
      <c r="K83" s="79"/>
      <c r="L83" s="79"/>
      <c r="M83" s="79"/>
      <c r="N83" s="79"/>
      <c r="O83" s="313"/>
      <c r="P83" s="12"/>
      <c r="Q83" s="12"/>
      <c r="R83" s="12"/>
      <c r="S83" s="12"/>
      <c r="T83" s="12"/>
      <c r="U83" s="12"/>
      <c r="V83" s="12"/>
      <c r="W83" s="12"/>
      <c r="X83" s="12"/>
      <c r="Y83" s="12"/>
      <c r="Z83" s="12"/>
      <c r="AC83" s="113">
        <v>21</v>
      </c>
      <c r="AD83" s="114" t="s">
        <v>820</v>
      </c>
      <c r="AE83" s="1">
        <v>8</v>
      </c>
      <c r="AF83" t="s">
        <v>7587</v>
      </c>
      <c r="AI83" s="32">
        <v>82</v>
      </c>
      <c r="AK83" s="32" t="s">
        <v>729</v>
      </c>
      <c r="AL83" s="32" t="s">
        <v>729</v>
      </c>
      <c r="AM83" s="32" t="s">
        <v>730</v>
      </c>
      <c r="AU83" s="32">
        <v>21</v>
      </c>
      <c r="AV83" s="32" t="s">
        <v>820</v>
      </c>
    </row>
    <row r="84" spans="1:48" ht="15.95" customHeight="1">
      <c r="B84" s="9" t="s">
        <v>2439</v>
      </c>
      <c r="C84" s="9" t="s">
        <v>2438</v>
      </c>
      <c r="D84" s="22" t="s">
        <v>2440</v>
      </c>
      <c r="E84" s="22"/>
      <c r="F84" s="22"/>
      <c r="G84" s="26" t="s">
        <v>1045</v>
      </c>
      <c r="H84" s="9" t="s">
        <v>1128</v>
      </c>
      <c r="I84" s="9" t="s">
        <v>1019</v>
      </c>
      <c r="L84" s="21"/>
      <c r="M84" s="25"/>
      <c r="N84" s="6" t="s">
        <v>2684</v>
      </c>
      <c r="O84" s="208" t="s">
        <v>2682</v>
      </c>
      <c r="P84" s="145" t="s">
        <v>2683</v>
      </c>
      <c r="Q84" s="145"/>
      <c r="S84" s="145"/>
      <c r="T84" s="145"/>
      <c r="U84" s="145"/>
      <c r="V84" s="145"/>
      <c r="W84" s="145"/>
      <c r="X84" s="145"/>
      <c r="Y84" s="145"/>
      <c r="Z84" s="145"/>
      <c r="AC84" s="113">
        <v>22</v>
      </c>
      <c r="AD84" s="114" t="s">
        <v>821</v>
      </c>
      <c r="AE84" s="1">
        <v>8</v>
      </c>
      <c r="AF84" t="s">
        <v>7587</v>
      </c>
      <c r="AI84" s="32">
        <v>83</v>
      </c>
      <c r="AK84" s="32" t="s">
        <v>731</v>
      </c>
      <c r="AL84" s="32" t="s">
        <v>731</v>
      </c>
      <c r="AM84" s="32" t="s">
        <v>732</v>
      </c>
      <c r="AU84" s="32">
        <v>22</v>
      </c>
      <c r="AV84" s="32" t="s">
        <v>821</v>
      </c>
    </row>
    <row r="85" spans="1:48" ht="15.95" customHeight="1">
      <c r="A85">
        <v>1</v>
      </c>
      <c r="B85" t="s">
        <v>1041</v>
      </c>
      <c r="C85" t="s">
        <v>2441</v>
      </c>
      <c r="D85" t="s">
        <v>999</v>
      </c>
      <c r="E85" t="s">
        <v>1015</v>
      </c>
      <c r="F85" t="s">
        <v>1005</v>
      </c>
      <c r="G85" t="s">
        <v>1008</v>
      </c>
      <c r="H85" t="s">
        <v>1010</v>
      </c>
      <c r="I85" t="s">
        <v>1021</v>
      </c>
      <c r="L85" s="27"/>
      <c r="M85" s="28"/>
      <c r="N85" s="146" t="s">
        <v>2667</v>
      </c>
      <c r="O85" s="277" t="s">
        <v>2675</v>
      </c>
      <c r="P85" t="s">
        <v>2186</v>
      </c>
      <c r="Q85" s="145"/>
      <c r="S85" s="145"/>
      <c r="T85" s="145"/>
      <c r="U85" s="145"/>
      <c r="V85" s="145"/>
      <c r="W85" s="145"/>
      <c r="X85" s="145"/>
      <c r="Y85" s="145"/>
      <c r="Z85" s="145"/>
      <c r="AC85" s="113">
        <v>23</v>
      </c>
      <c r="AD85" s="114" t="s">
        <v>822</v>
      </c>
      <c r="AE85" s="1">
        <v>24</v>
      </c>
      <c r="AF85" t="s">
        <v>7587</v>
      </c>
      <c r="AI85" s="32">
        <v>84</v>
      </c>
      <c r="AK85" s="32" t="s">
        <v>733</v>
      </c>
      <c r="AL85" s="32" t="s">
        <v>733</v>
      </c>
      <c r="AM85" s="32" t="s">
        <v>734</v>
      </c>
      <c r="AU85" s="32">
        <v>23</v>
      </c>
      <c r="AV85" s="32" t="s">
        <v>822</v>
      </c>
    </row>
    <row r="86" spans="1:48" ht="15.95" customHeight="1">
      <c r="A86">
        <v>2</v>
      </c>
      <c r="B86" t="s">
        <v>993</v>
      </c>
      <c r="C86" t="s">
        <v>2442</v>
      </c>
      <c r="D86" t="s">
        <v>1000</v>
      </c>
      <c r="E86" t="s">
        <v>1003</v>
      </c>
      <c r="F86" t="s">
        <v>1030</v>
      </c>
      <c r="G86" t="s">
        <v>1009</v>
      </c>
      <c r="H86" t="s">
        <v>1011</v>
      </c>
      <c r="I86" t="s">
        <v>1020</v>
      </c>
      <c r="L86" s="29"/>
      <c r="M86" s="25"/>
      <c r="N86" s="146" t="s">
        <v>2668</v>
      </c>
      <c r="O86" s="277" t="s">
        <v>2676</v>
      </c>
      <c r="P86" t="s">
        <v>2679</v>
      </c>
      <c r="AC86" s="113">
        <v>24</v>
      </c>
      <c r="AD86" s="114" t="s">
        <v>7506</v>
      </c>
      <c r="AE86" s="1">
        <v>32</v>
      </c>
      <c r="AF86" t="s">
        <v>7587</v>
      </c>
      <c r="AI86" s="32">
        <v>85</v>
      </c>
      <c r="AK86" s="32" t="s">
        <v>735</v>
      </c>
      <c r="AL86" s="32" t="s">
        <v>735</v>
      </c>
      <c r="AM86" s="32" t="s">
        <v>736</v>
      </c>
      <c r="AU86" s="32">
        <v>24</v>
      </c>
      <c r="AV86" s="32" t="s">
        <v>912</v>
      </c>
    </row>
    <row r="87" spans="1:48" ht="15.95" customHeight="1">
      <c r="A87">
        <v>3</v>
      </c>
      <c r="B87" t="s">
        <v>994</v>
      </c>
      <c r="C87" t="s">
        <v>2443</v>
      </c>
      <c r="D87" t="s">
        <v>1001</v>
      </c>
      <c r="E87" t="s">
        <v>1004</v>
      </c>
      <c r="F87" t="s">
        <v>1007</v>
      </c>
      <c r="G87" t="s">
        <v>1027</v>
      </c>
      <c r="H87" t="s">
        <v>1012</v>
      </c>
      <c r="I87" t="s">
        <v>1022</v>
      </c>
      <c r="L87" s="29"/>
      <c r="M87" s="25"/>
      <c r="N87" s="44" t="s">
        <v>2669</v>
      </c>
      <c r="O87" s="277" t="s">
        <v>2677</v>
      </c>
      <c r="P87" t="s">
        <v>2680</v>
      </c>
      <c r="Q87" s="45"/>
      <c r="S87" s="45"/>
      <c r="AC87" s="113">
        <v>25</v>
      </c>
      <c r="AD87" s="114" t="s">
        <v>913</v>
      </c>
      <c r="AE87" s="1">
        <v>24</v>
      </c>
      <c r="AF87" t="s">
        <v>7587</v>
      </c>
      <c r="AI87" s="32">
        <v>86</v>
      </c>
      <c r="AK87" s="32" t="s">
        <v>737</v>
      </c>
      <c r="AL87" s="32" t="s">
        <v>737</v>
      </c>
      <c r="AM87" s="32" t="s">
        <v>738</v>
      </c>
      <c r="AU87" s="32">
        <v>25</v>
      </c>
      <c r="AV87" s="32" t="s">
        <v>913</v>
      </c>
    </row>
    <row r="88" spans="1:48" ht="15.95" customHeight="1">
      <c r="A88">
        <v>4</v>
      </c>
      <c r="B88" t="s">
        <v>1126</v>
      </c>
      <c r="C88" t="s">
        <v>2444</v>
      </c>
      <c r="D88" t="s">
        <v>1002</v>
      </c>
      <c r="E88" t="s">
        <v>1015</v>
      </c>
      <c r="F88" t="s">
        <v>1034</v>
      </c>
      <c r="G88" t="s">
        <v>1028</v>
      </c>
      <c r="H88" t="s">
        <v>1013</v>
      </c>
      <c r="I88" t="s">
        <v>1023</v>
      </c>
      <c r="L88" s="29"/>
      <c r="M88" s="25"/>
      <c r="N88" s="46" t="s">
        <v>2670</v>
      </c>
      <c r="O88" s="277" t="s">
        <v>2678</v>
      </c>
      <c r="P88" t="s">
        <v>2681</v>
      </c>
      <c r="Q88" s="45"/>
      <c r="S88" s="45"/>
      <c r="AC88" s="113">
        <v>26</v>
      </c>
      <c r="AD88" s="114" t="s">
        <v>823</v>
      </c>
      <c r="AE88" s="1">
        <v>20</v>
      </c>
      <c r="AF88" t="s">
        <v>7587</v>
      </c>
      <c r="AI88" s="32">
        <v>87</v>
      </c>
      <c r="AK88" s="32" t="s">
        <v>739</v>
      </c>
      <c r="AL88" s="32" t="s">
        <v>739</v>
      </c>
      <c r="AM88" s="32" t="s">
        <v>740</v>
      </c>
      <c r="AU88" s="32">
        <v>26</v>
      </c>
      <c r="AV88" s="32" t="s">
        <v>823</v>
      </c>
    </row>
    <row r="89" spans="1:48" ht="15.95" customHeight="1">
      <c r="A89">
        <v>5</v>
      </c>
      <c r="B89" t="s">
        <v>995</v>
      </c>
      <c r="C89" t="s">
        <v>2441</v>
      </c>
      <c r="D89" t="s">
        <v>999</v>
      </c>
      <c r="E89" t="s">
        <v>1015</v>
      </c>
      <c r="F89" t="s">
        <v>1031</v>
      </c>
      <c r="H89" t="s">
        <v>1016</v>
      </c>
      <c r="I89" t="s">
        <v>1029</v>
      </c>
      <c r="L89" s="29"/>
      <c r="M89" s="25"/>
      <c r="N89" s="46" t="s">
        <v>2671</v>
      </c>
      <c r="O89" s="277" t="s">
        <v>2216</v>
      </c>
      <c r="AC89" s="113">
        <v>27</v>
      </c>
      <c r="AD89" s="114" t="s">
        <v>824</v>
      </c>
      <c r="AE89" s="1">
        <v>8</v>
      </c>
      <c r="AF89" t="s">
        <v>7588</v>
      </c>
      <c r="AI89" s="32">
        <v>88</v>
      </c>
      <c r="AK89" s="32" t="s">
        <v>741</v>
      </c>
      <c r="AL89" s="32" t="s">
        <v>741</v>
      </c>
      <c r="AM89" s="32" t="s">
        <v>742</v>
      </c>
      <c r="AU89" s="32">
        <v>27</v>
      </c>
      <c r="AV89" s="32" t="s">
        <v>824</v>
      </c>
    </row>
    <row r="90" spans="1:48" ht="15.95" customHeight="1">
      <c r="A90">
        <v>6</v>
      </c>
      <c r="B90" t="s">
        <v>997</v>
      </c>
      <c r="C90" t="s">
        <v>2442</v>
      </c>
      <c r="D90" t="s">
        <v>1001</v>
      </c>
      <c r="E90" t="s">
        <v>1003</v>
      </c>
      <c r="F90" t="s">
        <v>1032</v>
      </c>
      <c r="H90" t="s">
        <v>1017</v>
      </c>
      <c r="L90" s="29"/>
      <c r="M90" s="25"/>
      <c r="N90" s="44" t="s">
        <v>2672</v>
      </c>
      <c r="O90" s="277" t="s">
        <v>2217</v>
      </c>
      <c r="AC90" s="113">
        <v>28</v>
      </c>
      <c r="AD90" s="114" t="s">
        <v>825</v>
      </c>
      <c r="AE90" s="1">
        <v>10</v>
      </c>
      <c r="AF90" t="s">
        <v>7588</v>
      </c>
      <c r="AI90" s="32">
        <v>89</v>
      </c>
      <c r="AK90" s="32" t="s">
        <v>743</v>
      </c>
      <c r="AL90" s="32" t="s">
        <v>743</v>
      </c>
      <c r="AM90" s="32" t="s">
        <v>744</v>
      </c>
      <c r="AU90" s="32">
        <v>28</v>
      </c>
      <c r="AV90" s="32" t="s">
        <v>825</v>
      </c>
    </row>
    <row r="91" spans="1:48" ht="15.95" customHeight="1">
      <c r="A91">
        <v>7</v>
      </c>
      <c r="B91" t="s">
        <v>996</v>
      </c>
      <c r="C91" t="s">
        <v>2445</v>
      </c>
      <c r="D91" t="s">
        <v>1002</v>
      </c>
      <c r="E91" t="s">
        <v>1015</v>
      </c>
      <c r="F91" t="s">
        <v>1006</v>
      </c>
      <c r="H91" t="s">
        <v>275</v>
      </c>
      <c r="L91" s="21"/>
      <c r="M91" s="25"/>
      <c r="N91" s="44" t="s">
        <v>2673</v>
      </c>
      <c r="O91" s="277"/>
      <c r="AC91" s="113">
        <v>29</v>
      </c>
      <c r="AD91" s="114" t="s">
        <v>826</v>
      </c>
      <c r="AE91" s="1">
        <v>16</v>
      </c>
      <c r="AF91" t="s">
        <v>7588</v>
      </c>
      <c r="AI91" s="32">
        <v>90</v>
      </c>
      <c r="AK91" s="32" t="s">
        <v>745</v>
      </c>
      <c r="AL91" s="32" t="s">
        <v>745</v>
      </c>
      <c r="AM91" s="32" t="s">
        <v>746</v>
      </c>
      <c r="AU91" s="32">
        <v>29</v>
      </c>
      <c r="AV91" s="32" t="s">
        <v>826</v>
      </c>
    </row>
    <row r="92" spans="1:48" ht="15.95" customHeight="1">
      <c r="A92">
        <v>8</v>
      </c>
      <c r="B92" t="s">
        <v>2446</v>
      </c>
      <c r="D92" t="s">
        <v>999</v>
      </c>
      <c r="F92" t="s">
        <v>1007</v>
      </c>
      <c r="H92" t="s">
        <v>1018</v>
      </c>
      <c r="L92" s="27"/>
      <c r="M92" s="28"/>
      <c r="N92" s="44" t="s">
        <v>2674</v>
      </c>
      <c r="O92" s="277"/>
      <c r="AC92" s="113">
        <v>30</v>
      </c>
      <c r="AD92" s="114" t="s">
        <v>7311</v>
      </c>
      <c r="AE92" s="1">
        <v>16</v>
      </c>
      <c r="AF92" t="s">
        <v>7588</v>
      </c>
      <c r="AI92" s="32">
        <v>91</v>
      </c>
      <c r="AK92" s="32" t="s">
        <v>747</v>
      </c>
      <c r="AL92" s="32" t="s">
        <v>747</v>
      </c>
      <c r="AM92" s="32" t="s">
        <v>748</v>
      </c>
      <c r="AU92" s="32">
        <v>30</v>
      </c>
      <c r="AV92" s="32" t="s">
        <v>827</v>
      </c>
    </row>
    <row r="93" spans="1:48" ht="15.95" customHeight="1">
      <c r="A93">
        <v>9</v>
      </c>
      <c r="B93" t="s">
        <v>2447</v>
      </c>
      <c r="D93" t="s">
        <v>999</v>
      </c>
      <c r="F93" t="s">
        <v>1005</v>
      </c>
      <c r="H93" t="s">
        <v>1042</v>
      </c>
      <c r="L93" s="29"/>
      <c r="M93" s="25"/>
      <c r="N93" s="25"/>
      <c r="O93" s="277"/>
      <c r="AC93" s="113">
        <v>31</v>
      </c>
      <c r="AD93" s="114" t="s">
        <v>828</v>
      </c>
      <c r="AE93" s="1">
        <v>12</v>
      </c>
      <c r="AF93" t="s">
        <v>7588</v>
      </c>
      <c r="AI93" s="32">
        <v>92</v>
      </c>
      <c r="AK93" s="32" t="s">
        <v>749</v>
      </c>
      <c r="AL93" s="32" t="s">
        <v>749</v>
      </c>
      <c r="AM93" s="32" t="s">
        <v>750</v>
      </c>
      <c r="AU93" s="32">
        <v>31</v>
      </c>
      <c r="AV93" s="32" t="s">
        <v>828</v>
      </c>
    </row>
    <row r="94" spans="1:48" ht="15.95" customHeight="1">
      <c r="A94">
        <v>10</v>
      </c>
      <c r="B94" t="s">
        <v>2448</v>
      </c>
      <c r="D94" t="s">
        <v>1000</v>
      </c>
      <c r="F94" t="s">
        <v>1033</v>
      </c>
      <c r="H94" t="s">
        <v>1043</v>
      </c>
      <c r="L94" s="29"/>
      <c r="M94" s="25"/>
      <c r="N94" s="25"/>
      <c r="O94" s="277"/>
      <c r="AC94" s="113">
        <v>32</v>
      </c>
      <c r="AD94" s="114" t="s">
        <v>829</v>
      </c>
      <c r="AE94" s="1">
        <v>8</v>
      </c>
      <c r="AF94" t="s">
        <v>7588</v>
      </c>
      <c r="AI94" s="32">
        <v>93</v>
      </c>
      <c r="AK94" s="32" t="s">
        <v>751</v>
      </c>
      <c r="AL94" s="32" t="s">
        <v>751</v>
      </c>
      <c r="AM94" s="32" t="s">
        <v>752</v>
      </c>
      <c r="AU94" s="32">
        <v>32</v>
      </c>
      <c r="AV94" s="32" t="s">
        <v>829</v>
      </c>
    </row>
    <row r="95" spans="1:48" ht="15.95" customHeight="1">
      <c r="A95">
        <v>11</v>
      </c>
      <c r="B95" t="s">
        <v>998</v>
      </c>
      <c r="F95" t="s">
        <v>1014</v>
      </c>
      <c r="H95" t="s">
        <v>1044</v>
      </c>
      <c r="L95" s="29"/>
      <c r="M95" s="25"/>
      <c r="N95" s="25"/>
      <c r="O95" s="277"/>
      <c r="AC95" s="113">
        <v>33</v>
      </c>
      <c r="AD95" s="114" t="s">
        <v>7507</v>
      </c>
      <c r="AE95" s="1">
        <v>20</v>
      </c>
      <c r="AF95" t="s">
        <v>7588</v>
      </c>
      <c r="AI95" s="32">
        <v>94</v>
      </c>
      <c r="AK95" s="32" t="s">
        <v>753</v>
      </c>
      <c r="AL95" s="32" t="s">
        <v>753</v>
      </c>
      <c r="AM95" s="32" t="s">
        <v>754</v>
      </c>
      <c r="AU95" s="32">
        <v>33</v>
      </c>
      <c r="AV95" s="32" t="s">
        <v>914</v>
      </c>
    </row>
    <row r="96" spans="1:48" ht="15.95" customHeight="1">
      <c r="A96">
        <v>12</v>
      </c>
      <c r="B96" t="s">
        <v>1024</v>
      </c>
      <c r="L96" s="29"/>
      <c r="M96" s="25"/>
      <c r="N96" s="25"/>
      <c r="O96" s="277"/>
      <c r="AC96" s="113">
        <v>34</v>
      </c>
      <c r="AD96" s="114" t="s">
        <v>830</v>
      </c>
      <c r="AE96" s="1">
        <v>12</v>
      </c>
      <c r="AF96" t="s">
        <v>7588</v>
      </c>
      <c r="AI96" s="32">
        <v>95</v>
      </c>
      <c r="AK96" s="32" t="s">
        <v>755</v>
      </c>
      <c r="AL96" s="32" t="s">
        <v>755</v>
      </c>
      <c r="AM96" s="32" t="s">
        <v>756</v>
      </c>
      <c r="AU96" s="32">
        <v>34</v>
      </c>
      <c r="AV96" s="32" t="s">
        <v>830</v>
      </c>
    </row>
    <row r="97" spans="1:48" ht="15.95" customHeight="1">
      <c r="A97">
        <v>13</v>
      </c>
      <c r="B97" t="s">
        <v>1025</v>
      </c>
      <c r="L97" s="29"/>
      <c r="M97" s="25"/>
      <c r="N97" s="25"/>
      <c r="O97" s="277"/>
      <c r="AC97" s="113">
        <v>35</v>
      </c>
      <c r="AD97" s="114" t="s">
        <v>831</v>
      </c>
      <c r="AE97" s="1">
        <v>12</v>
      </c>
      <c r="AF97" t="s">
        <v>7588</v>
      </c>
      <c r="AI97" s="32">
        <v>96</v>
      </c>
      <c r="AK97" s="32" t="s">
        <v>757</v>
      </c>
      <c r="AL97" s="32" t="s">
        <v>757</v>
      </c>
      <c r="AM97" s="32" t="s">
        <v>758</v>
      </c>
      <c r="AU97" s="32">
        <v>35</v>
      </c>
      <c r="AV97" s="32" t="s">
        <v>831</v>
      </c>
    </row>
    <row r="98" spans="1:48" ht="15.95" customHeight="1">
      <c r="A98">
        <v>14</v>
      </c>
      <c r="B98" t="s">
        <v>1026</v>
      </c>
      <c r="L98" s="21"/>
      <c r="M98" s="25"/>
      <c r="N98" s="6"/>
      <c r="O98" s="277"/>
      <c r="AC98" s="113">
        <v>36</v>
      </c>
      <c r="AD98" s="114" t="s">
        <v>7508</v>
      </c>
      <c r="AE98" s="1">
        <v>16</v>
      </c>
      <c r="AF98" t="s">
        <v>7588</v>
      </c>
      <c r="AI98" s="32">
        <v>97</v>
      </c>
      <c r="AK98" s="32" t="s">
        <v>759</v>
      </c>
      <c r="AL98" s="32" t="s">
        <v>759</v>
      </c>
      <c r="AM98" s="32" t="s">
        <v>760</v>
      </c>
      <c r="AU98" s="32">
        <v>36</v>
      </c>
      <c r="AV98" s="32" t="s">
        <v>915</v>
      </c>
    </row>
    <row r="99" spans="1:48" ht="15.95" customHeight="1">
      <c r="A99">
        <v>15</v>
      </c>
      <c r="B99" t="s">
        <v>2449</v>
      </c>
      <c r="O99" s="277"/>
      <c r="AC99" s="113">
        <v>37</v>
      </c>
      <c r="AD99" s="114" t="s">
        <v>7509</v>
      </c>
      <c r="AE99" s="1">
        <v>10</v>
      </c>
      <c r="AF99" t="s">
        <v>7588</v>
      </c>
      <c r="AI99" s="32">
        <v>98</v>
      </c>
      <c r="AK99" s="32" t="s">
        <v>761</v>
      </c>
      <c r="AL99" s="32" t="s">
        <v>761</v>
      </c>
      <c r="AM99" s="32" t="s">
        <v>762</v>
      </c>
      <c r="AU99" s="32">
        <v>37</v>
      </c>
      <c r="AV99" s="32" t="s">
        <v>916</v>
      </c>
    </row>
    <row r="100" spans="1:48" ht="15.95" customHeight="1">
      <c r="A100">
        <v>16</v>
      </c>
      <c r="B100" t="s">
        <v>2450</v>
      </c>
      <c r="O100" s="277"/>
      <c r="AC100" s="113">
        <v>38</v>
      </c>
      <c r="AD100" s="114" t="s">
        <v>7510</v>
      </c>
      <c r="AE100" s="1">
        <v>16</v>
      </c>
      <c r="AF100" t="s">
        <v>7588</v>
      </c>
      <c r="AI100" s="32">
        <v>99</v>
      </c>
      <c r="AK100" s="32" t="s">
        <v>763</v>
      </c>
      <c r="AL100" s="32" t="s">
        <v>763</v>
      </c>
      <c r="AM100" s="32" t="s">
        <v>764</v>
      </c>
      <c r="AU100" s="32">
        <v>38</v>
      </c>
      <c r="AV100" s="32" t="s">
        <v>917</v>
      </c>
    </row>
    <row r="101" spans="1:48" ht="15.95" customHeight="1">
      <c r="A101">
        <v>17</v>
      </c>
      <c r="B101" t="s">
        <v>2451</v>
      </c>
      <c r="O101" s="277"/>
      <c r="AC101" s="113">
        <v>39</v>
      </c>
      <c r="AD101" s="114" t="s">
        <v>832</v>
      </c>
      <c r="AE101" s="1">
        <v>20</v>
      </c>
      <c r="AF101" t="s">
        <v>7588</v>
      </c>
      <c r="AI101" s="32">
        <v>100</v>
      </c>
      <c r="AK101" s="32" t="s">
        <v>765</v>
      </c>
      <c r="AL101" s="32" t="s">
        <v>765</v>
      </c>
      <c r="AM101" s="32" t="s">
        <v>766</v>
      </c>
      <c r="AU101" s="32">
        <v>39</v>
      </c>
      <c r="AV101" s="32" t="s">
        <v>832</v>
      </c>
    </row>
    <row r="102" spans="1:48" ht="15.95" customHeight="1">
      <c r="A102">
        <v>18</v>
      </c>
      <c r="B102" t="s">
        <v>2452</v>
      </c>
      <c r="O102" s="277"/>
      <c r="AC102" s="113">
        <v>40</v>
      </c>
      <c r="AD102" s="114" t="s">
        <v>833</v>
      </c>
      <c r="AE102" s="1">
        <v>12</v>
      </c>
      <c r="AF102" t="s">
        <v>7588</v>
      </c>
      <c r="AU102" s="32">
        <v>40</v>
      </c>
      <c r="AV102" s="32" t="s">
        <v>833</v>
      </c>
    </row>
    <row r="103" spans="1:48" ht="15.95" customHeight="1">
      <c r="A103">
        <v>19</v>
      </c>
      <c r="B103" t="s">
        <v>2453</v>
      </c>
      <c r="O103" s="277"/>
      <c r="AC103" s="113">
        <v>41</v>
      </c>
      <c r="AD103" s="114" t="s">
        <v>834</v>
      </c>
      <c r="AE103" s="1">
        <v>12</v>
      </c>
      <c r="AF103" t="s">
        <v>7588</v>
      </c>
      <c r="AU103" s="32">
        <v>41</v>
      </c>
      <c r="AV103" s="32" t="s">
        <v>834</v>
      </c>
    </row>
    <row r="104" spans="1:48" ht="15.95" customHeight="1">
      <c r="A104">
        <v>20</v>
      </c>
      <c r="B104" t="s">
        <v>2454</v>
      </c>
      <c r="O104" s="277"/>
      <c r="AC104" s="113">
        <v>42</v>
      </c>
      <c r="AD104" s="114" t="s">
        <v>7511</v>
      </c>
      <c r="AE104" s="1">
        <v>12</v>
      </c>
      <c r="AF104" t="s">
        <v>7588</v>
      </c>
      <c r="AU104" s="32">
        <v>42</v>
      </c>
      <c r="AV104" s="32" t="s">
        <v>918</v>
      </c>
    </row>
    <row r="105" spans="1:48" ht="15.95" customHeight="1">
      <c r="O105" s="277"/>
      <c r="AC105" s="113">
        <v>43</v>
      </c>
      <c r="AD105" s="114" t="s">
        <v>835</v>
      </c>
      <c r="AE105" s="1">
        <v>2</v>
      </c>
      <c r="AF105" t="s">
        <v>7588</v>
      </c>
      <c r="AU105" s="32">
        <v>43</v>
      </c>
      <c r="AV105" s="32" t="s">
        <v>835</v>
      </c>
    </row>
    <row r="106" spans="1:48" ht="15.95" customHeight="1">
      <c r="O106" s="277"/>
      <c r="AC106" s="113">
        <v>44</v>
      </c>
      <c r="AD106" s="114" t="s">
        <v>7512</v>
      </c>
      <c r="AE106" s="1">
        <v>16</v>
      </c>
      <c r="AF106" t="s">
        <v>7588</v>
      </c>
      <c r="AU106" s="32">
        <v>44</v>
      </c>
      <c r="AV106" s="32" t="s">
        <v>919</v>
      </c>
    </row>
    <row r="107" spans="1:48" ht="15.95" customHeight="1">
      <c r="O107" s="277"/>
      <c r="AC107" s="113">
        <v>45</v>
      </c>
      <c r="AD107" s="114" t="s">
        <v>836</v>
      </c>
      <c r="AE107" s="1">
        <v>20</v>
      </c>
      <c r="AF107" t="s">
        <v>7588</v>
      </c>
      <c r="AU107" s="32">
        <v>45</v>
      </c>
      <c r="AV107" s="32" t="s">
        <v>836</v>
      </c>
    </row>
    <row r="108" spans="1:48" ht="15.95" customHeight="1">
      <c r="N108" t="s">
        <v>6317</v>
      </c>
      <c r="O108" s="277" t="s">
        <v>6383</v>
      </c>
      <c r="P108" t="s">
        <v>6384</v>
      </c>
      <c r="Q108" t="s">
        <v>6385</v>
      </c>
      <c r="R108" s="277" t="s">
        <v>6345</v>
      </c>
      <c r="S108" s="277" t="s">
        <v>6298</v>
      </c>
      <c r="T108" s="277" t="s">
        <v>6307</v>
      </c>
      <c r="AC108" s="113">
        <v>46</v>
      </c>
      <c r="AD108" s="114" t="s">
        <v>837</v>
      </c>
      <c r="AE108" s="1">
        <v>24</v>
      </c>
      <c r="AF108" t="s">
        <v>7588</v>
      </c>
      <c r="AU108" s="32">
        <v>46</v>
      </c>
      <c r="AV108" s="32" t="s">
        <v>837</v>
      </c>
    </row>
    <row r="109" spans="1:48" ht="15.95" customHeight="1">
      <c r="B109" t="s">
        <v>1046</v>
      </c>
      <c r="C109" t="s">
        <v>1047</v>
      </c>
      <c r="D109" t="s">
        <v>1077</v>
      </c>
      <c r="E109" t="s">
        <v>1048</v>
      </c>
      <c r="F109" t="s">
        <v>1049</v>
      </c>
      <c r="K109" s="1"/>
      <c r="L109" s="23"/>
      <c r="M109"/>
      <c r="N109" s="277" t="s">
        <v>6240</v>
      </c>
      <c r="O109" s="277" t="s">
        <v>6319</v>
      </c>
      <c r="P109" s="277" t="s">
        <v>6327</v>
      </c>
      <c r="Q109" s="277" t="s">
        <v>6336</v>
      </c>
      <c r="R109" s="277" t="s">
        <v>6346</v>
      </c>
      <c r="S109" s="277" t="s">
        <v>6299</v>
      </c>
      <c r="T109" s="277" t="s">
        <v>6308</v>
      </c>
      <c r="AC109" s="113">
        <v>47</v>
      </c>
      <c r="AD109" s="114" t="s">
        <v>838</v>
      </c>
      <c r="AE109" s="1">
        <v>16</v>
      </c>
      <c r="AF109" t="s">
        <v>7588</v>
      </c>
      <c r="AU109" s="32">
        <v>47</v>
      </c>
      <c r="AV109" s="32" t="s">
        <v>838</v>
      </c>
    </row>
    <row r="110" spans="1:48" ht="15.95" customHeight="1">
      <c r="A110">
        <v>1</v>
      </c>
      <c r="B110" s="43" t="s">
        <v>1129</v>
      </c>
      <c r="C110" t="s">
        <v>1069</v>
      </c>
      <c r="D110" t="s">
        <v>1050</v>
      </c>
      <c r="E110" t="s">
        <v>1078</v>
      </c>
      <c r="F110" t="s">
        <v>1090</v>
      </c>
      <c r="K110" s="1"/>
      <c r="L110" s="23"/>
      <c r="M110" t="s">
        <v>1117</v>
      </c>
      <c r="N110" s="277" t="s">
        <v>6241</v>
      </c>
      <c r="O110" s="277" t="s">
        <v>6320</v>
      </c>
      <c r="P110" s="277" t="s">
        <v>6328</v>
      </c>
      <c r="Q110" s="277" t="s">
        <v>6337</v>
      </c>
      <c r="R110" s="277" t="s">
        <v>6347</v>
      </c>
      <c r="S110" s="277" t="s">
        <v>6300</v>
      </c>
      <c r="T110" s="277" t="s">
        <v>6309</v>
      </c>
      <c r="AC110" s="113">
        <v>48</v>
      </c>
      <c r="AD110" s="114" t="s">
        <v>7513</v>
      </c>
      <c r="AE110" s="1">
        <v>6</v>
      </c>
      <c r="AF110" t="s">
        <v>7588</v>
      </c>
      <c r="AU110" s="32">
        <v>48</v>
      </c>
      <c r="AV110" s="32" t="s">
        <v>920</v>
      </c>
    </row>
    <row r="111" spans="1:48" ht="15.95" customHeight="1">
      <c r="A111">
        <v>2</v>
      </c>
      <c r="B111" s="43" t="s">
        <v>1130</v>
      </c>
      <c r="C111" t="s">
        <v>1070</v>
      </c>
      <c r="D111" t="s">
        <v>1051</v>
      </c>
      <c r="E111" t="s">
        <v>1079</v>
      </c>
      <c r="F111" t="s">
        <v>1091</v>
      </c>
      <c r="K111" s="1"/>
      <c r="L111" s="23"/>
      <c r="M111" t="s">
        <v>1118</v>
      </c>
      <c r="N111" s="277" t="s">
        <v>6242</v>
      </c>
      <c r="O111" s="277" t="s">
        <v>6321</v>
      </c>
      <c r="P111" s="277" t="s">
        <v>6329</v>
      </c>
      <c r="Q111" s="277" t="s">
        <v>6338</v>
      </c>
      <c r="R111" s="277" t="s">
        <v>6348</v>
      </c>
      <c r="S111" s="277" t="s">
        <v>6301</v>
      </c>
      <c r="T111" s="277" t="s">
        <v>6310</v>
      </c>
      <c r="AC111" s="113">
        <v>49</v>
      </c>
      <c r="AD111" s="114" t="s">
        <v>839</v>
      </c>
      <c r="AE111" s="1">
        <v>12</v>
      </c>
      <c r="AF111" t="s">
        <v>7588</v>
      </c>
      <c r="AU111" s="32">
        <v>49</v>
      </c>
      <c r="AV111" s="32" t="s">
        <v>839</v>
      </c>
    </row>
    <row r="112" spans="1:48" ht="15.95" customHeight="1">
      <c r="A112">
        <v>3</v>
      </c>
      <c r="B112" s="43" t="s">
        <v>2461</v>
      </c>
      <c r="C112" t="s">
        <v>1071</v>
      </c>
      <c r="D112" t="s">
        <v>1052</v>
      </c>
      <c r="E112" t="s">
        <v>1080</v>
      </c>
      <c r="F112" t="s">
        <v>1092</v>
      </c>
      <c r="K112" s="1"/>
      <c r="L112" s="23"/>
      <c r="M112" t="s">
        <v>1119</v>
      </c>
      <c r="N112" s="277" t="s">
        <v>6243</v>
      </c>
      <c r="O112" s="277" t="s">
        <v>6322</v>
      </c>
      <c r="P112" s="277" t="s">
        <v>6330</v>
      </c>
      <c r="Q112" s="277" t="s">
        <v>6339</v>
      </c>
      <c r="R112" s="277" t="s">
        <v>6349</v>
      </c>
      <c r="S112" s="277" t="s">
        <v>6302</v>
      </c>
      <c r="T112" s="277" t="s">
        <v>6311</v>
      </c>
      <c r="AC112" s="113"/>
      <c r="AD112" s="112" t="s">
        <v>618</v>
      </c>
      <c r="AV112" s="111" t="s">
        <v>840</v>
      </c>
    </row>
    <row r="113" spans="1:48" ht="15.95" customHeight="1">
      <c r="A113">
        <v>4</v>
      </c>
      <c r="B113" s="43" t="s">
        <v>2462</v>
      </c>
      <c r="C113" t="s">
        <v>1072</v>
      </c>
      <c r="D113" t="s">
        <v>1053</v>
      </c>
      <c r="E113" t="s">
        <v>1081</v>
      </c>
      <c r="F113" t="s">
        <v>1093</v>
      </c>
      <c r="K113" s="1"/>
      <c r="L113" s="23"/>
      <c r="M113" t="s">
        <v>1120</v>
      </c>
      <c r="N113" s="277" t="s">
        <v>6244</v>
      </c>
      <c r="O113" s="277" t="s">
        <v>1274</v>
      </c>
      <c r="P113" s="277" t="s">
        <v>6331</v>
      </c>
      <c r="Q113" s="277" t="s">
        <v>6340</v>
      </c>
      <c r="R113" s="277" t="s">
        <v>6350</v>
      </c>
      <c r="S113" s="277" t="s">
        <v>6277</v>
      </c>
      <c r="T113" s="277" t="s">
        <v>6312</v>
      </c>
      <c r="AC113" s="113">
        <v>1</v>
      </c>
      <c r="AD113" s="114" t="s">
        <v>841</v>
      </c>
      <c r="AE113" s="1">
        <v>10</v>
      </c>
      <c r="AF113" t="s">
        <v>7587</v>
      </c>
      <c r="AU113" s="32">
        <v>1</v>
      </c>
      <c r="AV113" s="32" t="s">
        <v>841</v>
      </c>
    </row>
    <row r="114" spans="1:48" ht="15.95" customHeight="1">
      <c r="A114">
        <v>5</v>
      </c>
      <c r="B114" s="43" t="s">
        <v>1131</v>
      </c>
      <c r="C114" t="s">
        <v>1135</v>
      </c>
      <c r="D114" t="s">
        <v>1054</v>
      </c>
      <c r="E114" t="s">
        <v>1082</v>
      </c>
      <c r="F114" t="s">
        <v>1094</v>
      </c>
      <c r="K114" s="1"/>
      <c r="L114" s="23"/>
      <c r="M114" t="s">
        <v>1121</v>
      </c>
      <c r="N114" s="277" t="s">
        <v>6245</v>
      </c>
      <c r="O114" s="277" t="s">
        <v>6323</v>
      </c>
      <c r="P114" s="277" t="s">
        <v>6332</v>
      </c>
      <c r="Q114" s="277" t="s">
        <v>6341</v>
      </c>
      <c r="R114" s="277" t="s">
        <v>6351</v>
      </c>
      <c r="S114" s="277" t="s">
        <v>6303</v>
      </c>
      <c r="T114" s="277" t="s">
        <v>6313</v>
      </c>
      <c r="AC114" s="113">
        <v>2</v>
      </c>
      <c r="AD114" s="114" t="s">
        <v>842</v>
      </c>
      <c r="AE114" s="1">
        <v>10</v>
      </c>
      <c r="AF114" t="s">
        <v>7587</v>
      </c>
      <c r="AU114" s="32">
        <v>2</v>
      </c>
      <c r="AV114" s="32" t="s">
        <v>842</v>
      </c>
    </row>
    <row r="115" spans="1:48" ht="15.95" customHeight="1">
      <c r="A115">
        <v>6</v>
      </c>
      <c r="B115" s="43" t="s">
        <v>2463</v>
      </c>
      <c r="C115" t="s">
        <v>1136</v>
      </c>
      <c r="D115" t="s">
        <v>1055</v>
      </c>
      <c r="E115" t="s">
        <v>1083</v>
      </c>
      <c r="F115" t="s">
        <v>1056</v>
      </c>
      <c r="K115" s="1"/>
      <c r="L115" s="23"/>
      <c r="M115"/>
      <c r="N115" s="277" t="s">
        <v>6246</v>
      </c>
      <c r="O115" s="277" t="s">
        <v>6324</v>
      </c>
      <c r="P115" s="277" t="s">
        <v>6333</v>
      </c>
      <c r="Q115" s="277" t="s">
        <v>6342</v>
      </c>
      <c r="R115" s="277" t="s">
        <v>6352</v>
      </c>
      <c r="S115" s="277" t="s">
        <v>6304</v>
      </c>
      <c r="T115" s="277" t="s">
        <v>6314</v>
      </c>
      <c r="AC115" s="113">
        <v>3</v>
      </c>
      <c r="AD115" s="114" t="s">
        <v>843</v>
      </c>
      <c r="AE115" s="1">
        <v>10</v>
      </c>
      <c r="AF115" t="s">
        <v>7587</v>
      </c>
      <c r="AU115" s="32">
        <v>3</v>
      </c>
      <c r="AV115" s="32" t="s">
        <v>843</v>
      </c>
    </row>
    <row r="116" spans="1:48" ht="15.95" customHeight="1">
      <c r="A116">
        <v>7</v>
      </c>
      <c r="B116" s="43" t="s">
        <v>1132</v>
      </c>
      <c r="C116" t="s">
        <v>1073</v>
      </c>
      <c r="D116" t="s">
        <v>1068</v>
      </c>
      <c r="E116" t="s">
        <v>1084</v>
      </c>
      <c r="F116" t="s">
        <v>1096</v>
      </c>
      <c r="K116" s="1"/>
      <c r="L116" s="23"/>
      <c r="M116"/>
      <c r="N116" s="277" t="s">
        <v>6247</v>
      </c>
      <c r="O116" s="277" t="s">
        <v>6325</v>
      </c>
      <c r="P116" s="277" t="s">
        <v>6334</v>
      </c>
      <c r="Q116" s="277" t="s">
        <v>6343</v>
      </c>
      <c r="R116" s="277" t="s">
        <v>6353</v>
      </c>
      <c r="S116" s="277" t="s">
        <v>6305</v>
      </c>
      <c r="T116" s="277" t="s">
        <v>6315</v>
      </c>
      <c r="AC116" s="113">
        <v>4</v>
      </c>
      <c r="AD116" s="114" t="s">
        <v>844</v>
      </c>
      <c r="AE116" s="1">
        <v>3</v>
      </c>
      <c r="AF116" t="s">
        <v>7588</v>
      </c>
      <c r="AU116" s="32">
        <v>4</v>
      </c>
      <c r="AV116" s="32" t="s">
        <v>844</v>
      </c>
    </row>
    <row r="117" spans="1:48" ht="15.95" customHeight="1">
      <c r="A117">
        <v>8</v>
      </c>
      <c r="B117" s="43" t="s">
        <v>2464</v>
      </c>
      <c r="C117" t="s">
        <v>1074</v>
      </c>
      <c r="D117" t="s">
        <v>1068</v>
      </c>
      <c r="E117" t="s">
        <v>1085</v>
      </c>
      <c r="F117" t="s">
        <v>1097</v>
      </c>
      <c r="K117" s="1"/>
      <c r="L117" s="23"/>
      <c r="M117"/>
      <c r="N117" s="277" t="s">
        <v>6318</v>
      </c>
      <c r="O117" s="277" t="s">
        <v>6326</v>
      </c>
      <c r="P117" s="277" t="s">
        <v>6335</v>
      </c>
      <c r="Q117" s="277" t="s">
        <v>6344</v>
      </c>
      <c r="R117" s="277" t="s">
        <v>6354</v>
      </c>
      <c r="S117" s="277" t="s">
        <v>6306</v>
      </c>
      <c r="T117" s="277" t="s">
        <v>6316</v>
      </c>
      <c r="AC117" s="113">
        <v>5</v>
      </c>
      <c r="AD117" s="114" t="s">
        <v>7514</v>
      </c>
      <c r="AE117" s="1">
        <v>12</v>
      </c>
      <c r="AF117" t="s">
        <v>7588</v>
      </c>
      <c r="AU117" s="32">
        <v>5</v>
      </c>
      <c r="AV117" s="32" t="s">
        <v>845</v>
      </c>
    </row>
    <row r="118" spans="1:48" ht="15.95" customHeight="1">
      <c r="A118">
        <v>9</v>
      </c>
      <c r="B118" s="43" t="s">
        <v>2465</v>
      </c>
      <c r="C118" t="s">
        <v>1075</v>
      </c>
      <c r="D118" t="s">
        <v>1068</v>
      </c>
      <c r="E118" t="s">
        <v>1086</v>
      </c>
      <c r="F118" t="s">
        <v>1098</v>
      </c>
      <c r="K118" s="1"/>
      <c r="L118" s="23"/>
      <c r="M118"/>
      <c r="N118" s="277" t="s">
        <v>6248</v>
      </c>
      <c r="O118" s="277" t="s">
        <v>6260</v>
      </c>
      <c r="P118" s="277" t="s">
        <v>6271</v>
      </c>
      <c r="Q118" s="277" t="s">
        <v>6282</v>
      </c>
      <c r="R118" s="277" t="s">
        <v>6293</v>
      </c>
      <c r="S118" s="277" t="s">
        <v>6361</v>
      </c>
      <c r="T118" s="277" t="s">
        <v>6372</v>
      </c>
      <c r="AC118" s="113">
        <v>6</v>
      </c>
      <c r="AD118" s="114" t="s">
        <v>7515</v>
      </c>
      <c r="AE118" s="1">
        <v>8</v>
      </c>
      <c r="AF118" t="s">
        <v>7588</v>
      </c>
      <c r="AU118" s="32">
        <v>6</v>
      </c>
      <c r="AV118" s="32" t="s">
        <v>846</v>
      </c>
    </row>
    <row r="119" spans="1:48" ht="15.95" customHeight="1">
      <c r="A119">
        <v>10</v>
      </c>
      <c r="B119" s="43" t="s">
        <v>1133</v>
      </c>
      <c r="C119" t="s">
        <v>1076</v>
      </c>
      <c r="D119" t="s">
        <v>1068</v>
      </c>
      <c r="E119" t="s">
        <v>2685</v>
      </c>
      <c r="F119" t="s">
        <v>1099</v>
      </c>
      <c r="K119" s="1"/>
      <c r="L119" s="23"/>
      <c r="M119"/>
      <c r="N119" s="277" t="s">
        <v>6249</v>
      </c>
      <c r="O119" s="277" t="s">
        <v>1270</v>
      </c>
      <c r="P119" s="277" t="s">
        <v>6272</v>
      </c>
      <c r="Q119" s="277" t="s">
        <v>6283</v>
      </c>
      <c r="R119" s="277" t="s">
        <v>6294</v>
      </c>
      <c r="S119" s="277" t="s">
        <v>6362</v>
      </c>
      <c r="T119" s="277" t="s">
        <v>6373</v>
      </c>
      <c r="AC119" s="113">
        <v>7</v>
      </c>
      <c r="AD119" s="114" t="s">
        <v>847</v>
      </c>
      <c r="AE119" s="1">
        <v>6</v>
      </c>
      <c r="AF119" t="s">
        <v>7588</v>
      </c>
      <c r="AU119" s="32">
        <v>7</v>
      </c>
      <c r="AV119" s="32" t="s">
        <v>847</v>
      </c>
    </row>
    <row r="120" spans="1:48" ht="15.95" customHeight="1">
      <c r="A120">
        <v>11</v>
      </c>
      <c r="B120" s="43" t="s">
        <v>1134</v>
      </c>
      <c r="C120" t="s">
        <v>1111</v>
      </c>
      <c r="D120" t="s">
        <v>1068</v>
      </c>
      <c r="E120" t="s">
        <v>1087</v>
      </c>
      <c r="F120" t="s">
        <v>1100</v>
      </c>
      <c r="K120" s="1"/>
      <c r="L120" s="23"/>
      <c r="M120"/>
      <c r="N120" s="277" t="s">
        <v>6250</v>
      </c>
      <c r="O120" s="277" t="s">
        <v>6261</v>
      </c>
      <c r="P120" s="277" t="s">
        <v>6273</v>
      </c>
      <c r="Q120" s="277" t="s">
        <v>6284</v>
      </c>
      <c r="R120" s="277" t="s">
        <v>6295</v>
      </c>
      <c r="S120" s="277" t="s">
        <v>6363</v>
      </c>
      <c r="T120" s="277" t="s">
        <v>6374</v>
      </c>
      <c r="AC120" s="113">
        <v>8</v>
      </c>
      <c r="AD120" s="114" t="s">
        <v>848</v>
      </c>
      <c r="AE120" s="1">
        <v>16</v>
      </c>
      <c r="AF120" t="s">
        <v>7588</v>
      </c>
      <c r="AU120" s="32">
        <v>8</v>
      </c>
      <c r="AV120" s="32" t="s">
        <v>848</v>
      </c>
    </row>
    <row r="121" spans="1:48" ht="15.95" customHeight="1">
      <c r="A121">
        <v>12</v>
      </c>
      <c r="B121" s="43" t="s">
        <v>2466</v>
      </c>
      <c r="C121" t="s">
        <v>1139</v>
      </c>
      <c r="D121" t="s">
        <v>1068</v>
      </c>
      <c r="E121" t="s">
        <v>1088</v>
      </c>
      <c r="F121" t="s">
        <v>1101</v>
      </c>
      <c r="K121" s="1"/>
      <c r="L121" s="23"/>
      <c r="M121"/>
      <c r="N121" s="277" t="s">
        <v>6251</v>
      </c>
      <c r="O121" s="277" t="s">
        <v>6262</v>
      </c>
      <c r="P121" s="277" t="s">
        <v>6274</v>
      </c>
      <c r="Q121" s="277" t="s">
        <v>6285</v>
      </c>
      <c r="R121" s="277" t="s">
        <v>6296</v>
      </c>
      <c r="S121" s="277" t="s">
        <v>6364</v>
      </c>
      <c r="T121" s="277" t="s">
        <v>6375</v>
      </c>
      <c r="AC121" s="113">
        <v>9</v>
      </c>
      <c r="AD121" s="114" t="s">
        <v>849</v>
      </c>
      <c r="AE121" s="1">
        <v>16</v>
      </c>
      <c r="AF121" t="s">
        <v>7588</v>
      </c>
      <c r="AU121" s="32">
        <v>9</v>
      </c>
      <c r="AV121" s="32" t="s">
        <v>849</v>
      </c>
    </row>
    <row r="122" spans="1:48" ht="15.95" customHeight="1">
      <c r="A122">
        <v>13</v>
      </c>
      <c r="B122" s="43"/>
      <c r="D122" t="s">
        <v>1068</v>
      </c>
      <c r="E122" t="s">
        <v>1089</v>
      </c>
      <c r="F122" t="s">
        <v>1102</v>
      </c>
      <c r="K122" s="1"/>
      <c r="L122" s="23"/>
      <c r="M122"/>
      <c r="N122" s="277" t="s">
        <v>6252</v>
      </c>
      <c r="O122" s="277" t="s">
        <v>6263</v>
      </c>
      <c r="P122" s="277" t="s">
        <v>6275</v>
      </c>
      <c r="Q122" s="277" t="s">
        <v>6286</v>
      </c>
      <c r="R122" s="277" t="s">
        <v>6297</v>
      </c>
      <c r="S122" s="277" t="s">
        <v>6365</v>
      </c>
      <c r="T122" s="277" t="s">
        <v>6376</v>
      </c>
      <c r="AC122" s="113">
        <v>10</v>
      </c>
      <c r="AD122" s="114" t="s">
        <v>7516</v>
      </c>
      <c r="AE122" s="1">
        <v>24</v>
      </c>
      <c r="AF122" t="s">
        <v>7588</v>
      </c>
      <c r="AU122" s="32">
        <v>10</v>
      </c>
      <c r="AV122" s="32" t="s">
        <v>921</v>
      </c>
    </row>
    <row r="123" spans="1:48" ht="15.95" customHeight="1">
      <c r="A123">
        <v>14</v>
      </c>
      <c r="B123" s="43"/>
      <c r="D123" t="s">
        <v>1068</v>
      </c>
      <c r="E123" t="s">
        <v>1137</v>
      </c>
      <c r="F123" t="s">
        <v>1103</v>
      </c>
      <c r="K123" s="1"/>
      <c r="L123" s="23"/>
      <c r="M123"/>
      <c r="N123" s="277" t="s">
        <v>6253</v>
      </c>
      <c r="O123" s="277" t="s">
        <v>6264</v>
      </c>
      <c r="P123" s="277" t="s">
        <v>6276</v>
      </c>
      <c r="Q123" s="277" t="s">
        <v>6287</v>
      </c>
      <c r="R123" s="277" t="s">
        <v>6355</v>
      </c>
      <c r="S123" s="277" t="s">
        <v>6366</v>
      </c>
      <c r="T123" s="277" t="s">
        <v>6377</v>
      </c>
      <c r="AC123" s="113">
        <v>11</v>
      </c>
      <c r="AD123" s="114" t="s">
        <v>7517</v>
      </c>
      <c r="AE123" s="1">
        <v>25</v>
      </c>
      <c r="AF123" t="s">
        <v>7589</v>
      </c>
      <c r="AU123" s="32">
        <v>11</v>
      </c>
      <c r="AV123" s="32" t="s">
        <v>922</v>
      </c>
    </row>
    <row r="124" spans="1:48" ht="15.95" customHeight="1">
      <c r="A124">
        <v>15</v>
      </c>
      <c r="B124" s="43"/>
      <c r="D124" t="s">
        <v>1068</v>
      </c>
      <c r="E124" t="s">
        <v>1138</v>
      </c>
      <c r="F124" t="s">
        <v>1057</v>
      </c>
      <c r="K124" s="1"/>
      <c r="L124" s="23"/>
      <c r="M124"/>
      <c r="N124" s="277" t="s">
        <v>6254</v>
      </c>
      <c r="O124" s="277" t="s">
        <v>6265</v>
      </c>
      <c r="P124" s="277" t="s">
        <v>6277</v>
      </c>
      <c r="Q124" s="277" t="s">
        <v>6288</v>
      </c>
      <c r="R124" s="277" t="s">
        <v>6356</v>
      </c>
      <c r="S124" s="277" t="s">
        <v>6367</v>
      </c>
      <c r="T124" s="277" t="s">
        <v>6378</v>
      </c>
      <c r="AC124" s="113">
        <v>12</v>
      </c>
      <c r="AD124" s="114" t="s">
        <v>923</v>
      </c>
      <c r="AE124" s="1">
        <v>50</v>
      </c>
      <c r="AF124" t="s">
        <v>7589</v>
      </c>
      <c r="AU124" s="32">
        <v>12</v>
      </c>
      <c r="AV124" s="32" t="s">
        <v>923</v>
      </c>
    </row>
    <row r="125" spans="1:48" ht="15.95" customHeight="1">
      <c r="A125">
        <v>16</v>
      </c>
      <c r="B125" s="43"/>
      <c r="D125" t="s">
        <v>1068</v>
      </c>
      <c r="E125" t="s">
        <v>1095</v>
      </c>
      <c r="F125" t="s">
        <v>1058</v>
      </c>
      <c r="K125" s="1"/>
      <c r="L125" s="23"/>
      <c r="M125"/>
      <c r="N125" s="277" t="s">
        <v>6255</v>
      </c>
      <c r="O125" s="277" t="s">
        <v>6266</v>
      </c>
      <c r="P125" s="277" t="s">
        <v>6278</v>
      </c>
      <c r="Q125" s="277" t="s">
        <v>6289</v>
      </c>
      <c r="R125" s="277" t="s">
        <v>6357</v>
      </c>
      <c r="S125" s="277" t="s">
        <v>6368</v>
      </c>
      <c r="T125" s="277" t="s">
        <v>6379</v>
      </c>
      <c r="AC125" s="113"/>
      <c r="AD125" s="112" t="s">
        <v>7518</v>
      </c>
      <c r="AV125" s="111" t="s">
        <v>850</v>
      </c>
    </row>
    <row r="126" spans="1:48" ht="15.95" customHeight="1">
      <c r="A126">
        <v>17</v>
      </c>
      <c r="B126" s="43"/>
      <c r="D126" t="s">
        <v>1068</v>
      </c>
      <c r="E126" t="s">
        <v>1116</v>
      </c>
      <c r="F126" t="s">
        <v>1059</v>
      </c>
      <c r="K126" s="1"/>
      <c r="L126" s="23"/>
      <c r="M126"/>
      <c r="N126" s="277" t="s">
        <v>6256</v>
      </c>
      <c r="O126" s="277" t="s">
        <v>6267</v>
      </c>
      <c r="P126" s="277" t="s">
        <v>6279</v>
      </c>
      <c r="Q126" s="277" t="s">
        <v>6290</v>
      </c>
      <c r="R126" s="277" t="s">
        <v>6358</v>
      </c>
      <c r="S126" s="277" t="s">
        <v>6369</v>
      </c>
      <c r="T126" s="277" t="s">
        <v>6380</v>
      </c>
      <c r="AC126" s="113">
        <v>1</v>
      </c>
      <c r="AD126" s="114" t="s">
        <v>924</v>
      </c>
      <c r="AE126" s="1">
        <v>2</v>
      </c>
      <c r="AF126" t="s">
        <v>7590</v>
      </c>
      <c r="AU126" s="32">
        <v>1</v>
      </c>
      <c r="AV126" s="32" t="s">
        <v>924</v>
      </c>
    </row>
    <row r="127" spans="1:48" ht="15.95" customHeight="1">
      <c r="A127">
        <v>18</v>
      </c>
      <c r="B127" s="43"/>
      <c r="D127" t="s">
        <v>1068</v>
      </c>
      <c r="F127" t="s">
        <v>1060</v>
      </c>
      <c r="K127" s="1"/>
      <c r="L127" s="23"/>
      <c r="M127"/>
      <c r="N127" s="277" t="s">
        <v>6257</v>
      </c>
      <c r="O127" s="277" t="s">
        <v>6268</v>
      </c>
      <c r="P127" s="277" t="s">
        <v>6280</v>
      </c>
      <c r="Q127" s="277" t="s">
        <v>6291</v>
      </c>
      <c r="R127" s="277" t="s">
        <v>6359</v>
      </c>
      <c r="S127" s="277" t="s">
        <v>6370</v>
      </c>
      <c r="T127" s="277" t="s">
        <v>6381</v>
      </c>
      <c r="AC127" s="113">
        <v>2</v>
      </c>
      <c r="AD127" s="114" t="s">
        <v>7519</v>
      </c>
      <c r="AE127" s="1">
        <v>1</v>
      </c>
      <c r="AF127" t="s">
        <v>7591</v>
      </c>
      <c r="AU127" s="32">
        <v>2</v>
      </c>
      <c r="AV127" s="32" t="s">
        <v>925</v>
      </c>
    </row>
    <row r="128" spans="1:48" ht="15.95" customHeight="1">
      <c r="A128">
        <v>19</v>
      </c>
      <c r="B128" s="43"/>
      <c r="D128" t="s">
        <v>1068</v>
      </c>
      <c r="F128" t="s">
        <v>1061</v>
      </c>
      <c r="K128" s="1"/>
      <c r="L128" s="23"/>
      <c r="M128"/>
      <c r="N128" s="277" t="s">
        <v>6258</v>
      </c>
      <c r="O128" s="277" t="s">
        <v>6269</v>
      </c>
      <c r="P128" s="277" t="s">
        <v>6281</v>
      </c>
      <c r="Q128" s="277" t="s">
        <v>6292</v>
      </c>
      <c r="R128" s="277" t="s">
        <v>6360</v>
      </c>
      <c r="S128" s="277" t="s">
        <v>6371</v>
      </c>
      <c r="T128" s="277" t="s">
        <v>6382</v>
      </c>
      <c r="AC128" s="113">
        <v>3</v>
      </c>
      <c r="AD128" s="114" t="s">
        <v>7520</v>
      </c>
      <c r="AE128" s="1">
        <v>1</v>
      </c>
      <c r="AF128" t="s">
        <v>7591</v>
      </c>
      <c r="AU128" s="32">
        <v>3</v>
      </c>
      <c r="AV128" s="32" t="s">
        <v>926</v>
      </c>
    </row>
    <row r="129" spans="1:48" ht="15.95" customHeight="1">
      <c r="A129">
        <v>20</v>
      </c>
      <c r="B129" s="43"/>
      <c r="D129" t="s">
        <v>1068</v>
      </c>
      <c r="F129" t="s">
        <v>1104</v>
      </c>
      <c r="K129" s="1"/>
      <c r="L129" s="23"/>
      <c r="M129"/>
      <c r="N129" s="277"/>
      <c r="O129" s="277"/>
      <c r="AC129" s="113">
        <v>4</v>
      </c>
      <c r="AD129" s="114" t="s">
        <v>7521</v>
      </c>
      <c r="AE129" s="1">
        <v>1</v>
      </c>
      <c r="AF129" t="s">
        <v>7591</v>
      </c>
      <c r="AU129" s="32">
        <v>4</v>
      </c>
      <c r="AV129" s="32" t="s">
        <v>927</v>
      </c>
    </row>
    <row r="130" spans="1:48" ht="15.95" customHeight="1">
      <c r="A130">
        <v>21</v>
      </c>
      <c r="B130" s="44"/>
      <c r="C130" t="s">
        <v>1067</v>
      </c>
      <c r="F130" t="s">
        <v>1105</v>
      </c>
      <c r="K130" s="1"/>
      <c r="L130" s="23"/>
      <c r="M130"/>
      <c r="O130" s="277"/>
      <c r="AC130" s="113">
        <v>5</v>
      </c>
      <c r="AD130" s="114" t="s">
        <v>851</v>
      </c>
      <c r="AE130" s="1">
        <v>1</v>
      </c>
      <c r="AF130" t="s">
        <v>7591</v>
      </c>
      <c r="AU130" s="32">
        <v>5</v>
      </c>
      <c r="AV130" s="32" t="s">
        <v>851</v>
      </c>
    </row>
    <row r="131" spans="1:48" ht="15.95" customHeight="1">
      <c r="A131">
        <v>22</v>
      </c>
      <c r="B131" s="44"/>
      <c r="F131" t="s">
        <v>1062</v>
      </c>
      <c r="K131" s="1"/>
      <c r="L131" s="23"/>
      <c r="M131"/>
      <c r="O131" s="277"/>
      <c r="AC131" s="113">
        <v>6</v>
      </c>
      <c r="AD131" s="114" t="s">
        <v>852</v>
      </c>
      <c r="AE131" s="1">
        <v>1</v>
      </c>
      <c r="AF131" t="s">
        <v>7591</v>
      </c>
      <c r="AU131" s="32">
        <v>6</v>
      </c>
      <c r="AV131" s="32" t="s">
        <v>852</v>
      </c>
    </row>
    <row r="132" spans="1:48" ht="15.95" customHeight="1">
      <c r="A132">
        <v>23</v>
      </c>
      <c r="B132" s="44"/>
      <c r="F132" t="s">
        <v>1063</v>
      </c>
      <c r="K132" s="1"/>
      <c r="L132" s="23"/>
      <c r="M132"/>
      <c r="O132" s="277"/>
      <c r="AC132" s="113">
        <v>7</v>
      </c>
      <c r="AD132" s="114" t="s">
        <v>7522</v>
      </c>
      <c r="AE132" s="1">
        <v>1</v>
      </c>
      <c r="AF132" t="s">
        <v>7591</v>
      </c>
      <c r="AU132" s="32">
        <v>7</v>
      </c>
      <c r="AV132" s="32" t="s">
        <v>928</v>
      </c>
    </row>
    <row r="133" spans="1:48" ht="15.95" customHeight="1">
      <c r="A133">
        <v>24</v>
      </c>
      <c r="B133" s="44"/>
      <c r="F133" t="s">
        <v>1064</v>
      </c>
      <c r="K133" s="1"/>
      <c r="L133" s="23"/>
      <c r="M133"/>
      <c r="O133" s="277"/>
      <c r="AC133" s="113">
        <v>8</v>
      </c>
      <c r="AD133" s="114" t="s">
        <v>7523</v>
      </c>
      <c r="AE133" s="1">
        <v>1</v>
      </c>
      <c r="AF133" t="s">
        <v>7591</v>
      </c>
      <c r="AU133" s="32">
        <v>8</v>
      </c>
      <c r="AV133" s="32" t="s">
        <v>929</v>
      </c>
    </row>
    <row r="134" spans="1:48" ht="15.95" customHeight="1">
      <c r="A134">
        <v>25</v>
      </c>
      <c r="B134" s="44"/>
      <c r="F134" t="s">
        <v>1106</v>
      </c>
      <c r="K134" s="1"/>
      <c r="L134" s="23"/>
      <c r="M134"/>
      <c r="N134" t="s">
        <v>6553</v>
      </c>
      <c r="O134" s="277" t="s">
        <v>6554</v>
      </c>
      <c r="P134" t="s">
        <v>6555</v>
      </c>
      <c r="Q134" t="s">
        <v>6566</v>
      </c>
      <c r="AC134" s="113">
        <v>9</v>
      </c>
      <c r="AD134" s="114" t="s">
        <v>7524</v>
      </c>
      <c r="AE134" s="1">
        <v>1</v>
      </c>
      <c r="AF134" t="s">
        <v>7591</v>
      </c>
      <c r="AU134" s="32">
        <v>9</v>
      </c>
      <c r="AV134" s="32" t="s">
        <v>930</v>
      </c>
    </row>
    <row r="135" spans="1:48" ht="15.95" customHeight="1">
      <c r="A135">
        <v>26</v>
      </c>
      <c r="B135" s="44"/>
      <c r="F135" t="s">
        <v>1107</v>
      </c>
      <c r="K135" s="1"/>
      <c r="L135" s="23"/>
      <c r="M135"/>
      <c r="N135" t="s">
        <v>6577</v>
      </c>
      <c r="O135" s="277" t="s">
        <v>6586</v>
      </c>
      <c r="P135" t="s">
        <v>6556</v>
      </c>
      <c r="Q135" t="s">
        <v>6567</v>
      </c>
      <c r="AC135" s="113">
        <v>10</v>
      </c>
      <c r="AD135" s="114" t="s">
        <v>7525</v>
      </c>
      <c r="AE135" s="1">
        <v>1</v>
      </c>
      <c r="AF135" t="s">
        <v>7590</v>
      </c>
      <c r="AU135" s="32">
        <v>10</v>
      </c>
      <c r="AV135" s="32" t="s">
        <v>931</v>
      </c>
    </row>
    <row r="136" spans="1:48" ht="15.95" customHeight="1">
      <c r="A136">
        <v>27</v>
      </c>
      <c r="B136" s="44"/>
      <c r="F136" t="s">
        <v>1108</v>
      </c>
      <c r="K136" s="1"/>
      <c r="L136" s="23"/>
      <c r="M136"/>
      <c r="N136" t="s">
        <v>6578</v>
      </c>
      <c r="O136" s="277" t="s">
        <v>6587</v>
      </c>
      <c r="P136" t="s">
        <v>6557</v>
      </c>
      <c r="Q136" t="s">
        <v>6568</v>
      </c>
      <c r="AC136" s="113">
        <v>11</v>
      </c>
      <c r="AD136" s="114" t="s">
        <v>7526</v>
      </c>
      <c r="AE136" s="1">
        <v>1</v>
      </c>
      <c r="AF136" t="s">
        <v>7591</v>
      </c>
      <c r="AU136" s="32">
        <v>11</v>
      </c>
      <c r="AV136" s="32" t="s">
        <v>932</v>
      </c>
    </row>
    <row r="137" spans="1:48" ht="15.95" customHeight="1">
      <c r="A137">
        <v>28</v>
      </c>
      <c r="B137" s="44"/>
      <c r="F137" t="s">
        <v>1109</v>
      </c>
      <c r="K137" s="1"/>
      <c r="L137" s="23"/>
      <c r="M137"/>
      <c r="N137" t="s">
        <v>6579</v>
      </c>
      <c r="O137" s="277" t="s">
        <v>6588</v>
      </c>
      <c r="P137" t="s">
        <v>6558</v>
      </c>
      <c r="Q137" t="s">
        <v>6569</v>
      </c>
      <c r="AC137" s="113">
        <v>12</v>
      </c>
      <c r="AD137" s="114" t="s">
        <v>7527</v>
      </c>
      <c r="AE137" s="1">
        <v>1</v>
      </c>
      <c r="AF137" t="s">
        <v>7591</v>
      </c>
      <c r="AU137" s="32">
        <v>12</v>
      </c>
      <c r="AV137" s="32" t="s">
        <v>933</v>
      </c>
    </row>
    <row r="138" spans="1:48" ht="15.95" customHeight="1">
      <c r="A138">
        <v>29</v>
      </c>
      <c r="B138" s="44"/>
      <c r="F138" t="s">
        <v>1110</v>
      </c>
      <c r="K138" s="1"/>
      <c r="L138" s="23"/>
      <c r="M138"/>
      <c r="N138" t="s">
        <v>6580</v>
      </c>
      <c r="O138" s="277" t="s">
        <v>6589</v>
      </c>
      <c r="P138" t="s">
        <v>6559</v>
      </c>
      <c r="Q138" s="277" t="s">
        <v>6570</v>
      </c>
      <c r="AC138" s="113">
        <v>13</v>
      </c>
      <c r="AD138" s="114" t="s">
        <v>853</v>
      </c>
      <c r="AE138" s="1">
        <v>1</v>
      </c>
      <c r="AF138" t="s">
        <v>7591</v>
      </c>
      <c r="AU138" s="32">
        <v>13</v>
      </c>
      <c r="AV138" s="32" t="s">
        <v>853</v>
      </c>
    </row>
    <row r="139" spans="1:48" ht="15.95" customHeight="1">
      <c r="A139">
        <v>30</v>
      </c>
      <c r="B139" s="44"/>
      <c r="F139" t="s">
        <v>1065</v>
      </c>
      <c r="K139" s="1"/>
      <c r="L139" s="23"/>
      <c r="M139"/>
      <c r="N139" t="s">
        <v>6581</v>
      </c>
      <c r="O139" s="277" t="s">
        <v>6590</v>
      </c>
      <c r="P139" t="s">
        <v>6560</v>
      </c>
      <c r="Q139" s="277" t="s">
        <v>6571</v>
      </c>
      <c r="AC139" s="113">
        <v>14</v>
      </c>
      <c r="AD139" s="114" t="s">
        <v>7528</v>
      </c>
      <c r="AE139" s="1">
        <v>1</v>
      </c>
      <c r="AF139" t="s">
        <v>7591</v>
      </c>
      <c r="AU139" s="32">
        <v>14</v>
      </c>
      <c r="AV139" s="32" t="s">
        <v>934</v>
      </c>
    </row>
    <row r="140" spans="1:48" ht="15.95" customHeight="1">
      <c r="A140">
        <v>31</v>
      </c>
      <c r="B140" s="44"/>
      <c r="F140" t="s">
        <v>1112</v>
      </c>
      <c r="K140" s="1"/>
      <c r="L140" s="23"/>
      <c r="M140"/>
      <c r="N140" t="s">
        <v>6582</v>
      </c>
      <c r="O140" s="277" t="s">
        <v>6591</v>
      </c>
      <c r="P140" t="s">
        <v>6561</v>
      </c>
      <c r="Q140" s="277" t="s">
        <v>6572</v>
      </c>
      <c r="AC140" s="113">
        <v>15</v>
      </c>
      <c r="AD140" s="114" t="s">
        <v>854</v>
      </c>
      <c r="AE140" s="1">
        <v>1</v>
      </c>
      <c r="AF140" t="s">
        <v>7591</v>
      </c>
      <c r="AU140" s="32">
        <v>15</v>
      </c>
      <c r="AV140" s="32" t="s">
        <v>854</v>
      </c>
    </row>
    <row r="141" spans="1:48" ht="15.95" customHeight="1">
      <c r="A141">
        <v>32</v>
      </c>
      <c r="B141" s="44"/>
      <c r="F141" t="s">
        <v>1127</v>
      </c>
      <c r="K141" s="1"/>
      <c r="L141" s="23"/>
      <c r="M141"/>
      <c r="N141" t="s">
        <v>4573</v>
      </c>
      <c r="O141" s="277" t="s">
        <v>6592</v>
      </c>
      <c r="P141" t="s">
        <v>6562</v>
      </c>
      <c r="Q141" s="277" t="s">
        <v>6573</v>
      </c>
      <c r="AC141" s="113">
        <v>16</v>
      </c>
      <c r="AD141" s="114" t="s">
        <v>855</v>
      </c>
      <c r="AE141" s="1">
        <v>5</v>
      </c>
      <c r="AF141" t="s">
        <v>7592</v>
      </c>
      <c r="AU141" s="32">
        <v>16</v>
      </c>
      <c r="AV141" s="32" t="s">
        <v>855</v>
      </c>
    </row>
    <row r="142" spans="1:48" ht="15.95" customHeight="1">
      <c r="A142">
        <v>33</v>
      </c>
      <c r="B142" s="44"/>
      <c r="F142" t="s">
        <v>1125</v>
      </c>
      <c r="K142" s="1"/>
      <c r="L142" s="23"/>
      <c r="M142"/>
      <c r="N142" t="s">
        <v>6583</v>
      </c>
      <c r="O142" s="277" t="s">
        <v>6593</v>
      </c>
      <c r="P142" t="s">
        <v>6563</v>
      </c>
      <c r="Q142" s="277" t="s">
        <v>6574</v>
      </c>
      <c r="AC142" s="113">
        <v>17</v>
      </c>
      <c r="AD142" s="114" t="s">
        <v>856</v>
      </c>
      <c r="AE142" s="1">
        <v>3</v>
      </c>
      <c r="AF142" t="s">
        <v>7590</v>
      </c>
      <c r="AU142" s="32">
        <v>17</v>
      </c>
      <c r="AV142" s="32" t="s">
        <v>856</v>
      </c>
    </row>
    <row r="143" spans="1:48" ht="15.95" customHeight="1">
      <c r="A143">
        <v>34</v>
      </c>
      <c r="B143" s="44"/>
      <c r="F143" t="s">
        <v>1113</v>
      </c>
      <c r="K143" s="1"/>
      <c r="L143" s="23"/>
      <c r="M143"/>
      <c r="N143" t="s">
        <v>6584</v>
      </c>
      <c r="O143" s="277" t="s">
        <v>6594</v>
      </c>
      <c r="P143" t="s">
        <v>6564</v>
      </c>
      <c r="Q143" s="277" t="s">
        <v>6575</v>
      </c>
      <c r="AC143" s="113">
        <v>18</v>
      </c>
      <c r="AD143" s="114" t="s">
        <v>857</v>
      </c>
      <c r="AE143" s="1">
        <v>1</v>
      </c>
      <c r="AF143" t="s">
        <v>7593</v>
      </c>
      <c r="AU143" s="32">
        <v>18</v>
      </c>
      <c r="AV143" s="32" t="s">
        <v>857</v>
      </c>
    </row>
    <row r="144" spans="1:48" ht="15.95" customHeight="1">
      <c r="A144">
        <v>35</v>
      </c>
      <c r="B144" s="44"/>
      <c r="F144" t="s">
        <v>1114</v>
      </c>
      <c r="K144" s="1"/>
      <c r="L144" s="23"/>
      <c r="M144"/>
      <c r="N144" t="s">
        <v>6585</v>
      </c>
      <c r="O144" s="277" t="s">
        <v>6595</v>
      </c>
      <c r="P144" t="s">
        <v>6565</v>
      </c>
      <c r="Q144" s="277" t="s">
        <v>6576</v>
      </c>
      <c r="AC144" s="113">
        <v>19</v>
      </c>
      <c r="AD144" s="114" t="s">
        <v>858</v>
      </c>
      <c r="AE144" s="1">
        <v>1</v>
      </c>
      <c r="AF144" t="s">
        <v>7591</v>
      </c>
      <c r="AU144" s="32">
        <v>19</v>
      </c>
      <c r="AV144" s="32" t="s">
        <v>858</v>
      </c>
    </row>
    <row r="145" spans="1:48" ht="15.95" customHeight="1">
      <c r="A145">
        <v>36</v>
      </c>
      <c r="B145" s="44"/>
      <c r="F145" t="s">
        <v>1115</v>
      </c>
      <c r="K145" s="1"/>
      <c r="L145" s="23"/>
      <c r="M145"/>
      <c r="O145" s="277"/>
      <c r="AC145" s="113">
        <v>20</v>
      </c>
      <c r="AD145" s="114" t="s">
        <v>7529</v>
      </c>
      <c r="AE145" s="1">
        <v>1</v>
      </c>
      <c r="AF145" t="s">
        <v>7591</v>
      </c>
      <c r="AU145" s="32">
        <v>20</v>
      </c>
      <c r="AV145" s="32" t="s">
        <v>935</v>
      </c>
    </row>
    <row r="146" spans="1:48" ht="15.95" customHeight="1">
      <c r="A146">
        <v>37</v>
      </c>
      <c r="B146" s="44"/>
      <c r="F146" t="s">
        <v>1124</v>
      </c>
      <c r="K146" s="1"/>
      <c r="L146" s="23"/>
      <c r="M146"/>
      <c r="O146" s="277"/>
      <c r="AC146" s="113">
        <v>21</v>
      </c>
      <c r="AD146" s="114" t="s">
        <v>7530</v>
      </c>
      <c r="AE146" s="1">
        <v>1</v>
      </c>
      <c r="AF146" t="s">
        <v>7591</v>
      </c>
      <c r="AU146" s="32">
        <v>21</v>
      </c>
      <c r="AV146" s="32" t="s">
        <v>936</v>
      </c>
    </row>
    <row r="147" spans="1:48" ht="15.95" customHeight="1">
      <c r="A147">
        <v>38</v>
      </c>
      <c r="B147" s="44"/>
      <c r="F147" t="s">
        <v>1123</v>
      </c>
      <c r="K147" s="1"/>
      <c r="L147" s="23"/>
      <c r="M147"/>
      <c r="O147" s="277"/>
      <c r="AC147" s="113">
        <v>22</v>
      </c>
      <c r="AD147" s="114" t="s">
        <v>7531</v>
      </c>
      <c r="AE147" s="1">
        <v>1</v>
      </c>
      <c r="AF147" t="s">
        <v>7591</v>
      </c>
      <c r="AU147" s="32">
        <v>22</v>
      </c>
      <c r="AV147" s="32" t="s">
        <v>937</v>
      </c>
    </row>
    <row r="148" spans="1:48" ht="15.95" customHeight="1">
      <c r="A148">
        <v>39</v>
      </c>
      <c r="B148" s="44"/>
      <c r="F148" t="s">
        <v>1066</v>
      </c>
      <c r="K148" s="1"/>
      <c r="L148" s="23"/>
      <c r="M148"/>
      <c r="O148" s="277"/>
      <c r="AC148" s="113">
        <v>23</v>
      </c>
      <c r="AD148" s="114" t="s">
        <v>859</v>
      </c>
      <c r="AE148" s="1">
        <v>2</v>
      </c>
      <c r="AF148" t="s">
        <v>7593</v>
      </c>
      <c r="AU148" s="32">
        <v>23</v>
      </c>
      <c r="AV148" s="32" t="s">
        <v>859</v>
      </c>
    </row>
    <row r="149" spans="1:48" ht="15.95" customHeight="1">
      <c r="A149">
        <v>40</v>
      </c>
      <c r="B149" s="44"/>
      <c r="F149" t="s">
        <v>1122</v>
      </c>
      <c r="K149" s="1"/>
      <c r="L149" s="23"/>
      <c r="M149"/>
      <c r="O149" s="277"/>
      <c r="AC149" s="113">
        <v>24</v>
      </c>
      <c r="AD149" s="114" t="s">
        <v>7532</v>
      </c>
      <c r="AE149" s="1">
        <v>1</v>
      </c>
      <c r="AF149" t="s">
        <v>7591</v>
      </c>
      <c r="AU149" s="32">
        <v>24</v>
      </c>
      <c r="AV149" s="32" t="s">
        <v>938</v>
      </c>
    </row>
    <row r="150" spans="1:48" ht="15.95" customHeight="1">
      <c r="N150" t="s">
        <v>6596</v>
      </c>
      <c r="O150" s="277" t="s">
        <v>6606</v>
      </c>
      <c r="P150" s="277" t="s">
        <v>6626</v>
      </c>
      <c r="Q150" t="s">
        <v>6721</v>
      </c>
      <c r="R150" t="s">
        <v>6742</v>
      </c>
      <c r="S150" t="s">
        <v>6761</v>
      </c>
      <c r="T150" t="s">
        <v>503</v>
      </c>
      <c r="U150" t="s">
        <v>6763</v>
      </c>
      <c r="AC150" s="113">
        <v>25</v>
      </c>
      <c r="AD150" s="114" t="s">
        <v>7533</v>
      </c>
      <c r="AE150" s="1">
        <v>1</v>
      </c>
      <c r="AF150" t="s">
        <v>7591</v>
      </c>
      <c r="AU150" s="32">
        <v>25</v>
      </c>
      <c r="AV150" s="32" t="s">
        <v>939</v>
      </c>
    </row>
    <row r="151" spans="1:48" ht="15.95" customHeight="1">
      <c r="N151" t="s">
        <v>6597</v>
      </c>
      <c r="O151" s="277" t="s">
        <v>6607</v>
      </c>
      <c r="P151" s="277" t="s">
        <v>6627</v>
      </c>
      <c r="Q151" t="s">
        <v>6722</v>
      </c>
      <c r="R151" t="s">
        <v>6743</v>
      </c>
      <c r="S151" t="s">
        <v>6790</v>
      </c>
      <c r="T151" t="str">
        <f ca="1">CHOOSE(RANDBETWEEN(1,6),"the captain of the guard","an interested archivist","a visiting noble"," a worried local craftsman","the parent of a missing girl","a traveling merchant")</f>
        <v>a visiting noble</v>
      </c>
      <c r="U151" t="s">
        <v>6764</v>
      </c>
      <c r="AC151" s="113">
        <v>26</v>
      </c>
      <c r="AD151" s="114" t="s">
        <v>860</v>
      </c>
      <c r="AE151" s="1">
        <v>3</v>
      </c>
      <c r="AF151" t="s">
        <v>7593</v>
      </c>
      <c r="AU151" s="32">
        <v>26</v>
      </c>
      <c r="AV151" s="32" t="s">
        <v>860</v>
      </c>
    </row>
    <row r="152" spans="1:48" ht="15.95" customHeight="1">
      <c r="N152" t="s">
        <v>6598</v>
      </c>
      <c r="O152" s="277" t="s">
        <v>6608</v>
      </c>
      <c r="P152" s="277" t="s">
        <v>6628</v>
      </c>
      <c r="Q152" t="s">
        <v>6723</v>
      </c>
      <c r="R152" t="s">
        <v>6744</v>
      </c>
      <c r="S152" t="s">
        <v>6791</v>
      </c>
      <c r="T152" t="str">
        <f ca="1">CHOOSE(RANDBETWEEN(1,6),"the local ruler","a priest at a local temple"," a strange man at the inn","a collector of sorts","the child","the blacksmith")</f>
        <v>a collector of sorts</v>
      </c>
      <c r="U152" t="s">
        <v>6765</v>
      </c>
      <c r="AC152" s="113">
        <v>27</v>
      </c>
      <c r="AD152" s="114" t="s">
        <v>7534</v>
      </c>
      <c r="AE152" s="1">
        <v>1</v>
      </c>
      <c r="AF152" t="s">
        <v>7591</v>
      </c>
      <c r="AU152" s="32">
        <v>27</v>
      </c>
      <c r="AV152" s="32" t="s">
        <v>940</v>
      </c>
    </row>
    <row r="153" spans="1:48" ht="15.95" customHeight="1">
      <c r="N153" t="s">
        <v>6599</v>
      </c>
      <c r="O153" s="277" t="s">
        <v>6609</v>
      </c>
      <c r="P153" s="277" t="s">
        <v>6629</v>
      </c>
      <c r="Q153" t="s">
        <v>6724</v>
      </c>
      <c r="R153" t="s">
        <v>6745</v>
      </c>
      <c r="S153" t="s">
        <v>6785</v>
      </c>
      <c r="T153" t="str">
        <f ca="1">CHOOSE(RANDBETWEEN(1,6),"a local noble","a man at the court of the local lord","the gravedigger","a local shopkeeper","a local beggar","a random hobo")</f>
        <v>a local beggar</v>
      </c>
      <c r="U153" t="s">
        <v>6766</v>
      </c>
      <c r="AC153" s="113">
        <v>28</v>
      </c>
      <c r="AD153" s="114" t="s">
        <v>7535</v>
      </c>
      <c r="AE153" s="1">
        <v>1</v>
      </c>
      <c r="AF153" t="s">
        <v>7591</v>
      </c>
      <c r="AU153" s="32">
        <v>28</v>
      </c>
      <c r="AV153" s="32" t="s">
        <v>941</v>
      </c>
    </row>
    <row r="154" spans="1:48" ht="15.95" customHeight="1">
      <c r="N154" t="s">
        <v>6600</v>
      </c>
      <c r="O154" s="277" t="s">
        <v>6610</v>
      </c>
      <c r="P154" s="277" t="s">
        <v>6630</v>
      </c>
      <c r="Q154" t="s">
        <v>6725</v>
      </c>
      <c r="R154" t="s">
        <v>6746</v>
      </c>
      <c r="S154" t="s">
        <v>6786</v>
      </c>
      <c r="T154" t="str">
        <f ca="1">CHOOSE(RANDBETWEEN(1,6),"another adventurer","farm boy at a nearby estate","the sheepherder","the librarian","the biologist","a passing traveler")</f>
        <v>the biologist</v>
      </c>
      <c r="U154" t="s">
        <v>6767</v>
      </c>
      <c r="AC154" s="113">
        <v>29</v>
      </c>
      <c r="AD154" s="114" t="s">
        <v>7536</v>
      </c>
      <c r="AE154" s="1">
        <v>1</v>
      </c>
      <c r="AF154" t="s">
        <v>7591</v>
      </c>
      <c r="AU154" s="32">
        <v>29</v>
      </c>
      <c r="AV154" s="32" t="s">
        <v>942</v>
      </c>
    </row>
    <row r="155" spans="1:48" ht="15.95" customHeight="1">
      <c r="N155" t="s">
        <v>6601</v>
      </c>
      <c r="O155" s="277" t="s">
        <v>5903</v>
      </c>
      <c r="P155" s="277" t="s">
        <v>6631</v>
      </c>
      <c r="Q155" t="s">
        <v>6726</v>
      </c>
      <c r="R155" t="s">
        <v>6747</v>
      </c>
      <c r="S155" t="s">
        <v>6792</v>
      </c>
      <c r="T155" t="str">
        <f ca="1">CHOOSE(RANDBETWEEN(1,6),"a breeder of rare birds","a local mason","a famous artist","a failed local artist","an old tinkerer","a hooded stranger")</f>
        <v>a breeder of rare birds</v>
      </c>
      <c r="U155" t="s">
        <v>6768</v>
      </c>
      <c r="AC155" s="113">
        <v>30</v>
      </c>
      <c r="AD155" s="114" t="s">
        <v>7537</v>
      </c>
      <c r="AE155" s="1">
        <v>1</v>
      </c>
      <c r="AF155" t="s">
        <v>7591</v>
      </c>
      <c r="AU155" s="32">
        <v>30</v>
      </c>
      <c r="AV155" s="32" t="s">
        <v>943</v>
      </c>
    </row>
    <row r="156" spans="1:48" ht="15.95" customHeight="1">
      <c r="N156" t="s">
        <v>6602</v>
      </c>
      <c r="O156" s="277" t="s">
        <v>6611</v>
      </c>
      <c r="P156" s="277" t="s">
        <v>6632</v>
      </c>
      <c r="Q156" t="s">
        <v>6727</v>
      </c>
      <c r="R156" t="s">
        <v>6748</v>
      </c>
      <c r="S156" t="s">
        <v>6793</v>
      </c>
      <c r="T156" t="str">
        <f ca="1">CHOOSE(RANDBETWEEN(1,6),"a stranger whose name is always forgotten","a stranger without a name","a stranger who only communicates in writing","a stranger who just leaves a letter on a PC’s pillow","an old friend of a PC","an eerie faceless person")</f>
        <v>a stranger whose name is always forgotten</v>
      </c>
      <c r="U156" t="s">
        <v>6769</v>
      </c>
      <c r="AC156" s="113">
        <v>31</v>
      </c>
      <c r="AD156" s="114" t="s">
        <v>7538</v>
      </c>
      <c r="AE156" s="1">
        <v>1</v>
      </c>
      <c r="AF156" t="s">
        <v>7591</v>
      </c>
      <c r="AU156" s="32">
        <v>31</v>
      </c>
      <c r="AV156" s="32" t="s">
        <v>944</v>
      </c>
    </row>
    <row r="157" spans="1:48" ht="15.95" customHeight="1">
      <c r="N157" t="s">
        <v>6603</v>
      </c>
      <c r="O157" s="277" t="s">
        <v>6612</v>
      </c>
      <c r="P157" s="277" t="s">
        <v>6633</v>
      </c>
      <c r="Q157" t="s">
        <v>6728</v>
      </c>
      <c r="R157" t="s">
        <v>6749</v>
      </c>
      <c r="S157" t="s">
        <v>6787</v>
      </c>
      <c r="U157" t="s">
        <v>6770</v>
      </c>
      <c r="AC157" s="113">
        <v>32</v>
      </c>
      <c r="AD157" s="114" t="s">
        <v>861</v>
      </c>
      <c r="AE157" s="1">
        <v>1</v>
      </c>
      <c r="AF157" t="s">
        <v>7591</v>
      </c>
      <c r="AU157" s="32">
        <v>32</v>
      </c>
      <c r="AV157" s="32" t="s">
        <v>861</v>
      </c>
    </row>
    <row r="158" spans="1:48" ht="15.95" customHeight="1">
      <c r="N158" t="s">
        <v>6604</v>
      </c>
      <c r="O158" s="277" t="s">
        <v>6613</v>
      </c>
      <c r="P158" s="277" t="s">
        <v>6634</v>
      </c>
      <c r="Q158" t="s">
        <v>6729</v>
      </c>
      <c r="R158" t="s">
        <v>6750</v>
      </c>
      <c r="S158" t="s">
        <v>6788</v>
      </c>
      <c r="U158" t="s">
        <v>6771</v>
      </c>
      <c r="AC158" s="113">
        <v>33</v>
      </c>
      <c r="AD158" s="114" t="s">
        <v>7539</v>
      </c>
      <c r="AE158" s="1">
        <v>1</v>
      </c>
      <c r="AF158" t="s">
        <v>7591</v>
      </c>
      <c r="AU158" s="32">
        <v>33</v>
      </c>
      <c r="AV158" s="32" t="s">
        <v>945</v>
      </c>
    </row>
    <row r="159" spans="1:48" ht="15.95" customHeight="1">
      <c r="N159" t="s">
        <v>6605</v>
      </c>
      <c r="O159" s="277" t="s">
        <v>6614</v>
      </c>
      <c r="P159" s="277" t="s">
        <v>6635</v>
      </c>
      <c r="Q159" t="s">
        <v>6730</v>
      </c>
      <c r="R159" t="s">
        <v>6751</v>
      </c>
      <c r="S159" t="s">
        <v>6789</v>
      </c>
      <c r="U159" t="s">
        <v>6772</v>
      </c>
      <c r="AC159" s="113">
        <v>34</v>
      </c>
      <c r="AD159" s="114" t="s">
        <v>862</v>
      </c>
      <c r="AE159" s="1">
        <v>1</v>
      </c>
      <c r="AF159" t="s">
        <v>7591</v>
      </c>
      <c r="AU159" s="32">
        <v>34</v>
      </c>
      <c r="AV159" s="32" t="s">
        <v>862</v>
      </c>
    </row>
    <row r="160" spans="1:48" ht="15.95" customHeight="1">
      <c r="O160" s="277" t="s">
        <v>6615</v>
      </c>
      <c r="P160" s="277" t="s">
        <v>6636</v>
      </c>
      <c r="Q160" t="s">
        <v>6731</v>
      </c>
      <c r="R160" t="s">
        <v>6752</v>
      </c>
      <c r="S160" t="s">
        <v>6762</v>
      </c>
      <c r="U160" t="s">
        <v>6773</v>
      </c>
      <c r="AC160" s="113">
        <v>35</v>
      </c>
      <c r="AD160" s="114" t="s">
        <v>7540</v>
      </c>
      <c r="AE160" s="1">
        <v>1</v>
      </c>
      <c r="AF160" t="s">
        <v>7591</v>
      </c>
      <c r="AU160" s="32">
        <v>35</v>
      </c>
      <c r="AV160" s="32" t="s">
        <v>946</v>
      </c>
    </row>
    <row r="161" spans="15:48" ht="15.95" customHeight="1">
      <c r="O161" s="277" t="s">
        <v>6616</v>
      </c>
      <c r="P161" t="s">
        <v>6637</v>
      </c>
      <c r="Q161" t="s">
        <v>6732</v>
      </c>
      <c r="R161" t="s">
        <v>6753</v>
      </c>
      <c r="U161" t="s">
        <v>6774</v>
      </c>
      <c r="AC161" s="113">
        <v>36</v>
      </c>
      <c r="AD161" s="114" t="s">
        <v>863</v>
      </c>
      <c r="AE161" s="1">
        <v>1</v>
      </c>
      <c r="AF161" t="s">
        <v>7591</v>
      </c>
      <c r="AU161" s="32">
        <v>36</v>
      </c>
      <c r="AV161" s="32" t="s">
        <v>863</v>
      </c>
    </row>
    <row r="162" spans="15:48" ht="15.95" customHeight="1">
      <c r="O162" s="277" t="s">
        <v>6617</v>
      </c>
      <c r="P162" t="s">
        <v>6638</v>
      </c>
      <c r="Q162" t="s">
        <v>6733</v>
      </c>
      <c r="R162" t="s">
        <v>6754</v>
      </c>
      <c r="U162" t="s">
        <v>6775</v>
      </c>
      <c r="AC162" s="113">
        <v>37</v>
      </c>
      <c r="AD162" s="114" t="s">
        <v>7541</v>
      </c>
      <c r="AE162" s="1">
        <v>1</v>
      </c>
      <c r="AF162" t="s">
        <v>7591</v>
      </c>
      <c r="AU162" s="32">
        <v>37</v>
      </c>
      <c r="AV162" s="32" t="s">
        <v>947</v>
      </c>
    </row>
    <row r="163" spans="15:48" ht="15.95" customHeight="1">
      <c r="O163" s="277" t="s">
        <v>6618</v>
      </c>
      <c r="P163" t="s">
        <v>6639</v>
      </c>
      <c r="Q163" t="s">
        <v>6734</v>
      </c>
      <c r="R163" t="s">
        <v>6755</v>
      </c>
      <c r="U163" t="s">
        <v>6776</v>
      </c>
      <c r="AC163" s="113">
        <v>38</v>
      </c>
      <c r="AD163" s="114" t="s">
        <v>7542</v>
      </c>
      <c r="AE163" s="1">
        <v>1</v>
      </c>
      <c r="AF163" t="s">
        <v>7591</v>
      </c>
      <c r="AU163" s="32">
        <v>38</v>
      </c>
      <c r="AV163" s="32" t="s">
        <v>948</v>
      </c>
    </row>
    <row r="164" spans="15:48" ht="15.95" customHeight="1">
      <c r="O164" s="277" t="s">
        <v>6619</v>
      </c>
      <c r="P164" t="s">
        <v>6640</v>
      </c>
      <c r="Q164" t="s">
        <v>6735</v>
      </c>
      <c r="R164" t="s">
        <v>6457</v>
      </c>
      <c r="U164" t="s">
        <v>6777</v>
      </c>
      <c r="AC164" s="113">
        <v>39</v>
      </c>
      <c r="AD164" s="114" t="s">
        <v>7543</v>
      </c>
      <c r="AE164" s="1">
        <v>1</v>
      </c>
      <c r="AF164" t="s">
        <v>7593</v>
      </c>
      <c r="AU164" s="32">
        <v>39</v>
      </c>
      <c r="AV164" s="32" t="s">
        <v>949</v>
      </c>
    </row>
    <row r="165" spans="15:48" ht="15.95" customHeight="1">
      <c r="O165" s="277" t="s">
        <v>6620</v>
      </c>
      <c r="P165" t="s">
        <v>6641</v>
      </c>
      <c r="Q165" t="s">
        <v>6736</v>
      </c>
      <c r="R165" t="s">
        <v>6756</v>
      </c>
      <c r="U165" t="s">
        <v>6778</v>
      </c>
      <c r="AC165" s="113">
        <v>40</v>
      </c>
      <c r="AD165" s="114" t="s">
        <v>864</v>
      </c>
      <c r="AE165" s="1">
        <v>1</v>
      </c>
      <c r="AF165" t="s">
        <v>7593</v>
      </c>
      <c r="AU165" s="32">
        <v>40</v>
      </c>
      <c r="AV165" s="32" t="s">
        <v>864</v>
      </c>
    </row>
    <row r="166" spans="15:48" ht="15.95" customHeight="1">
      <c r="O166" s="277" t="s">
        <v>6621</v>
      </c>
      <c r="P166" t="s">
        <v>5934</v>
      </c>
      <c r="Q166" t="s">
        <v>6737</v>
      </c>
      <c r="R166" t="s">
        <v>6757</v>
      </c>
      <c r="U166" t="s">
        <v>6779</v>
      </c>
      <c r="AC166" s="113">
        <v>41</v>
      </c>
      <c r="AD166" s="114" t="s">
        <v>865</v>
      </c>
      <c r="AE166" s="1">
        <v>2</v>
      </c>
      <c r="AF166" t="s">
        <v>7590</v>
      </c>
      <c r="AU166" s="32">
        <v>41</v>
      </c>
      <c r="AV166" s="32" t="s">
        <v>865</v>
      </c>
    </row>
    <row r="167" spans="15:48" ht="15.95" customHeight="1">
      <c r="O167" s="277" t="s">
        <v>6622</v>
      </c>
      <c r="P167" t="s">
        <v>6642</v>
      </c>
      <c r="Q167" t="s">
        <v>6738</v>
      </c>
      <c r="R167" t="s">
        <v>6758</v>
      </c>
      <c r="U167" t="s">
        <v>6780</v>
      </c>
      <c r="AC167" s="113">
        <v>42</v>
      </c>
      <c r="AD167" s="114" t="s">
        <v>7544</v>
      </c>
      <c r="AE167" s="1">
        <v>1</v>
      </c>
      <c r="AF167" t="s">
        <v>7591</v>
      </c>
      <c r="AU167" s="32">
        <v>42</v>
      </c>
      <c r="AV167" s="32" t="s">
        <v>950</v>
      </c>
    </row>
    <row r="168" spans="15:48" ht="15.95" customHeight="1">
      <c r="O168" s="277" t="s">
        <v>6623</v>
      </c>
      <c r="P168" t="s">
        <v>6643</v>
      </c>
      <c r="Q168" t="s">
        <v>6739</v>
      </c>
      <c r="R168" t="s">
        <v>6759</v>
      </c>
      <c r="U168" t="s">
        <v>6781</v>
      </c>
      <c r="AC168" s="113">
        <v>43</v>
      </c>
      <c r="AD168" s="114" t="s">
        <v>7545</v>
      </c>
      <c r="AE168" s="1">
        <v>1</v>
      </c>
      <c r="AF168" t="s">
        <v>7591</v>
      </c>
      <c r="AU168" s="32">
        <v>43</v>
      </c>
      <c r="AV168" s="32" t="s">
        <v>951</v>
      </c>
    </row>
    <row r="169" spans="15:48" ht="15.95" customHeight="1">
      <c r="O169" s="277" t="s">
        <v>6624</v>
      </c>
      <c r="P169" t="s">
        <v>6644</v>
      </c>
      <c r="Q169" t="s">
        <v>6740</v>
      </c>
      <c r="R169" t="s">
        <v>6760</v>
      </c>
      <c r="U169" t="s">
        <v>6782</v>
      </c>
      <c r="AC169" s="113">
        <v>44</v>
      </c>
      <c r="AD169" s="114" t="s">
        <v>866</v>
      </c>
      <c r="AE169" s="1">
        <v>1</v>
      </c>
      <c r="AF169" t="s">
        <v>7590</v>
      </c>
      <c r="AU169" s="32">
        <v>44</v>
      </c>
      <c r="AV169" s="32" t="s">
        <v>866</v>
      </c>
    </row>
    <row r="170" spans="15:48" ht="15.95" customHeight="1">
      <c r="O170" s="277" t="s">
        <v>6625</v>
      </c>
      <c r="P170" t="s">
        <v>6645</v>
      </c>
      <c r="Q170" t="s">
        <v>6741</v>
      </c>
      <c r="R170" t="s">
        <v>6794</v>
      </c>
      <c r="U170" t="s">
        <v>6783</v>
      </c>
      <c r="AC170" s="113">
        <v>45</v>
      </c>
      <c r="AD170" s="114" t="s">
        <v>867</v>
      </c>
      <c r="AE170" s="1">
        <v>1</v>
      </c>
      <c r="AF170" t="s">
        <v>7590</v>
      </c>
      <c r="AU170" s="32">
        <v>45</v>
      </c>
      <c r="AV170" s="32" t="s">
        <v>867</v>
      </c>
    </row>
    <row r="171" spans="15:48" ht="15.95" customHeight="1">
      <c r="O171" s="277"/>
      <c r="P171" t="s">
        <v>6646</v>
      </c>
      <c r="AC171" s="113">
        <v>46</v>
      </c>
      <c r="AD171" s="114" t="s">
        <v>868</v>
      </c>
      <c r="AE171" s="1">
        <v>1</v>
      </c>
      <c r="AF171" t="s">
        <v>7591</v>
      </c>
      <c r="AU171" s="32">
        <v>46</v>
      </c>
      <c r="AV171" s="32" t="s">
        <v>868</v>
      </c>
    </row>
    <row r="172" spans="15:48" ht="15.95" customHeight="1">
      <c r="O172" s="277"/>
      <c r="P172" t="s">
        <v>6647</v>
      </c>
      <c r="AC172" s="113">
        <v>47</v>
      </c>
      <c r="AD172" s="114" t="s">
        <v>7546</v>
      </c>
      <c r="AE172" s="1">
        <v>1</v>
      </c>
      <c r="AF172" t="s">
        <v>7590</v>
      </c>
      <c r="AU172" s="32">
        <v>47</v>
      </c>
      <c r="AV172" s="32" t="s">
        <v>952</v>
      </c>
    </row>
    <row r="173" spans="15:48" ht="15.95" customHeight="1">
      <c r="O173" s="277"/>
      <c r="P173" t="s">
        <v>6648</v>
      </c>
      <c r="AC173" s="113">
        <v>48</v>
      </c>
      <c r="AD173" s="114" t="s">
        <v>7547</v>
      </c>
      <c r="AE173" s="1">
        <v>1</v>
      </c>
      <c r="AF173" t="s">
        <v>7591</v>
      </c>
      <c r="AU173" s="32">
        <v>48</v>
      </c>
      <c r="AV173" s="32" t="s">
        <v>953</v>
      </c>
    </row>
    <row r="174" spans="15:48" ht="15.95" customHeight="1">
      <c r="O174" s="277"/>
      <c r="P174" t="s">
        <v>6649</v>
      </c>
      <c r="AC174" s="113">
        <v>49</v>
      </c>
      <c r="AD174" s="114" t="s">
        <v>7548</v>
      </c>
      <c r="AE174" s="1">
        <v>1</v>
      </c>
      <c r="AF174" t="s">
        <v>7591</v>
      </c>
      <c r="AU174" s="32">
        <v>49</v>
      </c>
      <c r="AV174" s="32" t="s">
        <v>954</v>
      </c>
    </row>
    <row r="175" spans="15:48" ht="15.95" customHeight="1">
      <c r="O175" s="277"/>
      <c r="P175" t="s">
        <v>6650</v>
      </c>
      <c r="AC175" s="113">
        <v>50</v>
      </c>
      <c r="AD175" s="114" t="s">
        <v>869</v>
      </c>
      <c r="AE175" s="1">
        <v>1</v>
      </c>
      <c r="AF175" t="s">
        <v>7591</v>
      </c>
      <c r="AU175" s="32">
        <v>50</v>
      </c>
      <c r="AV175" s="32" t="s">
        <v>869</v>
      </c>
    </row>
    <row r="176" spans="15:48" ht="15.95" customHeight="1">
      <c r="O176" s="277"/>
      <c r="P176" t="s">
        <v>6651</v>
      </c>
      <c r="AC176" s="113">
        <v>51</v>
      </c>
      <c r="AD176" s="114" t="s">
        <v>869</v>
      </c>
      <c r="AE176" s="1">
        <v>1</v>
      </c>
      <c r="AF176" t="s">
        <v>7591</v>
      </c>
      <c r="AU176" s="32">
        <v>51</v>
      </c>
      <c r="AV176" s="32" t="s">
        <v>955</v>
      </c>
    </row>
    <row r="177" spans="14:48" ht="15.95" customHeight="1">
      <c r="O177" s="277"/>
      <c r="P177" t="s">
        <v>6652</v>
      </c>
      <c r="AC177" s="113">
        <v>52</v>
      </c>
      <c r="AD177" s="114" t="s">
        <v>870</v>
      </c>
      <c r="AE177" s="1">
        <v>4</v>
      </c>
      <c r="AF177" t="s">
        <v>7593</v>
      </c>
      <c r="AU177" s="32">
        <v>52</v>
      </c>
      <c r="AV177" s="32" t="s">
        <v>870</v>
      </c>
    </row>
    <row r="178" spans="14:48" ht="15.95" customHeight="1">
      <c r="O178" s="277"/>
      <c r="P178" t="s">
        <v>6653</v>
      </c>
      <c r="AC178" s="113">
        <v>53</v>
      </c>
      <c r="AD178" s="114" t="s">
        <v>7549</v>
      </c>
      <c r="AE178" s="1">
        <v>1</v>
      </c>
      <c r="AF178" t="s">
        <v>7591</v>
      </c>
      <c r="AU178" s="32">
        <v>53</v>
      </c>
      <c r="AV178" s="32" t="s">
        <v>956</v>
      </c>
    </row>
    <row r="179" spans="14:48" ht="15.95" customHeight="1">
      <c r="O179" s="277"/>
      <c r="P179" t="s">
        <v>6654</v>
      </c>
      <c r="AC179" s="113">
        <v>54</v>
      </c>
      <c r="AD179" s="114" t="s">
        <v>7550</v>
      </c>
      <c r="AE179" s="1">
        <v>1</v>
      </c>
      <c r="AF179" t="s">
        <v>7591</v>
      </c>
      <c r="AU179" s="32">
        <v>54</v>
      </c>
      <c r="AV179" s="32" t="s">
        <v>957</v>
      </c>
    </row>
    <row r="180" spans="14:48" ht="15.95" customHeight="1">
      <c r="O180" s="277"/>
      <c r="P180" t="s">
        <v>6655</v>
      </c>
      <c r="AC180" s="113">
        <v>55</v>
      </c>
      <c r="AD180" s="114" t="s">
        <v>871</v>
      </c>
      <c r="AE180" s="1">
        <v>1</v>
      </c>
      <c r="AF180" t="s">
        <v>7591</v>
      </c>
      <c r="AU180" s="32">
        <v>55</v>
      </c>
      <c r="AV180" s="32" t="s">
        <v>871</v>
      </c>
    </row>
    <row r="181" spans="14:48" ht="15.95" customHeight="1">
      <c r="O181" s="277"/>
      <c r="P181" t="s">
        <v>6656</v>
      </c>
      <c r="AC181" s="113">
        <v>56</v>
      </c>
      <c r="AD181" s="114" t="s">
        <v>872</v>
      </c>
      <c r="AE181" s="1">
        <v>1</v>
      </c>
      <c r="AF181" t="s">
        <v>7590</v>
      </c>
      <c r="AU181" s="32">
        <v>56</v>
      </c>
      <c r="AV181" s="32" t="s">
        <v>872</v>
      </c>
    </row>
    <row r="182" spans="14:48" ht="15.95" customHeight="1">
      <c r="N182" s="277"/>
      <c r="O182" s="277"/>
      <c r="P182" t="s">
        <v>6657</v>
      </c>
      <c r="AC182" s="113">
        <v>57</v>
      </c>
      <c r="AD182" s="114" t="s">
        <v>873</v>
      </c>
      <c r="AE182" s="1">
        <v>1</v>
      </c>
      <c r="AF182" t="s">
        <v>7591</v>
      </c>
      <c r="AU182" s="32">
        <v>57</v>
      </c>
      <c r="AV182" s="32" t="s">
        <v>873</v>
      </c>
    </row>
    <row r="183" spans="14:48" ht="15.95" customHeight="1">
      <c r="O183" s="277"/>
      <c r="P183" t="s">
        <v>6658</v>
      </c>
      <c r="AC183" s="113">
        <v>58</v>
      </c>
      <c r="AD183" s="114" t="s">
        <v>874</v>
      </c>
      <c r="AE183" s="1">
        <v>1</v>
      </c>
      <c r="AF183" t="s">
        <v>7591</v>
      </c>
      <c r="AU183" s="32">
        <v>58</v>
      </c>
      <c r="AV183" s="32" t="s">
        <v>874</v>
      </c>
    </row>
    <row r="184" spans="14:48" ht="15.95" customHeight="1">
      <c r="O184" s="277"/>
      <c r="P184" t="s">
        <v>6659</v>
      </c>
      <c r="AC184" s="113">
        <v>59</v>
      </c>
      <c r="AD184" s="114" t="s">
        <v>7551</v>
      </c>
      <c r="AE184" s="1">
        <v>1</v>
      </c>
      <c r="AF184" t="s">
        <v>7591</v>
      </c>
      <c r="AU184" s="32">
        <v>59</v>
      </c>
      <c r="AV184" s="32" t="s">
        <v>958</v>
      </c>
    </row>
    <row r="185" spans="14:48" ht="15.95" customHeight="1">
      <c r="O185" s="277"/>
      <c r="P185" t="s">
        <v>6660</v>
      </c>
      <c r="AC185" s="113">
        <v>60</v>
      </c>
      <c r="AD185" s="114" t="s">
        <v>7552</v>
      </c>
      <c r="AE185" s="1">
        <v>1</v>
      </c>
      <c r="AF185" t="s">
        <v>7591</v>
      </c>
      <c r="AU185" s="32">
        <v>60</v>
      </c>
      <c r="AV185" s="32" t="s">
        <v>959</v>
      </c>
    </row>
    <row r="186" spans="14:48" ht="15.95" customHeight="1">
      <c r="O186" s="277"/>
      <c r="P186" t="s">
        <v>6661</v>
      </c>
      <c r="AC186" s="113">
        <v>61</v>
      </c>
      <c r="AD186" s="114" t="s">
        <v>7553</v>
      </c>
      <c r="AE186" s="1">
        <v>2</v>
      </c>
      <c r="AF186" t="s">
        <v>7590</v>
      </c>
      <c r="AU186" s="32">
        <v>61</v>
      </c>
      <c r="AV186" s="32" t="s">
        <v>960</v>
      </c>
    </row>
    <row r="187" spans="14:48" ht="15.95" customHeight="1">
      <c r="O187" s="277"/>
      <c r="P187" t="s">
        <v>6662</v>
      </c>
      <c r="AC187" s="113">
        <v>62</v>
      </c>
      <c r="AD187" s="114" t="s">
        <v>7554</v>
      </c>
      <c r="AE187" s="1">
        <v>1</v>
      </c>
      <c r="AF187" t="s">
        <v>7591</v>
      </c>
      <c r="AU187" s="32">
        <v>62</v>
      </c>
      <c r="AV187" s="32" t="s">
        <v>961</v>
      </c>
    </row>
    <row r="188" spans="14:48" ht="15.95" customHeight="1">
      <c r="O188" s="277"/>
      <c r="P188" t="s">
        <v>5942</v>
      </c>
      <c r="AC188" s="113">
        <v>63</v>
      </c>
      <c r="AD188" s="114" t="s">
        <v>7555</v>
      </c>
      <c r="AE188" s="1">
        <v>1</v>
      </c>
      <c r="AF188" t="s">
        <v>7591</v>
      </c>
      <c r="AU188" s="32">
        <v>63</v>
      </c>
      <c r="AV188" s="32" t="s">
        <v>962</v>
      </c>
    </row>
    <row r="189" spans="14:48" ht="15.95" customHeight="1">
      <c r="O189" s="277"/>
      <c r="P189" t="s">
        <v>6656</v>
      </c>
      <c r="AC189" s="113">
        <v>64</v>
      </c>
      <c r="AD189" s="114" t="s">
        <v>875</v>
      </c>
      <c r="AE189" s="1">
        <v>1</v>
      </c>
      <c r="AF189" t="s">
        <v>7591</v>
      </c>
      <c r="AU189" s="32">
        <v>64</v>
      </c>
      <c r="AV189" s="32" t="s">
        <v>875</v>
      </c>
    </row>
    <row r="190" spans="14:48" ht="15.95" customHeight="1">
      <c r="O190" s="277"/>
      <c r="P190" t="s">
        <v>6663</v>
      </c>
      <c r="AC190" s="113">
        <v>65</v>
      </c>
      <c r="AD190" s="114" t="s">
        <v>7556</v>
      </c>
      <c r="AE190" s="1">
        <v>1</v>
      </c>
      <c r="AF190" t="s">
        <v>7591</v>
      </c>
      <c r="AU190" s="32">
        <v>65</v>
      </c>
      <c r="AV190" s="32" t="s">
        <v>963</v>
      </c>
    </row>
    <row r="191" spans="14:48" ht="15.95" customHeight="1">
      <c r="O191" s="277"/>
      <c r="P191" t="s">
        <v>6664</v>
      </c>
      <c r="AC191" s="113">
        <v>66</v>
      </c>
      <c r="AD191" s="114" t="s">
        <v>7557</v>
      </c>
      <c r="AE191" s="1">
        <v>1</v>
      </c>
      <c r="AF191" t="s">
        <v>7591</v>
      </c>
      <c r="AU191" s="32">
        <v>66</v>
      </c>
      <c r="AV191" s="32" t="s">
        <v>964</v>
      </c>
    </row>
    <row r="192" spans="14:48" ht="15.95" customHeight="1">
      <c r="O192" s="277"/>
      <c r="P192" t="s">
        <v>6665</v>
      </c>
      <c r="AC192" s="113">
        <v>67</v>
      </c>
      <c r="AD192" s="114" t="s">
        <v>7558</v>
      </c>
      <c r="AE192" s="1">
        <v>1</v>
      </c>
      <c r="AF192" t="s">
        <v>7591</v>
      </c>
      <c r="AU192" s="32">
        <v>67</v>
      </c>
      <c r="AV192" s="32" t="s">
        <v>965</v>
      </c>
    </row>
    <row r="193" spans="15:48" ht="15.95" customHeight="1">
      <c r="O193" s="277"/>
      <c r="P193" t="s">
        <v>6666</v>
      </c>
      <c r="AC193" s="113">
        <v>68</v>
      </c>
      <c r="AD193" s="114" t="s">
        <v>7559</v>
      </c>
      <c r="AE193" s="1">
        <v>1</v>
      </c>
      <c r="AF193" t="s">
        <v>7591</v>
      </c>
      <c r="AU193" s="32">
        <v>68</v>
      </c>
      <c r="AV193" s="32" t="s">
        <v>966</v>
      </c>
    </row>
    <row r="194" spans="15:48" ht="15.95" customHeight="1">
      <c r="O194" s="277"/>
      <c r="P194" t="s">
        <v>6667</v>
      </c>
      <c r="AC194" s="113">
        <v>69</v>
      </c>
      <c r="AD194" s="114" t="s">
        <v>7560</v>
      </c>
      <c r="AE194" s="1">
        <v>1</v>
      </c>
      <c r="AF194" t="s">
        <v>7591</v>
      </c>
      <c r="AU194" s="32">
        <v>69</v>
      </c>
      <c r="AV194" s="32" t="s">
        <v>967</v>
      </c>
    </row>
    <row r="195" spans="15:48" ht="15.95" customHeight="1">
      <c r="O195" s="277"/>
      <c r="P195" t="s">
        <v>6668</v>
      </c>
      <c r="AC195" s="113">
        <v>70</v>
      </c>
      <c r="AD195" s="114" t="s">
        <v>7561</v>
      </c>
      <c r="AE195" s="1">
        <v>1</v>
      </c>
      <c r="AF195" t="s">
        <v>7591</v>
      </c>
      <c r="AU195" s="32">
        <v>70</v>
      </c>
      <c r="AV195" s="32" t="s">
        <v>968</v>
      </c>
    </row>
    <row r="196" spans="15:48" ht="15.95" customHeight="1">
      <c r="O196" s="277"/>
      <c r="P196" t="s">
        <v>6669</v>
      </c>
      <c r="AC196" s="113">
        <v>71</v>
      </c>
      <c r="AD196" s="114" t="s">
        <v>7562</v>
      </c>
      <c r="AE196" s="1">
        <v>1</v>
      </c>
      <c r="AF196" t="s">
        <v>7591</v>
      </c>
      <c r="AU196" s="32">
        <v>71</v>
      </c>
      <c r="AV196" s="32" t="s">
        <v>969</v>
      </c>
    </row>
    <row r="197" spans="15:48" ht="15.95" customHeight="1">
      <c r="O197" s="277"/>
      <c r="P197" t="s">
        <v>6670</v>
      </c>
      <c r="AC197" s="113">
        <v>72</v>
      </c>
      <c r="AD197" s="114" t="s">
        <v>7563</v>
      </c>
      <c r="AE197" s="1">
        <v>1</v>
      </c>
      <c r="AF197" t="s">
        <v>7591</v>
      </c>
      <c r="AU197" s="32">
        <v>72</v>
      </c>
      <c r="AV197" s="32" t="s">
        <v>970</v>
      </c>
    </row>
    <row r="198" spans="15:48" ht="15.95" customHeight="1">
      <c r="O198" s="277"/>
      <c r="P198" t="s">
        <v>6671</v>
      </c>
      <c r="AC198" s="113">
        <v>73</v>
      </c>
      <c r="AD198" s="114" t="s">
        <v>7564</v>
      </c>
      <c r="AE198" s="1">
        <v>4</v>
      </c>
      <c r="AF198" t="s">
        <v>7590</v>
      </c>
      <c r="AU198" s="32">
        <v>73</v>
      </c>
      <c r="AV198" s="32" t="s">
        <v>971</v>
      </c>
    </row>
    <row r="199" spans="15:48" ht="15.95" customHeight="1">
      <c r="O199" s="277"/>
      <c r="P199" t="s">
        <v>6672</v>
      </c>
      <c r="AC199" s="113">
        <v>74</v>
      </c>
      <c r="AD199" s="114" t="s">
        <v>876</v>
      </c>
      <c r="AE199" s="1">
        <v>5</v>
      </c>
      <c r="AF199" t="s">
        <v>7590</v>
      </c>
      <c r="AU199" s="32">
        <v>74</v>
      </c>
      <c r="AV199" s="32" t="s">
        <v>876</v>
      </c>
    </row>
    <row r="200" spans="15:48" ht="15.95" customHeight="1">
      <c r="O200" s="277"/>
      <c r="P200" t="s">
        <v>6673</v>
      </c>
      <c r="AC200" s="113">
        <v>75</v>
      </c>
      <c r="AD200" s="114" t="s">
        <v>7565</v>
      </c>
      <c r="AE200" s="1">
        <v>1</v>
      </c>
      <c r="AF200" t="s">
        <v>7591</v>
      </c>
      <c r="AU200" s="32">
        <v>75</v>
      </c>
      <c r="AV200" s="32" t="s">
        <v>972</v>
      </c>
    </row>
    <row r="201" spans="15:48" ht="15.95" customHeight="1">
      <c r="O201" s="277"/>
      <c r="P201" t="s">
        <v>6674</v>
      </c>
      <c r="AC201" s="113">
        <v>76</v>
      </c>
      <c r="AD201" s="114" t="s">
        <v>7566</v>
      </c>
      <c r="AE201" s="1">
        <v>1</v>
      </c>
      <c r="AF201" t="s">
        <v>7591</v>
      </c>
      <c r="AU201" s="32">
        <v>76</v>
      </c>
      <c r="AV201" s="32" t="s">
        <v>973</v>
      </c>
    </row>
    <row r="202" spans="15:48" ht="15.95" customHeight="1">
      <c r="O202" s="277"/>
      <c r="P202" t="s">
        <v>6675</v>
      </c>
      <c r="AC202" s="113">
        <v>77</v>
      </c>
      <c r="AD202" s="114" t="s">
        <v>7567</v>
      </c>
      <c r="AE202" s="1">
        <v>1</v>
      </c>
      <c r="AF202" t="s">
        <v>7591</v>
      </c>
      <c r="AU202" s="32">
        <v>77</v>
      </c>
      <c r="AV202" s="32" t="s">
        <v>974</v>
      </c>
    </row>
    <row r="203" spans="15:48" ht="15.95" customHeight="1">
      <c r="O203" s="277"/>
      <c r="P203" t="s">
        <v>6676</v>
      </c>
      <c r="AC203" s="113">
        <v>78</v>
      </c>
      <c r="AD203" s="114" t="s">
        <v>7568</v>
      </c>
      <c r="AE203" s="1">
        <v>1</v>
      </c>
      <c r="AF203" t="s">
        <v>7591</v>
      </c>
      <c r="AU203" s="32">
        <v>78</v>
      </c>
      <c r="AV203" s="32" t="s">
        <v>975</v>
      </c>
    </row>
    <row r="204" spans="15:48" ht="15.95" customHeight="1">
      <c r="O204" s="277"/>
      <c r="P204" t="s">
        <v>6677</v>
      </c>
      <c r="AC204" s="113">
        <v>79</v>
      </c>
      <c r="AD204" s="114" t="s">
        <v>877</v>
      </c>
      <c r="AE204" s="1">
        <v>1</v>
      </c>
      <c r="AF204" t="s">
        <v>7591</v>
      </c>
      <c r="AU204" s="32">
        <v>79</v>
      </c>
      <c r="AV204" s="32" t="s">
        <v>877</v>
      </c>
    </row>
    <row r="205" spans="15:48" ht="15.95" customHeight="1">
      <c r="O205" s="277"/>
      <c r="P205" t="s">
        <v>6678</v>
      </c>
      <c r="AC205" s="113">
        <v>80</v>
      </c>
      <c r="AD205" s="114" t="s">
        <v>7569</v>
      </c>
      <c r="AE205" s="1">
        <v>1</v>
      </c>
      <c r="AF205" t="s">
        <v>7591</v>
      </c>
      <c r="AU205" s="32">
        <v>80</v>
      </c>
      <c r="AV205" s="32" t="s">
        <v>976</v>
      </c>
    </row>
    <row r="206" spans="15:48" ht="15.95" customHeight="1">
      <c r="O206" s="277"/>
      <c r="P206" t="s">
        <v>6679</v>
      </c>
      <c r="AC206" s="113">
        <v>81</v>
      </c>
      <c r="AD206" s="114" t="s">
        <v>7570</v>
      </c>
      <c r="AE206" s="1">
        <v>1</v>
      </c>
      <c r="AF206" t="s">
        <v>7591</v>
      </c>
      <c r="AU206" s="32">
        <v>81</v>
      </c>
      <c r="AV206" s="32" t="s">
        <v>977</v>
      </c>
    </row>
    <row r="207" spans="15:48" ht="15.95" customHeight="1">
      <c r="O207" s="277"/>
      <c r="P207" t="s">
        <v>6680</v>
      </c>
      <c r="AC207" s="113">
        <v>82</v>
      </c>
      <c r="AD207" s="114" t="s">
        <v>7571</v>
      </c>
      <c r="AE207" s="1">
        <v>1</v>
      </c>
      <c r="AF207" t="s">
        <v>7591</v>
      </c>
      <c r="AU207" s="32">
        <v>82</v>
      </c>
      <c r="AV207" s="32" t="s">
        <v>978</v>
      </c>
    </row>
    <row r="208" spans="15:48" ht="15.95" customHeight="1">
      <c r="O208" s="277"/>
      <c r="P208" t="s">
        <v>6681</v>
      </c>
      <c r="AC208" s="113">
        <v>83</v>
      </c>
      <c r="AD208" s="114" t="s">
        <v>7572</v>
      </c>
      <c r="AE208" s="1">
        <v>1</v>
      </c>
      <c r="AF208" t="s">
        <v>7590</v>
      </c>
      <c r="AU208" s="32">
        <v>83</v>
      </c>
      <c r="AV208" s="32" t="s">
        <v>979</v>
      </c>
    </row>
    <row r="209" spans="15:48" ht="15.95" customHeight="1">
      <c r="O209" s="277"/>
      <c r="P209" t="s">
        <v>6682</v>
      </c>
      <c r="AC209" s="113">
        <v>84</v>
      </c>
      <c r="AD209" s="114" t="s">
        <v>7573</v>
      </c>
      <c r="AE209" s="1">
        <v>2</v>
      </c>
      <c r="AF209" t="s">
        <v>7590</v>
      </c>
      <c r="AU209" s="32">
        <v>84</v>
      </c>
      <c r="AV209" s="32" t="s">
        <v>980</v>
      </c>
    </row>
    <row r="210" spans="15:48" ht="15.95" customHeight="1">
      <c r="O210" s="277"/>
      <c r="P210" t="s">
        <v>6683</v>
      </c>
      <c r="AC210" s="113">
        <v>85</v>
      </c>
      <c r="AD210" s="114" t="s">
        <v>7574</v>
      </c>
      <c r="AE210" s="1">
        <v>1</v>
      </c>
      <c r="AF210" t="s">
        <v>7590</v>
      </c>
      <c r="AU210" s="32">
        <v>85</v>
      </c>
      <c r="AV210" s="32" t="s">
        <v>878</v>
      </c>
    </row>
    <row r="211" spans="15:48" ht="15.95" customHeight="1">
      <c r="O211" s="277"/>
      <c r="P211" t="s">
        <v>6684</v>
      </c>
      <c r="AC211" s="113">
        <v>86</v>
      </c>
      <c r="AD211" s="114" t="s">
        <v>879</v>
      </c>
      <c r="AE211" s="1">
        <v>1</v>
      </c>
      <c r="AF211" t="s">
        <v>7591</v>
      </c>
      <c r="AU211" s="32">
        <v>86</v>
      </c>
      <c r="AV211" s="32" t="s">
        <v>879</v>
      </c>
    </row>
    <row r="212" spans="15:48" ht="15.95" customHeight="1">
      <c r="O212" s="277"/>
      <c r="P212" t="s">
        <v>6685</v>
      </c>
      <c r="AC212" s="113">
        <v>87</v>
      </c>
      <c r="AD212" s="114" t="s">
        <v>880</v>
      </c>
      <c r="AE212" s="1">
        <v>2</v>
      </c>
      <c r="AF212" t="s">
        <v>7590</v>
      </c>
      <c r="AU212" s="32">
        <v>87</v>
      </c>
      <c r="AV212" s="32" t="s">
        <v>880</v>
      </c>
    </row>
    <row r="213" spans="15:48" ht="15.95" customHeight="1">
      <c r="O213" s="277"/>
      <c r="P213" t="s">
        <v>6686</v>
      </c>
      <c r="AC213" s="113">
        <v>88</v>
      </c>
      <c r="AD213" s="114" t="s">
        <v>7575</v>
      </c>
      <c r="AE213" s="1">
        <v>1</v>
      </c>
      <c r="AF213" t="s">
        <v>7591</v>
      </c>
      <c r="AU213" s="32">
        <v>88</v>
      </c>
      <c r="AV213" s="32" t="s">
        <v>981</v>
      </c>
    </row>
    <row r="214" spans="15:48" ht="15.95" customHeight="1">
      <c r="O214" s="277"/>
      <c r="P214" t="s">
        <v>6687</v>
      </c>
      <c r="AC214" s="113">
        <v>89</v>
      </c>
      <c r="AD214" s="114" t="s">
        <v>7576</v>
      </c>
      <c r="AE214" s="1">
        <v>1</v>
      </c>
      <c r="AF214" t="s">
        <v>7591</v>
      </c>
      <c r="AU214" s="32">
        <v>89</v>
      </c>
      <c r="AV214" s="32" t="s">
        <v>982</v>
      </c>
    </row>
    <row r="215" spans="15:48" ht="15.95" customHeight="1">
      <c r="O215" s="277"/>
      <c r="P215" t="s">
        <v>6688</v>
      </c>
      <c r="AC215" s="113">
        <v>90</v>
      </c>
      <c r="AD215" s="114" t="s">
        <v>7577</v>
      </c>
      <c r="AE215" s="1">
        <v>1</v>
      </c>
      <c r="AF215" t="s">
        <v>7591</v>
      </c>
      <c r="AU215" s="32">
        <v>90</v>
      </c>
      <c r="AV215" s="32" t="s">
        <v>983</v>
      </c>
    </row>
    <row r="216" spans="15:48" ht="15.95" customHeight="1">
      <c r="O216" s="277"/>
      <c r="P216" t="s">
        <v>6689</v>
      </c>
      <c r="AC216" s="113">
        <v>91</v>
      </c>
      <c r="AD216" s="114" t="s">
        <v>7578</v>
      </c>
      <c r="AE216" s="1">
        <v>1</v>
      </c>
      <c r="AF216" t="s">
        <v>7591</v>
      </c>
      <c r="AU216" s="32">
        <v>91</v>
      </c>
      <c r="AV216" s="32" t="s">
        <v>984</v>
      </c>
    </row>
    <row r="217" spans="15:48" ht="15.95" customHeight="1">
      <c r="O217" s="277"/>
      <c r="P217" t="s">
        <v>6690</v>
      </c>
      <c r="AC217" s="113">
        <v>92</v>
      </c>
      <c r="AD217" s="114" t="s">
        <v>7579</v>
      </c>
      <c r="AE217" s="1">
        <v>1</v>
      </c>
      <c r="AF217" t="s">
        <v>7593</v>
      </c>
      <c r="AU217" s="32">
        <v>92</v>
      </c>
      <c r="AV217" s="32" t="s">
        <v>985</v>
      </c>
    </row>
    <row r="218" spans="15:48" ht="15.95" customHeight="1">
      <c r="O218" s="277"/>
      <c r="P218" t="s">
        <v>6691</v>
      </c>
      <c r="AC218" s="113">
        <v>93</v>
      </c>
      <c r="AD218" s="114" t="s">
        <v>881</v>
      </c>
      <c r="AE218" s="1">
        <v>1</v>
      </c>
      <c r="AF218" t="s">
        <v>7593</v>
      </c>
      <c r="AU218" s="32">
        <v>93</v>
      </c>
      <c r="AV218" s="32" t="s">
        <v>881</v>
      </c>
    </row>
    <row r="219" spans="15:48" ht="15.95" customHeight="1">
      <c r="O219" s="277"/>
      <c r="P219" t="s">
        <v>6692</v>
      </c>
      <c r="AC219" s="113">
        <v>94</v>
      </c>
      <c r="AD219" s="114" t="s">
        <v>7580</v>
      </c>
      <c r="AE219" s="1">
        <v>1</v>
      </c>
      <c r="AF219" t="s">
        <v>7591</v>
      </c>
      <c r="AU219" s="32">
        <v>94</v>
      </c>
      <c r="AV219" s="32" t="s">
        <v>986</v>
      </c>
    </row>
    <row r="220" spans="15:48" ht="15.95" customHeight="1">
      <c r="O220" s="277"/>
      <c r="P220" t="s">
        <v>6693</v>
      </c>
      <c r="AC220" s="113">
        <v>95</v>
      </c>
      <c r="AD220" s="114" t="s">
        <v>7581</v>
      </c>
      <c r="AE220" s="1">
        <v>1</v>
      </c>
      <c r="AF220" t="s">
        <v>7591</v>
      </c>
      <c r="AU220" s="32">
        <v>95</v>
      </c>
      <c r="AV220" s="32" t="s">
        <v>987</v>
      </c>
    </row>
    <row r="221" spans="15:48" ht="15.95" customHeight="1">
      <c r="O221" s="277"/>
      <c r="P221" t="s">
        <v>5881</v>
      </c>
      <c r="AC221" s="113">
        <v>96</v>
      </c>
      <c r="AD221" s="114" t="s">
        <v>7582</v>
      </c>
      <c r="AE221" s="1">
        <v>1</v>
      </c>
      <c r="AF221" t="s">
        <v>7591</v>
      </c>
      <c r="AU221" s="32">
        <v>96</v>
      </c>
      <c r="AV221" s="32" t="s">
        <v>988</v>
      </c>
    </row>
    <row r="222" spans="15:48" ht="15.95" customHeight="1">
      <c r="O222" s="277"/>
      <c r="P222" t="s">
        <v>6694</v>
      </c>
      <c r="AC222" s="113">
        <v>97</v>
      </c>
      <c r="AD222" s="114" t="s">
        <v>7583</v>
      </c>
      <c r="AE222" s="1">
        <v>1</v>
      </c>
      <c r="AF222" t="s">
        <v>7591</v>
      </c>
      <c r="AU222" s="32">
        <v>97</v>
      </c>
      <c r="AV222" s="32" t="s">
        <v>989</v>
      </c>
    </row>
    <row r="223" spans="15:48" ht="15.95" customHeight="1">
      <c r="O223" s="277"/>
      <c r="P223" t="s">
        <v>6695</v>
      </c>
      <c r="AC223" s="113">
        <v>98</v>
      </c>
      <c r="AD223" s="114" t="s">
        <v>882</v>
      </c>
      <c r="AE223" s="1">
        <v>1</v>
      </c>
      <c r="AF223" t="s">
        <v>7591</v>
      </c>
      <c r="AU223" s="32">
        <v>98</v>
      </c>
      <c r="AV223" s="32" t="s">
        <v>882</v>
      </c>
    </row>
    <row r="224" spans="15:48" ht="15.95" customHeight="1" thickBot="1">
      <c r="O224" s="277"/>
      <c r="P224" t="s">
        <v>6696</v>
      </c>
      <c r="AC224" s="113">
        <v>99</v>
      </c>
      <c r="AD224" s="115" t="s">
        <v>883</v>
      </c>
      <c r="AE224" s="1">
        <v>1</v>
      </c>
      <c r="AF224" t="s">
        <v>7591</v>
      </c>
      <c r="AU224" s="32">
        <v>99</v>
      </c>
      <c r="AV224" s="32" t="s">
        <v>883</v>
      </c>
    </row>
    <row r="225" spans="15:16" ht="15.95" customHeight="1">
      <c r="O225" s="277"/>
      <c r="P225" t="s">
        <v>6697</v>
      </c>
    </row>
    <row r="226" spans="15:16" ht="15.95" customHeight="1">
      <c r="O226" s="277"/>
      <c r="P226" t="s">
        <v>6698</v>
      </c>
    </row>
    <row r="227" spans="15:16" ht="15.95" customHeight="1">
      <c r="O227" s="277"/>
      <c r="P227" t="s">
        <v>6699</v>
      </c>
    </row>
    <row r="228" spans="15:16" ht="15.95" customHeight="1">
      <c r="O228" s="277"/>
      <c r="P228" t="s">
        <v>6700</v>
      </c>
    </row>
    <row r="229" spans="15:16" ht="15.95" customHeight="1">
      <c r="O229" s="277"/>
      <c r="P229" t="s">
        <v>6701</v>
      </c>
    </row>
    <row r="230" spans="15:16" ht="15.95" customHeight="1">
      <c r="O230" s="277"/>
      <c r="P230" t="s">
        <v>6702</v>
      </c>
    </row>
    <row r="231" spans="15:16" ht="15.95" customHeight="1">
      <c r="O231" s="277"/>
      <c r="P231" t="s">
        <v>6703</v>
      </c>
    </row>
    <row r="232" spans="15:16" ht="15.95" customHeight="1">
      <c r="O232" s="277"/>
      <c r="P232" t="s">
        <v>6704</v>
      </c>
    </row>
    <row r="233" spans="15:16" ht="15.95" customHeight="1">
      <c r="O233" s="277"/>
      <c r="P233" t="s">
        <v>6705</v>
      </c>
    </row>
    <row r="234" spans="15:16" ht="15.95" customHeight="1">
      <c r="O234" s="277"/>
      <c r="P234" t="s">
        <v>6706</v>
      </c>
    </row>
    <row r="235" spans="15:16" ht="15.95" customHeight="1">
      <c r="O235" s="277"/>
      <c r="P235" t="s">
        <v>6707</v>
      </c>
    </row>
    <row r="236" spans="15:16" ht="15.95" customHeight="1">
      <c r="O236" s="277"/>
      <c r="P236" t="s">
        <v>5979</v>
      </c>
    </row>
    <row r="237" spans="15:16" ht="15.95" customHeight="1">
      <c r="O237" s="277"/>
      <c r="P237" t="s">
        <v>6708</v>
      </c>
    </row>
    <row r="238" spans="15:16" ht="15.95" customHeight="1">
      <c r="O238" s="277"/>
      <c r="P238" t="s">
        <v>6709</v>
      </c>
    </row>
    <row r="239" spans="15:16" ht="15.95" customHeight="1">
      <c r="O239" s="277"/>
      <c r="P239" t="s">
        <v>6710</v>
      </c>
    </row>
    <row r="240" spans="15:16" ht="15.95" customHeight="1">
      <c r="O240" s="277"/>
      <c r="P240" t="s">
        <v>6711</v>
      </c>
    </row>
    <row r="241" spans="15:16" ht="15.95" customHeight="1">
      <c r="O241" s="277"/>
      <c r="P241" t="s">
        <v>6712</v>
      </c>
    </row>
    <row r="242" spans="15:16" ht="15.95" customHeight="1">
      <c r="P242" t="s">
        <v>6713</v>
      </c>
    </row>
    <row r="243" spans="15:16" ht="15.95" customHeight="1">
      <c r="P243" t="s">
        <v>6714</v>
      </c>
    </row>
    <row r="244" spans="15:16" ht="15.95" customHeight="1">
      <c r="P244" t="s">
        <v>6715</v>
      </c>
    </row>
    <row r="245" spans="15:16" ht="15.95" customHeight="1">
      <c r="P245" t="s">
        <v>6716</v>
      </c>
    </row>
    <row r="246" spans="15:16" ht="15.95" customHeight="1">
      <c r="P246" t="s">
        <v>6717</v>
      </c>
    </row>
    <row r="247" spans="15:16" ht="15.95" customHeight="1">
      <c r="P247" t="s">
        <v>6718</v>
      </c>
    </row>
    <row r="248" spans="15:16" ht="15.95" customHeight="1">
      <c r="P248" t="s">
        <v>6719</v>
      </c>
    </row>
    <row r="249" spans="15:16" ht="15.95" customHeight="1">
      <c r="P249" t="s">
        <v>6720</v>
      </c>
    </row>
    <row r="250" spans="15:16" ht="15.95" customHeight="1">
      <c r="P250" t="s">
        <v>6784</v>
      </c>
    </row>
  </sheetData>
  <mergeCells count="110">
    <mergeCell ref="B1:K1"/>
    <mergeCell ref="C19:K19"/>
    <mergeCell ref="C18:K18"/>
    <mergeCell ref="C17:K17"/>
    <mergeCell ref="C16:K16"/>
    <mergeCell ref="A2:A6"/>
    <mergeCell ref="B2:K2"/>
    <mergeCell ref="B3:K3"/>
    <mergeCell ref="B4:K4"/>
    <mergeCell ref="B5:K5"/>
    <mergeCell ref="B6:K6"/>
    <mergeCell ref="F13:I13"/>
    <mergeCell ref="J13:N13"/>
    <mergeCell ref="F14:I14"/>
    <mergeCell ref="J14:N14"/>
    <mergeCell ref="C27:K27"/>
    <mergeCell ref="C28:K28"/>
    <mergeCell ref="C29:K29"/>
    <mergeCell ref="C30:K30"/>
    <mergeCell ref="F12:I12"/>
    <mergeCell ref="F11:I11"/>
    <mergeCell ref="F10:I10"/>
    <mergeCell ref="F9:I9"/>
    <mergeCell ref="F8:I8"/>
    <mergeCell ref="J12:N12"/>
    <mergeCell ref="J11:N11"/>
    <mergeCell ref="J10:N10"/>
    <mergeCell ref="J9:N9"/>
    <mergeCell ref="J8:N8"/>
    <mergeCell ref="B10:D10"/>
    <mergeCell ref="B9:D9"/>
    <mergeCell ref="B8:D8"/>
    <mergeCell ref="B13:D13"/>
    <mergeCell ref="B12:D12"/>
    <mergeCell ref="B11:D11"/>
    <mergeCell ref="C22:K22"/>
    <mergeCell ref="C21:K21"/>
    <mergeCell ref="C20:K20"/>
    <mergeCell ref="B41:K41"/>
    <mergeCell ref="A42:A46"/>
    <mergeCell ref="B42:K42"/>
    <mergeCell ref="B43:K43"/>
    <mergeCell ref="B44:K44"/>
    <mergeCell ref="B45:K45"/>
    <mergeCell ref="B46:K46"/>
    <mergeCell ref="M16:M17"/>
    <mergeCell ref="N16:N17"/>
    <mergeCell ref="M19:M20"/>
    <mergeCell ref="N19:N20"/>
    <mergeCell ref="A32:A38"/>
    <mergeCell ref="C32:K32"/>
    <mergeCell ref="C33:K33"/>
    <mergeCell ref="C34:K34"/>
    <mergeCell ref="C35:K35"/>
    <mergeCell ref="C36:K36"/>
    <mergeCell ref="C37:K37"/>
    <mergeCell ref="C38:K38"/>
    <mergeCell ref="A16:A22"/>
    <mergeCell ref="A24:A30"/>
    <mergeCell ref="C24:K24"/>
    <mergeCell ref="C25:K25"/>
    <mergeCell ref="C26:K26"/>
    <mergeCell ref="B50:D50"/>
    <mergeCell ref="F50:I50"/>
    <mergeCell ref="J50:N50"/>
    <mergeCell ref="B51:D51"/>
    <mergeCell ref="F51:I51"/>
    <mergeCell ref="J51:N51"/>
    <mergeCell ref="B48:D48"/>
    <mergeCell ref="F48:I48"/>
    <mergeCell ref="J48:N48"/>
    <mergeCell ref="B49:D49"/>
    <mergeCell ref="F49:I49"/>
    <mergeCell ref="J49:N49"/>
    <mergeCell ref="B52:D52"/>
    <mergeCell ref="F52:I52"/>
    <mergeCell ref="J52:N52"/>
    <mergeCell ref="B53:D53"/>
    <mergeCell ref="A56:A62"/>
    <mergeCell ref="C56:K56"/>
    <mergeCell ref="M56:M57"/>
    <mergeCell ref="N56:N57"/>
    <mergeCell ref="C57:K57"/>
    <mergeCell ref="C58:K58"/>
    <mergeCell ref="C59:K59"/>
    <mergeCell ref="M59:M60"/>
    <mergeCell ref="N59:N60"/>
    <mergeCell ref="C60:K60"/>
    <mergeCell ref="C61:K61"/>
    <mergeCell ref="C62:K62"/>
    <mergeCell ref="F53:I53"/>
    <mergeCell ref="J53:N53"/>
    <mergeCell ref="F54:I54"/>
    <mergeCell ref="J54:N54"/>
    <mergeCell ref="A72:A78"/>
    <mergeCell ref="C72:K72"/>
    <mergeCell ref="C73:K73"/>
    <mergeCell ref="C74:K74"/>
    <mergeCell ref="C75:K75"/>
    <mergeCell ref="C76:K76"/>
    <mergeCell ref="C77:K77"/>
    <mergeCell ref="C78:K78"/>
    <mergeCell ref="A64:A70"/>
    <mergeCell ref="C64:K64"/>
    <mergeCell ref="C65:K65"/>
    <mergeCell ref="C66:K66"/>
    <mergeCell ref="C67:K67"/>
    <mergeCell ref="C68:K68"/>
    <mergeCell ref="C69:K69"/>
    <mergeCell ref="C70:K70"/>
  </mergeCells>
  <dataValidations count="1">
    <dataValidation type="list" allowBlank="1" showInputMessage="1" showErrorMessage="1" sqref="P2 P42">
      <formula1>$AA$2:$AA$6</formula1>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36"/>
  <sheetViews>
    <sheetView zoomScale="90" zoomScaleNormal="90" workbookViewId="0">
      <selection activeCell="L14" sqref="L14"/>
    </sheetView>
  </sheetViews>
  <sheetFormatPr defaultRowHeight="15" outlineLevelRow="1"/>
  <cols>
    <col min="1" max="1" width="17.7109375" customWidth="1"/>
    <col min="2" max="2" width="16.28515625" customWidth="1"/>
    <col min="3" max="3" width="28.7109375" customWidth="1"/>
    <col min="10" max="10" width="23.5703125" customWidth="1"/>
    <col min="11" max="11" width="4.7109375" customWidth="1"/>
    <col min="12" max="12" width="36.28515625" style="1" customWidth="1"/>
    <col min="13" max="13" width="12" style="23" bestFit="1" customWidth="1"/>
    <col min="14" max="14" width="12.5703125" bestFit="1" customWidth="1"/>
    <col min="15" max="15" width="9.140625" style="42"/>
    <col min="17" max="17" width="22.28515625" bestFit="1" customWidth="1"/>
    <col min="25" max="25" width="11.140625" customWidth="1"/>
    <col min="39" max="39" width="8.140625" customWidth="1"/>
    <col min="40" max="40" width="12.85546875" customWidth="1"/>
    <col min="41" max="41" width="8.28515625" customWidth="1"/>
    <col min="49" max="49" width="8.140625" customWidth="1"/>
    <col min="50" max="50" width="12.85546875" customWidth="1"/>
    <col min="51" max="51" width="8.28515625" customWidth="1"/>
  </cols>
  <sheetData>
    <row r="1" spans="1:44" ht="30" customHeight="1" thickBot="1">
      <c r="A1" s="167" t="str">
        <f ca="1">INDEX($B$37:$B$236,RANDBETWEEN(1,200))</f>
        <v>The Maiden's Room.</v>
      </c>
      <c r="B1" s="164"/>
      <c r="C1" s="164"/>
      <c r="D1" s="164"/>
      <c r="E1" s="164"/>
      <c r="F1" s="164"/>
      <c r="G1" s="164"/>
      <c r="H1" s="164"/>
      <c r="I1" s="164"/>
      <c r="J1" s="165"/>
      <c r="K1" s="122"/>
      <c r="L1" s="645" t="s">
        <v>2476</v>
      </c>
      <c r="M1" s="93" t="s">
        <v>2416</v>
      </c>
      <c r="N1" s="426" t="str">
        <f ca="1">CONCATENATE(INDEX('NPC''s'!$I$106:$I$115,RANDBETWEEN(1,10))," in stature, with a ",INDEX('NPC''s'!$J$106:$J$125,RANDBETWEEN(1,20))," body, and ",INDEX('NPC''s'!$K$106:$K$111,RANDBETWEEN(1,6)))</f>
        <v>AVERAGE  in stature, with a FLABBY AND WEAK body, and SOFT HANDS.</v>
      </c>
      <c r="O1" s="426"/>
      <c r="P1" s="426"/>
      <c r="Q1" s="426"/>
      <c r="R1" s="426"/>
      <c r="S1" s="426"/>
      <c r="T1" s="427"/>
      <c r="U1" s="12"/>
      <c r="V1" s="12"/>
      <c r="W1" s="12"/>
      <c r="AC1" s="9"/>
      <c r="AD1" s="9"/>
      <c r="AE1" s="9"/>
      <c r="AF1" s="9"/>
    </row>
    <row r="2" spans="1:44" s="13" customFormat="1" ht="35.1" customHeight="1">
      <c r="A2" s="682" t="str">
        <f>$C$36</f>
        <v xml:space="preserve">The brothel is located: </v>
      </c>
      <c r="B2" s="683"/>
      <c r="C2" s="684"/>
      <c r="D2" s="560" t="str">
        <f ca="1">INDEX($C$37:$C$56,RANDBETWEEN(1,20))</f>
        <v>Behind a tavern teeming with criminals.</v>
      </c>
      <c r="E2" s="685"/>
      <c r="F2" s="685"/>
      <c r="G2" s="685"/>
      <c r="H2" s="685"/>
      <c r="I2" s="685"/>
      <c r="J2" s="561"/>
      <c r="K2" s="123"/>
      <c r="L2" s="646"/>
      <c r="M2" s="94" t="s">
        <v>2415</v>
      </c>
      <c r="N2" s="422" t="str">
        <f ca="1">CONCATENATE(INDEX('NPC''s'!$B$106:$B$125,RANDBETWEEN(1,20)),", ",INDEX('NPC''s'!$C$106:$C$117,RANDBETWEEN(1,12)),", and ",INDEX('NPC''s'!$D$106:$D$115,RANDBETWEEN(1,10)),". They have ",INDEX('NPC''s'!$H$106:$H$113,RANDBETWEEN(1,8)),", ",INDEX('NPC''s'!$E$106:$E$117,RANDBETWEEN(1,12)),", ",INDEX('NPC''s'!$F$106:$F$113,RANDBETWEEN(1,8)),", and ",INDEX('NPC''s'!$G$106:$G$125,RANDBETWEEN(1,20)))</f>
        <v>EYES OF TWO DIFFERENT COLORS, EARS THAT STICK OUT, and THEIR MOUTH HANGS OPEN. They have FRECKLES, A BROKEN NOSE, A ROUNDED CHIN, and VERY LONG HAIR</v>
      </c>
      <c r="O2" s="422"/>
      <c r="P2" s="422"/>
      <c r="Q2" s="422"/>
      <c r="R2" s="422"/>
      <c r="S2" s="422"/>
      <c r="T2" s="423"/>
      <c r="U2" s="12"/>
      <c r="V2" s="12"/>
      <c r="W2" s="31"/>
    </row>
    <row r="3" spans="1:44" s="77" customFormat="1" ht="35.1" customHeight="1">
      <c r="A3" s="542" t="s">
        <v>2471</v>
      </c>
      <c r="B3" s="543"/>
      <c r="C3" s="544"/>
      <c r="D3" s="691" t="str">
        <f ca="1">INDEX($F$37:$F$44,RANDBETWEEN(1,8))</f>
        <v>A warm motherly figure.</v>
      </c>
      <c r="E3" s="692"/>
      <c r="F3" s="692"/>
      <c r="G3" s="692"/>
      <c r="H3" s="692"/>
      <c r="I3" s="692"/>
      <c r="J3" s="693"/>
      <c r="K3" s="118"/>
      <c r="L3" s="646"/>
      <c r="M3" s="94" t="s">
        <v>2417</v>
      </c>
      <c r="N3" s="422" t="str">
        <f ca="1">CONCATENATE(INDEX('NPC''s'!$M$106:$M$117,RANDBETWEEN(1,12)),", made of ",INDEX('NPC''s'!$N$106:$N$115,RANDBETWEEN(1,10)))</f>
        <v>A BROOCH, made of LEATHER</v>
      </c>
      <c r="O3" s="422"/>
      <c r="P3" s="422"/>
      <c r="Q3" s="422"/>
      <c r="R3" s="422"/>
      <c r="S3" s="422"/>
      <c r="T3" s="423"/>
      <c r="U3" s="12"/>
      <c r="V3" s="12"/>
    </row>
    <row r="4" spans="1:44" s="77" customFormat="1" ht="35.1" customHeight="1">
      <c r="A4" s="542" t="str">
        <f>$D$36</f>
        <v xml:space="preserve">In addition to the "usual" fare, you can also procure: </v>
      </c>
      <c r="B4" s="543"/>
      <c r="C4" s="544"/>
      <c r="D4" s="691" t="str">
        <f ca="1">INDEX($D$37:$D$46,RANDBETWEEN(1,10))</f>
        <v>Exotic races.</v>
      </c>
      <c r="E4" s="692"/>
      <c r="F4" s="692"/>
      <c r="G4" s="692"/>
      <c r="H4" s="692"/>
      <c r="I4" s="692"/>
      <c r="J4" s="693"/>
      <c r="K4" s="118"/>
      <c r="L4" s="646"/>
      <c r="M4" s="94" t="s">
        <v>2418</v>
      </c>
      <c r="N4" s="422" t="str">
        <f ca="1">CONCATENATE(INDEX('NPC''s'!$O$106:$O$113,RANDBETWEEN(1,8)))</f>
        <v>TORN IN PLACES; MISSING BUTTONS</v>
      </c>
      <c r="O4" s="422"/>
      <c r="P4" s="422"/>
      <c r="Q4" s="422"/>
      <c r="R4" s="422"/>
      <c r="S4" s="422"/>
      <c r="T4" s="423"/>
      <c r="U4" s="12"/>
      <c r="V4" s="12"/>
    </row>
    <row r="5" spans="1:44" s="77" customFormat="1" ht="35.1" customHeight="1">
      <c r="A5" s="542" t="s">
        <v>2477</v>
      </c>
      <c r="B5" s="543"/>
      <c r="C5" s="544"/>
      <c r="D5" s="691" t="str">
        <f ca="1">CONCATENATE("To Eat: ",INDEX($G$37:$G$48,RANDBETWEEN(1,12)), " To Drink: ",INDEX($H$37:$H$44,RANDBETWEEN(1,8)))</f>
        <v>To Eat: Simple snacks. To Drink: Ales.</v>
      </c>
      <c r="E5" s="692"/>
      <c r="F5" s="692"/>
      <c r="G5" s="692"/>
      <c r="H5" s="692"/>
      <c r="I5" s="692"/>
      <c r="J5" s="693"/>
      <c r="K5" s="118"/>
      <c r="L5" s="646"/>
      <c r="M5" s="94" t="s">
        <v>2435</v>
      </c>
      <c r="N5" s="422" t="str">
        <f ca="1">CONCATENATE(INDEX('NPC''s'!$S$106:$S$113,RANDBETWEEN(1,8)))</f>
        <v>CASUAL OBSERVER</v>
      </c>
      <c r="O5" s="422"/>
      <c r="P5" s="422"/>
      <c r="Q5" s="422"/>
      <c r="R5" s="422"/>
      <c r="S5" s="422"/>
      <c r="T5" s="423"/>
      <c r="U5" s="12"/>
      <c r="V5" s="12"/>
    </row>
    <row r="6" spans="1:44" s="77" customFormat="1" ht="35.1" customHeight="1">
      <c r="A6" s="542" t="str">
        <f>$I$36</f>
        <v xml:space="preserve">When people talk about this place, they say: </v>
      </c>
      <c r="B6" s="543"/>
      <c r="C6" s="544"/>
      <c r="D6" s="691" t="str">
        <f ca="1">INDEX($I$37:$I$51,RANDBETWEEN(1,15))</f>
        <v>The usual stuff; a new girl is making a stir.</v>
      </c>
      <c r="E6" s="692"/>
      <c r="F6" s="692"/>
      <c r="G6" s="692"/>
      <c r="H6" s="692"/>
      <c r="I6" s="692"/>
      <c r="J6" s="693"/>
      <c r="K6" s="118"/>
      <c r="L6" s="646"/>
      <c r="M6" s="94" t="s">
        <v>2420</v>
      </c>
      <c r="N6" s="422" t="str">
        <f ca="1">CONCATENATE(INDEX('NPC''s'!$T$106:$T$111,RANDBETWEEN(1,6)))</f>
        <v>FISHERS</v>
      </c>
      <c r="O6" s="422"/>
      <c r="P6" s="422"/>
      <c r="Q6" s="422"/>
      <c r="R6" s="422"/>
      <c r="S6" s="422"/>
      <c r="T6" s="423"/>
      <c r="U6" s="12"/>
      <c r="V6" s="12"/>
    </row>
    <row r="7" spans="1:44" s="101" customFormat="1" ht="35.1" customHeight="1" thickBot="1">
      <c r="A7" s="542" t="str">
        <f>$J$36</f>
        <v xml:space="preserve">Rumors suggest that recently: </v>
      </c>
      <c r="B7" s="543"/>
      <c r="C7" s="544"/>
      <c r="D7" s="691" t="str">
        <f ca="1">INDEX($J$37:$J$46,RANDBETWEEN(1,10))</f>
        <v>One of the inmates has fallen madly in love with a client, but he or she is married.</v>
      </c>
      <c r="E7" s="692"/>
      <c r="F7" s="692"/>
      <c r="G7" s="692"/>
      <c r="H7" s="692"/>
      <c r="I7" s="692"/>
      <c r="J7" s="693"/>
      <c r="K7" s="118"/>
      <c r="L7" s="647"/>
      <c r="M7" s="95" t="s">
        <v>2419</v>
      </c>
      <c r="N7" s="415" t="str">
        <f ca="1">CONCATENATE("Their current mood is ",INDEX('NPC''s'!$R$106:$R$125,RANDBETWEEN(1,20)),". When calm, they are ",INDEX('NPC''s'!$P$106:$P$137,RANDBETWEEN(1,32)),", and when stressed they are ",INDEX('NPC''s'!$Q$106:$Q$137,RANDBETWEEN(1,32)))</f>
        <v>Their current mood is HOPEFUL. When calm, they are ASSERTIVE, and when stressed they are SARCASTIC</v>
      </c>
      <c r="O7" s="415"/>
      <c r="P7" s="415"/>
      <c r="Q7" s="415"/>
      <c r="R7" s="415"/>
      <c r="S7" s="415"/>
      <c r="T7" s="416"/>
      <c r="U7" s="12"/>
      <c r="V7" s="12"/>
    </row>
    <row r="8" spans="1:44" s="101" customFormat="1" ht="35.1" customHeight="1" thickBot="1">
      <c r="A8" s="542" t="str">
        <f>$K$36</f>
        <v>In the main entrance, you notice:</v>
      </c>
      <c r="B8" s="543"/>
      <c r="C8" s="544"/>
      <c r="D8" s="691" t="str">
        <f ca="1">INDEX($K$37:$K$56,RANDBETWEEN(1,20))</f>
        <v>A long moan.</v>
      </c>
      <c r="E8" s="692"/>
      <c r="F8" s="692"/>
      <c r="G8" s="692"/>
      <c r="H8" s="692"/>
      <c r="I8" s="692"/>
      <c r="J8" s="693"/>
      <c r="K8" s="100"/>
      <c r="L8" s="120"/>
      <c r="M8" s="120"/>
      <c r="N8" s="120"/>
      <c r="O8" s="120"/>
      <c r="P8" s="120"/>
      <c r="Q8" s="120"/>
      <c r="T8" s="12"/>
      <c r="U8" s="12"/>
      <c r="V8" s="12"/>
    </row>
    <row r="9" spans="1:44" s="101" customFormat="1" ht="35.1" customHeight="1" thickBot="1">
      <c r="A9" s="694" t="str">
        <f>$L$36</f>
        <v xml:space="preserve">The rooms are furnished with: </v>
      </c>
      <c r="B9" s="695"/>
      <c r="C9" s="696"/>
      <c r="D9" s="697" t="str">
        <f ca="1">INDEX($L$37:$L$46,RANDBETWEEN(1,10))</f>
        <v>A four-poster bed with velvet curtains.</v>
      </c>
      <c r="E9" s="698"/>
      <c r="F9" s="698"/>
      <c r="G9" s="698"/>
      <c r="H9" s="698"/>
      <c r="I9" s="698"/>
      <c r="J9" s="699"/>
      <c r="K9" s="120"/>
      <c r="L9" s="688" t="s">
        <v>2643</v>
      </c>
      <c r="M9" s="689"/>
      <c r="N9" s="689"/>
      <c r="O9" s="689"/>
      <c r="P9" s="689"/>
      <c r="Q9" s="690"/>
      <c r="U9" s="12"/>
      <c r="V9" s="12"/>
    </row>
    <row r="10" spans="1:44" s="101" customFormat="1" ht="35.1" customHeight="1" thickBot="1">
      <c r="K10" s="100"/>
      <c r="L10" s="149" t="str">
        <f>$N$36</f>
        <v>The harlot is:</v>
      </c>
      <c r="M10" s="686" t="str">
        <f ca="1">INDEX($N$37:$N$46,RANDBETWEEN(1,10))</f>
        <v xml:space="preserve"> A passionate young woman.</v>
      </c>
      <c r="N10" s="686"/>
      <c r="O10" s="686"/>
      <c r="P10" s="686"/>
      <c r="Q10" s="687"/>
    </row>
    <row r="11" spans="1:44" s="101" customFormat="1" ht="35.1" customHeight="1" thickBot="1">
      <c r="A11" s="167" t="str">
        <f ca="1">INDEX($B$37:$B$236,RANDBETWEEN(1,200))</f>
        <v>The Missing Sausage.</v>
      </c>
      <c r="B11" s="164"/>
      <c r="C11" s="164"/>
      <c r="D11" s="164"/>
      <c r="E11" s="164"/>
      <c r="F11" s="164"/>
      <c r="G11" s="164"/>
      <c r="H11" s="164"/>
      <c r="I11" s="164"/>
      <c r="J11" s="165"/>
      <c r="K11" s="100"/>
      <c r="L11" s="150" t="str">
        <f>$O$36</f>
        <v>Her most striking feature:</v>
      </c>
      <c r="M11" s="680" t="str">
        <f ca="1">INDEX($O$37:$O$46,RANDBETWEEN(1,6))</f>
        <v>Lovely, long eyelashes.</v>
      </c>
      <c r="N11" s="680"/>
      <c r="O11" s="680"/>
      <c r="P11" s="680"/>
      <c r="Q11" s="681"/>
    </row>
    <row r="12" spans="1:44" s="101" customFormat="1" ht="35.1" customHeight="1">
      <c r="A12" s="682" t="str">
        <f>$C$36</f>
        <v xml:space="preserve">The brothel is located: </v>
      </c>
      <c r="B12" s="683"/>
      <c r="C12" s="684"/>
      <c r="D12" s="560" t="str">
        <f ca="1">INDEX($C$37:$C$56,RANDBETWEEN(1,20))</f>
        <v>Underground.</v>
      </c>
      <c r="E12" s="685"/>
      <c r="F12" s="685"/>
      <c r="G12" s="685"/>
      <c r="H12" s="685"/>
      <c r="I12" s="685"/>
      <c r="J12" s="561"/>
      <c r="K12" s="100"/>
      <c r="L12" s="150" t="str">
        <f>$Q$36</f>
        <v>She is beautiful, but has:</v>
      </c>
      <c r="M12" s="680" t="str">
        <f ca="1">INDEX($Q$37:$Q$46,RANDBETWEEN(1,8))</f>
        <v>A gimpy leg.</v>
      </c>
      <c r="N12" s="680"/>
      <c r="O12" s="680"/>
      <c r="P12" s="680"/>
      <c r="Q12" s="681"/>
    </row>
    <row r="13" spans="1:44" s="101" customFormat="1" ht="35.1" customHeight="1">
      <c r="A13" s="542" t="s">
        <v>2471</v>
      </c>
      <c r="B13" s="543"/>
      <c r="C13" s="544"/>
      <c r="D13" s="691" t="str">
        <f ca="1">INDEX($F$37:$F$44,RANDBETWEEN(1,8))</f>
        <v>A collective of the inmates themselves.</v>
      </c>
      <c r="E13" s="692"/>
      <c r="F13" s="692"/>
      <c r="G13" s="692"/>
      <c r="H13" s="692"/>
      <c r="I13" s="692"/>
      <c r="J13" s="693"/>
      <c r="K13" s="100"/>
      <c r="L13" s="150" t="str">
        <f>$R$36</f>
        <v>Her flaw is that she is:</v>
      </c>
      <c r="M13" s="680" t="str">
        <f ca="1">INDEX($R$37:$R$46,RANDBETWEEN(1,4))</f>
        <v>Something you can look past.</v>
      </c>
      <c r="N13" s="680"/>
      <c r="O13" s="680"/>
      <c r="P13" s="680"/>
      <c r="Q13" s="681"/>
      <c r="AR13" s="77"/>
    </row>
    <row r="14" spans="1:44" s="101" customFormat="1" ht="35.1" customHeight="1">
      <c r="A14" s="542" t="str">
        <f>$D$36</f>
        <v xml:space="preserve">In addition to the "usual" fare, you can also procure: </v>
      </c>
      <c r="B14" s="543"/>
      <c r="C14" s="544"/>
      <c r="D14" s="691" t="str">
        <f ca="1">INDEX($D$37:$D$46,RANDBETWEEN(1,10))</f>
        <v>Really weird stuff, for those with the most interesting fetishes.</v>
      </c>
      <c r="E14" s="692"/>
      <c r="F14" s="692"/>
      <c r="G14" s="692"/>
      <c r="H14" s="692"/>
      <c r="I14" s="692"/>
      <c r="J14" s="693"/>
      <c r="K14" s="100"/>
      <c r="L14" s="150" t="str">
        <f>$S$36</f>
        <v>She is particularly skilled at:</v>
      </c>
      <c r="M14" s="680" t="str">
        <f ca="1">INDEX($S$37:$S$46,RANDBETWEEN(1,6))</f>
        <v xml:space="preserve"> Listening and offering emotional support.</v>
      </c>
      <c r="N14" s="680"/>
      <c r="O14" s="680"/>
      <c r="P14" s="680"/>
      <c r="Q14" s="681"/>
      <c r="AR14" s="77"/>
    </row>
    <row r="15" spans="1:44" s="77" customFormat="1" ht="35.1" customHeight="1" thickBot="1">
      <c r="A15" s="542" t="s">
        <v>2477</v>
      </c>
      <c r="B15" s="543"/>
      <c r="C15" s="544"/>
      <c r="D15" s="691" t="str">
        <f ca="1">CONCATENATE("To Eat: ",INDEX($G$37:$G$48,RANDBETWEEN(1,12)), " To Drink: ",INDEX($H$37:$H$44,RANDBETWEEN(1,8)))</f>
        <v>To Eat: Peasant food. To Drink: Mead.</v>
      </c>
      <c r="E15" s="692"/>
      <c r="F15" s="692"/>
      <c r="G15" s="692"/>
      <c r="H15" s="692"/>
      <c r="I15" s="692"/>
      <c r="J15" s="693"/>
      <c r="K15" s="100"/>
      <c r="L15" s="151" t="str">
        <f>$T$36</f>
        <v>She is looking to:</v>
      </c>
      <c r="M15" s="678" t="str">
        <f ca="1">INDEX($T$37:$T$46,RANDBETWEEN(1,8))</f>
        <v>Hear word of a child given away.</v>
      </c>
      <c r="N15" s="678"/>
      <c r="O15" s="678"/>
      <c r="P15" s="678"/>
      <c r="Q15" s="679"/>
    </row>
    <row r="16" spans="1:44" s="77" customFormat="1" ht="35.1" customHeight="1" thickBot="1">
      <c r="A16" s="542" t="str">
        <f>$I$36</f>
        <v xml:space="preserve">When people talk about this place, they say: </v>
      </c>
      <c r="B16" s="543"/>
      <c r="C16" s="544"/>
      <c r="D16" s="691" t="str">
        <f ca="1">INDEX($I$37:$I$51,RANDBETWEEN(1,15))</f>
        <v>Nothing really; it’s a neighborhood brothel.</v>
      </c>
      <c r="E16" s="692"/>
      <c r="F16" s="692"/>
      <c r="G16" s="692"/>
      <c r="H16" s="692"/>
      <c r="I16" s="692"/>
      <c r="J16" s="693"/>
      <c r="K16" s="100"/>
      <c r="L16" s="152"/>
      <c r="M16" s="153"/>
      <c r="N16" s="154"/>
      <c r="O16" s="154"/>
      <c r="P16" s="154"/>
      <c r="Q16" s="155"/>
    </row>
    <row r="17" spans="1:20" s="77" customFormat="1" ht="35.1" customHeight="1">
      <c r="A17" s="542" t="str">
        <f>$J$36</f>
        <v xml:space="preserve">Rumors suggest that recently: </v>
      </c>
      <c r="B17" s="543"/>
      <c r="C17" s="544"/>
      <c r="D17" s="691" t="str">
        <f ca="1">INDEX($J$37:$J$46,RANDBETWEEN(1,10))</f>
        <v>The oldest patron, who visited the brothel every day for the last fifty years has died. A day of mourning and celebration, along with a lavish funeral is being held for him.</v>
      </c>
      <c r="E17" s="692"/>
      <c r="F17" s="692"/>
      <c r="G17" s="692"/>
      <c r="H17" s="692"/>
      <c r="I17" s="692"/>
      <c r="J17" s="693"/>
      <c r="K17" s="100"/>
      <c r="L17" s="149" t="str">
        <f>$N$36</f>
        <v>The harlot is:</v>
      </c>
      <c r="M17" s="686" t="str">
        <f ca="1">INDEX($N$37:$N$46,RANDBETWEEN(1,10))</f>
        <v xml:space="preserve"> New to the place and eager to please.</v>
      </c>
      <c r="N17" s="686"/>
      <c r="O17" s="686"/>
      <c r="P17" s="686"/>
      <c r="Q17" s="687"/>
    </row>
    <row r="18" spans="1:20" s="77" customFormat="1" ht="35.1" customHeight="1">
      <c r="A18" s="542" t="str">
        <f>$K$36</f>
        <v>In the main entrance, you notice:</v>
      </c>
      <c r="B18" s="543"/>
      <c r="C18" s="544"/>
      <c r="D18" s="691" t="str">
        <f ca="1">INDEX($K$37:$K$56,RANDBETWEEN(1,20))</f>
        <v>The soft red glow from a shaded lamp.</v>
      </c>
      <c r="E18" s="692"/>
      <c r="F18" s="692"/>
      <c r="G18" s="692"/>
      <c r="H18" s="692"/>
      <c r="I18" s="692"/>
      <c r="J18" s="693"/>
      <c r="K18" s="100"/>
      <c r="L18" s="150" t="str">
        <f>$O$36</f>
        <v>Her most striking feature:</v>
      </c>
      <c r="M18" s="680" t="str">
        <f ca="1">INDEX($O$37:$O$46,RANDBETWEEN(1,6))</f>
        <v>Lovely, long eyelashes.</v>
      </c>
      <c r="N18" s="680"/>
      <c r="O18" s="680"/>
      <c r="P18" s="680"/>
      <c r="Q18" s="681"/>
    </row>
    <row r="19" spans="1:20" s="77" customFormat="1" ht="35.1" customHeight="1" thickBot="1">
      <c r="A19" s="694" t="str">
        <f>$L$36</f>
        <v xml:space="preserve">The rooms are furnished with: </v>
      </c>
      <c r="B19" s="695"/>
      <c r="C19" s="696"/>
      <c r="D19" s="697" t="str">
        <f ca="1">INDEX($L$37:$L$46,RANDBETWEEN(1,10))</f>
        <v>A table with fruit and wine set upon it.</v>
      </c>
      <c r="E19" s="698"/>
      <c r="F19" s="698"/>
      <c r="G19" s="698"/>
      <c r="H19" s="698"/>
      <c r="I19" s="698"/>
      <c r="J19" s="699"/>
      <c r="K19" s="100"/>
      <c r="L19" s="150" t="str">
        <f>$Q$36</f>
        <v>She is beautiful, but has:</v>
      </c>
      <c r="M19" s="680" t="str">
        <f ca="1">INDEX($Q$37:$Q$46,RANDBETWEEN(1,8))</f>
        <v>Crooked teeth.</v>
      </c>
      <c r="N19" s="680"/>
      <c r="O19" s="680"/>
      <c r="P19" s="680"/>
      <c r="Q19" s="681"/>
    </row>
    <row r="20" spans="1:20" s="77" customFormat="1" ht="35.1" customHeight="1" thickBot="1">
      <c r="A20" s="166"/>
      <c r="B20" s="166"/>
      <c r="C20" s="166"/>
      <c r="D20" s="109"/>
      <c r="E20" s="109"/>
      <c r="F20" s="109"/>
      <c r="G20" s="109"/>
      <c r="H20" s="109"/>
      <c r="I20" s="109"/>
      <c r="J20" s="109"/>
      <c r="K20" s="100"/>
      <c r="L20" s="150" t="str">
        <f>$R$36</f>
        <v>Her flaw is that she is:</v>
      </c>
      <c r="M20" s="680" t="str">
        <f ca="1">INDEX($R$37:$R$46,RANDBETWEEN(1,4))</f>
        <v>Something you can look past.</v>
      </c>
      <c r="N20" s="680"/>
      <c r="O20" s="680"/>
      <c r="P20" s="680"/>
      <c r="Q20" s="681"/>
    </row>
    <row r="21" spans="1:20" s="77" customFormat="1" ht="35.1" customHeight="1">
      <c r="A21" s="597" t="s">
        <v>2468</v>
      </c>
      <c r="B21" s="93" t="s">
        <v>2416</v>
      </c>
      <c r="C21" s="426" t="str">
        <f ca="1">CONCATENATE(INDEX('NPC''s'!$I$106:$I$115,RANDBETWEEN(1,10))," in stature, with a ",INDEX('NPC''s'!$J$106:$J$125,RANDBETWEEN(1,20))," body, and ",INDEX('NPC''s'!$K$106:$K$111,RANDBETWEEN(1,6)))</f>
        <v>UNUSUALLY TALL in stature, with a WIDE AND PONDEROUS body, and ROUGH HANDS.</v>
      </c>
      <c r="D21" s="426"/>
      <c r="E21" s="426"/>
      <c r="F21" s="426"/>
      <c r="G21" s="426"/>
      <c r="H21" s="426"/>
      <c r="I21" s="427"/>
      <c r="J21" s="109"/>
      <c r="K21" s="100"/>
      <c r="L21" s="150" t="str">
        <f>$S$36</f>
        <v>She is particularly skilled at:</v>
      </c>
      <c r="M21" s="680" t="str">
        <f ca="1">INDEX($S$37:$S$46,RANDBETWEEN(1,6))</f>
        <v>Drinking and swearing.</v>
      </c>
      <c r="N21" s="680"/>
      <c r="O21" s="680"/>
      <c r="P21" s="680"/>
      <c r="Q21" s="681"/>
    </row>
    <row r="22" spans="1:20" s="77" customFormat="1" ht="35.1" customHeight="1" thickBot="1">
      <c r="A22" s="598"/>
      <c r="B22" s="94" t="s">
        <v>2415</v>
      </c>
      <c r="C22" s="422" t="str">
        <f ca="1">CONCATENATE(INDEX('NPC''s'!$B$106:$B$125,RANDBETWEEN(1,20)),", ",INDEX('NPC''s'!$C$106:$C$117,RANDBETWEEN(1,12)),", and ",INDEX('NPC''s'!$D$106:$D$115,RANDBETWEEN(1,10)),". They have ",INDEX('NPC''s'!$H$106:$H$113,RANDBETWEEN(1,8)),", ",INDEX('NPC''s'!$E$106:$E$117,RANDBETWEEN(1,12)),", ",INDEX('NPC''s'!$F$106:$F$113,RANDBETWEEN(1,8)),", and ",INDEX('NPC''s'!$G$106:$G$125,RANDBETWEEN(1,20)))</f>
        <v>HOODED EYES, SMALL EARS, and DRY, CRACKED LIPS. They have CHUBBY CHEEKS, A BULBOUS NOSE, A SHARP JAWLINE, and CURLY HAIR</v>
      </c>
      <c r="D22" s="422"/>
      <c r="E22" s="422"/>
      <c r="F22" s="422"/>
      <c r="G22" s="422"/>
      <c r="H22" s="422"/>
      <c r="I22" s="423"/>
      <c r="J22" s="100"/>
      <c r="K22" s="100"/>
      <c r="L22" s="151" t="str">
        <f>$T$36</f>
        <v>She is looking to:</v>
      </c>
      <c r="M22" s="678" t="str">
        <f ca="1">INDEX($T$37:$T$46,RANDBETWEEN(1,8))</f>
        <v>Hatch a plan for revenge against the man who ruined her life</v>
      </c>
      <c r="N22" s="678"/>
      <c r="O22" s="678"/>
      <c r="P22" s="678"/>
      <c r="Q22" s="679"/>
    </row>
    <row r="23" spans="1:20" s="77" customFormat="1" ht="35.1" customHeight="1" thickBot="1">
      <c r="A23" s="598"/>
      <c r="B23" s="94" t="s">
        <v>2417</v>
      </c>
      <c r="C23" s="422" t="str">
        <f ca="1">CONCATENATE(INDEX('NPC''s'!$M$106:$M$117,RANDBETWEEN(1,12)),", made of ",INDEX('NPC''s'!$N$106:$N$115,RANDBETWEEN(1,10)))</f>
        <v>TWO EARINGS, made of BRONZE</v>
      </c>
      <c r="D23" s="422"/>
      <c r="E23" s="422"/>
      <c r="F23" s="422"/>
      <c r="G23" s="422"/>
      <c r="H23" s="422"/>
      <c r="I23" s="423"/>
      <c r="J23" s="100"/>
      <c r="K23" s="100"/>
      <c r="L23" s="156"/>
      <c r="M23" s="157"/>
      <c r="N23" s="157"/>
      <c r="O23" s="157"/>
      <c r="P23" s="157"/>
      <c r="Q23" s="158"/>
    </row>
    <row r="24" spans="1:20" s="101" customFormat="1" ht="35.1" customHeight="1">
      <c r="A24" s="598"/>
      <c r="B24" s="94" t="s">
        <v>2418</v>
      </c>
      <c r="C24" s="422" t="str">
        <f ca="1">CONCATENATE(INDEX('NPC''s'!$O$106:$O$113,RANDBETWEEN(1,8)))</f>
        <v>TATTERED AND WORN</v>
      </c>
      <c r="D24" s="422"/>
      <c r="E24" s="422"/>
      <c r="F24" s="422"/>
      <c r="G24" s="422"/>
      <c r="H24" s="422"/>
      <c r="I24" s="423"/>
      <c r="J24" s="100"/>
      <c r="K24" s="100"/>
      <c r="L24" s="149" t="str">
        <f>$N$36</f>
        <v>The harlot is:</v>
      </c>
      <c r="M24" s="686" t="str">
        <f ca="1">INDEX($N$37:$N$46,RANDBETWEEN(1,10))</f>
        <v>New to the place and always in trouble.</v>
      </c>
      <c r="N24" s="686"/>
      <c r="O24" s="686"/>
      <c r="P24" s="686"/>
      <c r="Q24" s="687"/>
    </row>
    <row r="25" spans="1:20" s="101" customFormat="1" ht="35.1" customHeight="1">
      <c r="A25" s="598"/>
      <c r="B25" s="94" t="s">
        <v>2435</v>
      </c>
      <c r="C25" s="422" t="str">
        <f ca="1">CONCATENATE(INDEX('NPC''s'!$S$106:$S$113,RANDBETWEEN(1,8)))</f>
        <v>OPEN-MINDED SEEKER</v>
      </c>
      <c r="D25" s="422"/>
      <c r="E25" s="422"/>
      <c r="F25" s="422"/>
      <c r="G25" s="422"/>
      <c r="H25" s="422"/>
      <c r="I25" s="423"/>
      <c r="J25" s="100"/>
      <c r="K25" s="100"/>
      <c r="L25" s="150" t="str">
        <f>$O$36</f>
        <v>Her most striking feature:</v>
      </c>
      <c r="M25" s="680" t="str">
        <f ca="1">INDEX($O$37:$O$46,RANDBETWEEN(1,6))</f>
        <v>Beautiful eyes.</v>
      </c>
      <c r="N25" s="680"/>
      <c r="O25" s="680"/>
      <c r="P25" s="680"/>
      <c r="Q25" s="681"/>
    </row>
    <row r="26" spans="1:20" s="101" customFormat="1" ht="35.1" customHeight="1">
      <c r="A26" s="598"/>
      <c r="B26" s="94" t="s">
        <v>2420</v>
      </c>
      <c r="C26" s="422" t="str">
        <f ca="1">CONCATENATE(INDEX('NPC''s'!$T$106:$T$111,RANDBETWEEN(1,6)))</f>
        <v>BEGGARS</v>
      </c>
      <c r="D26" s="422"/>
      <c r="E26" s="422"/>
      <c r="F26" s="422"/>
      <c r="G26" s="422"/>
      <c r="H26" s="422"/>
      <c r="I26" s="423"/>
      <c r="J26" s="100"/>
      <c r="K26" s="100"/>
      <c r="L26" s="150" t="str">
        <f>$Q$36</f>
        <v>She is beautiful, but has:</v>
      </c>
      <c r="M26" s="680" t="str">
        <f ca="1">INDEX($Q$37:$Q$46,RANDBETWEEN(1,8))</f>
        <v>A large mole on her face.</v>
      </c>
      <c r="N26" s="680"/>
      <c r="O26" s="680"/>
      <c r="P26" s="680"/>
      <c r="Q26" s="681"/>
    </row>
    <row r="27" spans="1:20" s="101" customFormat="1" ht="35.1" customHeight="1" thickBot="1">
      <c r="A27" s="599"/>
      <c r="B27" s="95" t="s">
        <v>2419</v>
      </c>
      <c r="C27" s="415" t="str">
        <f ca="1">CONCATENATE("Their current mood is ",INDEX('NPC''s'!$R$106:$R$125,RANDBETWEEN(1,20)),". When calm, they are ",INDEX('NPC''s'!$P$106:$P$137,RANDBETWEEN(1,32)),", and when stressed they are ",INDEX('NPC''s'!$Q$106:$Q$137,RANDBETWEEN(1,32)))</f>
        <v>Their current mood is GLOOMY. When calm, they are SOPHISTICATED, and when stressed they are AUTHORITARIAN</v>
      </c>
      <c r="D27" s="415"/>
      <c r="E27" s="415"/>
      <c r="F27" s="415"/>
      <c r="G27" s="415"/>
      <c r="H27" s="415"/>
      <c r="I27" s="416"/>
      <c r="J27" s="100"/>
      <c r="L27" s="150" t="str">
        <f>$R$36</f>
        <v>Her flaw is that she is:</v>
      </c>
      <c r="M27" s="680" t="str">
        <f ca="1">INDEX($R$37:$R$46,RANDBETWEEN(1,4))</f>
        <v>Intimidating.</v>
      </c>
      <c r="N27" s="680"/>
      <c r="O27" s="680"/>
      <c r="P27" s="680"/>
      <c r="Q27" s="681"/>
    </row>
    <row r="28" spans="1:20" s="101" customFormat="1" ht="35.1" customHeight="1">
      <c r="L28" s="150" t="str">
        <f>$S$36</f>
        <v>She is particularly skilled at:</v>
      </c>
      <c r="M28" s="680" t="str">
        <f ca="1">INDEX($S$37:$S$46,RANDBETWEEN(1,6))</f>
        <v>Drinking and swearing.</v>
      </c>
      <c r="N28" s="680"/>
      <c r="O28" s="680"/>
      <c r="P28" s="680"/>
      <c r="Q28" s="681"/>
      <c r="T28" s="77"/>
    </row>
    <row r="29" spans="1:20" s="101" customFormat="1" ht="35.1" customHeight="1" thickBot="1">
      <c r="L29" s="151" t="str">
        <f>$T$36</f>
        <v>She is looking to:</v>
      </c>
      <c r="M29" s="678" t="str">
        <f ca="1">INDEX($T$37:$T$46,RANDBETWEEN(1,8))</f>
        <v>Hatch a plan for revenge against the man who ruined her life</v>
      </c>
      <c r="N29" s="678"/>
      <c r="O29" s="678"/>
      <c r="P29" s="678"/>
      <c r="Q29" s="679"/>
      <c r="T29" s="77"/>
    </row>
    <row r="30" spans="1:20" s="101" customFormat="1" ht="35.1" customHeight="1"/>
    <row r="31" spans="1:20" s="101" customFormat="1" ht="15.75" customHeight="1">
      <c r="A31" s="121"/>
      <c r="B31" s="100"/>
      <c r="C31" s="100"/>
      <c r="D31" s="100"/>
      <c r="E31" s="100"/>
      <c r="F31" s="100"/>
      <c r="G31" s="100"/>
      <c r="H31" s="100"/>
      <c r="I31" s="100"/>
    </row>
    <row r="32" spans="1:20" s="101" customFormat="1" ht="15.75" customHeight="1">
      <c r="A32" s="121"/>
      <c r="B32" s="100"/>
      <c r="C32" s="100"/>
      <c r="D32" s="100"/>
      <c r="E32" s="100"/>
      <c r="F32" s="100"/>
      <c r="G32" s="100"/>
      <c r="H32" s="100"/>
      <c r="I32" s="100"/>
    </row>
    <row r="33" spans="1:23" s="101" customFormat="1" ht="15.75" customHeight="1">
      <c r="A33" s="121"/>
      <c r="B33" s="100"/>
      <c r="C33" s="100"/>
      <c r="D33" s="100"/>
      <c r="E33" s="100"/>
      <c r="F33" s="100"/>
      <c r="G33" s="100"/>
      <c r="H33" s="100"/>
      <c r="I33" s="100"/>
    </row>
    <row r="34" spans="1:23" ht="20.100000000000001" customHeight="1">
      <c r="A34" s="78"/>
      <c r="B34" s="79"/>
      <c r="C34" s="79"/>
      <c r="D34" s="79"/>
      <c r="E34" s="79"/>
      <c r="F34" s="79"/>
      <c r="G34" s="79"/>
      <c r="H34" s="79"/>
      <c r="I34" s="79"/>
      <c r="J34" s="12"/>
      <c r="K34" s="12"/>
      <c r="L34" s="11"/>
      <c r="M34" s="24"/>
      <c r="N34" s="12"/>
      <c r="O34" s="41"/>
      <c r="P34" s="12"/>
      <c r="Q34" s="12"/>
      <c r="R34" s="12"/>
      <c r="S34" s="78"/>
      <c r="T34" s="12"/>
      <c r="U34" s="12"/>
      <c r="V34" s="12"/>
      <c r="W34" s="12"/>
    </row>
    <row r="35" spans="1:23" ht="20.100000000000001" customHeight="1">
      <c r="A35" s="78"/>
      <c r="B35" s="79"/>
      <c r="C35" s="79"/>
      <c r="D35" s="79"/>
      <c r="E35" s="79"/>
      <c r="F35" s="79"/>
      <c r="G35" s="79"/>
      <c r="H35" s="79"/>
      <c r="I35" s="79"/>
      <c r="J35" s="79"/>
      <c r="K35" s="79"/>
      <c r="L35" s="79"/>
      <c r="M35" s="79"/>
      <c r="N35" s="79"/>
      <c r="O35" s="41"/>
      <c r="P35" s="12"/>
      <c r="Q35" s="12"/>
      <c r="R35" s="78"/>
      <c r="S35" s="78"/>
      <c r="T35" s="12"/>
      <c r="U35" s="12"/>
      <c r="V35" s="12"/>
      <c r="W35" s="12"/>
    </row>
    <row r="36" spans="1:23" ht="20.100000000000001" customHeight="1">
      <c r="A36" s="44"/>
      <c r="B36" s="71" t="s">
        <v>1810</v>
      </c>
      <c r="C36" s="71" t="s">
        <v>2469</v>
      </c>
      <c r="D36" s="71" t="s">
        <v>2470</v>
      </c>
      <c r="E36" s="71"/>
      <c r="F36" s="71" t="s">
        <v>2056</v>
      </c>
      <c r="G36" s="71" t="s">
        <v>1989</v>
      </c>
      <c r="H36" s="71" t="s">
        <v>2002</v>
      </c>
      <c r="I36" s="71" t="s">
        <v>2472</v>
      </c>
      <c r="J36" s="71" t="s">
        <v>2473</v>
      </c>
      <c r="K36" s="71" t="s">
        <v>2474</v>
      </c>
      <c r="L36" s="74" t="s">
        <v>2475</v>
      </c>
      <c r="M36" s="72"/>
      <c r="N36" s="143" t="s">
        <v>2641</v>
      </c>
      <c r="O36" s="144" t="s">
        <v>2644</v>
      </c>
      <c r="P36" s="144"/>
      <c r="Q36" s="144" t="s">
        <v>2645</v>
      </c>
      <c r="R36" s="144" t="s">
        <v>3805</v>
      </c>
      <c r="S36" s="144" t="s">
        <v>3806</v>
      </c>
      <c r="T36" s="148" t="s">
        <v>2646</v>
      </c>
      <c r="U36" s="12"/>
      <c r="V36" s="12"/>
      <c r="W36" s="12"/>
    </row>
    <row r="37" spans="1:23" ht="20.100000000000001" customHeight="1">
      <c r="B37" t="s">
        <v>1751</v>
      </c>
      <c r="C37" t="s">
        <v>1970</v>
      </c>
      <c r="D37" t="s">
        <v>1971</v>
      </c>
      <c r="F37" t="s">
        <v>1981</v>
      </c>
      <c r="G37" t="s">
        <v>1990</v>
      </c>
      <c r="H37" t="s">
        <v>2003</v>
      </c>
      <c r="I37" t="s">
        <v>2011</v>
      </c>
      <c r="J37" t="s">
        <v>2026</v>
      </c>
      <c r="K37" t="s">
        <v>2036</v>
      </c>
      <c r="L37" s="80" t="s">
        <v>2057</v>
      </c>
      <c r="M37" s="28"/>
      <c r="N37" s="46" t="s">
        <v>2610</v>
      </c>
      <c r="O37" s="146" t="s">
        <v>2618</v>
      </c>
      <c r="P37" s="145"/>
      <c r="Q37" s="44" t="s">
        <v>2624</v>
      </c>
      <c r="R37" s="44" t="s">
        <v>2631</v>
      </c>
      <c r="S37" s="44" t="s">
        <v>2635</v>
      </c>
      <c r="T37" s="12" t="s">
        <v>3807</v>
      </c>
      <c r="U37" s="12"/>
      <c r="V37" s="12"/>
      <c r="W37" s="12"/>
    </row>
    <row r="38" spans="1:23" ht="20.100000000000001" customHeight="1">
      <c r="B38" t="s">
        <v>1752</v>
      </c>
      <c r="C38" t="s">
        <v>1951</v>
      </c>
      <c r="D38" t="s">
        <v>1972</v>
      </c>
      <c r="F38" t="s">
        <v>1982</v>
      </c>
      <c r="G38" t="s">
        <v>1991</v>
      </c>
      <c r="H38" t="s">
        <v>2004</v>
      </c>
      <c r="I38" t="s">
        <v>2012</v>
      </c>
      <c r="J38" t="s">
        <v>2027</v>
      </c>
      <c r="K38" t="s">
        <v>2037</v>
      </c>
      <c r="L38" s="80" t="s">
        <v>2058</v>
      </c>
      <c r="M38" s="25"/>
      <c r="N38" s="46" t="s">
        <v>2108</v>
      </c>
      <c r="O38" s="146" t="s">
        <v>2619</v>
      </c>
      <c r="P38" s="145"/>
      <c r="Q38" s="44" t="s">
        <v>2625</v>
      </c>
      <c r="R38" s="44" t="s">
        <v>2632</v>
      </c>
      <c r="S38" s="44" t="s">
        <v>2636</v>
      </c>
      <c r="T38" s="12" t="s">
        <v>3808</v>
      </c>
      <c r="U38" s="12"/>
      <c r="V38" s="12"/>
      <c r="W38" s="12"/>
    </row>
    <row r="39" spans="1:23" ht="20.100000000000001" customHeight="1">
      <c r="B39" t="s">
        <v>1753</v>
      </c>
      <c r="C39" t="s">
        <v>1952</v>
      </c>
      <c r="D39" t="s">
        <v>1973</v>
      </c>
      <c r="F39" t="s">
        <v>1983</v>
      </c>
      <c r="G39" t="s">
        <v>1992</v>
      </c>
      <c r="H39" t="s">
        <v>2005</v>
      </c>
      <c r="I39" t="s">
        <v>2013</v>
      </c>
      <c r="J39" t="s">
        <v>2028</v>
      </c>
      <c r="K39" t="s">
        <v>2038</v>
      </c>
      <c r="L39" s="80" t="s">
        <v>2065</v>
      </c>
      <c r="M39" s="25"/>
      <c r="N39" s="46" t="s">
        <v>2109</v>
      </c>
      <c r="O39" s="46" t="s">
        <v>2620</v>
      </c>
      <c r="P39" s="45"/>
      <c r="Q39" s="44" t="s">
        <v>2626</v>
      </c>
      <c r="R39" s="44" t="s">
        <v>2633</v>
      </c>
      <c r="S39" s="44" t="s">
        <v>2637</v>
      </c>
      <c r="T39" s="12" t="s">
        <v>3809</v>
      </c>
      <c r="U39" s="12"/>
      <c r="V39" s="12"/>
      <c r="W39" s="12"/>
    </row>
    <row r="40" spans="1:23" ht="20.100000000000001" customHeight="1">
      <c r="B40" t="s">
        <v>1754</v>
      </c>
      <c r="C40" t="s">
        <v>1953</v>
      </c>
      <c r="D40" t="s">
        <v>1974</v>
      </c>
      <c r="F40" t="s">
        <v>1984</v>
      </c>
      <c r="G40" t="s">
        <v>1993</v>
      </c>
      <c r="H40" t="s">
        <v>2006</v>
      </c>
      <c r="I40" t="s">
        <v>2014</v>
      </c>
      <c r="J40" t="s">
        <v>2029</v>
      </c>
      <c r="K40" t="s">
        <v>2039</v>
      </c>
      <c r="L40" s="80" t="s">
        <v>2066</v>
      </c>
      <c r="M40" s="25"/>
      <c r="N40" s="46" t="s">
        <v>2611</v>
      </c>
      <c r="O40" s="46" t="s">
        <v>2621</v>
      </c>
      <c r="P40" s="45"/>
      <c r="Q40" s="44" t="s">
        <v>2122</v>
      </c>
      <c r="R40" s="44" t="s">
        <v>2634</v>
      </c>
      <c r="S40" s="44" t="s">
        <v>2638</v>
      </c>
      <c r="T40" s="12" t="s">
        <v>3810</v>
      </c>
      <c r="U40" s="12"/>
      <c r="V40" s="12"/>
      <c r="W40" s="12"/>
    </row>
    <row r="41" spans="1:23" ht="20.100000000000001" customHeight="1">
      <c r="B41" t="s">
        <v>1755</v>
      </c>
      <c r="C41" t="s">
        <v>1954</v>
      </c>
      <c r="D41" t="s">
        <v>1975</v>
      </c>
      <c r="F41" t="s">
        <v>1985</v>
      </c>
      <c r="G41" t="s">
        <v>1994</v>
      </c>
      <c r="H41" t="s">
        <v>2007</v>
      </c>
      <c r="I41" t="s">
        <v>2015</v>
      </c>
      <c r="J41" t="s">
        <v>2030</v>
      </c>
      <c r="K41" t="s">
        <v>2040</v>
      </c>
      <c r="L41" s="80" t="s">
        <v>2059</v>
      </c>
      <c r="M41" s="25"/>
      <c r="N41" s="46" t="s">
        <v>2612</v>
      </c>
      <c r="O41" s="146" t="s">
        <v>2622</v>
      </c>
      <c r="P41" s="145"/>
      <c r="Q41" s="44" t="s">
        <v>2627</v>
      </c>
      <c r="R41" s="145"/>
      <c r="S41" s="44" t="s">
        <v>2639</v>
      </c>
      <c r="T41" s="12" t="s">
        <v>3811</v>
      </c>
      <c r="U41" s="12"/>
      <c r="V41" s="12"/>
      <c r="W41" s="12"/>
    </row>
    <row r="42" spans="1:23" ht="20.100000000000001" customHeight="1">
      <c r="B42" t="s">
        <v>1756</v>
      </c>
      <c r="C42" t="s">
        <v>1955</v>
      </c>
      <c r="D42" t="s">
        <v>1976</v>
      </c>
      <c r="F42" t="s">
        <v>1986</v>
      </c>
      <c r="G42" t="s">
        <v>1995</v>
      </c>
      <c r="H42" t="s">
        <v>2008</v>
      </c>
      <c r="I42" t="s">
        <v>2016</v>
      </c>
      <c r="J42" t="s">
        <v>2031</v>
      </c>
      <c r="K42" t="s">
        <v>2041</v>
      </c>
      <c r="L42" s="80" t="s">
        <v>2060</v>
      </c>
      <c r="M42" s="25"/>
      <c r="N42" s="46" t="s">
        <v>2613</v>
      </c>
      <c r="O42" s="146" t="s">
        <v>2623</v>
      </c>
      <c r="P42" s="145"/>
      <c r="Q42" s="44" t="s">
        <v>2628</v>
      </c>
      <c r="R42" s="145"/>
      <c r="S42" s="44" t="s">
        <v>2640</v>
      </c>
      <c r="T42" s="12" t="s">
        <v>3812</v>
      </c>
      <c r="U42" s="12"/>
      <c r="V42" s="12"/>
      <c r="W42" s="12"/>
    </row>
    <row r="43" spans="1:23" ht="20.100000000000001" customHeight="1">
      <c r="B43" t="s">
        <v>1757</v>
      </c>
      <c r="C43" t="s">
        <v>1956</v>
      </c>
      <c r="D43" t="s">
        <v>1977</v>
      </c>
      <c r="F43" t="s">
        <v>1987</v>
      </c>
      <c r="G43" t="s">
        <v>1996</v>
      </c>
      <c r="H43" t="s">
        <v>2009</v>
      </c>
      <c r="I43" t="s">
        <v>2017</v>
      </c>
      <c r="J43" t="s">
        <v>2032</v>
      </c>
      <c r="K43" t="s">
        <v>2042</v>
      </c>
      <c r="L43" s="81" t="s">
        <v>2061</v>
      </c>
      <c r="M43" s="25"/>
      <c r="N43" s="146" t="s">
        <v>2614</v>
      </c>
      <c r="O43" s="147"/>
      <c r="P43" s="145"/>
      <c r="Q43" s="44" t="s">
        <v>2629</v>
      </c>
      <c r="R43" s="145"/>
      <c r="S43" s="12"/>
      <c r="T43" s="12" t="s">
        <v>3813</v>
      </c>
      <c r="U43" s="12"/>
      <c r="V43" s="12"/>
      <c r="W43" s="12"/>
    </row>
    <row r="44" spans="1:23" ht="15.95" customHeight="1">
      <c r="B44" t="s">
        <v>1758</v>
      </c>
      <c r="C44" t="s">
        <v>1957</v>
      </c>
      <c r="D44" t="s">
        <v>1978</v>
      </c>
      <c r="F44" t="s">
        <v>1988</v>
      </c>
      <c r="G44" t="s">
        <v>1997</v>
      </c>
      <c r="H44" t="s">
        <v>2010</v>
      </c>
      <c r="I44" t="s">
        <v>2018</v>
      </c>
      <c r="J44" t="s">
        <v>2033</v>
      </c>
      <c r="K44" t="s">
        <v>2043</v>
      </c>
      <c r="L44" s="80" t="s">
        <v>2062</v>
      </c>
      <c r="M44" s="28"/>
      <c r="N44" s="146" t="s">
        <v>2615</v>
      </c>
      <c r="O44" s="147"/>
      <c r="P44" s="145"/>
      <c r="Q44" s="44" t="s">
        <v>2630</v>
      </c>
      <c r="R44" s="145"/>
      <c r="S44" s="12"/>
      <c r="T44" s="12" t="s">
        <v>3814</v>
      </c>
      <c r="U44" s="12"/>
      <c r="V44" s="12"/>
      <c r="W44" s="12"/>
    </row>
    <row r="45" spans="1:23" ht="15.95" customHeight="1">
      <c r="B45" t="s">
        <v>1759</v>
      </c>
      <c r="C45" t="s">
        <v>1958</v>
      </c>
      <c r="D45" t="s">
        <v>1979</v>
      </c>
      <c r="G45" t="s">
        <v>1998</v>
      </c>
      <c r="I45" t="s">
        <v>2019</v>
      </c>
      <c r="J45" t="s">
        <v>2034</v>
      </c>
      <c r="K45" t="s">
        <v>2044</v>
      </c>
      <c r="L45" s="80" t="s">
        <v>2063</v>
      </c>
      <c r="M45" s="25"/>
      <c r="N45" s="146" t="s">
        <v>2616</v>
      </c>
      <c r="O45" s="147"/>
      <c r="P45" s="145"/>
      <c r="Q45" s="145"/>
      <c r="R45" s="145"/>
      <c r="S45" s="12"/>
      <c r="T45" s="12"/>
      <c r="U45" s="12"/>
      <c r="V45" s="12"/>
      <c r="W45" s="12"/>
    </row>
    <row r="46" spans="1:23" s="44" customFormat="1" ht="15.95" customHeight="1">
      <c r="A46"/>
      <c r="B46" t="s">
        <v>1760</v>
      </c>
      <c r="C46" t="s">
        <v>1959</v>
      </c>
      <c r="D46" t="s">
        <v>1980</v>
      </c>
      <c r="E46"/>
      <c r="F46"/>
      <c r="G46" t="s">
        <v>1999</v>
      </c>
      <c r="H46"/>
      <c r="I46" t="s">
        <v>2020</v>
      </c>
      <c r="J46" t="s">
        <v>2035</v>
      </c>
      <c r="K46" t="s">
        <v>2045</v>
      </c>
      <c r="L46" s="33" t="s">
        <v>2064</v>
      </c>
      <c r="M46" s="25"/>
      <c r="N46" s="146" t="s">
        <v>2617</v>
      </c>
      <c r="O46" s="147"/>
      <c r="P46" s="145"/>
      <c r="Q46" s="145"/>
      <c r="R46" s="146"/>
      <c r="S46" s="73"/>
      <c r="T46" s="73"/>
      <c r="U46" s="73"/>
      <c r="V46" s="73"/>
      <c r="W46" s="73"/>
    </row>
    <row r="47" spans="1:23" ht="15.95" customHeight="1">
      <c r="B47" t="s">
        <v>1761</v>
      </c>
      <c r="C47" t="s">
        <v>1960</v>
      </c>
      <c r="G47" t="s">
        <v>2000</v>
      </c>
      <c r="I47" t="s">
        <v>2021</v>
      </c>
      <c r="K47" t="s">
        <v>2046</v>
      </c>
      <c r="L47" s="29"/>
      <c r="M47" s="25"/>
      <c r="N47" s="25"/>
      <c r="S47" s="12"/>
      <c r="T47" s="12"/>
      <c r="U47" s="12"/>
      <c r="V47" s="12"/>
      <c r="W47" s="12"/>
    </row>
    <row r="48" spans="1:23" ht="15.95" customHeight="1">
      <c r="B48" t="s">
        <v>1762</v>
      </c>
      <c r="C48" t="s">
        <v>1961</v>
      </c>
      <c r="G48" t="s">
        <v>2001</v>
      </c>
      <c r="I48" t="s">
        <v>2022</v>
      </c>
      <c r="K48" t="s">
        <v>2047</v>
      </c>
      <c r="L48" s="29"/>
      <c r="M48" s="25"/>
      <c r="N48" s="25"/>
    </row>
    <row r="49" spans="2:19" ht="15.95" customHeight="1">
      <c r="B49" t="s">
        <v>1763</v>
      </c>
      <c r="C49" t="s">
        <v>1962</v>
      </c>
      <c r="I49" t="s">
        <v>2023</v>
      </c>
      <c r="K49" t="s">
        <v>2048</v>
      </c>
      <c r="L49" s="29"/>
      <c r="M49" s="25"/>
      <c r="N49" s="25"/>
      <c r="S49" s="45"/>
    </row>
    <row r="50" spans="2:19" ht="15.95" customHeight="1">
      <c r="B50" t="s">
        <v>1764</v>
      </c>
      <c r="C50" t="s">
        <v>1963</v>
      </c>
      <c r="I50" t="s">
        <v>2024</v>
      </c>
      <c r="K50" t="s">
        <v>2049</v>
      </c>
      <c r="L50" s="21"/>
      <c r="M50" s="25"/>
      <c r="N50" s="6"/>
      <c r="S50" s="45"/>
    </row>
    <row r="51" spans="2:19" ht="15.95" customHeight="1">
      <c r="B51" t="s">
        <v>1765</v>
      </c>
      <c r="C51" t="s">
        <v>1964</v>
      </c>
      <c r="I51" t="s">
        <v>2025</v>
      </c>
      <c r="K51" t="s">
        <v>2050</v>
      </c>
    </row>
    <row r="52" spans="2:19" ht="15.95" customHeight="1">
      <c r="B52" t="s">
        <v>1766</v>
      </c>
      <c r="C52" t="s">
        <v>1965</v>
      </c>
      <c r="K52" t="s">
        <v>2051</v>
      </c>
    </row>
    <row r="53" spans="2:19" ht="15.95" customHeight="1">
      <c r="B53" t="s">
        <v>1767</v>
      </c>
      <c r="C53" t="s">
        <v>1966</v>
      </c>
      <c r="K53" t="s">
        <v>2052</v>
      </c>
      <c r="R53" s="44"/>
    </row>
    <row r="54" spans="2:19" ht="15.95" customHeight="1">
      <c r="B54" t="s">
        <v>1768</v>
      </c>
      <c r="C54" t="s">
        <v>1967</v>
      </c>
      <c r="K54" t="s">
        <v>2053</v>
      </c>
    </row>
    <row r="55" spans="2:19" ht="15.95" customHeight="1">
      <c r="B55" t="s">
        <v>1769</v>
      </c>
      <c r="C55" t="s">
        <v>1968</v>
      </c>
      <c r="K55" t="s">
        <v>2054</v>
      </c>
    </row>
    <row r="56" spans="2:19" ht="15.95" customHeight="1">
      <c r="B56" t="s">
        <v>1770</v>
      </c>
      <c r="C56" t="s">
        <v>1969</v>
      </c>
      <c r="K56" t="s">
        <v>2055</v>
      </c>
    </row>
    <row r="57" spans="2:19" ht="15.95" customHeight="1">
      <c r="B57" t="s">
        <v>1771</v>
      </c>
    </row>
    <row r="58" spans="2:19" ht="15.95" customHeight="1">
      <c r="B58" t="s">
        <v>1772</v>
      </c>
    </row>
    <row r="59" spans="2:19" ht="15.95" customHeight="1">
      <c r="B59" t="s">
        <v>1773</v>
      </c>
    </row>
    <row r="60" spans="2:19" ht="15.95" customHeight="1">
      <c r="B60" s="46" t="s">
        <v>1774</v>
      </c>
    </row>
    <row r="61" spans="2:19" ht="15.95" customHeight="1">
      <c r="B61" s="46" t="s">
        <v>1775</v>
      </c>
    </row>
    <row r="62" spans="2:19" ht="15.95" customHeight="1">
      <c r="B62" s="46" t="s">
        <v>1776</v>
      </c>
      <c r="R62" s="44"/>
    </row>
    <row r="63" spans="2:19" ht="15.95" customHeight="1">
      <c r="B63" s="46" t="s">
        <v>1777</v>
      </c>
    </row>
    <row r="64" spans="2:19" ht="15.95" customHeight="1">
      <c r="B64" s="46" t="s">
        <v>1778</v>
      </c>
    </row>
    <row r="65" spans="2:18" ht="15.95" customHeight="1">
      <c r="B65" s="46" t="s">
        <v>1779</v>
      </c>
    </row>
    <row r="66" spans="2:18" ht="15.95" customHeight="1">
      <c r="B66" s="46" t="s">
        <v>1780</v>
      </c>
    </row>
    <row r="67" spans="2:18" ht="15.95" customHeight="1">
      <c r="B67" s="46" t="s">
        <v>1781</v>
      </c>
      <c r="R67" s="44"/>
    </row>
    <row r="68" spans="2:18" ht="15.95" customHeight="1">
      <c r="B68" s="46" t="s">
        <v>1782</v>
      </c>
    </row>
    <row r="69" spans="2:18" ht="15.95" customHeight="1">
      <c r="B69" s="46" t="s">
        <v>1783</v>
      </c>
    </row>
    <row r="70" spans="2:18" ht="15.95" customHeight="1" outlineLevel="1">
      <c r="B70" s="46" t="s">
        <v>1784</v>
      </c>
    </row>
    <row r="71" spans="2:18" ht="15.95" customHeight="1" outlineLevel="1">
      <c r="B71" s="46" t="s">
        <v>1785</v>
      </c>
    </row>
    <row r="72" spans="2:18" ht="15.95" customHeight="1" outlineLevel="1">
      <c r="B72" s="46" t="s">
        <v>1786</v>
      </c>
    </row>
    <row r="73" spans="2:18" ht="15.95" customHeight="1" outlineLevel="1">
      <c r="B73" s="46" t="s">
        <v>1787</v>
      </c>
    </row>
    <row r="74" spans="2:18" ht="15.95" customHeight="1" outlineLevel="1">
      <c r="B74" s="46" t="s">
        <v>1788</v>
      </c>
    </row>
    <row r="75" spans="2:18" ht="15.95" customHeight="1" outlineLevel="1">
      <c r="B75" s="46" t="s">
        <v>1789</v>
      </c>
    </row>
    <row r="76" spans="2:18" ht="15.95" customHeight="1" outlineLevel="1">
      <c r="B76" s="46" t="s">
        <v>1790</v>
      </c>
    </row>
    <row r="77" spans="2:18" ht="15.95" customHeight="1" outlineLevel="1">
      <c r="B77" s="46" t="s">
        <v>1791</v>
      </c>
    </row>
    <row r="78" spans="2:18" ht="15.95" customHeight="1" outlineLevel="1">
      <c r="B78" s="46" t="s">
        <v>1792</v>
      </c>
    </row>
    <row r="79" spans="2:18" ht="15.95" customHeight="1" outlineLevel="1">
      <c r="B79" s="46" t="s">
        <v>1793</v>
      </c>
    </row>
    <row r="80" spans="2:18" ht="15.95" customHeight="1" outlineLevel="1">
      <c r="B80" s="46" t="s">
        <v>1794</v>
      </c>
    </row>
    <row r="81" spans="2:2" ht="15.95" customHeight="1" outlineLevel="1">
      <c r="B81" s="46" t="s">
        <v>1795</v>
      </c>
    </row>
    <row r="82" spans="2:2" ht="15.95" customHeight="1" outlineLevel="1">
      <c r="B82" s="46" t="s">
        <v>1796</v>
      </c>
    </row>
    <row r="83" spans="2:2" ht="15.95" customHeight="1" outlineLevel="1">
      <c r="B83" s="46" t="s">
        <v>1797</v>
      </c>
    </row>
    <row r="84" spans="2:2" ht="15.95" customHeight="1" outlineLevel="1">
      <c r="B84" s="46" t="s">
        <v>1798</v>
      </c>
    </row>
    <row r="85" spans="2:2" ht="15.95" customHeight="1" outlineLevel="1">
      <c r="B85" s="46" t="s">
        <v>1799</v>
      </c>
    </row>
    <row r="86" spans="2:2" ht="15.95" customHeight="1" outlineLevel="1">
      <c r="B86" s="46" t="s">
        <v>1800</v>
      </c>
    </row>
    <row r="87" spans="2:2" ht="15.95" customHeight="1" outlineLevel="1">
      <c r="B87" s="46" t="s">
        <v>1801</v>
      </c>
    </row>
    <row r="88" spans="2:2" ht="15.95" customHeight="1" outlineLevel="1">
      <c r="B88" s="46" t="s">
        <v>1802</v>
      </c>
    </row>
    <row r="89" spans="2:2" ht="15.95" customHeight="1" outlineLevel="1">
      <c r="B89" s="46" t="s">
        <v>1803</v>
      </c>
    </row>
    <row r="90" spans="2:2" ht="15.95" customHeight="1" outlineLevel="1">
      <c r="B90" s="46" t="s">
        <v>1804</v>
      </c>
    </row>
    <row r="91" spans="2:2" ht="15.95" customHeight="1" outlineLevel="1">
      <c r="B91" s="46" t="s">
        <v>1805</v>
      </c>
    </row>
    <row r="92" spans="2:2" ht="15.95" customHeight="1" outlineLevel="1">
      <c r="B92" s="46" t="s">
        <v>1806</v>
      </c>
    </row>
    <row r="93" spans="2:2" ht="15.95" customHeight="1" outlineLevel="1">
      <c r="B93" s="46" t="s">
        <v>1807</v>
      </c>
    </row>
    <row r="94" spans="2:2" ht="15.95" customHeight="1" outlineLevel="1">
      <c r="B94" s="46" t="s">
        <v>1808</v>
      </c>
    </row>
    <row r="95" spans="2:2" ht="15.95" customHeight="1" outlineLevel="1">
      <c r="B95" s="46" t="s">
        <v>1809</v>
      </c>
    </row>
    <row r="96" spans="2:2" ht="15.95" customHeight="1" outlineLevel="1">
      <c r="B96" s="46" t="s">
        <v>1810</v>
      </c>
    </row>
    <row r="97" spans="2:2" ht="15.95" customHeight="1" outlineLevel="1">
      <c r="B97" s="46" t="s">
        <v>1811</v>
      </c>
    </row>
    <row r="98" spans="2:2" ht="15.95" customHeight="1" outlineLevel="1">
      <c r="B98" s="46" t="s">
        <v>1812</v>
      </c>
    </row>
    <row r="99" spans="2:2" ht="15.95" customHeight="1" outlineLevel="1">
      <c r="B99" s="46" t="s">
        <v>1813</v>
      </c>
    </row>
    <row r="100" spans="2:2" ht="15.95" customHeight="1" outlineLevel="1">
      <c r="B100" s="46" t="s">
        <v>1814</v>
      </c>
    </row>
    <row r="101" spans="2:2" ht="15.95" customHeight="1" outlineLevel="1">
      <c r="B101" s="46" t="s">
        <v>1815</v>
      </c>
    </row>
    <row r="102" spans="2:2" ht="15.95" customHeight="1" outlineLevel="1">
      <c r="B102" s="46" t="s">
        <v>1816</v>
      </c>
    </row>
    <row r="103" spans="2:2" ht="15.95" customHeight="1" outlineLevel="1">
      <c r="B103" s="46" t="s">
        <v>1817</v>
      </c>
    </row>
    <row r="104" spans="2:2" ht="15.95" customHeight="1" outlineLevel="1">
      <c r="B104" s="46" t="s">
        <v>1818</v>
      </c>
    </row>
    <row r="105" spans="2:2" ht="15.95" customHeight="1" outlineLevel="1">
      <c r="B105" s="46" t="s">
        <v>1819</v>
      </c>
    </row>
    <row r="106" spans="2:2" ht="15.95" customHeight="1" outlineLevel="1">
      <c r="B106" s="46" t="s">
        <v>1820</v>
      </c>
    </row>
    <row r="107" spans="2:2" ht="15.95" customHeight="1" outlineLevel="1">
      <c r="B107" s="46" t="s">
        <v>1821</v>
      </c>
    </row>
    <row r="108" spans="2:2" ht="15.95" customHeight="1" outlineLevel="1">
      <c r="B108" s="46" t="s">
        <v>1822</v>
      </c>
    </row>
    <row r="109" spans="2:2" ht="15.95" customHeight="1" outlineLevel="1">
      <c r="B109" s="46" t="s">
        <v>1823</v>
      </c>
    </row>
    <row r="110" spans="2:2" ht="15.95" customHeight="1" outlineLevel="1">
      <c r="B110" s="46" t="s">
        <v>1824</v>
      </c>
    </row>
    <row r="111" spans="2:2" ht="15.95" customHeight="1" outlineLevel="1">
      <c r="B111" s="46" t="s">
        <v>1825</v>
      </c>
    </row>
    <row r="112" spans="2:2" ht="15.95" customHeight="1" outlineLevel="1">
      <c r="B112" s="46" t="s">
        <v>1826</v>
      </c>
    </row>
    <row r="113" spans="2:2" ht="15.95" customHeight="1" outlineLevel="1">
      <c r="B113" s="46" t="s">
        <v>1827</v>
      </c>
    </row>
    <row r="114" spans="2:2" ht="15.95" customHeight="1" outlineLevel="1">
      <c r="B114" s="46" t="s">
        <v>1828</v>
      </c>
    </row>
    <row r="115" spans="2:2" ht="15.95" customHeight="1" outlineLevel="1">
      <c r="B115" s="46" t="s">
        <v>1829</v>
      </c>
    </row>
    <row r="116" spans="2:2" ht="15.95" customHeight="1" outlineLevel="1">
      <c r="B116" s="46" t="s">
        <v>1830</v>
      </c>
    </row>
    <row r="117" spans="2:2" ht="15.95" customHeight="1" outlineLevel="1">
      <c r="B117" s="46" t="s">
        <v>1831</v>
      </c>
    </row>
    <row r="118" spans="2:2" ht="15.95" customHeight="1" outlineLevel="1">
      <c r="B118" s="46" t="s">
        <v>1832</v>
      </c>
    </row>
    <row r="119" spans="2:2" ht="15.95" customHeight="1" outlineLevel="1">
      <c r="B119" s="46" t="s">
        <v>1833</v>
      </c>
    </row>
    <row r="120" spans="2:2" ht="15.95" customHeight="1" outlineLevel="1">
      <c r="B120" s="46" t="s">
        <v>1834</v>
      </c>
    </row>
    <row r="121" spans="2:2" ht="15.95" customHeight="1" outlineLevel="1">
      <c r="B121" s="46" t="s">
        <v>1835</v>
      </c>
    </row>
    <row r="122" spans="2:2" ht="15.95" customHeight="1" outlineLevel="1">
      <c r="B122" s="46" t="s">
        <v>1836</v>
      </c>
    </row>
    <row r="123" spans="2:2" ht="15.95" customHeight="1" outlineLevel="1">
      <c r="B123" s="46" t="s">
        <v>1837</v>
      </c>
    </row>
    <row r="124" spans="2:2" ht="15.95" customHeight="1" outlineLevel="1">
      <c r="B124" s="46" t="s">
        <v>1838</v>
      </c>
    </row>
    <row r="125" spans="2:2" ht="15.95" customHeight="1" outlineLevel="1">
      <c r="B125" s="46" t="s">
        <v>1839</v>
      </c>
    </row>
    <row r="126" spans="2:2" ht="15.95" customHeight="1" outlineLevel="1">
      <c r="B126" s="46" t="s">
        <v>1840</v>
      </c>
    </row>
    <row r="127" spans="2:2" ht="15.95" customHeight="1" outlineLevel="1">
      <c r="B127" s="46" t="s">
        <v>1841</v>
      </c>
    </row>
    <row r="128" spans="2:2" ht="15.95" customHeight="1" outlineLevel="1">
      <c r="B128" s="46" t="s">
        <v>1842</v>
      </c>
    </row>
    <row r="129" spans="2:2" ht="15.95" customHeight="1" outlineLevel="1">
      <c r="B129" s="46" t="s">
        <v>1843</v>
      </c>
    </row>
    <row r="130" spans="2:2" ht="15.95" customHeight="1" outlineLevel="1">
      <c r="B130" s="46" t="s">
        <v>1844</v>
      </c>
    </row>
    <row r="131" spans="2:2" ht="15.95" customHeight="1" outlineLevel="1">
      <c r="B131" s="46" t="s">
        <v>1845</v>
      </c>
    </row>
    <row r="132" spans="2:2" ht="15.95" customHeight="1" outlineLevel="1">
      <c r="B132" s="46" t="s">
        <v>1846</v>
      </c>
    </row>
    <row r="133" spans="2:2" ht="15.95" customHeight="1" outlineLevel="1">
      <c r="B133" s="46" t="s">
        <v>1847</v>
      </c>
    </row>
    <row r="134" spans="2:2" ht="15.95" customHeight="1" outlineLevel="1">
      <c r="B134" s="46" t="s">
        <v>1848</v>
      </c>
    </row>
    <row r="135" spans="2:2" ht="15.95" customHeight="1" outlineLevel="1">
      <c r="B135" s="46" t="s">
        <v>1849</v>
      </c>
    </row>
    <row r="136" spans="2:2" ht="15.95" customHeight="1" outlineLevel="1">
      <c r="B136" s="46" t="s">
        <v>1850</v>
      </c>
    </row>
    <row r="137" spans="2:2" ht="15.95" customHeight="1" outlineLevel="1">
      <c r="B137" s="46" t="s">
        <v>1851</v>
      </c>
    </row>
    <row r="138" spans="2:2" ht="15.95" customHeight="1" outlineLevel="1">
      <c r="B138" s="46" t="s">
        <v>1852</v>
      </c>
    </row>
    <row r="139" spans="2:2" ht="15.95" customHeight="1" outlineLevel="1">
      <c r="B139" s="46" t="s">
        <v>1853</v>
      </c>
    </row>
    <row r="140" spans="2:2" ht="15.95" customHeight="1" outlineLevel="1">
      <c r="B140" s="46" t="s">
        <v>1854</v>
      </c>
    </row>
    <row r="141" spans="2:2" ht="15.95" customHeight="1" outlineLevel="1">
      <c r="B141" s="46" t="s">
        <v>1855</v>
      </c>
    </row>
    <row r="142" spans="2:2" ht="15.95" customHeight="1" outlineLevel="1">
      <c r="B142" s="46" t="s">
        <v>1856</v>
      </c>
    </row>
    <row r="143" spans="2:2" ht="15.95" customHeight="1" outlineLevel="1">
      <c r="B143" s="46" t="s">
        <v>1857</v>
      </c>
    </row>
    <row r="144" spans="2:2" ht="15.95" customHeight="1" outlineLevel="1">
      <c r="B144" s="46" t="s">
        <v>1858</v>
      </c>
    </row>
    <row r="145" spans="2:2" ht="15.95" customHeight="1" outlineLevel="1">
      <c r="B145" s="46" t="s">
        <v>1859</v>
      </c>
    </row>
    <row r="146" spans="2:2" ht="15.95" customHeight="1" outlineLevel="1">
      <c r="B146" s="46" t="s">
        <v>1860</v>
      </c>
    </row>
    <row r="147" spans="2:2" ht="15.95" customHeight="1" outlineLevel="1">
      <c r="B147" s="46" t="s">
        <v>1861</v>
      </c>
    </row>
    <row r="148" spans="2:2" ht="15.95" customHeight="1" outlineLevel="1">
      <c r="B148" s="46" t="s">
        <v>1862</v>
      </c>
    </row>
    <row r="149" spans="2:2" ht="15.95" customHeight="1" outlineLevel="1">
      <c r="B149" s="46" t="s">
        <v>1863</v>
      </c>
    </row>
    <row r="150" spans="2:2" ht="15.95" customHeight="1" outlineLevel="1">
      <c r="B150" s="46" t="s">
        <v>1864</v>
      </c>
    </row>
    <row r="151" spans="2:2" ht="15.95" customHeight="1" outlineLevel="1">
      <c r="B151" s="46" t="s">
        <v>1865</v>
      </c>
    </row>
    <row r="152" spans="2:2" ht="15.95" customHeight="1" outlineLevel="1">
      <c r="B152" s="46" t="s">
        <v>1866</v>
      </c>
    </row>
    <row r="153" spans="2:2" ht="15.95" customHeight="1" outlineLevel="1">
      <c r="B153" s="46" t="s">
        <v>1867</v>
      </c>
    </row>
    <row r="154" spans="2:2" ht="15.95" customHeight="1" outlineLevel="1">
      <c r="B154" s="46" t="s">
        <v>1868</v>
      </c>
    </row>
    <row r="155" spans="2:2" ht="15.95" customHeight="1" outlineLevel="1">
      <c r="B155" s="46" t="s">
        <v>1869</v>
      </c>
    </row>
    <row r="156" spans="2:2" ht="15.95" customHeight="1" outlineLevel="1">
      <c r="B156" s="46" t="s">
        <v>1870</v>
      </c>
    </row>
    <row r="157" spans="2:2" ht="15.95" customHeight="1" outlineLevel="1">
      <c r="B157" s="46" t="s">
        <v>1871</v>
      </c>
    </row>
    <row r="158" spans="2:2" ht="15.95" customHeight="1" outlineLevel="1">
      <c r="B158" s="46" t="s">
        <v>1872</v>
      </c>
    </row>
    <row r="159" spans="2:2" ht="15.95" customHeight="1" outlineLevel="1">
      <c r="B159" s="46" t="s">
        <v>1873</v>
      </c>
    </row>
    <row r="160" spans="2:2" ht="15.95" customHeight="1" outlineLevel="1">
      <c r="B160" t="s">
        <v>1874</v>
      </c>
    </row>
    <row r="161" spans="2:15" ht="15.95" customHeight="1" outlineLevel="1">
      <c r="B161" t="s">
        <v>1875</v>
      </c>
      <c r="K161" s="1"/>
      <c r="L161" s="23"/>
      <c r="M161"/>
      <c r="N161" s="42"/>
    </row>
    <row r="162" spans="2:15" ht="15.95" customHeight="1" outlineLevel="1">
      <c r="B162" s="43" t="s">
        <v>1876</v>
      </c>
      <c r="K162" s="1"/>
      <c r="L162" s="23"/>
      <c r="M162"/>
      <c r="N162" s="42"/>
    </row>
    <row r="163" spans="2:15" ht="15.95" customHeight="1" outlineLevel="1">
      <c r="B163" s="43" t="s">
        <v>1877</v>
      </c>
      <c r="K163" s="1"/>
      <c r="L163" s="23"/>
      <c r="M163"/>
      <c r="N163" s="42"/>
    </row>
    <row r="164" spans="2:15" ht="15.95" customHeight="1" outlineLevel="1">
      <c r="B164" s="43" t="s">
        <v>1878</v>
      </c>
      <c r="K164" s="1"/>
      <c r="L164" s="23"/>
      <c r="M164"/>
      <c r="N164" s="42"/>
    </row>
    <row r="165" spans="2:15" ht="15.95" customHeight="1" outlineLevel="1">
      <c r="B165" s="43" t="s">
        <v>1879</v>
      </c>
      <c r="K165" s="1"/>
      <c r="L165" s="23"/>
      <c r="M165"/>
      <c r="N165" s="42"/>
    </row>
    <row r="166" spans="2:15" ht="15.95" customHeight="1" outlineLevel="1">
      <c r="B166" s="43" t="s">
        <v>1880</v>
      </c>
      <c r="K166" s="1"/>
      <c r="L166" s="23"/>
      <c r="M166"/>
      <c r="N166" s="42"/>
      <c r="O166"/>
    </row>
    <row r="167" spans="2:15" ht="15.95" customHeight="1" outlineLevel="1">
      <c r="B167" s="43" t="s">
        <v>1881</v>
      </c>
      <c r="K167" s="1"/>
      <c r="L167" s="23"/>
      <c r="M167"/>
      <c r="N167" s="42"/>
      <c r="O167"/>
    </row>
    <row r="168" spans="2:15" ht="15.95" customHeight="1" outlineLevel="1">
      <c r="B168" s="43" t="s">
        <v>1882</v>
      </c>
      <c r="K168" s="1"/>
      <c r="L168" s="23"/>
      <c r="M168"/>
      <c r="N168" s="42"/>
      <c r="O168"/>
    </row>
    <row r="169" spans="2:15" ht="15.95" customHeight="1" outlineLevel="1">
      <c r="B169" s="43" t="s">
        <v>1883</v>
      </c>
      <c r="K169" s="1"/>
      <c r="L169" s="23"/>
      <c r="M169"/>
      <c r="N169" s="42"/>
      <c r="O169"/>
    </row>
    <row r="170" spans="2:15" ht="15.95" customHeight="1">
      <c r="B170" s="43" t="s">
        <v>1884</v>
      </c>
      <c r="K170" s="1"/>
      <c r="L170" s="23"/>
      <c r="M170"/>
      <c r="N170" s="42"/>
      <c r="O170"/>
    </row>
    <row r="171" spans="2:15" ht="15.95" customHeight="1">
      <c r="B171" s="43" t="s">
        <v>1885</v>
      </c>
      <c r="K171" s="1"/>
      <c r="L171" s="23"/>
      <c r="M171"/>
      <c r="N171" s="42"/>
      <c r="O171"/>
    </row>
    <row r="172" spans="2:15" ht="15.95" customHeight="1">
      <c r="B172" s="43" t="s">
        <v>1886</v>
      </c>
      <c r="K172" s="1"/>
      <c r="L172" s="23"/>
      <c r="M172"/>
      <c r="N172" s="42"/>
      <c r="O172"/>
    </row>
    <row r="173" spans="2:15" ht="15.95" customHeight="1">
      <c r="B173" s="43" t="s">
        <v>1887</v>
      </c>
      <c r="K173" s="1"/>
      <c r="L173" s="23"/>
      <c r="M173"/>
      <c r="N173" s="42"/>
      <c r="O173"/>
    </row>
    <row r="174" spans="2:15" ht="15.95" customHeight="1">
      <c r="B174" s="43" t="s">
        <v>1888</v>
      </c>
      <c r="K174" s="1"/>
      <c r="L174" s="23"/>
      <c r="M174"/>
      <c r="N174" s="42"/>
      <c r="O174"/>
    </row>
    <row r="175" spans="2:15" ht="15.95" customHeight="1">
      <c r="B175" s="43" t="s">
        <v>1889</v>
      </c>
      <c r="K175" s="1"/>
      <c r="L175" s="23"/>
      <c r="M175"/>
      <c r="N175" s="42"/>
      <c r="O175"/>
    </row>
    <row r="176" spans="2:15" ht="15.95" customHeight="1">
      <c r="B176" s="43" t="s">
        <v>1890</v>
      </c>
      <c r="K176" s="1"/>
      <c r="L176" s="23"/>
      <c r="M176"/>
      <c r="N176" s="42"/>
      <c r="O176"/>
    </row>
    <row r="177" spans="2:15" ht="15.95" customHeight="1">
      <c r="B177" s="43" t="s">
        <v>1891</v>
      </c>
      <c r="K177" s="1"/>
      <c r="L177" s="23"/>
      <c r="M177"/>
      <c r="N177" s="42"/>
      <c r="O177"/>
    </row>
    <row r="178" spans="2:15" ht="15.95" customHeight="1">
      <c r="B178" s="43" t="s">
        <v>1892</v>
      </c>
      <c r="K178" s="1"/>
      <c r="L178" s="23"/>
      <c r="M178"/>
      <c r="N178" s="42"/>
      <c r="O178"/>
    </row>
    <row r="179" spans="2:15" ht="15.95" customHeight="1">
      <c r="B179" s="43" t="s">
        <v>1893</v>
      </c>
      <c r="K179" s="1"/>
      <c r="L179" s="23"/>
      <c r="M179"/>
      <c r="N179" s="42"/>
      <c r="O179"/>
    </row>
    <row r="180" spans="2:15" ht="15.95" customHeight="1">
      <c r="B180" s="43" t="s">
        <v>1894</v>
      </c>
      <c r="K180" s="1"/>
      <c r="L180" s="23"/>
      <c r="M180"/>
      <c r="N180" s="42"/>
      <c r="O180"/>
    </row>
    <row r="181" spans="2:15" ht="15.95" customHeight="1">
      <c r="B181" s="43" t="s">
        <v>1895</v>
      </c>
      <c r="K181" s="1"/>
      <c r="L181" s="23"/>
      <c r="M181"/>
      <c r="N181" s="42"/>
      <c r="O181"/>
    </row>
    <row r="182" spans="2:15" ht="15.95" customHeight="1">
      <c r="B182" s="44" t="s">
        <v>1896</v>
      </c>
      <c r="K182" s="1"/>
      <c r="L182" s="23"/>
      <c r="M182"/>
      <c r="N182" s="42"/>
      <c r="O182"/>
    </row>
    <row r="183" spans="2:15" ht="15.95" customHeight="1">
      <c r="B183" s="44" t="s">
        <v>1897</v>
      </c>
      <c r="K183" s="1"/>
      <c r="L183" s="23"/>
      <c r="M183"/>
      <c r="N183" s="42"/>
      <c r="O183"/>
    </row>
    <row r="184" spans="2:15" ht="15.95" customHeight="1">
      <c r="B184" s="44" t="s">
        <v>1898</v>
      </c>
      <c r="K184" s="1"/>
      <c r="L184" s="23"/>
      <c r="M184"/>
      <c r="N184" s="42"/>
      <c r="O184"/>
    </row>
    <row r="185" spans="2:15" ht="15.95" customHeight="1">
      <c r="B185" s="44" t="s">
        <v>1899</v>
      </c>
      <c r="K185" s="1"/>
      <c r="L185" s="23"/>
      <c r="M185"/>
      <c r="N185" s="42"/>
      <c r="O185"/>
    </row>
    <row r="186" spans="2:15" ht="15.95" customHeight="1">
      <c r="B186" s="44" t="s">
        <v>1900</v>
      </c>
      <c r="K186" s="1"/>
      <c r="L186" s="23"/>
      <c r="M186"/>
      <c r="N186" s="42"/>
      <c r="O186"/>
    </row>
    <row r="187" spans="2:15" ht="15.95" customHeight="1">
      <c r="B187" s="44" t="s">
        <v>1901</v>
      </c>
      <c r="K187" s="1"/>
      <c r="L187" s="23"/>
      <c r="M187"/>
      <c r="N187" s="42"/>
      <c r="O187"/>
    </row>
    <row r="188" spans="2:15" ht="15.95" customHeight="1">
      <c r="B188" s="44" t="s">
        <v>1902</v>
      </c>
      <c r="K188" s="1"/>
      <c r="L188" s="23"/>
      <c r="M188"/>
      <c r="N188" s="42"/>
      <c r="O188"/>
    </row>
    <row r="189" spans="2:15" ht="15.95" customHeight="1">
      <c r="B189" s="44" t="s">
        <v>1903</v>
      </c>
      <c r="K189" s="1"/>
      <c r="L189" s="23"/>
      <c r="M189"/>
      <c r="N189" s="42"/>
      <c r="O189"/>
    </row>
    <row r="190" spans="2:15" ht="15.95" customHeight="1">
      <c r="B190" s="44" t="s">
        <v>1904</v>
      </c>
      <c r="K190" s="1"/>
      <c r="L190" s="23"/>
      <c r="M190"/>
      <c r="N190" s="42"/>
      <c r="O190"/>
    </row>
    <row r="191" spans="2:15" ht="15.95" customHeight="1">
      <c r="B191" s="44" t="s">
        <v>1905</v>
      </c>
      <c r="K191" s="1"/>
      <c r="L191" s="23"/>
      <c r="M191"/>
      <c r="N191" s="42"/>
      <c r="O191"/>
    </row>
    <row r="192" spans="2:15" ht="15.95" customHeight="1">
      <c r="B192" s="44" t="s">
        <v>1906</v>
      </c>
      <c r="K192" s="1"/>
      <c r="L192" s="23"/>
      <c r="M192"/>
      <c r="N192" s="42"/>
      <c r="O192"/>
    </row>
    <row r="193" spans="2:15" ht="15.95" customHeight="1">
      <c r="B193" s="44" t="s">
        <v>1907</v>
      </c>
      <c r="K193" s="1"/>
      <c r="L193" s="23"/>
      <c r="M193"/>
      <c r="N193" s="42"/>
      <c r="O193"/>
    </row>
    <row r="194" spans="2:15" ht="15.95" customHeight="1">
      <c r="B194" s="44" t="s">
        <v>1908</v>
      </c>
      <c r="K194" s="1"/>
      <c r="L194" s="23"/>
      <c r="M194"/>
      <c r="N194" s="42"/>
      <c r="O194"/>
    </row>
    <row r="195" spans="2:15" ht="15.95" customHeight="1">
      <c r="B195" s="44" t="s">
        <v>1909</v>
      </c>
      <c r="K195" s="1"/>
      <c r="L195" s="23"/>
      <c r="M195"/>
      <c r="N195" s="42"/>
      <c r="O195"/>
    </row>
    <row r="196" spans="2:15" ht="15.95" customHeight="1">
      <c r="B196" s="44" t="s">
        <v>1910</v>
      </c>
      <c r="K196" s="1"/>
      <c r="L196" s="23"/>
      <c r="M196"/>
      <c r="N196" s="42"/>
      <c r="O196"/>
    </row>
    <row r="197" spans="2:15" ht="15.95" customHeight="1">
      <c r="B197" s="44" t="s">
        <v>1911</v>
      </c>
      <c r="K197" s="1"/>
      <c r="L197" s="23"/>
      <c r="M197"/>
      <c r="N197" s="42"/>
      <c r="O197"/>
    </row>
    <row r="198" spans="2:15" ht="15.95" customHeight="1">
      <c r="B198" s="44" t="s">
        <v>1912</v>
      </c>
      <c r="K198" s="1"/>
      <c r="L198" s="23"/>
      <c r="M198"/>
      <c r="N198" s="42"/>
      <c r="O198"/>
    </row>
    <row r="199" spans="2:15" ht="15.95" customHeight="1">
      <c r="B199" s="44" t="s">
        <v>1913</v>
      </c>
      <c r="K199" s="1"/>
      <c r="L199" s="23"/>
      <c r="M199"/>
      <c r="N199" s="42"/>
      <c r="O199"/>
    </row>
    <row r="200" spans="2:15" ht="15.95" customHeight="1">
      <c r="B200" s="44" t="s">
        <v>1914</v>
      </c>
      <c r="K200" s="1"/>
      <c r="L200" s="23"/>
      <c r="M200"/>
      <c r="N200" s="42"/>
      <c r="O200"/>
    </row>
    <row r="201" spans="2:15" ht="15.95" customHeight="1">
      <c r="B201" s="44" t="s">
        <v>1915</v>
      </c>
      <c r="K201" s="1"/>
      <c r="L201" s="23"/>
      <c r="M201"/>
      <c r="N201" s="42"/>
      <c r="O201"/>
    </row>
    <row r="202" spans="2:15" ht="15.95" customHeight="1">
      <c r="B202" t="s">
        <v>1916</v>
      </c>
      <c r="O202"/>
    </row>
    <row r="203" spans="2:15" ht="15.95" customHeight="1">
      <c r="B203" t="s">
        <v>1917</v>
      </c>
      <c r="O203"/>
    </row>
    <row r="204" spans="2:15" ht="15.95" customHeight="1">
      <c r="B204" t="s">
        <v>1918</v>
      </c>
      <c r="O204"/>
    </row>
    <row r="205" spans="2:15" ht="15.95" customHeight="1">
      <c r="B205" t="s">
        <v>1919</v>
      </c>
      <c r="O205"/>
    </row>
    <row r="206" spans="2:15" ht="15.95" customHeight="1">
      <c r="B206" t="s">
        <v>1920</v>
      </c>
      <c r="O206"/>
    </row>
    <row r="207" spans="2:15" ht="15.95" customHeight="1">
      <c r="B207" t="s">
        <v>1921</v>
      </c>
    </row>
    <row r="208" spans="2:15" ht="15.95" customHeight="1">
      <c r="B208" t="s">
        <v>1922</v>
      </c>
    </row>
    <row r="209" spans="2:2" ht="15.95" customHeight="1">
      <c r="B209" t="s">
        <v>1923</v>
      </c>
    </row>
    <row r="210" spans="2:2" ht="15.95" customHeight="1">
      <c r="B210" t="s">
        <v>1924</v>
      </c>
    </row>
    <row r="211" spans="2:2" ht="15.95" customHeight="1">
      <c r="B211" t="s">
        <v>1925</v>
      </c>
    </row>
    <row r="212" spans="2:2" ht="15.95" customHeight="1">
      <c r="B212" t="s">
        <v>1926</v>
      </c>
    </row>
    <row r="213" spans="2:2" ht="15.95" customHeight="1">
      <c r="B213" t="s">
        <v>1927</v>
      </c>
    </row>
    <row r="214" spans="2:2" ht="15.95" customHeight="1">
      <c r="B214" t="s">
        <v>1928</v>
      </c>
    </row>
    <row r="215" spans="2:2" ht="15.95" customHeight="1">
      <c r="B215" t="s">
        <v>1929</v>
      </c>
    </row>
    <row r="216" spans="2:2" ht="15.95" customHeight="1">
      <c r="B216" t="s">
        <v>1930</v>
      </c>
    </row>
    <row r="217" spans="2:2" ht="15.95" customHeight="1">
      <c r="B217" t="s">
        <v>1931</v>
      </c>
    </row>
    <row r="218" spans="2:2" ht="15.95" customHeight="1">
      <c r="B218" t="s">
        <v>1932</v>
      </c>
    </row>
    <row r="219" spans="2:2" ht="15.95" customHeight="1">
      <c r="B219" t="s">
        <v>1933</v>
      </c>
    </row>
    <row r="220" spans="2:2" ht="15.95" customHeight="1">
      <c r="B220" t="s">
        <v>1934</v>
      </c>
    </row>
    <row r="221" spans="2:2" ht="15.95" customHeight="1">
      <c r="B221" t="s">
        <v>1935</v>
      </c>
    </row>
    <row r="222" spans="2:2" ht="15.95" customHeight="1">
      <c r="B222" t="s">
        <v>1936</v>
      </c>
    </row>
    <row r="223" spans="2:2" ht="15.95" customHeight="1">
      <c r="B223" t="s">
        <v>1937</v>
      </c>
    </row>
    <row r="224" spans="2:2" ht="15.95" customHeight="1">
      <c r="B224" t="s">
        <v>1938</v>
      </c>
    </row>
    <row r="225" spans="2:2" ht="15.95" customHeight="1">
      <c r="B225" t="s">
        <v>1939</v>
      </c>
    </row>
    <row r="226" spans="2:2" ht="15.95" customHeight="1">
      <c r="B226" t="s">
        <v>1940</v>
      </c>
    </row>
    <row r="227" spans="2:2" ht="15.95" customHeight="1">
      <c r="B227" t="s">
        <v>1941</v>
      </c>
    </row>
    <row r="228" spans="2:2" ht="15.95" customHeight="1">
      <c r="B228" t="s">
        <v>1942</v>
      </c>
    </row>
    <row r="229" spans="2:2">
      <c r="B229" t="s">
        <v>1943</v>
      </c>
    </row>
    <row r="230" spans="2:2">
      <c r="B230" t="s">
        <v>1944</v>
      </c>
    </row>
    <row r="231" spans="2:2">
      <c r="B231" t="s">
        <v>1945</v>
      </c>
    </row>
    <row r="232" spans="2:2">
      <c r="B232" t="s">
        <v>1946</v>
      </c>
    </row>
    <row r="233" spans="2:2">
      <c r="B233" t="s">
        <v>1947</v>
      </c>
    </row>
    <row r="234" spans="2:2">
      <c r="B234" t="s">
        <v>1948</v>
      </c>
    </row>
    <row r="235" spans="2:2">
      <c r="B235" t="s">
        <v>1949</v>
      </c>
    </row>
    <row r="236" spans="2:2">
      <c r="B236" t="s">
        <v>1950</v>
      </c>
    </row>
  </sheetData>
  <mergeCells count="67">
    <mergeCell ref="D3:J3"/>
    <mergeCell ref="D2:J2"/>
    <mergeCell ref="A4:C4"/>
    <mergeCell ref="D4:J4"/>
    <mergeCell ref="A15:C15"/>
    <mergeCell ref="D15:J15"/>
    <mergeCell ref="A2:C2"/>
    <mergeCell ref="A3:C3"/>
    <mergeCell ref="A5:C5"/>
    <mergeCell ref="A6:C6"/>
    <mergeCell ref="A7:C7"/>
    <mergeCell ref="N4:T4"/>
    <mergeCell ref="N3:T3"/>
    <mergeCell ref="N2:T2"/>
    <mergeCell ref="N1:T1"/>
    <mergeCell ref="A21:A27"/>
    <mergeCell ref="L1:L7"/>
    <mergeCell ref="N7:T7"/>
    <mergeCell ref="N6:T6"/>
    <mergeCell ref="A19:C19"/>
    <mergeCell ref="D19:J19"/>
    <mergeCell ref="D16:J16"/>
    <mergeCell ref="A17:C17"/>
    <mergeCell ref="D17:J17"/>
    <mergeCell ref="A18:C18"/>
    <mergeCell ref="D18:J18"/>
    <mergeCell ref="A13:C13"/>
    <mergeCell ref="C22:I22"/>
    <mergeCell ref="C23:I23"/>
    <mergeCell ref="C24:I24"/>
    <mergeCell ref="C25:I25"/>
    <mergeCell ref="N5:T5"/>
    <mergeCell ref="D13:J13"/>
    <mergeCell ref="A14:C14"/>
    <mergeCell ref="D14:J14"/>
    <mergeCell ref="A9:C9"/>
    <mergeCell ref="D9:J9"/>
    <mergeCell ref="A8:C8"/>
    <mergeCell ref="D8:J8"/>
    <mergeCell ref="D7:J7"/>
    <mergeCell ref="D6:J6"/>
    <mergeCell ref="D5:J5"/>
    <mergeCell ref="A16:C16"/>
    <mergeCell ref="L9:Q9"/>
    <mergeCell ref="M17:Q17"/>
    <mergeCell ref="M18:Q18"/>
    <mergeCell ref="M19:Q19"/>
    <mergeCell ref="M13:Q13"/>
    <mergeCell ref="M12:Q12"/>
    <mergeCell ref="M11:Q11"/>
    <mergeCell ref="M10:Q10"/>
    <mergeCell ref="M29:Q29"/>
    <mergeCell ref="M27:Q27"/>
    <mergeCell ref="M28:Q28"/>
    <mergeCell ref="A12:C12"/>
    <mergeCell ref="D12:J12"/>
    <mergeCell ref="M15:Q15"/>
    <mergeCell ref="M22:Q22"/>
    <mergeCell ref="M20:Q20"/>
    <mergeCell ref="M21:Q21"/>
    <mergeCell ref="M24:Q24"/>
    <mergeCell ref="M25:Q25"/>
    <mergeCell ref="M26:Q26"/>
    <mergeCell ref="M14:Q14"/>
    <mergeCell ref="C26:I26"/>
    <mergeCell ref="C27:I27"/>
    <mergeCell ref="C21:I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4"/>
  <sheetViews>
    <sheetView zoomScale="90" zoomScaleNormal="90" workbookViewId="0">
      <selection activeCell="J17" sqref="J17"/>
    </sheetView>
  </sheetViews>
  <sheetFormatPr defaultColWidth="15.7109375" defaultRowHeight="15.95" customHeight="1"/>
  <cols>
    <col min="1" max="7" width="15.7109375" style="32"/>
    <col min="8" max="8" width="6.7109375" style="32" customWidth="1"/>
    <col min="9" max="9" width="28.7109375" style="32" customWidth="1"/>
    <col min="10" max="10" width="15.7109375" style="32"/>
    <col min="11" max="11" width="19.5703125" style="32" customWidth="1"/>
    <col min="12" max="12" width="7.85546875" style="32" customWidth="1"/>
    <col min="13" max="13" width="29.140625" style="32" customWidth="1"/>
    <col min="14" max="14" width="15.7109375" style="32"/>
    <col min="15" max="15" width="20" style="32" customWidth="1"/>
    <col min="16" max="17" width="15.7109375" style="32"/>
    <col min="18" max="16384" width="15.7109375" style="65"/>
  </cols>
  <sheetData>
    <row r="1" spans="1:23" ht="30" customHeight="1" thickBot="1">
      <c r="A1" s="573" t="str">
        <f ca="1">INDEX($X$52:$X$201,RANDBETWEEN(1,150))</f>
        <v>Boulderkeep Max Security Prison</v>
      </c>
      <c r="B1" s="574"/>
      <c r="C1" s="574"/>
      <c r="D1" s="574"/>
      <c r="E1" s="574"/>
      <c r="F1" s="574"/>
      <c r="G1" s="575"/>
      <c r="H1" s="63"/>
      <c r="I1" s="555" t="s">
        <v>2651</v>
      </c>
      <c r="J1" s="556"/>
      <c r="K1" s="557"/>
      <c r="L1" s="63"/>
      <c r="M1" s="555" t="s">
        <v>2666</v>
      </c>
      <c r="N1" s="556"/>
      <c r="O1" s="557"/>
      <c r="P1" s="63"/>
      <c r="Q1" s="63"/>
      <c r="R1" s="63"/>
      <c r="S1" s="64"/>
      <c r="T1" s="64"/>
      <c r="U1" s="64"/>
      <c r="V1" s="64"/>
      <c r="W1" s="64"/>
    </row>
    <row r="2" spans="1:23" s="67" customFormat="1" ht="35.1" customHeight="1">
      <c r="A2" s="576" t="str">
        <f>B51</f>
        <v xml:space="preserve">The prison is located </v>
      </c>
      <c r="B2" s="577"/>
      <c r="C2" s="577"/>
      <c r="D2" s="627" t="str">
        <f ca="1">INDEX($B$52:$B$80,RANDBETWEEN(1,28))</f>
        <v>Below ground, in a hidden wilderness location: tundra</v>
      </c>
      <c r="E2" s="627"/>
      <c r="F2" s="627"/>
      <c r="G2" s="628"/>
      <c r="H2" s="86"/>
      <c r="I2" s="134" t="str">
        <f>N51</f>
        <v>The Jailer is:</v>
      </c>
      <c r="J2" s="562" t="str">
        <f ca="1">INDEX($N$52:$N$59,RANDBETWEEN(1,8))</f>
        <v>A bastard son of a noble house.</v>
      </c>
      <c r="K2" s="563"/>
      <c r="L2" s="86"/>
      <c r="M2" s="134" t="str">
        <f>$U$51</f>
        <v>The prisoner has:</v>
      </c>
      <c r="N2" s="562" t="str">
        <f ca="1">INDEX($U$52:$U$59,RANDBETWEEN(1,4))</f>
        <v>Skin draped loosely over their bones</v>
      </c>
      <c r="O2" s="563"/>
      <c r="P2" s="86"/>
      <c r="Q2" s="86"/>
      <c r="R2" s="66"/>
    </row>
    <row r="3" spans="1:23" s="67" customFormat="1" ht="35.1" customHeight="1" thickBot="1">
      <c r="A3" s="548" t="str">
        <f>D51</f>
        <v xml:space="preserve">The prison was built by </v>
      </c>
      <c r="B3" s="549"/>
      <c r="C3" s="549"/>
      <c r="D3" s="620" t="str">
        <f ca="1">INDEX($D$52:$D$80,RANDBETWEEN(1,8))</f>
        <v>An unscrupulous king or queen.</v>
      </c>
      <c r="E3" s="620"/>
      <c r="F3" s="620"/>
      <c r="G3" s="621"/>
      <c r="H3" s="86"/>
      <c r="I3" s="135" t="str">
        <f>O51</f>
        <v>He is concerned about:</v>
      </c>
      <c r="J3" s="560" t="str">
        <f ca="1">INDEX($O$52:$O$55,RANDBETWEEN(1,4))</f>
        <v>Facing a prisoner who creeps him out.</v>
      </c>
      <c r="K3" s="561"/>
      <c r="L3" s="86"/>
      <c r="M3" s="136" t="str">
        <f>$V$51</f>
        <v>They are here because:</v>
      </c>
      <c r="N3" s="558" t="str">
        <f ca="1">INDEX($V$52:$V$57,RANDBETWEEN(1,6))</f>
        <v>He raped someone</v>
      </c>
      <c r="O3" s="559"/>
      <c r="P3" s="86"/>
      <c r="Q3" s="86"/>
      <c r="R3" s="66"/>
    </row>
    <row r="4" spans="1:23" s="67" customFormat="1" ht="35.1" customHeight="1" thickBot="1">
      <c r="A4" s="548" t="str">
        <f>E51</f>
        <v xml:space="preserve">The complex is </v>
      </c>
      <c r="B4" s="549"/>
      <c r="C4" s="549"/>
      <c r="D4" s="620" t="str">
        <f ca="1">INDEX($E$52:$E$80,RANDBETWEEN(1,6))</f>
        <v>An endless series of long corridors.</v>
      </c>
      <c r="E4" s="620"/>
      <c r="F4" s="620"/>
      <c r="G4" s="621"/>
      <c r="H4" s="86"/>
      <c r="I4" s="135" t="str">
        <f>P51</f>
        <v>He is looking to:</v>
      </c>
      <c r="J4" s="560" t="str">
        <f ca="1">INDEX($P$52:$P$55,RANDBETWEEN(1,4))</f>
        <v>Make himself feel powerful.</v>
      </c>
      <c r="K4" s="561"/>
      <c r="L4" s="86"/>
      <c r="M4" s="159"/>
      <c r="N4" s="160"/>
      <c r="O4" s="161"/>
      <c r="P4" s="86"/>
      <c r="Q4" s="86"/>
      <c r="R4" s="66"/>
    </row>
    <row r="5" spans="1:23" s="67" customFormat="1" ht="35.1" customHeight="1" thickBot="1">
      <c r="A5" s="548" t="str">
        <f>F51</f>
        <v xml:space="preserve">The prison is surrounded by </v>
      </c>
      <c r="B5" s="549"/>
      <c r="C5" s="549"/>
      <c r="D5" s="620" t="str">
        <f ca="1">INDEX($F$52:$F$80,RANDBETWEEN(1,6))</f>
        <v>A moat filled with sharp spikes.</v>
      </c>
      <c r="E5" s="620"/>
      <c r="F5" s="620"/>
      <c r="G5" s="621"/>
      <c r="H5" s="86"/>
      <c r="I5" s="136" t="str">
        <f>Q51</f>
        <v>He carries:</v>
      </c>
      <c r="J5" s="558" t="str">
        <f ca="1">INDEX($Q$52:$Q$59,RANDBETWEEN(1,8))</f>
        <v>A large ring of keys.</v>
      </c>
      <c r="K5" s="559"/>
      <c r="L5" s="86"/>
      <c r="M5" s="134" t="str">
        <f>$U$51</f>
        <v>The prisoner has:</v>
      </c>
      <c r="N5" s="562" t="str">
        <f ca="1">INDEX($U$52:$U$59,RANDBETWEEN(1,4))</f>
        <v>A patchy beard</v>
      </c>
      <c r="O5" s="563"/>
      <c r="P5" s="86"/>
      <c r="Q5" s="86"/>
      <c r="R5" s="66"/>
    </row>
    <row r="6" spans="1:23" s="67" customFormat="1" ht="35.1" customHeight="1" thickBot="1">
      <c r="A6" s="548" t="str">
        <f>G51</f>
        <v xml:space="preserve">Prisoners are held within </v>
      </c>
      <c r="B6" s="549"/>
      <c r="C6" s="549"/>
      <c r="D6" s="620" t="str">
        <f ca="1">INDEX($G$52:$G$80,RANDBETWEEN(1,10))</f>
        <v>Cells that accommodate up to four prisoners.</v>
      </c>
      <c r="E6" s="620"/>
      <c r="F6" s="620"/>
      <c r="G6" s="621"/>
      <c r="H6" s="86"/>
      <c r="I6" s="86"/>
      <c r="J6" s="86"/>
      <c r="K6" s="86"/>
      <c r="L6" s="86"/>
      <c r="M6" s="136" t="str">
        <f>$V$51</f>
        <v>They are here because:</v>
      </c>
      <c r="N6" s="558" t="str">
        <f ca="1">INDEX($V$52:$V$57,RANDBETWEEN(1,6))</f>
        <v>They advocated rebellion and unrest</v>
      </c>
      <c r="O6" s="559"/>
      <c r="P6" s="86"/>
      <c r="Q6" s="86"/>
      <c r="R6" s="66"/>
    </row>
    <row r="7" spans="1:23" s="67" customFormat="1" ht="35.1" customHeight="1" thickBot="1">
      <c r="A7" s="548" t="str">
        <f>H51</f>
        <v xml:space="preserve">The cells are </v>
      </c>
      <c r="B7" s="549"/>
      <c r="C7" s="549"/>
      <c r="D7" s="620" t="str">
        <f ca="1">INDEX($H$52:$H$80,RANDBETWEEN(1,4))</f>
        <v>Well-maintained; the walls are solid.</v>
      </c>
      <c r="E7" s="620"/>
      <c r="F7" s="620"/>
      <c r="G7" s="621"/>
      <c r="H7" s="86"/>
      <c r="I7" s="555" t="s">
        <v>2652</v>
      </c>
      <c r="J7" s="556"/>
      <c r="K7" s="557"/>
      <c r="L7" s="86"/>
      <c r="M7" s="159"/>
      <c r="N7" s="160"/>
      <c r="O7" s="161"/>
      <c r="P7" s="86"/>
      <c r="Q7" s="86"/>
      <c r="R7" s="66"/>
    </row>
    <row r="8" spans="1:23" s="67" customFormat="1" ht="35.1" customHeight="1">
      <c r="A8" s="548" t="str">
        <f>I51</f>
        <v xml:space="preserve">Prisoners are treated </v>
      </c>
      <c r="B8" s="549"/>
      <c r="C8" s="549"/>
      <c r="D8" s="620" t="str">
        <f ca="1">INDEX($I$52:$I$80,RANDBETWEEN(1,4))</f>
        <v>Like rats; they receive terrible meals and are plagued by sickness.</v>
      </c>
      <c r="E8" s="620"/>
      <c r="F8" s="620"/>
      <c r="G8" s="621"/>
      <c r="H8" s="86"/>
      <c r="I8" s="134" t="str">
        <f>$R$51</f>
        <v>The guard took this job:</v>
      </c>
      <c r="J8" s="562" t="str">
        <f ca="1">INDEX($R$52:$R$59,RANDBETWEEN(1,6))</f>
        <v>To prove how tough he is.</v>
      </c>
      <c r="K8" s="563"/>
      <c r="L8" s="86"/>
      <c r="M8" s="134" t="str">
        <f>$U$51</f>
        <v>The prisoner has:</v>
      </c>
      <c r="N8" s="562" t="str">
        <f ca="1">INDEX($U$52:$U$59,RANDBETWEEN(1,4))</f>
        <v>Boils and sores on their skin</v>
      </c>
      <c r="O8" s="563"/>
      <c r="P8" s="86"/>
      <c r="Q8" s="86"/>
      <c r="R8" s="66"/>
    </row>
    <row r="9" spans="1:23" s="67" customFormat="1" ht="35.1" customHeight="1" thickBot="1">
      <c r="A9" s="548" t="str">
        <f>J51</f>
        <v xml:space="preserve">The prison is known for </v>
      </c>
      <c r="B9" s="549"/>
      <c r="C9" s="549"/>
      <c r="D9" s="620" t="str">
        <f ca="1">INDEX($J$52:$J$80,RANDBETWEEN(1,10))</f>
        <v>The quality of its meals.</v>
      </c>
      <c r="E9" s="620"/>
      <c r="F9" s="620"/>
      <c r="G9" s="621"/>
      <c r="H9" s="86"/>
      <c r="I9" s="136" t="str">
        <f>$S$51</f>
        <v>On his face is:</v>
      </c>
      <c r="J9" s="558" t="str">
        <f ca="1">INDEX($S$52:$S$57,RANDBETWEEN(1,6))</f>
        <v>A bushy mustache.</v>
      </c>
      <c r="K9" s="559"/>
      <c r="L9" s="86"/>
      <c r="M9" s="136" t="str">
        <f>$V$51</f>
        <v>They are here because:</v>
      </c>
      <c r="N9" s="558" t="str">
        <f ca="1">INDEX($V$52:$V$57,RANDBETWEEN(1,6))</f>
        <v>They committed an act of fraud</v>
      </c>
      <c r="O9" s="559"/>
      <c r="P9" s="86"/>
      <c r="Q9" s="86"/>
      <c r="R9" s="66"/>
    </row>
    <row r="10" spans="1:23" s="67" customFormat="1" ht="35.1" customHeight="1" thickBot="1">
      <c r="A10" s="548" t="str">
        <f>K51</f>
        <v xml:space="preserve">According to rumor, within the prison walls lies </v>
      </c>
      <c r="B10" s="549"/>
      <c r="C10" s="549"/>
      <c r="D10" s="620" t="str">
        <f ca="1">INDEX($K$52:$K$80,RANDBETWEEN(1,8))</f>
        <v>A terrible beast to which prisoners are fed.</v>
      </c>
      <c r="E10" s="620"/>
      <c r="F10" s="620"/>
      <c r="G10" s="621"/>
      <c r="H10" s="86"/>
      <c r="I10" s="159"/>
      <c r="J10" s="160"/>
      <c r="K10" s="161"/>
      <c r="L10" s="86"/>
      <c r="M10" s="159"/>
      <c r="N10" s="160"/>
      <c r="O10" s="161"/>
      <c r="P10" s="86"/>
      <c r="Q10" s="86"/>
      <c r="R10" s="66"/>
    </row>
    <row r="11" spans="1:23" s="67" customFormat="1" ht="35.1" customHeight="1" thickBot="1">
      <c r="A11" s="700" t="str">
        <f>M51</f>
        <v>Upon entering, you notice:</v>
      </c>
      <c r="B11" s="701"/>
      <c r="C11" s="701"/>
      <c r="D11" s="702" t="str">
        <f ca="1">INDEX($M$52:$M$80,RANDBETWEEN(1,20))</f>
        <v xml:space="preserve"> The clanking of chains.</v>
      </c>
      <c r="E11" s="702"/>
      <c r="F11" s="702"/>
      <c r="G11" s="703"/>
      <c r="H11" s="86"/>
      <c r="I11" s="134" t="str">
        <f>$R$51</f>
        <v>The guard took this job:</v>
      </c>
      <c r="J11" s="562" t="str">
        <f ca="1">INDEX($R$52:$R$59,RANDBETWEEN(1,6))</f>
        <v>For the steady pay.</v>
      </c>
      <c r="K11" s="563"/>
      <c r="L11" s="86"/>
      <c r="M11" s="134" t="str">
        <f>$U$51</f>
        <v>The prisoner has:</v>
      </c>
      <c r="N11" s="562" t="str">
        <f ca="1">INDEX($U$52:$U$59,RANDBETWEEN(1,4))</f>
        <v>A long scraggly beard</v>
      </c>
      <c r="O11" s="563"/>
      <c r="P11" s="86"/>
      <c r="Q11" s="86"/>
      <c r="R11" s="66"/>
    </row>
    <row r="12" spans="1:23" s="67" customFormat="1" ht="35.1" customHeight="1" thickBot="1">
      <c r="A12" s="66"/>
      <c r="B12" s="66"/>
      <c r="C12" s="66"/>
      <c r="D12" s="66"/>
      <c r="E12" s="66"/>
      <c r="F12" s="66"/>
      <c r="G12" s="66"/>
      <c r="H12" s="86"/>
      <c r="I12" s="136" t="str">
        <f>$S$51</f>
        <v>On his face is:</v>
      </c>
      <c r="J12" s="558" t="str">
        <f ca="1">INDEX($S$52:$S$57,RANDBETWEEN(1,6))</f>
        <v>a sour stare</v>
      </c>
      <c r="K12" s="559"/>
      <c r="L12" s="86"/>
      <c r="M12" s="136" t="str">
        <f>$V$51</f>
        <v>They are here because:</v>
      </c>
      <c r="N12" s="558" t="str">
        <f ca="1">INDEX($V$52:$V$57,RANDBETWEEN(1,6))</f>
        <v>They killed someone</v>
      </c>
      <c r="O12" s="559"/>
      <c r="P12" s="86"/>
      <c r="Q12" s="86"/>
      <c r="R12" s="66"/>
    </row>
    <row r="13" spans="1:23" s="67" customFormat="1" ht="35.1" customHeight="1" thickBot="1">
      <c r="A13" s="552" t="s">
        <v>2482</v>
      </c>
      <c r="B13" s="93" t="s">
        <v>2416</v>
      </c>
      <c r="C13" s="503" t="str">
        <f ca="1">CONCATENATE(INDEX('NPC''s'!$I$106:$I$115,RANDBETWEEN(1,10))," in stature, with a ",INDEX('NPC''s'!$J$106:$J$125,RANDBETWEEN(1,20))," body, and ",INDEX('NPC''s'!$K$106:$K$111,RANDBETWEEN(1,6)))</f>
        <v>SLIGHTLY ABOVE AVERAGE in stature, with a SOFT AND CHUBBY body, and ROUGH HANDS.</v>
      </c>
      <c r="D13" s="504"/>
      <c r="E13" s="504"/>
      <c r="F13" s="504"/>
      <c r="G13" s="505"/>
      <c r="H13" s="86"/>
      <c r="I13" s="159"/>
      <c r="J13" s="160"/>
      <c r="K13" s="161"/>
      <c r="L13" s="86"/>
      <c r="M13" s="159"/>
      <c r="N13" s="160"/>
      <c r="O13" s="161"/>
      <c r="P13" s="86"/>
      <c r="Q13" s="86"/>
      <c r="R13" s="66"/>
    </row>
    <row r="14" spans="1:23" s="67" customFormat="1" ht="35.1" customHeight="1">
      <c r="A14" s="553"/>
      <c r="B14" s="94" t="s">
        <v>2415</v>
      </c>
      <c r="C14" s="506" t="str">
        <f ca="1">CONCATENATE(INDEX('NPC''s'!$B$106:$B$125,RANDBETWEEN(1,20)),", ",INDEX('NPC''s'!$C$106:$C$117,RANDBETWEEN(1,12)),", and ",INDEX('NPC''s'!$D$106:$D$115,RANDBETWEEN(1,10)),". They have ",INDEX('NPC''s'!$H$106:$H$113,RANDBETWEEN(1,8)),", ",INDEX('NPC''s'!$E$106:$E$117,RANDBETWEEN(1,12)),", ",INDEX('NPC''s'!$F$106:$F$113,RANDBETWEEN(1,8)),", and ",INDEX('NPC''s'!$G$106:$G$125,RANDBETWEEN(1,20)))</f>
        <v>BEAUTIFUL EYES, UNEVEN EARS, and THIN LIPS. They have TERRIBLE SCARRING, A ROUND NOSE, A SQUARE JAW, and VERY LONG HAIR</v>
      </c>
      <c r="D14" s="507"/>
      <c r="E14" s="507"/>
      <c r="F14" s="507"/>
      <c r="G14" s="508"/>
      <c r="H14" s="86"/>
      <c r="I14" s="134" t="str">
        <f>$R$51</f>
        <v>The guard took this job:</v>
      </c>
      <c r="J14" s="562" t="str">
        <f ca="1">INDEX($R$52:$R$59,RANDBETWEEN(1,6))</f>
        <v>To help a prisoner escape.</v>
      </c>
      <c r="K14" s="563"/>
      <c r="L14" s="86"/>
      <c r="M14" s="134" t="str">
        <f>$U$51</f>
        <v>The prisoner has:</v>
      </c>
      <c r="N14" s="562" t="str">
        <f ca="1">INDEX($U$52:$U$59,RANDBETWEEN(1,4))</f>
        <v>A long scraggly beard</v>
      </c>
      <c r="O14" s="563"/>
      <c r="P14" s="86"/>
      <c r="Q14" s="86"/>
      <c r="R14" s="66"/>
    </row>
    <row r="15" spans="1:23" s="67" customFormat="1" ht="35.1" customHeight="1" thickBot="1">
      <c r="A15" s="553"/>
      <c r="B15" s="94" t="s">
        <v>2417</v>
      </c>
      <c r="C15" s="506" t="str">
        <f ca="1">CONCATENATE(INDEX('NPC''s'!$M$106:$M$117,RANDBETWEEN(1,12)),", made of ",INDEX('NPC''s'!$N$106:$N$115,RANDBETWEEN(1,10)))</f>
        <v>TWO EARINGS, made of WOOD</v>
      </c>
      <c r="D15" s="507"/>
      <c r="E15" s="507"/>
      <c r="F15" s="507"/>
      <c r="G15" s="508"/>
      <c r="H15" s="86"/>
      <c r="I15" s="136" t="str">
        <f>$S$51</f>
        <v>On his face is:</v>
      </c>
      <c r="J15" s="558" t="str">
        <f ca="1">INDEX($S$52:$S$57,RANDBETWEEN(1,6))</f>
        <v xml:space="preserve">an unsightly scar. </v>
      </c>
      <c r="K15" s="559"/>
      <c r="L15" s="86"/>
      <c r="M15" s="136" t="str">
        <f>$V$51</f>
        <v>They are here because:</v>
      </c>
      <c r="N15" s="558" t="str">
        <f ca="1">INDEX($V$52:$V$57,RANDBETWEEN(1,6))</f>
        <v>They stole something</v>
      </c>
      <c r="O15" s="559"/>
      <c r="P15" s="86"/>
      <c r="Q15" s="86"/>
      <c r="R15" s="66"/>
    </row>
    <row r="16" spans="1:23" s="67" customFormat="1" ht="35.1" customHeight="1">
      <c r="A16" s="553"/>
      <c r="B16" s="94" t="s">
        <v>2418</v>
      </c>
      <c r="C16" s="506" t="str">
        <f ca="1">CONCATENATE(INDEX('NPC''s'!$O$106:$O$113,RANDBETWEEN(1,8)))</f>
        <v>TATTERED AND WORN</v>
      </c>
      <c r="D16" s="507"/>
      <c r="E16" s="507"/>
      <c r="F16" s="507"/>
      <c r="G16" s="508"/>
      <c r="H16" s="86"/>
      <c r="I16" s="86"/>
      <c r="J16" s="86"/>
      <c r="K16" s="86"/>
      <c r="L16" s="86"/>
      <c r="M16" s="86"/>
      <c r="N16" s="86"/>
      <c r="O16" s="86"/>
      <c r="P16" s="86"/>
      <c r="Q16" s="86"/>
      <c r="R16" s="66"/>
    </row>
    <row r="17" spans="1:23" s="67" customFormat="1" ht="35.1" customHeight="1">
      <c r="A17" s="553"/>
      <c r="B17" s="94" t="s">
        <v>2435</v>
      </c>
      <c r="C17" s="506" t="str">
        <f ca="1">CONCATENATE(INDEX('NPC''s'!$S$106:$S$113,RANDBETWEEN(1,8)))</f>
        <v>BROKEN HERETIC</v>
      </c>
      <c r="D17" s="507"/>
      <c r="E17" s="507"/>
      <c r="F17" s="507"/>
      <c r="G17" s="508"/>
      <c r="H17" s="86"/>
      <c r="I17" s="86"/>
      <c r="J17" s="86"/>
      <c r="K17" s="86"/>
      <c r="L17" s="86"/>
      <c r="M17" s="86"/>
      <c r="N17" s="86"/>
      <c r="O17" s="86"/>
      <c r="P17" s="86"/>
      <c r="Q17" s="86"/>
      <c r="R17" s="66"/>
    </row>
    <row r="18" spans="1:23" ht="35.1" customHeight="1">
      <c r="A18" s="553"/>
      <c r="B18" s="94" t="s">
        <v>2420</v>
      </c>
      <c r="C18" s="506" t="str">
        <f ca="1">CONCATENATE(INDEX('NPC''s'!$T$106:$T$111,RANDBETWEEN(1,6)))</f>
        <v>RULING/AUTHORITY FIGURES</v>
      </c>
      <c r="D18" s="507"/>
      <c r="E18" s="507"/>
      <c r="F18" s="507"/>
      <c r="G18" s="508"/>
      <c r="H18" s="36"/>
      <c r="I18" s="36"/>
      <c r="J18" s="36"/>
      <c r="K18" s="63"/>
      <c r="L18" s="63"/>
      <c r="M18" s="63"/>
      <c r="N18" s="63"/>
      <c r="O18" s="63"/>
      <c r="P18" s="63"/>
      <c r="Q18" s="63"/>
      <c r="R18" s="63"/>
      <c r="S18" s="64"/>
      <c r="T18" s="64"/>
      <c r="U18" s="64"/>
      <c r="V18" s="64"/>
      <c r="W18" s="64"/>
    </row>
    <row r="19" spans="1:23" ht="35.1" customHeight="1" thickBot="1">
      <c r="A19" s="554"/>
      <c r="B19" s="95" t="s">
        <v>2419</v>
      </c>
      <c r="C19" s="509" t="str">
        <f ca="1">CONCATENATE("Their current mood is ",INDEX('NPC''s'!$R$106:$R$125,RANDBETWEEN(1,20)),". When calm, they are ",INDEX('NPC''s'!$P$106:$P$137,RANDBETWEEN(1,32)),", and when stressed they are ",INDEX('NPC''s'!$Q$106:$Q$137,RANDBETWEEN(1,32)))</f>
        <v>Their current mood is NERVOUS. When calm, they are DOUR, and when stressed they are MURDEROUS</v>
      </c>
      <c r="D19" s="510"/>
      <c r="E19" s="510"/>
      <c r="F19" s="510"/>
      <c r="G19" s="511"/>
      <c r="H19" s="61"/>
      <c r="I19" s="63"/>
      <c r="J19" s="63"/>
      <c r="K19" s="69"/>
      <c r="L19" s="61"/>
      <c r="M19" s="69"/>
      <c r="N19" s="69"/>
      <c r="O19" s="69"/>
      <c r="P19" s="69"/>
      <c r="Q19" s="69"/>
      <c r="R19" s="63"/>
      <c r="S19" s="64"/>
      <c r="T19" s="64"/>
      <c r="U19" s="64"/>
      <c r="V19" s="64"/>
      <c r="W19" s="64"/>
    </row>
    <row r="20" spans="1:23" ht="35.1" customHeight="1" thickBot="1">
      <c r="A20" s="61"/>
      <c r="B20" s="61"/>
      <c r="C20" s="61"/>
      <c r="D20" s="61"/>
      <c r="E20" s="61"/>
      <c r="F20" s="61"/>
      <c r="G20" s="61"/>
      <c r="H20" s="88"/>
      <c r="I20" s="62"/>
      <c r="J20" s="62"/>
      <c r="K20" s="62"/>
      <c r="L20" s="62"/>
      <c r="M20" s="62"/>
      <c r="N20" s="62"/>
      <c r="O20" s="62"/>
      <c r="P20" s="66"/>
      <c r="Q20" s="66"/>
      <c r="R20" s="63"/>
      <c r="S20" s="64"/>
      <c r="T20" s="64"/>
      <c r="U20" s="64"/>
      <c r="V20" s="64"/>
      <c r="W20" s="64"/>
    </row>
    <row r="21" spans="1:23" ht="35.1" customHeight="1">
      <c r="A21" s="552" t="s">
        <v>2482</v>
      </c>
      <c r="B21" s="93" t="s">
        <v>2416</v>
      </c>
      <c r="C21" s="503" t="str">
        <f ca="1">CONCATENATE(INDEX('NPC''s'!$I$106:$I$115,RANDBETWEEN(1,10))," in stature, with a ",INDEX('NPC''s'!$J$106:$J$125,RANDBETWEEN(1,20))," body, and ",INDEX('NPC''s'!$K$106:$K$111,RANDBETWEEN(1,6)))</f>
        <v>AVERAGE  in stature, with a WIDE AND PONDEROUS body, and SOFT HANDS.</v>
      </c>
      <c r="D21" s="504"/>
      <c r="E21" s="504"/>
      <c r="F21" s="504"/>
      <c r="G21" s="505"/>
      <c r="H21" s="88"/>
      <c r="I21" s="552" t="s">
        <v>2482</v>
      </c>
      <c r="J21" s="93" t="s">
        <v>2416</v>
      </c>
      <c r="K21" s="503" t="str">
        <f ca="1">CONCATENATE(INDEX('NPC''s'!$I$106:$I$115,RANDBETWEEN(1,10))," in stature, with a ",INDEX('NPC''s'!$J$106:$J$125,RANDBETWEEN(1,20))," body, and ",INDEX('NPC''s'!$K$106:$K$111,RANDBETWEEN(1,6)))</f>
        <v>AVERAGE  in stature, with a PUDGY body, and ROUGH HANDS.</v>
      </c>
      <c r="L21" s="504"/>
      <c r="M21" s="504"/>
      <c r="N21" s="504"/>
      <c r="O21" s="505"/>
      <c r="P21" s="66"/>
      <c r="Q21" s="66"/>
      <c r="R21" s="63"/>
      <c r="S21" s="64"/>
      <c r="T21" s="64"/>
      <c r="U21" s="64"/>
      <c r="V21" s="64"/>
      <c r="W21" s="64"/>
    </row>
    <row r="22" spans="1:23" ht="35.1" customHeight="1">
      <c r="A22" s="553"/>
      <c r="B22" s="94" t="s">
        <v>2415</v>
      </c>
      <c r="C22" s="506" t="str">
        <f ca="1">CONCATENATE(INDEX('NPC''s'!$B$106:$B$125,RANDBETWEEN(1,20)),", ",INDEX('NPC''s'!$C$106:$C$117,RANDBETWEEN(1,12)),", and ",INDEX('NPC''s'!$D$106:$D$115,RANDBETWEEN(1,10)),". They have ",INDEX('NPC''s'!$H$106:$H$113,RANDBETWEEN(1,8)),", ",INDEX('NPC''s'!$E$106:$E$117,RANDBETWEEN(1,12)),", ",INDEX('NPC''s'!$F$106:$F$113,RANDBETWEEN(1,8)),", and ",INDEX('NPC''s'!$G$106:$G$125,RANDBETWEEN(1,20)))</f>
        <v>WATERY EYES, JUG-HANDLE EARS, and THEIR MOUTH HANGS OPEN. They have TERRIBLE SCARRING, A LONG NOSE, A CLEFT CHIN, and WIRY HAIR</v>
      </c>
      <c r="D22" s="507"/>
      <c r="E22" s="507"/>
      <c r="F22" s="507"/>
      <c r="G22" s="508"/>
      <c r="H22" s="88"/>
      <c r="I22" s="553"/>
      <c r="J22" s="94" t="s">
        <v>2415</v>
      </c>
      <c r="K22" s="506" t="str">
        <f ca="1">CONCATENATE(INDEX('NPC''s'!$B$106:$B$125,RANDBETWEEN(1,20)),", ",INDEX('NPC''s'!$C$106:$C$117,RANDBETWEEN(1,12)),", and ",INDEX('NPC''s'!$D$106:$D$115,RANDBETWEEN(1,10)),". They have ",INDEX('NPC''s'!$H$106:$H$113,RANDBETWEEN(1,8)),", ",INDEX('NPC''s'!$E$106:$E$117,RANDBETWEEN(1,12)),", ",INDEX('NPC''s'!$F$106:$F$113,RANDBETWEEN(1,8)),", and ",INDEX('NPC''s'!$G$106:$G$125,RANDBETWEEN(1,20)))</f>
        <v>SLIGHTLY CROSSED EYES, OVER-SIZED EARS, and BROKEN/MISSING TEETH. They have HIGH CHEEKBONES, A HAWK-LIKE NOSE, A ROUNDED CHIN, and BRAIDS TIGHT AGAINST THE HEAD</v>
      </c>
      <c r="L22" s="507"/>
      <c r="M22" s="507"/>
      <c r="N22" s="507"/>
      <c r="O22" s="508"/>
      <c r="P22" s="66"/>
      <c r="Q22" s="66"/>
      <c r="R22" s="63"/>
      <c r="S22" s="64"/>
      <c r="T22" s="64"/>
      <c r="U22" s="64"/>
      <c r="V22" s="64"/>
      <c r="W22" s="64"/>
    </row>
    <row r="23" spans="1:23" ht="35.1" customHeight="1">
      <c r="A23" s="553"/>
      <c r="B23" s="94" t="s">
        <v>2417</v>
      </c>
      <c r="C23" s="506" t="str">
        <f ca="1">CONCATENATE(INDEX('NPC''s'!$M$106:$M$117,RANDBETWEEN(1,12)),", made of ",INDEX('NPC''s'!$N$106:$N$115,RANDBETWEEN(1,10)))</f>
        <v>A SMALL CHAIN AROUND NECK, made of LEATHER</v>
      </c>
      <c r="D23" s="507"/>
      <c r="E23" s="507"/>
      <c r="F23" s="507"/>
      <c r="G23" s="508"/>
      <c r="H23" s="88"/>
      <c r="I23" s="553"/>
      <c r="J23" s="94" t="s">
        <v>2417</v>
      </c>
      <c r="K23" s="506" t="str">
        <f ca="1">CONCATENATE(INDEX('NPC''s'!$M$106:$M$117,RANDBETWEEN(1,12)),", made of ",INDEX('NPC''s'!$N$106:$N$115,RANDBETWEEN(1,10)))</f>
        <v>TWO EARINGS, made of COPPER</v>
      </c>
      <c r="L23" s="507"/>
      <c r="M23" s="507"/>
      <c r="N23" s="507"/>
      <c r="O23" s="508"/>
      <c r="P23" s="66"/>
      <c r="Q23" s="66"/>
      <c r="R23" s="63"/>
      <c r="S23" s="64"/>
      <c r="T23" s="64"/>
      <c r="U23" s="64"/>
      <c r="V23" s="64"/>
      <c r="W23" s="64"/>
    </row>
    <row r="24" spans="1:23" ht="35.1" customHeight="1">
      <c r="A24" s="553"/>
      <c r="B24" s="94" t="s">
        <v>2418</v>
      </c>
      <c r="C24" s="506" t="str">
        <f ca="1">CONCATENATE(INDEX('NPC''s'!$O$106:$O$113,RANDBETWEEN(1,8)))</f>
        <v>TORN IN PLACES; MISSING BUTTONS</v>
      </c>
      <c r="D24" s="507"/>
      <c r="E24" s="507"/>
      <c r="F24" s="507"/>
      <c r="G24" s="508"/>
      <c r="H24" s="88"/>
      <c r="I24" s="553"/>
      <c r="J24" s="94" t="s">
        <v>2418</v>
      </c>
      <c r="K24" s="506" t="str">
        <f ca="1">CONCATENATE(INDEX('NPC''s'!$O$106:$O$113,RANDBETWEEN(1,8)))</f>
        <v>CRISP AND NEW</v>
      </c>
      <c r="L24" s="507"/>
      <c r="M24" s="507"/>
      <c r="N24" s="507"/>
      <c r="O24" s="508"/>
      <c r="P24" s="66"/>
      <c r="Q24" s="66"/>
      <c r="R24" s="63"/>
      <c r="S24" s="64"/>
      <c r="T24" s="64"/>
      <c r="U24" s="64"/>
      <c r="V24" s="64"/>
      <c r="W24" s="64"/>
    </row>
    <row r="25" spans="1:23" ht="35.1" customHeight="1">
      <c r="A25" s="553"/>
      <c r="B25" s="94" t="s">
        <v>2435</v>
      </c>
      <c r="C25" s="506" t="str">
        <f ca="1">CONCATENATE(INDEX('NPC''s'!$S$106:$S$113,RANDBETWEEN(1,8)))</f>
        <v>CAUTIOUS LISTENER</v>
      </c>
      <c r="D25" s="507"/>
      <c r="E25" s="507"/>
      <c r="F25" s="507"/>
      <c r="G25" s="508"/>
      <c r="H25" s="88"/>
      <c r="I25" s="553"/>
      <c r="J25" s="94" t="s">
        <v>2435</v>
      </c>
      <c r="K25" s="506" t="str">
        <f ca="1">CONCATENATE(INDEX('NPC''s'!$S$106:$S$113,RANDBETWEEN(1,8)))</f>
        <v>QUIET, TRUE BELIEVER</v>
      </c>
      <c r="L25" s="507"/>
      <c r="M25" s="507"/>
      <c r="N25" s="507"/>
      <c r="O25" s="508"/>
      <c r="P25" s="66"/>
      <c r="Q25" s="66"/>
      <c r="R25" s="63"/>
      <c r="S25" s="64"/>
      <c r="T25" s="64"/>
      <c r="U25" s="64"/>
      <c r="V25" s="64"/>
      <c r="W25" s="64"/>
    </row>
    <row r="26" spans="1:23" ht="35.1" customHeight="1">
      <c r="A26" s="553"/>
      <c r="B26" s="94" t="s">
        <v>2420</v>
      </c>
      <c r="C26" s="506" t="str">
        <f ca="1">CONCATENATE(INDEX('NPC''s'!$T$106:$T$111,RANDBETWEEN(1,6)))</f>
        <v>RULING/AUTHORITY FIGURES</v>
      </c>
      <c r="D26" s="507"/>
      <c r="E26" s="507"/>
      <c r="F26" s="507"/>
      <c r="G26" s="508"/>
      <c r="H26" s="88"/>
      <c r="I26" s="553"/>
      <c r="J26" s="94" t="s">
        <v>2420</v>
      </c>
      <c r="K26" s="506" t="str">
        <f ca="1">CONCATENATE(INDEX('NPC''s'!$T$106:$T$111,RANDBETWEEN(1,6)))</f>
        <v>BEGGARS</v>
      </c>
      <c r="L26" s="507"/>
      <c r="M26" s="507"/>
      <c r="N26" s="507"/>
      <c r="O26" s="508"/>
      <c r="P26" s="66"/>
      <c r="Q26" s="66"/>
      <c r="R26" s="63"/>
      <c r="S26" s="64"/>
      <c r="T26" s="64"/>
      <c r="U26" s="64"/>
      <c r="V26" s="64"/>
      <c r="W26" s="64"/>
    </row>
    <row r="27" spans="1:23" ht="35.1" customHeight="1" thickBot="1">
      <c r="A27" s="554"/>
      <c r="B27" s="95" t="s">
        <v>2419</v>
      </c>
      <c r="C27" s="509" t="str">
        <f ca="1">CONCATENATE("Their current mood is ",INDEX('NPC''s'!$R$106:$R$125,RANDBETWEEN(1,20)),". When calm, they are ",INDEX('NPC''s'!$P$106:$P$137,RANDBETWEEN(1,32)),", and when stressed they are ",INDEX('NPC''s'!$Q$106:$Q$137,RANDBETWEEN(1,32)))</f>
        <v>Their current mood is INDIFFERENT. When calm, they are GREEDY, and when stressed they are INDUSTRIOUS</v>
      </c>
      <c r="D27" s="510"/>
      <c r="E27" s="510"/>
      <c r="F27" s="510"/>
      <c r="G27" s="511"/>
      <c r="H27" s="88"/>
      <c r="I27" s="554"/>
      <c r="J27" s="95" t="s">
        <v>2419</v>
      </c>
      <c r="K27" s="509" t="str">
        <f ca="1">CONCATENATE("Their current mood is ",INDEX('NPC''s'!$R$106:$R$125,RANDBETWEEN(1,20)),". When calm, they are ",INDEX('NPC''s'!$P$106:$P$137,RANDBETWEEN(1,32)),", and when stressed they are ",INDEX('NPC''s'!$Q$106:$Q$137,RANDBETWEEN(1,32)))</f>
        <v>Their current mood is DISAGREEABLE. When calm, they are RESERVED, and when stressed they are COMPULSIVE</v>
      </c>
      <c r="L27" s="510"/>
      <c r="M27" s="510"/>
      <c r="N27" s="510"/>
      <c r="O27" s="511"/>
      <c r="P27" s="66"/>
      <c r="Q27" s="66"/>
      <c r="R27" s="63"/>
      <c r="S27" s="64"/>
      <c r="T27" s="64"/>
      <c r="U27" s="64"/>
      <c r="V27" s="64"/>
      <c r="W27" s="64"/>
    </row>
    <row r="28" spans="1:23" ht="35.1" customHeight="1">
      <c r="A28" s="62"/>
      <c r="B28" s="62"/>
      <c r="C28" s="62"/>
      <c r="D28" s="62"/>
      <c r="E28" s="62"/>
      <c r="F28" s="62"/>
      <c r="G28" s="62"/>
      <c r="H28" s="88"/>
      <c r="I28" s="62"/>
      <c r="J28" s="62"/>
      <c r="K28" s="62"/>
      <c r="L28" s="62"/>
      <c r="M28" s="62"/>
      <c r="N28" s="62"/>
      <c r="O28" s="62"/>
      <c r="P28" s="66"/>
      <c r="Q28" s="66"/>
      <c r="R28" s="63"/>
      <c r="S28" s="64"/>
      <c r="T28" s="64"/>
      <c r="U28" s="64"/>
      <c r="V28" s="64"/>
      <c r="W28" s="64"/>
    </row>
    <row r="29" spans="1:23" ht="35.1" customHeight="1">
      <c r="A29" s="62"/>
      <c r="B29" s="62"/>
      <c r="C29" s="62"/>
      <c r="D29" s="62"/>
      <c r="E29" s="62"/>
      <c r="F29" s="62"/>
      <c r="G29" s="62"/>
      <c r="H29" s="88"/>
      <c r="I29" s="62"/>
      <c r="J29" s="62"/>
      <c r="K29" s="62"/>
      <c r="L29" s="62"/>
      <c r="M29" s="62"/>
      <c r="N29" s="62"/>
      <c r="O29" s="62"/>
      <c r="P29" s="66"/>
      <c r="Q29" s="66"/>
      <c r="R29" s="63"/>
      <c r="S29" s="64"/>
      <c r="T29" s="64"/>
      <c r="U29" s="64"/>
      <c r="V29" s="64"/>
      <c r="W29" s="64"/>
    </row>
    <row r="30" spans="1:23" ht="35.1" customHeight="1">
      <c r="A30" s="62"/>
      <c r="B30" s="62"/>
      <c r="C30" s="62"/>
      <c r="D30" s="62"/>
      <c r="E30" s="62"/>
      <c r="F30" s="62"/>
      <c r="G30" s="62"/>
      <c r="H30" s="88"/>
      <c r="I30" s="62"/>
      <c r="J30" s="62"/>
      <c r="K30" s="62"/>
      <c r="L30" s="62"/>
      <c r="M30" s="62"/>
      <c r="N30" s="62"/>
      <c r="O30" s="62"/>
      <c r="P30" s="66"/>
      <c r="Q30" s="66"/>
      <c r="R30" s="63"/>
      <c r="S30" s="64"/>
      <c r="T30" s="64"/>
      <c r="U30" s="64"/>
      <c r="V30" s="64"/>
      <c r="W30" s="64"/>
    </row>
    <row r="31" spans="1:23" ht="35.1" customHeight="1">
      <c r="A31" s="62"/>
      <c r="B31" s="62"/>
      <c r="C31" s="62"/>
      <c r="D31" s="62"/>
      <c r="E31" s="62"/>
      <c r="F31" s="62"/>
      <c r="G31" s="62"/>
      <c r="H31" s="88"/>
      <c r="I31" s="62"/>
      <c r="J31" s="62"/>
      <c r="K31" s="62"/>
      <c r="L31" s="62"/>
      <c r="M31" s="62"/>
      <c r="N31" s="62"/>
      <c r="O31" s="62"/>
      <c r="P31" s="66"/>
      <c r="Q31" s="66"/>
      <c r="R31" s="63"/>
      <c r="S31" s="64"/>
      <c r="T31" s="64"/>
      <c r="U31" s="64"/>
      <c r="V31" s="64"/>
      <c r="W31" s="64"/>
    </row>
    <row r="32" spans="1:23" ht="35.1" customHeight="1">
      <c r="A32" s="62"/>
      <c r="B32" s="62"/>
      <c r="C32" s="62"/>
      <c r="D32" s="62"/>
      <c r="E32" s="62"/>
      <c r="F32" s="62"/>
      <c r="G32" s="62"/>
      <c r="H32" s="88"/>
      <c r="I32" s="62"/>
      <c r="J32" s="62"/>
      <c r="K32" s="62"/>
      <c r="L32" s="62"/>
      <c r="M32" s="62"/>
      <c r="N32" s="62"/>
      <c r="O32" s="62"/>
      <c r="P32" s="69"/>
      <c r="Q32" s="69"/>
      <c r="R32" s="63"/>
      <c r="S32" s="64"/>
      <c r="T32" s="64"/>
      <c r="U32" s="64"/>
      <c r="V32" s="64"/>
      <c r="W32" s="64"/>
    </row>
    <row r="33" spans="1:23" ht="35.1" customHeight="1">
      <c r="A33" s="62"/>
      <c r="B33" s="62"/>
      <c r="C33" s="62"/>
      <c r="D33" s="62"/>
      <c r="E33" s="62"/>
      <c r="F33" s="62"/>
      <c r="G33" s="62"/>
      <c r="H33" s="88"/>
      <c r="I33" s="62"/>
      <c r="J33" s="62"/>
      <c r="K33" s="62"/>
      <c r="L33" s="62"/>
      <c r="M33" s="62"/>
      <c r="N33" s="62"/>
      <c r="O33" s="62"/>
      <c r="P33" s="69"/>
      <c r="Q33" s="69"/>
      <c r="R33" s="63"/>
      <c r="S33" s="64"/>
      <c r="T33" s="64"/>
      <c r="U33" s="64"/>
      <c r="V33" s="64"/>
      <c r="W33" s="64"/>
    </row>
    <row r="34" spans="1:23" ht="35.1" customHeight="1">
      <c r="A34" s="62"/>
      <c r="B34" s="62"/>
      <c r="C34" s="62"/>
      <c r="D34" s="62"/>
      <c r="E34" s="62"/>
      <c r="F34" s="62"/>
      <c r="G34" s="62"/>
      <c r="H34" s="88"/>
      <c r="I34" s="62"/>
      <c r="J34" s="62"/>
      <c r="K34" s="62"/>
      <c r="L34" s="62"/>
      <c r="M34" s="62"/>
      <c r="N34" s="62"/>
      <c r="O34" s="62"/>
      <c r="P34" s="66"/>
      <c r="Q34" s="66"/>
      <c r="R34" s="63"/>
      <c r="S34" s="64"/>
      <c r="T34" s="64"/>
      <c r="U34" s="64"/>
      <c r="V34" s="64"/>
      <c r="W34" s="64"/>
    </row>
    <row r="35" spans="1:23" ht="15.95" customHeight="1">
      <c r="A35" s="62"/>
      <c r="B35" s="62"/>
      <c r="C35" s="62"/>
      <c r="D35" s="62"/>
      <c r="E35" s="62"/>
      <c r="F35" s="62"/>
      <c r="G35" s="62"/>
      <c r="H35" s="88"/>
      <c r="I35" s="88"/>
      <c r="J35" s="88"/>
      <c r="K35" s="69"/>
      <c r="L35" s="70"/>
      <c r="M35" s="66"/>
      <c r="N35" s="66"/>
      <c r="O35" s="66"/>
      <c r="P35" s="66"/>
      <c r="Q35" s="66"/>
      <c r="R35" s="63"/>
      <c r="S35" s="64"/>
      <c r="T35" s="64"/>
      <c r="U35" s="64"/>
      <c r="V35" s="64"/>
      <c r="W35" s="64"/>
    </row>
    <row r="36" spans="1:23" ht="15.95" customHeight="1">
      <c r="A36" s="62"/>
      <c r="B36" s="62"/>
      <c r="C36" s="62"/>
      <c r="D36" s="62"/>
      <c r="E36" s="62"/>
      <c r="F36" s="62"/>
      <c r="G36" s="62"/>
      <c r="H36" s="88"/>
      <c r="I36" s="88"/>
      <c r="J36" s="88"/>
      <c r="K36" s="69"/>
      <c r="L36" s="70"/>
      <c r="M36" s="66"/>
      <c r="N36" s="66"/>
      <c r="O36" s="66"/>
      <c r="P36" s="66"/>
      <c r="Q36" s="66"/>
      <c r="R36" s="63"/>
      <c r="S36" s="64"/>
      <c r="T36" s="64"/>
      <c r="U36" s="64"/>
      <c r="V36" s="64"/>
      <c r="W36" s="64"/>
    </row>
    <row r="37" spans="1:23" ht="15.95" customHeight="1">
      <c r="A37" s="62"/>
      <c r="B37" s="62"/>
      <c r="C37" s="62"/>
      <c r="D37" s="62"/>
      <c r="E37" s="62"/>
      <c r="F37" s="62"/>
      <c r="G37" s="62"/>
      <c r="H37" s="88"/>
      <c r="I37" s="88"/>
      <c r="J37" s="88"/>
      <c r="K37" s="69"/>
      <c r="L37" s="70"/>
      <c r="M37" s="66"/>
      <c r="N37" s="66"/>
      <c r="O37" s="66"/>
      <c r="P37" s="66"/>
      <c r="Q37" s="66"/>
      <c r="R37" s="63"/>
      <c r="S37" s="64"/>
      <c r="T37" s="64"/>
      <c r="U37" s="64"/>
      <c r="V37" s="64"/>
      <c r="W37" s="64"/>
    </row>
    <row r="38" spans="1:23" ht="15.95" customHeight="1">
      <c r="A38" s="62"/>
      <c r="B38" s="62"/>
      <c r="C38" s="62"/>
      <c r="D38" s="62"/>
      <c r="E38" s="62"/>
      <c r="F38" s="62"/>
      <c r="G38" s="62"/>
      <c r="H38" s="88"/>
      <c r="I38" s="88"/>
      <c r="J38" s="88"/>
      <c r="K38" s="69"/>
      <c r="L38" s="70"/>
      <c r="M38" s="66"/>
      <c r="N38" s="66"/>
      <c r="O38" s="66"/>
      <c r="P38" s="66"/>
      <c r="Q38" s="66"/>
      <c r="R38" s="63"/>
      <c r="S38" s="64"/>
      <c r="T38" s="64"/>
      <c r="U38" s="64"/>
      <c r="V38" s="64"/>
      <c r="W38" s="64"/>
    </row>
    <row r="39" spans="1:23" ht="15.95" customHeight="1">
      <c r="A39" s="62"/>
      <c r="B39" s="62"/>
      <c r="C39" s="62"/>
      <c r="D39" s="62"/>
      <c r="E39" s="62"/>
      <c r="F39" s="62"/>
      <c r="G39" s="62"/>
      <c r="H39" s="88"/>
      <c r="I39" s="88"/>
      <c r="J39" s="88"/>
      <c r="K39" s="69"/>
      <c r="L39" s="70"/>
      <c r="M39" s="66"/>
      <c r="N39" s="66"/>
      <c r="O39" s="66"/>
      <c r="P39" s="66"/>
      <c r="Q39" s="66"/>
      <c r="R39" s="63"/>
      <c r="S39" s="64"/>
      <c r="T39" s="64"/>
      <c r="U39" s="64"/>
      <c r="V39" s="64"/>
      <c r="W39" s="64"/>
    </row>
    <row r="40" spans="1:23" ht="15.95" customHeight="1">
      <c r="A40" s="62"/>
      <c r="B40" s="62"/>
      <c r="C40" s="62"/>
      <c r="D40" s="62"/>
      <c r="E40" s="62"/>
      <c r="F40" s="62"/>
      <c r="G40" s="62"/>
      <c r="H40" s="88"/>
      <c r="I40" s="88"/>
      <c r="J40" s="88"/>
      <c r="K40" s="69"/>
      <c r="L40" s="70"/>
      <c r="M40" s="66"/>
      <c r="N40" s="66"/>
      <c r="O40" s="66"/>
      <c r="P40" s="66"/>
      <c r="Q40" s="66"/>
      <c r="R40" s="63"/>
      <c r="S40" s="64"/>
      <c r="T40" s="64"/>
      <c r="U40" s="64"/>
      <c r="V40" s="64"/>
      <c r="W40" s="64"/>
    </row>
    <row r="41" spans="1:23" ht="15.95" customHeight="1">
      <c r="A41" s="62"/>
      <c r="B41" s="62"/>
      <c r="C41" s="62"/>
      <c r="D41" s="62"/>
      <c r="E41" s="62"/>
      <c r="F41" s="62"/>
      <c r="G41" s="62"/>
      <c r="H41" s="88"/>
      <c r="I41" s="88"/>
      <c r="J41" s="88"/>
      <c r="K41" s="69"/>
      <c r="L41" s="70"/>
      <c r="M41" s="66"/>
      <c r="N41" s="66"/>
      <c r="O41" s="66"/>
      <c r="P41" s="66"/>
      <c r="Q41" s="66"/>
      <c r="R41" s="63"/>
      <c r="S41" s="64"/>
      <c r="T41" s="64"/>
      <c r="U41" s="64"/>
      <c r="V41" s="64"/>
      <c r="W41" s="64"/>
    </row>
    <row r="42" spans="1:23" ht="15.95" customHeight="1">
      <c r="A42" s="62"/>
      <c r="B42" s="62"/>
      <c r="C42" s="62"/>
      <c r="D42" s="62"/>
      <c r="E42" s="62"/>
      <c r="F42" s="62"/>
      <c r="G42" s="62"/>
      <c r="H42" s="88"/>
      <c r="I42" s="88"/>
      <c r="J42" s="88"/>
      <c r="K42" s="69"/>
      <c r="L42" s="70"/>
      <c r="M42" s="66"/>
      <c r="N42" s="66"/>
      <c r="O42" s="66"/>
      <c r="P42" s="66"/>
      <c r="Q42" s="66"/>
      <c r="R42" s="63"/>
      <c r="S42" s="64"/>
      <c r="T42" s="64"/>
      <c r="U42" s="64"/>
      <c r="V42" s="64"/>
      <c r="W42" s="64"/>
    </row>
    <row r="43" spans="1:23" ht="15.95" customHeight="1">
      <c r="A43" s="87"/>
      <c r="B43" s="88"/>
      <c r="C43" s="88"/>
      <c r="D43" s="88"/>
      <c r="E43" s="88"/>
      <c r="F43" s="88"/>
      <c r="G43" s="88"/>
      <c r="H43" s="88"/>
      <c r="I43" s="88"/>
      <c r="J43" s="88"/>
      <c r="K43" s="69"/>
      <c r="L43" s="70"/>
      <c r="M43" s="66"/>
      <c r="N43" s="66"/>
      <c r="O43" s="66"/>
      <c r="P43" s="66"/>
      <c r="Q43" s="66"/>
      <c r="R43" s="63"/>
      <c r="S43" s="64"/>
      <c r="T43" s="64"/>
      <c r="U43" s="64"/>
      <c r="V43" s="64"/>
      <c r="W43" s="64"/>
    </row>
    <row r="44" spans="1:23" ht="15.95" customHeight="1">
      <c r="A44" s="38"/>
      <c r="B44" s="36"/>
      <c r="C44" s="37"/>
      <c r="D44" s="36"/>
      <c r="E44" s="36"/>
      <c r="F44" s="36"/>
      <c r="G44" s="36"/>
      <c r="H44" s="36"/>
      <c r="I44" s="36"/>
      <c r="J44" s="36"/>
      <c r="K44" s="63"/>
      <c r="L44" s="70"/>
      <c r="M44" s="66"/>
      <c r="N44" s="66"/>
      <c r="O44" s="66"/>
      <c r="P44" s="66"/>
      <c r="Q44" s="66"/>
      <c r="R44" s="63"/>
      <c r="S44" s="64"/>
      <c r="T44" s="64"/>
      <c r="U44" s="64"/>
      <c r="V44" s="64"/>
      <c r="W44" s="64"/>
    </row>
    <row r="45" spans="1:23" ht="15.95" customHeight="1">
      <c r="A45" s="38"/>
      <c r="B45" s="36"/>
      <c r="C45" s="37"/>
      <c r="D45" s="36"/>
      <c r="E45" s="36"/>
      <c r="F45" s="36"/>
      <c r="G45" s="36"/>
      <c r="H45" s="36"/>
      <c r="I45" s="36"/>
      <c r="J45" s="36"/>
      <c r="K45" s="63"/>
      <c r="L45" s="70"/>
      <c r="M45" s="66"/>
      <c r="N45" s="66"/>
      <c r="O45" s="66"/>
      <c r="P45" s="66"/>
      <c r="Q45" s="66"/>
      <c r="R45" s="63"/>
      <c r="S45" s="64"/>
      <c r="T45" s="64"/>
      <c r="U45" s="64"/>
      <c r="V45" s="64"/>
      <c r="W45" s="64"/>
    </row>
    <row r="46" spans="1:23" ht="15.95" customHeight="1">
      <c r="A46" s="39"/>
      <c r="B46" s="36"/>
      <c r="C46" s="37"/>
      <c r="D46" s="36"/>
      <c r="E46" s="36"/>
      <c r="F46" s="36"/>
      <c r="G46" s="36"/>
      <c r="H46" s="36"/>
      <c r="I46" s="36"/>
      <c r="J46" s="36"/>
      <c r="K46" s="63"/>
      <c r="L46" s="63"/>
      <c r="M46" s="63"/>
      <c r="N46" s="63"/>
      <c r="O46" s="63"/>
      <c r="P46" s="63"/>
      <c r="Q46" s="63"/>
      <c r="R46" s="63"/>
      <c r="S46" s="64"/>
      <c r="T46" s="64"/>
      <c r="U46" s="64"/>
      <c r="V46" s="64"/>
      <c r="W46" s="64"/>
    </row>
    <row r="47" spans="1:23" ht="15.95" customHeight="1">
      <c r="A47" s="39"/>
      <c r="B47" s="36"/>
      <c r="C47" s="37"/>
      <c r="D47" s="36"/>
      <c r="E47" s="36"/>
      <c r="F47" s="36"/>
      <c r="G47" s="36"/>
      <c r="H47" s="36"/>
      <c r="I47" s="36"/>
      <c r="J47" s="36"/>
      <c r="K47" s="36"/>
      <c r="L47" s="36"/>
      <c r="M47" s="36"/>
      <c r="N47" s="36"/>
      <c r="O47" s="36"/>
      <c r="P47" s="36"/>
      <c r="Q47" s="36"/>
      <c r="R47" s="63"/>
      <c r="S47" s="64"/>
      <c r="T47" s="64"/>
      <c r="U47" s="64"/>
      <c r="V47" s="64"/>
      <c r="W47" s="64"/>
    </row>
    <row r="48" spans="1:23" ht="15.95" customHeight="1">
      <c r="A48" s="39"/>
      <c r="B48" s="36"/>
      <c r="C48" s="37"/>
      <c r="D48" s="36"/>
      <c r="E48" s="36"/>
      <c r="F48" s="36"/>
      <c r="G48" s="36"/>
      <c r="H48" s="36"/>
      <c r="I48" s="36"/>
      <c r="J48" s="36"/>
      <c r="K48" s="36"/>
      <c r="L48" s="36"/>
      <c r="M48" s="36"/>
      <c r="N48" s="36"/>
      <c r="O48" s="36"/>
      <c r="P48" s="36"/>
      <c r="Q48" s="36"/>
      <c r="R48" s="63"/>
      <c r="S48" s="64"/>
      <c r="T48" s="64"/>
      <c r="U48" s="64"/>
      <c r="V48" s="64"/>
      <c r="W48" s="64"/>
    </row>
    <row r="49" spans="1:24" ht="15.95" customHeight="1">
      <c r="A49" s="39"/>
      <c r="B49" s="36"/>
      <c r="C49" s="37"/>
      <c r="D49" s="36"/>
      <c r="E49" s="36"/>
      <c r="F49" s="36"/>
      <c r="G49" s="36"/>
      <c r="H49" s="36"/>
      <c r="I49" s="36"/>
      <c r="J49" s="36"/>
      <c r="K49" s="36"/>
      <c r="L49" s="36"/>
      <c r="M49" s="36"/>
      <c r="N49" s="36"/>
      <c r="O49" s="36"/>
      <c r="P49" s="36"/>
      <c r="Q49" s="36"/>
      <c r="R49" s="63"/>
      <c r="S49" s="64"/>
      <c r="T49" s="64"/>
      <c r="U49" s="64"/>
      <c r="V49" s="64"/>
      <c r="W49" s="64"/>
    </row>
    <row r="50" spans="1:24" ht="15.95" customHeight="1">
      <c r="A50" s="39"/>
      <c r="B50" s="36"/>
      <c r="C50" s="37"/>
      <c r="D50" s="36"/>
      <c r="E50" s="36"/>
      <c r="F50" s="36"/>
      <c r="G50" s="36"/>
      <c r="H50" s="36"/>
      <c r="I50" s="36"/>
      <c r="J50" s="36"/>
      <c r="K50" s="36"/>
      <c r="L50" s="36"/>
      <c r="M50" s="36"/>
      <c r="N50" s="36"/>
      <c r="O50" s="36"/>
      <c r="P50" s="36"/>
      <c r="Q50" s="36"/>
      <c r="R50" s="63"/>
      <c r="S50" s="64"/>
      <c r="T50" s="64"/>
      <c r="U50" s="64"/>
      <c r="V50" s="64"/>
      <c r="W50" s="64"/>
    </row>
    <row r="51" spans="1:24" ht="15.95" customHeight="1">
      <c r="A51" s="8"/>
      <c r="B51" s="59" t="s">
        <v>1402</v>
      </c>
      <c r="C51" s="58"/>
      <c r="D51" s="59" t="s">
        <v>1431</v>
      </c>
      <c r="E51" s="59" t="s">
        <v>1493</v>
      </c>
      <c r="F51" s="59" t="s">
        <v>1440</v>
      </c>
      <c r="G51" s="60" t="s">
        <v>1453</v>
      </c>
      <c r="H51" s="9" t="s">
        <v>1494</v>
      </c>
      <c r="I51" s="60" t="s">
        <v>1468</v>
      </c>
      <c r="J51" s="60" t="s">
        <v>1473</v>
      </c>
      <c r="K51" s="60" t="s">
        <v>1484</v>
      </c>
      <c r="L51" s="9"/>
      <c r="M51" s="83" t="s">
        <v>3241</v>
      </c>
      <c r="N51" s="60" t="s">
        <v>2647</v>
      </c>
      <c r="O51" s="60" t="s">
        <v>2648</v>
      </c>
      <c r="P51" s="60" t="s">
        <v>2649</v>
      </c>
      <c r="Q51" s="60" t="s">
        <v>2650</v>
      </c>
      <c r="R51" s="68" t="s">
        <v>2686</v>
      </c>
      <c r="S51" s="68" t="s">
        <v>2653</v>
      </c>
      <c r="T51" s="64"/>
      <c r="U51" s="68" t="s">
        <v>2654</v>
      </c>
      <c r="V51" s="68" t="s">
        <v>2659</v>
      </c>
      <c r="W51" s="64"/>
      <c r="X51" s="68" t="s">
        <v>3006</v>
      </c>
    </row>
    <row r="52" spans="1:24" ht="15.95" customHeight="1">
      <c r="A52" s="8">
        <v>1</v>
      </c>
      <c r="B52" s="7" t="s">
        <v>1403</v>
      </c>
      <c r="C52" s="33"/>
      <c r="D52" s="7" t="s">
        <v>1432</v>
      </c>
      <c r="E52" t="s">
        <v>1447</v>
      </c>
      <c r="F52" t="s">
        <v>1441</v>
      </c>
      <c r="G52" t="s">
        <v>1454</v>
      </c>
      <c r="H52" s="7" t="s">
        <v>1464</v>
      </c>
      <c r="I52" s="32" t="s">
        <v>1469</v>
      </c>
      <c r="J52" s="32" t="s">
        <v>1474</v>
      </c>
      <c r="K52" s="7" t="s">
        <v>1485</v>
      </c>
      <c r="L52"/>
      <c r="M52" s="65" t="s">
        <v>3181</v>
      </c>
      <c r="N52" s="7" t="s">
        <v>1495</v>
      </c>
      <c r="O52" s="7" t="s">
        <v>1503</v>
      </c>
      <c r="P52" t="s">
        <v>1507</v>
      </c>
      <c r="Q52" s="7" t="s">
        <v>1511</v>
      </c>
      <c r="R52" s="64" t="s">
        <v>2687</v>
      </c>
      <c r="S52" s="64" t="s">
        <v>1526</v>
      </c>
      <c r="T52" s="64"/>
      <c r="U52" s="162" t="s">
        <v>2655</v>
      </c>
      <c r="V52" s="162" t="s">
        <v>2660</v>
      </c>
      <c r="W52" s="64"/>
      <c r="X52" s="168" t="s">
        <v>3007</v>
      </c>
    </row>
    <row r="53" spans="1:24" ht="15.95" customHeight="1">
      <c r="A53" s="8">
        <v>2</v>
      </c>
      <c r="B53" s="7" t="s">
        <v>1404</v>
      </c>
      <c r="C53" s="33"/>
      <c r="D53" s="7" t="s">
        <v>1433</v>
      </c>
      <c r="E53" t="s">
        <v>1448</v>
      </c>
      <c r="F53" t="s">
        <v>1442</v>
      </c>
      <c r="G53" t="s">
        <v>1455</v>
      </c>
      <c r="H53" s="7" t="s">
        <v>1465</v>
      </c>
      <c r="I53" s="32" t="s">
        <v>1470</v>
      </c>
      <c r="J53" s="32" t="s">
        <v>1475</v>
      </c>
      <c r="K53" s="7" t="s">
        <v>1486</v>
      </c>
      <c r="L53"/>
      <c r="M53" s="65" t="s">
        <v>3182</v>
      </c>
      <c r="N53" s="7" t="s">
        <v>1496</v>
      </c>
      <c r="O53" s="7" t="s">
        <v>1504</v>
      </c>
      <c r="P53" t="s">
        <v>1508</v>
      </c>
      <c r="Q53" s="7" t="s">
        <v>1512</v>
      </c>
      <c r="R53" s="64" t="s">
        <v>2688</v>
      </c>
      <c r="S53" s="64" t="s">
        <v>1527</v>
      </c>
      <c r="T53" s="64"/>
      <c r="U53" s="162" t="s">
        <v>2656</v>
      </c>
      <c r="V53" s="162" t="s">
        <v>2661</v>
      </c>
      <c r="W53" s="64"/>
      <c r="X53" s="168" t="s">
        <v>3008</v>
      </c>
    </row>
    <row r="54" spans="1:24" ht="15.95" customHeight="1">
      <c r="A54" s="8">
        <v>3</v>
      </c>
      <c r="B54" s="7" t="s">
        <v>1405</v>
      </c>
      <c r="C54" s="33"/>
      <c r="D54" s="7" t="s">
        <v>1434</v>
      </c>
      <c r="E54" t="s">
        <v>1449</v>
      </c>
      <c r="F54" t="s">
        <v>1443</v>
      </c>
      <c r="G54" t="s">
        <v>1456</v>
      </c>
      <c r="H54" s="7" t="s">
        <v>1466</v>
      </c>
      <c r="I54" s="32" t="s">
        <v>1471</v>
      </c>
      <c r="J54" s="32" t="s">
        <v>1476</v>
      </c>
      <c r="K54" s="7" t="s">
        <v>1487</v>
      </c>
      <c r="L54"/>
      <c r="M54" s="65" t="s">
        <v>3183</v>
      </c>
      <c r="N54" s="7" t="s">
        <v>1497</v>
      </c>
      <c r="O54" s="7" t="s">
        <v>1505</v>
      </c>
      <c r="P54" t="s">
        <v>1509</v>
      </c>
      <c r="Q54" s="7" t="s">
        <v>1518</v>
      </c>
      <c r="R54" s="64" t="s">
        <v>1522</v>
      </c>
      <c r="S54" s="64" t="s">
        <v>1528</v>
      </c>
      <c r="T54" s="64"/>
      <c r="U54" s="162" t="s">
        <v>2657</v>
      </c>
      <c r="V54" s="162" t="s">
        <v>2662</v>
      </c>
      <c r="W54" s="64"/>
      <c r="X54" s="168" t="s">
        <v>3009</v>
      </c>
    </row>
    <row r="55" spans="1:24" ht="15.95" customHeight="1">
      <c r="A55" s="8">
        <v>4</v>
      </c>
      <c r="B55" s="7" t="s">
        <v>1406</v>
      </c>
      <c r="C55" s="33"/>
      <c r="D55" s="7" t="s">
        <v>1435</v>
      </c>
      <c r="E55" t="s">
        <v>1450</v>
      </c>
      <c r="F55" t="s">
        <v>1444</v>
      </c>
      <c r="G55" t="s">
        <v>1457</v>
      </c>
      <c r="H55" s="7" t="s">
        <v>1467</v>
      </c>
      <c r="I55" s="32" t="s">
        <v>1472</v>
      </c>
      <c r="J55" s="32" t="s">
        <v>1477</v>
      </c>
      <c r="K55" s="7" t="s">
        <v>1488</v>
      </c>
      <c r="L55"/>
      <c r="M55" s="65" t="s">
        <v>3184</v>
      </c>
      <c r="N55" s="7" t="s">
        <v>1498</v>
      </c>
      <c r="O55" s="7" t="s">
        <v>1506</v>
      </c>
      <c r="P55" t="s">
        <v>1510</v>
      </c>
      <c r="Q55" s="7" t="s">
        <v>1513</v>
      </c>
      <c r="R55" s="64" t="s">
        <v>1523</v>
      </c>
      <c r="S55" s="64" t="s">
        <v>1529</v>
      </c>
      <c r="T55" s="64"/>
      <c r="U55" s="162" t="s">
        <v>2658</v>
      </c>
      <c r="V55" s="162" t="s">
        <v>2663</v>
      </c>
      <c r="W55" s="64"/>
      <c r="X55" s="168" t="s">
        <v>3010</v>
      </c>
    </row>
    <row r="56" spans="1:24" ht="15.95" customHeight="1">
      <c r="A56" s="8">
        <v>5</v>
      </c>
      <c r="B56" s="7" t="s">
        <v>1407</v>
      </c>
      <c r="C56" s="33"/>
      <c r="D56" s="7" t="s">
        <v>1436</v>
      </c>
      <c r="E56" t="s">
        <v>1451</v>
      </c>
      <c r="F56" t="s">
        <v>1445</v>
      </c>
      <c r="G56" t="s">
        <v>1458</v>
      </c>
      <c r="H56" s="7"/>
      <c r="J56" s="32" t="s">
        <v>1478</v>
      </c>
      <c r="K56" s="7" t="s">
        <v>1489</v>
      </c>
      <c r="L56"/>
      <c r="M56" s="65" t="s">
        <v>3185</v>
      </c>
      <c r="N56" s="7" t="s">
        <v>1499</v>
      </c>
      <c r="O56" s="7"/>
      <c r="P56" s="7"/>
      <c r="Q56" s="7" t="s">
        <v>1514</v>
      </c>
      <c r="R56" s="64" t="s">
        <v>1524</v>
      </c>
      <c r="S56" s="64" t="s">
        <v>1530</v>
      </c>
      <c r="T56" s="64"/>
      <c r="U56" s="64"/>
      <c r="V56" s="162" t="s">
        <v>2664</v>
      </c>
      <c r="W56" s="64"/>
      <c r="X56" s="168" t="s">
        <v>3011</v>
      </c>
    </row>
    <row r="57" spans="1:24" ht="15.95" customHeight="1">
      <c r="A57" s="8">
        <v>6</v>
      </c>
      <c r="B57" s="7" t="s">
        <v>1408</v>
      </c>
      <c r="C57" s="33"/>
      <c r="D57" s="7" t="s">
        <v>1437</v>
      </c>
      <c r="E57" t="s">
        <v>1452</v>
      </c>
      <c r="F57" s="7" t="s">
        <v>1446</v>
      </c>
      <c r="G57" t="s">
        <v>1459</v>
      </c>
      <c r="H57" s="7"/>
      <c r="J57" s="32" t="s">
        <v>1479</v>
      </c>
      <c r="K57" s="7" t="s">
        <v>1490</v>
      </c>
      <c r="L57"/>
      <c r="M57" s="65" t="s">
        <v>3186</v>
      </c>
      <c r="N57" s="7" t="s">
        <v>1500</v>
      </c>
      <c r="O57" s="7"/>
      <c r="P57" s="7"/>
      <c r="Q57" s="7" t="s">
        <v>1515</v>
      </c>
      <c r="R57" s="64" t="s">
        <v>1525</v>
      </c>
      <c r="S57" s="64" t="s">
        <v>1531</v>
      </c>
      <c r="T57" s="64"/>
      <c r="U57" s="64"/>
      <c r="V57" s="162" t="s">
        <v>2665</v>
      </c>
      <c r="W57" s="64"/>
      <c r="X57" s="168" t="s">
        <v>3012</v>
      </c>
    </row>
    <row r="58" spans="1:24" ht="15.95" customHeight="1">
      <c r="A58" s="8">
        <v>7</v>
      </c>
      <c r="B58" s="7" t="s">
        <v>1409</v>
      </c>
      <c r="C58" s="33"/>
      <c r="D58" s="7" t="s">
        <v>1438</v>
      </c>
      <c r="E58" s="7"/>
      <c r="F58" s="7"/>
      <c r="G58" s="34" t="s">
        <v>1460</v>
      </c>
      <c r="J58" s="32" t="s">
        <v>1480</v>
      </c>
      <c r="K58" s="7" t="s">
        <v>1491</v>
      </c>
      <c r="L58"/>
      <c r="M58" s="65" t="s">
        <v>3187</v>
      </c>
      <c r="N58" s="7" t="s">
        <v>1501</v>
      </c>
      <c r="O58" s="7"/>
      <c r="P58" s="7"/>
      <c r="Q58" s="7" t="s">
        <v>1516</v>
      </c>
      <c r="R58" s="64"/>
      <c r="S58" s="64"/>
      <c r="T58" s="64"/>
      <c r="U58" s="64"/>
      <c r="V58" s="64"/>
      <c r="W58" s="64"/>
      <c r="X58" s="168" t="s">
        <v>3013</v>
      </c>
    </row>
    <row r="59" spans="1:24" ht="15.95" customHeight="1">
      <c r="A59" s="8">
        <v>8</v>
      </c>
      <c r="B59" s="7" t="s">
        <v>1410</v>
      </c>
      <c r="C59" s="33"/>
      <c r="D59" s="7" t="s">
        <v>1439</v>
      </c>
      <c r="E59" s="7"/>
      <c r="F59" s="7"/>
      <c r="G59" s="34" t="s">
        <v>1461</v>
      </c>
      <c r="J59" s="32" t="s">
        <v>1481</v>
      </c>
      <c r="K59" s="7" t="s">
        <v>1492</v>
      </c>
      <c r="L59"/>
      <c r="M59" s="65" t="s">
        <v>3188</v>
      </c>
      <c r="N59" s="7" t="s">
        <v>1502</v>
      </c>
      <c r="O59" s="7"/>
      <c r="P59" s="7"/>
      <c r="Q59" s="7" t="s">
        <v>1517</v>
      </c>
      <c r="R59" s="64"/>
      <c r="S59" s="64"/>
      <c r="T59" s="64"/>
      <c r="U59" s="64"/>
      <c r="V59" s="64"/>
      <c r="W59" s="64"/>
      <c r="X59" s="168" t="s">
        <v>3014</v>
      </c>
    </row>
    <row r="60" spans="1:24" ht="15.95" customHeight="1">
      <c r="A60" s="8">
        <v>9</v>
      </c>
      <c r="B60" s="7" t="s">
        <v>1411</v>
      </c>
      <c r="C60" s="33"/>
      <c r="D60" s="7"/>
      <c r="E60" s="7"/>
      <c r="G60" s="34" t="s">
        <v>1462</v>
      </c>
      <c r="J60" s="32" t="s">
        <v>1482</v>
      </c>
      <c r="K60" s="7"/>
      <c r="L60"/>
      <c r="M60" s="65" t="s">
        <v>3189</v>
      </c>
      <c r="N60" s="7"/>
      <c r="O60" s="7"/>
      <c r="P60" s="7"/>
      <c r="Q60" s="7"/>
      <c r="R60" s="64"/>
      <c r="S60" s="64"/>
      <c r="T60" s="64"/>
      <c r="U60" s="64"/>
      <c r="V60" s="64"/>
      <c r="W60" s="64"/>
      <c r="X60" s="168" t="s">
        <v>3015</v>
      </c>
    </row>
    <row r="61" spans="1:24" ht="15.95" customHeight="1">
      <c r="A61" s="8">
        <v>10</v>
      </c>
      <c r="B61" s="7" t="s">
        <v>1412</v>
      </c>
      <c r="C61" s="33"/>
      <c r="D61" s="7"/>
      <c r="E61" s="7"/>
      <c r="G61" s="34" t="s">
        <v>1463</v>
      </c>
      <c r="J61" s="32" t="s">
        <v>1483</v>
      </c>
      <c r="K61" s="7"/>
      <c r="L61"/>
      <c r="M61" s="65" t="s">
        <v>3190</v>
      </c>
      <c r="N61" s="7"/>
      <c r="O61" s="7"/>
      <c r="P61" s="7"/>
      <c r="Q61" s="7"/>
      <c r="R61" s="64"/>
      <c r="S61" s="64"/>
      <c r="T61" s="64"/>
      <c r="U61" s="64"/>
      <c r="V61" s="64"/>
      <c r="W61" s="64"/>
      <c r="X61" s="168" t="s">
        <v>3016</v>
      </c>
    </row>
    <row r="62" spans="1:24" ht="15.95" customHeight="1">
      <c r="A62" s="8">
        <v>11</v>
      </c>
      <c r="B62" s="7" t="s">
        <v>1413</v>
      </c>
      <c r="C62" s="33"/>
      <c r="D62" s="7"/>
      <c r="E62" s="7"/>
      <c r="G62" s="34"/>
      <c r="I62"/>
      <c r="J62" s="7"/>
      <c r="K62" s="7"/>
      <c r="L62" s="7"/>
      <c r="M62" s="65" t="s">
        <v>3191</v>
      </c>
      <c r="N62" s="7"/>
      <c r="O62" s="7"/>
      <c r="P62" s="7"/>
      <c r="Q62" s="7"/>
      <c r="R62" s="64"/>
      <c r="S62" s="64"/>
      <c r="T62" s="64"/>
      <c r="U62" s="64"/>
      <c r="V62" s="64"/>
      <c r="W62" s="64"/>
      <c r="X62" s="168" t="s">
        <v>3017</v>
      </c>
    </row>
    <row r="63" spans="1:24" ht="15.95" customHeight="1">
      <c r="A63" s="8">
        <v>12</v>
      </c>
      <c r="B63" s="7" t="s">
        <v>1414</v>
      </c>
      <c r="C63" s="33"/>
      <c r="D63" s="7"/>
      <c r="E63" s="7"/>
      <c r="F63" s="7"/>
      <c r="G63" s="34"/>
      <c r="I63"/>
      <c r="J63" s="7"/>
      <c r="K63" s="7"/>
      <c r="L63" s="7"/>
      <c r="M63" s="65" t="s">
        <v>3192</v>
      </c>
      <c r="N63" s="7"/>
      <c r="O63" s="7"/>
      <c r="P63" s="7"/>
      <c r="Q63" s="7"/>
      <c r="R63" s="64"/>
      <c r="S63" s="64"/>
      <c r="T63" s="64"/>
      <c r="U63" s="64"/>
      <c r="V63" s="64"/>
      <c r="W63" s="64"/>
      <c r="X63" s="168" t="s">
        <v>3018</v>
      </c>
    </row>
    <row r="64" spans="1:24" ht="15.95" customHeight="1">
      <c r="A64" s="8">
        <v>13</v>
      </c>
      <c r="B64" s="7" t="s">
        <v>1415</v>
      </c>
      <c r="C64" s="33"/>
      <c r="D64" s="7"/>
      <c r="E64" s="7"/>
      <c r="G64" s="34"/>
      <c r="I64" s="7"/>
      <c r="J64" s="7"/>
      <c r="K64" s="7"/>
      <c r="L64" s="7"/>
      <c r="M64" s="65" t="s">
        <v>3193</v>
      </c>
      <c r="N64" s="7"/>
      <c r="O64" s="7"/>
      <c r="P64" s="7"/>
      <c r="Q64" s="7"/>
      <c r="R64" s="64"/>
      <c r="S64" s="64"/>
      <c r="T64" s="64"/>
      <c r="U64" s="64"/>
      <c r="V64" s="64"/>
      <c r="W64" s="64"/>
      <c r="X64" s="168" t="s">
        <v>3019</v>
      </c>
    </row>
    <row r="65" spans="1:24" ht="15.95" customHeight="1">
      <c r="A65" s="8">
        <v>14</v>
      </c>
      <c r="B65" s="7" t="s">
        <v>1416</v>
      </c>
      <c r="C65" s="33"/>
      <c r="D65" s="7"/>
      <c r="E65" s="7"/>
      <c r="F65" s="7"/>
      <c r="G65" s="34"/>
      <c r="I65" s="7"/>
      <c r="J65" s="7"/>
      <c r="K65" s="7"/>
      <c r="L65" s="7"/>
      <c r="M65" s="65" t="s">
        <v>3194</v>
      </c>
      <c r="N65" s="7"/>
      <c r="O65" s="7"/>
      <c r="P65" s="7"/>
      <c r="Q65" s="7"/>
      <c r="R65" s="64"/>
      <c r="S65" s="64"/>
      <c r="T65" s="64"/>
      <c r="U65" s="64"/>
      <c r="V65" s="64"/>
      <c r="W65" s="64"/>
      <c r="X65" s="168" t="s">
        <v>3020</v>
      </c>
    </row>
    <row r="66" spans="1:24" ht="15.95" customHeight="1">
      <c r="A66" s="8">
        <v>15</v>
      </c>
      <c r="B66" s="7" t="s">
        <v>1417</v>
      </c>
      <c r="C66" s="33"/>
      <c r="D66" s="7"/>
      <c r="E66" s="7"/>
      <c r="G66" s="34"/>
      <c r="I66" s="7"/>
      <c r="J66" s="7"/>
      <c r="K66" s="7"/>
      <c r="L66" s="7"/>
      <c r="M66" s="65" t="s">
        <v>3195</v>
      </c>
      <c r="N66" s="7"/>
      <c r="O66" s="7"/>
      <c r="P66" s="7"/>
      <c r="Q66" s="7"/>
      <c r="R66" s="64"/>
      <c r="S66" s="64"/>
      <c r="T66" s="64"/>
      <c r="U66" s="64"/>
      <c r="V66" s="64"/>
      <c r="W66" s="64"/>
      <c r="X66" s="168" t="s">
        <v>3021</v>
      </c>
    </row>
    <row r="67" spans="1:24" ht="15.95" customHeight="1">
      <c r="A67" s="8">
        <v>16</v>
      </c>
      <c r="B67" s="7" t="s">
        <v>1418</v>
      </c>
      <c r="C67" s="33"/>
      <c r="D67" s="7"/>
      <c r="E67" s="7"/>
      <c r="F67" s="7"/>
      <c r="G67" s="34"/>
      <c r="I67" s="7"/>
      <c r="J67" s="7"/>
      <c r="K67" s="7"/>
      <c r="L67" s="7"/>
      <c r="M67" s="65" t="s">
        <v>3196</v>
      </c>
      <c r="N67" s="7"/>
      <c r="O67" s="7"/>
      <c r="P67" s="7"/>
      <c r="Q67" s="7"/>
      <c r="R67" s="64"/>
      <c r="S67" s="64"/>
      <c r="T67" s="64"/>
      <c r="U67" s="64"/>
      <c r="V67" s="64"/>
      <c r="W67" s="64"/>
      <c r="X67" s="168" t="s">
        <v>3022</v>
      </c>
    </row>
    <row r="68" spans="1:24" ht="15.95" customHeight="1">
      <c r="A68" s="8">
        <v>17</v>
      </c>
      <c r="B68" s="7" t="s">
        <v>1419</v>
      </c>
      <c r="C68" s="33"/>
      <c r="D68" s="7"/>
      <c r="E68" s="7"/>
      <c r="G68" s="34"/>
      <c r="H68" s="7"/>
      <c r="I68" s="7"/>
      <c r="J68" s="7"/>
      <c r="K68" s="7"/>
      <c r="L68" s="7"/>
      <c r="M68" s="65" t="s">
        <v>3197</v>
      </c>
      <c r="N68" s="7"/>
      <c r="O68" s="7"/>
      <c r="P68" s="7"/>
      <c r="Q68" s="7"/>
      <c r="R68" s="64"/>
      <c r="S68" s="64"/>
      <c r="T68" s="64"/>
      <c r="U68" s="64"/>
      <c r="V68" s="64"/>
      <c r="W68" s="64"/>
      <c r="X68" s="168" t="s">
        <v>3023</v>
      </c>
    </row>
    <row r="69" spans="1:24" ht="15.95" customHeight="1">
      <c r="A69" s="8">
        <v>18</v>
      </c>
      <c r="B69" s="7" t="s">
        <v>1420</v>
      </c>
      <c r="C69" s="33"/>
      <c r="D69" s="7"/>
      <c r="E69" s="7"/>
      <c r="G69" s="34"/>
      <c r="H69" s="7"/>
      <c r="I69" s="7"/>
      <c r="J69" s="7"/>
      <c r="K69" s="7"/>
      <c r="L69" s="7"/>
      <c r="M69" s="65" t="s">
        <v>3198</v>
      </c>
      <c r="N69" s="7"/>
      <c r="O69" s="7"/>
      <c r="P69" s="7"/>
      <c r="Q69" s="7"/>
      <c r="R69" s="64"/>
      <c r="S69" s="64"/>
      <c r="T69" s="64"/>
      <c r="U69" s="64"/>
      <c r="V69" s="64"/>
      <c r="W69" s="64"/>
      <c r="X69" s="168" t="s">
        <v>3024</v>
      </c>
    </row>
    <row r="70" spans="1:24" ht="15.95" customHeight="1">
      <c r="A70" s="8">
        <v>19</v>
      </c>
      <c r="B70" s="7" t="s">
        <v>1421</v>
      </c>
      <c r="C70" s="33"/>
      <c r="D70" s="7"/>
      <c r="E70" s="7"/>
      <c r="F70" s="7"/>
      <c r="G70" s="34"/>
      <c r="H70" s="7"/>
      <c r="I70" s="7"/>
      <c r="J70" s="7"/>
      <c r="K70" s="7"/>
      <c r="L70" s="7"/>
      <c r="M70" s="65" t="s">
        <v>3199</v>
      </c>
      <c r="N70" s="7"/>
      <c r="O70" s="7"/>
      <c r="P70" s="7"/>
      <c r="Q70" s="7"/>
      <c r="R70" s="64"/>
      <c r="S70" s="64"/>
      <c r="T70" s="64"/>
      <c r="U70" s="64"/>
      <c r="V70" s="64"/>
      <c r="W70" s="64"/>
      <c r="X70" s="168" t="s">
        <v>3025</v>
      </c>
    </row>
    <row r="71" spans="1:24" ht="15.95" customHeight="1">
      <c r="A71" s="8">
        <v>20</v>
      </c>
      <c r="B71" s="7" t="s">
        <v>1422</v>
      </c>
      <c r="C71" s="33"/>
      <c r="D71" s="7"/>
      <c r="E71" s="7"/>
      <c r="G71" s="34"/>
      <c r="H71" s="7"/>
      <c r="I71" s="7"/>
      <c r="J71" s="7"/>
      <c r="K71" s="7"/>
      <c r="L71" s="7"/>
      <c r="M71" s="65" t="s">
        <v>3200</v>
      </c>
      <c r="N71" s="7"/>
      <c r="O71" s="7"/>
      <c r="P71" s="7"/>
      <c r="Q71" s="7"/>
      <c r="R71" s="64"/>
      <c r="S71" s="64"/>
      <c r="T71" s="64"/>
      <c r="U71" s="64"/>
      <c r="V71" s="64"/>
      <c r="W71" s="64"/>
      <c r="X71" s="168" t="s">
        <v>3026</v>
      </c>
    </row>
    <row r="72" spans="1:24" ht="15.95" customHeight="1">
      <c r="A72" s="8">
        <v>21</v>
      </c>
      <c r="B72" s="7" t="s">
        <v>1423</v>
      </c>
      <c r="C72" s="33"/>
      <c r="D72" s="7"/>
      <c r="E72" s="7"/>
      <c r="F72" s="7"/>
      <c r="G72" s="7"/>
      <c r="H72" s="7"/>
      <c r="I72" s="7"/>
      <c r="J72" s="7"/>
      <c r="K72" s="7"/>
      <c r="L72" s="7"/>
      <c r="N72" s="7"/>
      <c r="O72" s="7"/>
      <c r="P72" s="7"/>
      <c r="Q72" s="7"/>
      <c r="R72" s="64"/>
      <c r="S72" s="64"/>
      <c r="T72" s="64"/>
      <c r="U72" s="64"/>
      <c r="V72" s="64"/>
      <c r="W72" s="64"/>
      <c r="X72" s="168" t="s">
        <v>3027</v>
      </c>
    </row>
    <row r="73" spans="1:24" ht="15.95" customHeight="1">
      <c r="A73" s="8">
        <v>22</v>
      </c>
      <c r="B73" s="7" t="s">
        <v>1424</v>
      </c>
      <c r="C73" s="33"/>
      <c r="D73" s="7"/>
      <c r="E73" s="7"/>
      <c r="G73" s="7"/>
      <c r="H73" s="7"/>
      <c r="I73" s="7"/>
      <c r="J73" s="7"/>
      <c r="K73" s="7"/>
      <c r="L73" s="7"/>
      <c r="N73" s="7"/>
      <c r="O73" s="7"/>
      <c r="P73" s="7"/>
      <c r="Q73" s="7"/>
      <c r="R73" s="64"/>
      <c r="S73" s="64"/>
      <c r="T73" s="64"/>
      <c r="U73" s="64"/>
      <c r="V73" s="64"/>
      <c r="W73" s="64"/>
      <c r="X73" s="168" t="s">
        <v>3028</v>
      </c>
    </row>
    <row r="74" spans="1:24" ht="15.95" customHeight="1">
      <c r="A74" s="8">
        <v>23</v>
      </c>
      <c r="B74" s="7" t="s">
        <v>1425</v>
      </c>
      <c r="C74" s="33"/>
      <c r="D74" s="7"/>
      <c r="E74" s="7"/>
      <c r="G74" s="7"/>
      <c r="H74" s="7"/>
      <c r="I74" s="7"/>
      <c r="J74" s="7"/>
      <c r="K74" s="7"/>
      <c r="L74" s="7"/>
      <c r="N74" s="7"/>
      <c r="O74" s="7"/>
      <c r="P74" s="7"/>
      <c r="Q74" s="7"/>
      <c r="R74" s="64"/>
      <c r="S74" s="64"/>
      <c r="T74" s="64"/>
      <c r="U74" s="64"/>
      <c r="V74" s="64"/>
      <c r="W74" s="64"/>
      <c r="X74" s="168" t="s">
        <v>3029</v>
      </c>
    </row>
    <row r="75" spans="1:24" ht="15.95" customHeight="1">
      <c r="A75" s="8">
        <v>24</v>
      </c>
      <c r="B75" s="7" t="s">
        <v>1426</v>
      </c>
      <c r="C75" s="33"/>
      <c r="D75" s="7"/>
      <c r="E75" s="7"/>
      <c r="F75" s="7"/>
      <c r="G75" s="7"/>
      <c r="H75" s="7"/>
      <c r="I75" s="7"/>
      <c r="J75" s="7"/>
      <c r="K75" s="7"/>
      <c r="L75" s="7"/>
      <c r="N75" s="7"/>
      <c r="O75" s="7"/>
      <c r="P75" s="7"/>
      <c r="Q75" s="7"/>
      <c r="R75" s="64"/>
      <c r="S75" s="64"/>
      <c r="T75" s="64"/>
      <c r="U75" s="64"/>
      <c r="V75" s="64"/>
      <c r="W75" s="64"/>
      <c r="X75" s="168" t="s">
        <v>3030</v>
      </c>
    </row>
    <row r="76" spans="1:24" ht="15.95" customHeight="1">
      <c r="A76" s="8">
        <v>25</v>
      </c>
      <c r="B76" s="7" t="s">
        <v>1427</v>
      </c>
      <c r="C76" s="33"/>
      <c r="D76" s="7"/>
      <c r="E76" s="7"/>
      <c r="G76" s="7"/>
      <c r="H76" s="7"/>
      <c r="I76" s="7"/>
      <c r="J76" s="7"/>
      <c r="K76" s="7"/>
      <c r="L76" s="7"/>
      <c r="N76" s="7"/>
      <c r="O76" s="7"/>
      <c r="P76" s="7"/>
      <c r="Q76" s="7"/>
      <c r="R76" s="64"/>
      <c r="S76" s="64"/>
      <c r="T76" s="64"/>
      <c r="U76" s="64"/>
      <c r="V76" s="64"/>
      <c r="W76" s="64"/>
      <c r="X76" s="168" t="s">
        <v>3031</v>
      </c>
    </row>
    <row r="77" spans="1:24" ht="15.95" customHeight="1">
      <c r="A77" s="8">
        <v>26</v>
      </c>
      <c r="B77" s="7" t="s">
        <v>1428</v>
      </c>
      <c r="C77" s="33"/>
      <c r="D77" s="7"/>
      <c r="E77" s="7"/>
      <c r="G77" s="7"/>
      <c r="H77" s="7"/>
      <c r="I77" s="7"/>
      <c r="J77" s="7"/>
      <c r="K77" s="7"/>
      <c r="L77" s="7"/>
      <c r="N77" s="7"/>
      <c r="O77" s="7"/>
      <c r="P77" s="7"/>
      <c r="Q77" s="7"/>
      <c r="R77" s="64"/>
      <c r="S77" s="64"/>
      <c r="T77" s="64"/>
      <c r="U77" s="64"/>
      <c r="V77" s="64"/>
      <c r="W77" s="64"/>
      <c r="X77" s="168" t="s">
        <v>3032</v>
      </c>
    </row>
    <row r="78" spans="1:24" ht="15.95" customHeight="1">
      <c r="A78" s="8">
        <v>27</v>
      </c>
      <c r="B78" s="7" t="s">
        <v>1429</v>
      </c>
      <c r="C78" s="33"/>
      <c r="D78" s="7"/>
      <c r="E78" s="7"/>
      <c r="G78" s="7"/>
      <c r="H78" s="7"/>
      <c r="I78" s="7"/>
      <c r="J78" s="7"/>
      <c r="K78" s="7"/>
      <c r="L78" s="7"/>
      <c r="N78" s="7"/>
      <c r="O78" s="7"/>
      <c r="P78" s="7"/>
      <c r="Q78" s="7"/>
      <c r="R78" s="64"/>
      <c r="S78" s="64"/>
      <c r="T78" s="64"/>
      <c r="U78" s="64"/>
      <c r="V78" s="64"/>
      <c r="W78" s="64"/>
      <c r="X78" s="168" t="s">
        <v>3033</v>
      </c>
    </row>
    <row r="79" spans="1:24" ht="15.95" customHeight="1">
      <c r="A79" s="8">
        <v>28</v>
      </c>
      <c r="B79" s="7" t="s">
        <v>1430</v>
      </c>
      <c r="C79" s="33"/>
      <c r="D79" s="7"/>
      <c r="E79" s="7"/>
      <c r="G79" s="7"/>
      <c r="H79" s="7"/>
      <c r="I79" s="7"/>
      <c r="J79" s="7"/>
      <c r="K79" s="7"/>
      <c r="L79" s="7"/>
      <c r="N79" s="7"/>
      <c r="O79" s="7"/>
      <c r="P79" s="7"/>
      <c r="Q79" s="7"/>
      <c r="R79" s="64"/>
      <c r="S79" s="64"/>
      <c r="T79" s="64"/>
      <c r="U79" s="64"/>
      <c r="V79" s="64"/>
      <c r="W79" s="64"/>
      <c r="X79" s="168" t="s">
        <v>3034</v>
      </c>
    </row>
    <row r="80" spans="1:24" ht="15.95" customHeight="1">
      <c r="A80" s="8">
        <v>29</v>
      </c>
      <c r="B80" s="7"/>
      <c r="C80" s="33"/>
      <c r="D80" s="7"/>
      <c r="E80" s="7"/>
      <c r="G80" s="7"/>
      <c r="H80" s="7"/>
      <c r="I80" s="7"/>
      <c r="J80" s="7"/>
      <c r="K80" s="7"/>
      <c r="L80" s="7"/>
      <c r="N80" s="7"/>
      <c r="O80" s="7"/>
      <c r="P80" s="7"/>
      <c r="Q80" s="7"/>
      <c r="R80" s="64"/>
      <c r="S80" s="64"/>
      <c r="T80" s="64"/>
      <c r="U80" s="64"/>
      <c r="V80" s="64"/>
      <c r="W80" s="64"/>
      <c r="X80" s="168" t="s">
        <v>3035</v>
      </c>
    </row>
    <row r="81" spans="1:24" ht="15.95" customHeight="1">
      <c r="A81" s="8"/>
      <c r="B81" s="7"/>
      <c r="C81" s="33"/>
      <c r="D81" s="7"/>
      <c r="E81" s="7"/>
      <c r="G81" s="7"/>
      <c r="H81" s="7"/>
      <c r="I81" s="7"/>
      <c r="J81" s="7"/>
      <c r="K81" s="7"/>
      <c r="L81" s="7"/>
      <c r="M81" s="7"/>
      <c r="N81" s="7"/>
      <c r="O81" s="7"/>
      <c r="P81" s="7"/>
      <c r="Q81" s="7"/>
      <c r="R81" s="64"/>
      <c r="S81" s="64"/>
      <c r="T81" s="64"/>
      <c r="U81" s="64"/>
      <c r="V81" s="64"/>
      <c r="W81" s="64"/>
      <c r="X81" s="168" t="s">
        <v>3036</v>
      </c>
    </row>
    <row r="82" spans="1:24" ht="15.95" customHeight="1">
      <c r="A82" s="8"/>
      <c r="B82" s="7"/>
      <c r="C82" s="33"/>
      <c r="D82" s="7"/>
      <c r="E82" s="7"/>
      <c r="G82" s="7"/>
      <c r="H82" s="7"/>
      <c r="I82" s="7"/>
      <c r="J82" s="7"/>
      <c r="K82" s="7"/>
      <c r="L82" s="7"/>
      <c r="M82" s="7"/>
      <c r="N82" s="7"/>
      <c r="O82" s="7"/>
      <c r="P82" s="7"/>
      <c r="Q82" s="7"/>
      <c r="R82" s="64"/>
      <c r="S82" s="64"/>
      <c r="T82" s="64"/>
      <c r="U82" s="64"/>
      <c r="V82" s="64"/>
      <c r="W82" s="64"/>
      <c r="X82" s="168" t="s">
        <v>3037</v>
      </c>
    </row>
    <row r="83" spans="1:24" ht="15.95" customHeight="1">
      <c r="A83" s="8"/>
      <c r="B83" s="7"/>
      <c r="C83" s="33"/>
      <c r="D83" s="7"/>
      <c r="E83" s="7"/>
      <c r="G83" s="7"/>
      <c r="H83" s="7"/>
      <c r="I83" s="7"/>
      <c r="J83" s="7"/>
      <c r="K83" s="7"/>
      <c r="L83" s="7"/>
      <c r="M83" s="7"/>
      <c r="N83" s="7"/>
      <c r="O83" s="7"/>
      <c r="P83" s="7"/>
      <c r="Q83" s="7"/>
      <c r="R83" s="64"/>
      <c r="S83" s="64"/>
      <c r="T83" s="64"/>
      <c r="U83" s="64"/>
      <c r="V83" s="64"/>
      <c r="W83" s="64"/>
      <c r="X83" s="168" t="s">
        <v>3038</v>
      </c>
    </row>
    <row r="84" spans="1:24" ht="15.95" customHeight="1">
      <c r="A84" s="8"/>
      <c r="B84" s="7"/>
      <c r="C84" s="33"/>
      <c r="D84" s="7"/>
      <c r="E84" s="7"/>
      <c r="G84" s="7"/>
      <c r="H84" s="7"/>
      <c r="I84" s="7"/>
      <c r="J84" s="7"/>
      <c r="K84" s="7"/>
      <c r="L84" s="7"/>
      <c r="M84" s="7"/>
      <c r="N84" s="7"/>
      <c r="O84" s="7"/>
      <c r="P84" s="7"/>
      <c r="Q84" s="7"/>
      <c r="R84" s="64"/>
      <c r="S84" s="64"/>
      <c r="T84" s="64"/>
      <c r="U84" s="64"/>
      <c r="V84" s="64"/>
      <c r="W84" s="64"/>
      <c r="X84" s="168" t="s">
        <v>3039</v>
      </c>
    </row>
    <row r="85" spans="1:24" ht="15.95" customHeight="1">
      <c r="A85" s="8"/>
      <c r="B85" s="7"/>
      <c r="C85" s="33"/>
      <c r="D85" s="7"/>
      <c r="E85" s="7"/>
      <c r="G85" s="7"/>
      <c r="H85" s="7"/>
      <c r="I85" s="7"/>
      <c r="J85" s="7"/>
      <c r="K85" s="7"/>
      <c r="L85" s="7"/>
      <c r="M85" s="7"/>
      <c r="N85" s="7"/>
      <c r="O85" s="7"/>
      <c r="P85" s="7"/>
      <c r="Q85" s="7"/>
      <c r="R85" s="64"/>
      <c r="S85" s="64"/>
      <c r="T85" s="64"/>
      <c r="U85" s="64"/>
      <c r="V85" s="64"/>
      <c r="W85" s="64"/>
      <c r="X85" s="168" t="s">
        <v>3040</v>
      </c>
    </row>
    <row r="86" spans="1:24" ht="15.95" customHeight="1">
      <c r="A86" s="8"/>
      <c r="B86" s="7"/>
      <c r="C86" s="33"/>
      <c r="D86" s="7"/>
      <c r="E86" s="7"/>
      <c r="G86" s="7"/>
      <c r="H86" s="7"/>
      <c r="I86" s="7"/>
      <c r="J86" s="7"/>
      <c r="K86" s="7"/>
      <c r="L86" s="7"/>
      <c r="M86" s="7"/>
      <c r="N86" s="7"/>
      <c r="O86" s="7"/>
      <c r="P86" s="7"/>
      <c r="Q86" s="7"/>
      <c r="R86" s="64"/>
      <c r="S86" s="64"/>
      <c r="T86" s="64"/>
      <c r="U86" s="64"/>
      <c r="V86" s="64"/>
      <c r="W86" s="64"/>
      <c r="X86" s="168" t="s">
        <v>3041</v>
      </c>
    </row>
    <row r="87" spans="1:24" ht="15.95" customHeight="1">
      <c r="A87" s="8"/>
      <c r="B87" s="7"/>
      <c r="C87" s="33"/>
      <c r="D87" s="7"/>
      <c r="E87" s="7"/>
      <c r="G87" s="7"/>
      <c r="H87" s="7"/>
      <c r="I87" s="7"/>
      <c r="J87" s="7"/>
      <c r="K87" s="7"/>
      <c r="L87" s="7"/>
      <c r="M87" s="7"/>
      <c r="N87" s="7"/>
      <c r="O87" s="7"/>
      <c r="P87" s="7"/>
      <c r="Q87" s="7"/>
      <c r="R87" s="64"/>
      <c r="S87" s="64"/>
      <c r="T87" s="64"/>
      <c r="U87" s="64"/>
      <c r="V87" s="64"/>
      <c r="W87" s="64"/>
      <c r="X87" s="168" t="s">
        <v>3029</v>
      </c>
    </row>
    <row r="88" spans="1:24" ht="15.95" customHeight="1">
      <c r="A88" s="8"/>
      <c r="B88" s="7"/>
      <c r="C88" s="33"/>
      <c r="D88" s="7"/>
      <c r="E88" s="7"/>
      <c r="F88" s="7"/>
      <c r="G88" s="7"/>
      <c r="H88" s="7"/>
      <c r="I88" s="7"/>
      <c r="J88" s="7"/>
      <c r="K88" s="7"/>
      <c r="L88" s="7"/>
      <c r="M88" s="7"/>
      <c r="N88" s="7"/>
      <c r="O88" s="7"/>
      <c r="P88" s="7"/>
      <c r="Q88" s="7"/>
      <c r="R88" s="64"/>
      <c r="S88" s="64"/>
      <c r="T88" s="64"/>
      <c r="U88" s="64"/>
      <c r="V88" s="64"/>
      <c r="W88" s="64"/>
      <c r="X88" s="168" t="s">
        <v>3042</v>
      </c>
    </row>
    <row r="89" spans="1:24" ht="15.95" customHeight="1">
      <c r="A89" s="8"/>
      <c r="B89" s="7"/>
      <c r="C89" s="33"/>
      <c r="D89" s="7"/>
      <c r="E89" s="7"/>
      <c r="F89" s="7"/>
      <c r="G89" s="7"/>
      <c r="H89" s="7"/>
      <c r="I89" s="7"/>
      <c r="J89" s="7"/>
      <c r="K89" s="7"/>
      <c r="L89" s="7"/>
      <c r="M89" s="7"/>
      <c r="N89" s="7"/>
      <c r="O89" s="7"/>
      <c r="P89" s="7"/>
      <c r="Q89" s="7"/>
      <c r="R89" s="64"/>
      <c r="S89" s="64"/>
      <c r="T89" s="64"/>
      <c r="U89" s="64"/>
      <c r="V89" s="64"/>
      <c r="W89" s="64"/>
      <c r="X89" s="168" t="s">
        <v>3043</v>
      </c>
    </row>
    <row r="90" spans="1:24" ht="15.95" customHeight="1">
      <c r="A90" s="8"/>
      <c r="B90" s="7"/>
      <c r="C90" s="33"/>
      <c r="D90" s="7"/>
      <c r="E90" s="7"/>
      <c r="F90" s="7"/>
      <c r="G90" s="7"/>
      <c r="H90" s="7"/>
      <c r="I90" s="7"/>
      <c r="J90" s="7"/>
      <c r="K90" s="7"/>
      <c r="L90" s="7"/>
      <c r="M90" s="7"/>
      <c r="N90" s="7"/>
      <c r="O90" s="7"/>
      <c r="P90" s="7"/>
      <c r="Q90" s="7"/>
      <c r="R90" s="64"/>
      <c r="S90" s="64"/>
      <c r="T90" s="64"/>
      <c r="U90" s="64"/>
      <c r="V90" s="64"/>
      <c r="W90" s="64"/>
      <c r="X90" s="168" t="s">
        <v>3044</v>
      </c>
    </row>
    <row r="91" spans="1:24" ht="15.95" customHeight="1">
      <c r="A91" s="8"/>
      <c r="B91" s="7"/>
      <c r="C91" s="33"/>
      <c r="D91" s="7"/>
      <c r="E91" s="7"/>
      <c r="F91" s="7"/>
      <c r="G91" s="7"/>
      <c r="H91" s="7"/>
      <c r="I91" s="7"/>
      <c r="J91" s="7"/>
      <c r="K91" s="7"/>
      <c r="L91" s="7"/>
      <c r="M91" s="7"/>
      <c r="N91" s="7"/>
      <c r="O91" s="7"/>
      <c r="P91" s="7"/>
      <c r="Q91" s="7"/>
      <c r="R91" s="64"/>
      <c r="S91" s="64"/>
      <c r="T91" s="64"/>
      <c r="U91" s="64"/>
      <c r="V91" s="64"/>
      <c r="W91" s="64"/>
      <c r="X91" s="168" t="s">
        <v>3045</v>
      </c>
    </row>
    <row r="92" spans="1:24" ht="15.95" customHeight="1">
      <c r="A92" s="8"/>
      <c r="B92" s="7"/>
      <c r="C92" s="33"/>
      <c r="D92" s="7"/>
      <c r="E92" s="7"/>
      <c r="F92" s="7"/>
      <c r="G92" s="7"/>
      <c r="H92" s="7"/>
      <c r="I92" s="7"/>
      <c r="J92" s="7"/>
      <c r="K92" s="7"/>
      <c r="L92" s="7"/>
      <c r="M92" s="7"/>
      <c r="N92" s="7"/>
      <c r="O92" s="7"/>
      <c r="P92" s="7"/>
      <c r="Q92" s="7"/>
      <c r="R92" s="64"/>
      <c r="S92" s="64"/>
      <c r="T92" s="64"/>
      <c r="U92" s="64"/>
      <c r="V92" s="64"/>
      <c r="W92" s="64"/>
      <c r="X92" s="168" t="s">
        <v>3046</v>
      </c>
    </row>
    <row r="93" spans="1:24" ht="15.95" customHeight="1">
      <c r="A93" s="8"/>
      <c r="B93" s="7"/>
      <c r="C93" s="33"/>
      <c r="D93" s="7"/>
      <c r="E93" s="7"/>
      <c r="F93" s="7"/>
      <c r="G93" s="7"/>
      <c r="H93" s="7"/>
      <c r="I93" s="7"/>
      <c r="J93" s="7"/>
      <c r="K93" s="7"/>
      <c r="L93" s="7"/>
      <c r="M93" s="7"/>
      <c r="N93" s="7"/>
      <c r="O93" s="7"/>
      <c r="P93" s="7"/>
      <c r="Q93" s="7"/>
      <c r="R93" s="64"/>
      <c r="S93" s="64"/>
      <c r="T93" s="64"/>
      <c r="U93" s="64"/>
      <c r="V93" s="64"/>
      <c r="W93" s="64"/>
      <c r="X93" s="168" t="s">
        <v>3047</v>
      </c>
    </row>
    <row r="94" spans="1:24" ht="15.95" customHeight="1">
      <c r="A94" s="8"/>
      <c r="B94" s="7"/>
      <c r="C94" s="33"/>
      <c r="D94" s="7"/>
      <c r="E94" s="7"/>
      <c r="F94" s="7"/>
      <c r="G94" s="7"/>
      <c r="H94" s="7"/>
      <c r="I94" s="7"/>
      <c r="J94" s="7"/>
      <c r="K94" s="7"/>
      <c r="L94" s="7"/>
      <c r="M94" s="7"/>
      <c r="N94" s="7"/>
      <c r="O94" s="7"/>
      <c r="P94" s="7"/>
      <c r="Q94" s="7"/>
      <c r="R94" s="64"/>
      <c r="S94" s="64"/>
      <c r="T94" s="64"/>
      <c r="U94" s="64"/>
      <c r="V94" s="64"/>
      <c r="W94" s="64"/>
      <c r="X94" s="168" t="s">
        <v>3048</v>
      </c>
    </row>
    <row r="95" spans="1:24" ht="15.95" customHeight="1">
      <c r="A95" s="8"/>
      <c r="B95" s="7"/>
      <c r="C95" s="33"/>
      <c r="D95" s="7"/>
      <c r="E95" s="7"/>
      <c r="F95" s="7"/>
      <c r="G95" s="7"/>
      <c r="H95" s="7"/>
      <c r="I95" s="7"/>
      <c r="J95" s="7"/>
      <c r="K95" s="7"/>
      <c r="L95" s="7"/>
      <c r="M95" s="7"/>
      <c r="N95" s="7"/>
      <c r="O95" s="7"/>
      <c r="P95" s="7"/>
      <c r="Q95" s="7"/>
      <c r="R95" s="64"/>
      <c r="S95" s="64"/>
      <c r="T95" s="64"/>
      <c r="U95" s="64"/>
      <c r="V95" s="64"/>
      <c r="W95" s="64"/>
      <c r="X95" s="168" t="s">
        <v>3049</v>
      </c>
    </row>
    <row r="96" spans="1:24" ht="15.95" customHeight="1">
      <c r="A96" s="8"/>
      <c r="B96" s="7"/>
      <c r="C96" s="33"/>
      <c r="D96" s="7"/>
      <c r="E96" s="7"/>
      <c r="F96" s="7"/>
      <c r="G96" s="7"/>
      <c r="H96" s="7"/>
      <c r="I96" s="7"/>
      <c r="J96" s="7"/>
      <c r="K96" s="7"/>
      <c r="L96" s="7"/>
      <c r="M96" s="7"/>
      <c r="N96" s="7"/>
      <c r="O96" s="7"/>
      <c r="P96" s="7"/>
      <c r="Q96" s="7"/>
      <c r="R96" s="64"/>
      <c r="S96" s="64"/>
      <c r="T96" s="64"/>
      <c r="U96" s="64"/>
      <c r="V96" s="64"/>
      <c r="W96" s="64"/>
      <c r="X96" s="168" t="s">
        <v>3050</v>
      </c>
    </row>
    <row r="97" spans="1:24" ht="15.95" customHeight="1">
      <c r="A97" s="8"/>
      <c r="B97" s="7"/>
      <c r="C97" s="33"/>
      <c r="D97" s="7"/>
      <c r="E97" s="7"/>
      <c r="F97" s="7"/>
      <c r="G97" s="7"/>
      <c r="H97" s="7"/>
      <c r="I97" s="7"/>
      <c r="J97" s="7"/>
      <c r="K97" s="7"/>
      <c r="L97" s="7"/>
      <c r="M97" s="7"/>
      <c r="N97" s="7"/>
      <c r="O97" s="7"/>
      <c r="P97" s="7"/>
      <c r="Q97" s="7"/>
      <c r="R97" s="64"/>
      <c r="S97" s="64"/>
      <c r="T97" s="64"/>
      <c r="U97" s="64"/>
      <c r="V97" s="64"/>
      <c r="W97" s="64"/>
      <c r="X97" s="168" t="s">
        <v>3051</v>
      </c>
    </row>
    <row r="98" spans="1:24" ht="15.95" customHeight="1">
      <c r="A98" s="8"/>
      <c r="B98" s="7"/>
      <c r="C98" s="33"/>
      <c r="D98" s="7"/>
      <c r="E98" s="7"/>
      <c r="F98" s="7"/>
      <c r="G98" s="7"/>
      <c r="H98" s="7"/>
      <c r="I98" s="7"/>
      <c r="J98" s="7"/>
      <c r="K98" s="7"/>
      <c r="L98" s="7"/>
      <c r="M98" s="7"/>
      <c r="N98" s="7"/>
      <c r="O98" s="7"/>
      <c r="P98" s="7"/>
      <c r="Q98" s="7"/>
      <c r="R98" s="64"/>
      <c r="S98" s="64"/>
      <c r="T98" s="64"/>
      <c r="U98" s="64"/>
      <c r="V98" s="64"/>
      <c r="W98" s="64"/>
      <c r="X98" s="168" t="s">
        <v>3052</v>
      </c>
    </row>
    <row r="99" spans="1:24" ht="15.95" customHeight="1">
      <c r="A99" s="8"/>
      <c r="B99" s="7"/>
      <c r="C99" s="33"/>
      <c r="D99" s="7"/>
      <c r="E99" s="7"/>
      <c r="F99" s="7"/>
      <c r="G99" s="7"/>
      <c r="H99" s="7"/>
      <c r="I99" s="7"/>
      <c r="J99" s="7"/>
      <c r="K99" s="7"/>
      <c r="L99" s="7"/>
      <c r="M99" s="7"/>
      <c r="N99" s="7"/>
      <c r="O99" s="7"/>
      <c r="P99" s="7"/>
      <c r="Q99" s="7"/>
      <c r="R99" s="64"/>
      <c r="S99" s="64"/>
      <c r="T99" s="64"/>
      <c r="U99" s="64"/>
      <c r="V99" s="64"/>
      <c r="W99" s="64"/>
      <c r="X99" s="168" t="s">
        <v>3053</v>
      </c>
    </row>
    <row r="100" spans="1:24" ht="15.95" customHeight="1">
      <c r="A100" s="8"/>
      <c r="B100" s="7"/>
      <c r="C100" s="33"/>
      <c r="D100" s="7"/>
      <c r="E100" s="7"/>
      <c r="F100" s="7"/>
      <c r="G100" s="7"/>
      <c r="H100" s="7"/>
      <c r="I100" s="7"/>
      <c r="J100" s="7"/>
      <c r="K100" s="7"/>
      <c r="L100" s="7"/>
      <c r="M100" s="7"/>
      <c r="N100" s="7"/>
      <c r="O100" s="7"/>
      <c r="P100" s="7"/>
      <c r="Q100" s="7"/>
      <c r="R100" s="64"/>
      <c r="S100" s="64"/>
      <c r="T100" s="64"/>
      <c r="U100" s="64"/>
      <c r="V100" s="64"/>
      <c r="W100" s="64"/>
      <c r="X100" s="168" t="s">
        <v>3054</v>
      </c>
    </row>
    <row r="101" spans="1:24" ht="15.95" customHeight="1">
      <c r="A101" s="8"/>
      <c r="B101" s="7"/>
      <c r="C101" s="33"/>
      <c r="D101" s="7"/>
      <c r="E101" s="7"/>
      <c r="F101" s="7"/>
      <c r="G101" s="7"/>
      <c r="H101" s="7"/>
      <c r="I101" s="7"/>
      <c r="J101" s="7"/>
      <c r="K101" s="7"/>
      <c r="L101" s="7"/>
      <c r="M101" s="7"/>
      <c r="N101" s="7"/>
      <c r="O101" s="7"/>
      <c r="P101" s="7"/>
      <c r="Q101" s="7"/>
      <c r="R101" s="64"/>
      <c r="S101" s="64"/>
      <c r="T101" s="64"/>
      <c r="U101" s="64"/>
      <c r="V101" s="64"/>
      <c r="W101" s="64"/>
      <c r="X101" s="168" t="s">
        <v>3055</v>
      </c>
    </row>
    <row r="102" spans="1:24" ht="15.95" customHeight="1">
      <c r="A102" s="8"/>
      <c r="B102" s="7"/>
      <c r="C102" s="33"/>
      <c r="D102" s="7"/>
      <c r="E102" s="7"/>
      <c r="F102" s="7"/>
      <c r="G102" s="7"/>
      <c r="H102" s="7"/>
      <c r="I102" s="7"/>
      <c r="J102" s="7"/>
      <c r="K102" s="7"/>
      <c r="L102" s="7"/>
      <c r="M102" s="7"/>
      <c r="N102" s="7"/>
      <c r="O102" s="7"/>
      <c r="P102" s="7"/>
      <c r="Q102" s="7"/>
      <c r="R102" s="64"/>
      <c r="S102" s="64"/>
      <c r="T102" s="64"/>
      <c r="U102" s="64"/>
      <c r="V102" s="64"/>
      <c r="W102" s="64"/>
      <c r="X102" s="168" t="s">
        <v>3056</v>
      </c>
    </row>
    <row r="103" spans="1:24" ht="15.95" customHeight="1">
      <c r="A103" s="8"/>
      <c r="B103" s="7"/>
      <c r="C103" s="33"/>
      <c r="D103" s="7"/>
      <c r="E103" s="7"/>
      <c r="F103" s="7"/>
      <c r="G103" s="7"/>
      <c r="H103" s="7"/>
      <c r="I103" s="7"/>
      <c r="J103" s="7"/>
      <c r="K103" s="7"/>
      <c r="L103" s="7"/>
      <c r="M103" s="7"/>
      <c r="N103" s="7"/>
      <c r="O103" s="7"/>
      <c r="P103" s="7"/>
      <c r="Q103" s="7"/>
      <c r="R103" s="64"/>
      <c r="S103" s="64"/>
      <c r="T103" s="64"/>
      <c r="U103" s="64"/>
      <c r="V103" s="64"/>
      <c r="W103" s="64"/>
      <c r="X103" s="168" t="s">
        <v>3057</v>
      </c>
    </row>
    <row r="104" spans="1:24" ht="15.95" customHeight="1">
      <c r="A104" s="8"/>
      <c r="B104" s="7"/>
      <c r="C104" s="33"/>
      <c r="D104" s="7"/>
      <c r="E104" s="7"/>
      <c r="F104" s="7"/>
      <c r="G104" s="7"/>
      <c r="H104" s="7"/>
      <c r="I104" s="7"/>
      <c r="J104" s="7"/>
      <c r="K104" s="7"/>
      <c r="L104" s="7"/>
      <c r="M104" s="7"/>
      <c r="N104" s="7"/>
      <c r="O104" s="7"/>
      <c r="P104" s="7"/>
      <c r="Q104" s="7"/>
      <c r="R104" s="64"/>
      <c r="S104" s="64"/>
      <c r="T104" s="64"/>
      <c r="U104" s="64"/>
      <c r="V104" s="64"/>
      <c r="W104" s="64"/>
      <c r="X104" s="168" t="s">
        <v>3058</v>
      </c>
    </row>
    <row r="105" spans="1:24" ht="15.95" customHeight="1">
      <c r="A105" s="8"/>
      <c r="B105" s="7"/>
      <c r="C105" s="33"/>
      <c r="D105" s="7"/>
      <c r="E105" s="7"/>
      <c r="F105" s="7"/>
      <c r="G105" s="7"/>
      <c r="H105" s="7"/>
      <c r="I105" s="7"/>
      <c r="J105" s="7"/>
      <c r="K105" s="7"/>
      <c r="L105" s="7"/>
      <c r="M105" s="7"/>
      <c r="N105" s="7"/>
      <c r="O105" s="7"/>
      <c r="P105" s="7"/>
      <c r="Q105" s="7"/>
      <c r="R105" s="64"/>
      <c r="S105" s="64"/>
      <c r="T105" s="64"/>
      <c r="U105" s="64"/>
      <c r="V105" s="64"/>
      <c r="W105" s="64"/>
      <c r="X105" s="168" t="s">
        <v>3059</v>
      </c>
    </row>
    <row r="106" spans="1:24" ht="15.95" customHeight="1">
      <c r="A106" s="8"/>
      <c r="B106" s="7"/>
      <c r="C106" s="33"/>
      <c r="D106" s="7"/>
      <c r="E106" s="7"/>
      <c r="F106" s="7"/>
      <c r="G106" s="7"/>
      <c r="H106" s="7"/>
      <c r="I106" s="7"/>
      <c r="J106" s="7"/>
      <c r="K106" s="7"/>
      <c r="L106" s="7"/>
      <c r="M106" s="7"/>
      <c r="N106" s="7"/>
      <c r="O106" s="7"/>
      <c r="P106" s="7"/>
      <c r="Q106" s="7"/>
      <c r="R106" s="64"/>
      <c r="S106" s="64"/>
      <c r="T106" s="64"/>
      <c r="U106" s="64"/>
      <c r="V106" s="64"/>
      <c r="W106" s="64"/>
      <c r="X106" s="168" t="s">
        <v>3060</v>
      </c>
    </row>
    <row r="107" spans="1:24" ht="15.95" customHeight="1">
      <c r="A107" s="8"/>
      <c r="B107" s="7"/>
      <c r="C107" s="33"/>
      <c r="D107" s="7"/>
      <c r="E107" s="7"/>
      <c r="F107" s="7"/>
      <c r="G107" s="7"/>
      <c r="H107" s="7"/>
      <c r="I107" s="7"/>
      <c r="J107" s="7"/>
      <c r="K107" s="7"/>
      <c r="L107" s="7"/>
      <c r="M107" s="7"/>
      <c r="N107" s="7"/>
      <c r="O107" s="7"/>
      <c r="P107" s="7"/>
      <c r="Q107" s="7"/>
      <c r="R107" s="64"/>
      <c r="S107" s="64"/>
      <c r="T107" s="64"/>
      <c r="U107" s="64"/>
      <c r="V107" s="64"/>
      <c r="W107" s="64"/>
      <c r="X107" s="168" t="s">
        <v>3061</v>
      </c>
    </row>
    <row r="108" spans="1:24" ht="15.95" customHeight="1">
      <c r="A108" s="8"/>
      <c r="B108" s="7"/>
      <c r="C108" s="33"/>
      <c r="D108" s="7"/>
      <c r="E108" s="7"/>
      <c r="F108" s="7"/>
      <c r="G108" s="7"/>
      <c r="H108" s="7"/>
      <c r="I108" s="7"/>
      <c r="J108" s="7"/>
      <c r="K108" s="7"/>
      <c r="L108" s="7"/>
      <c r="M108" s="7"/>
      <c r="N108" s="7"/>
      <c r="O108" s="7"/>
      <c r="P108" s="7"/>
      <c r="Q108" s="7"/>
      <c r="R108" s="64"/>
      <c r="S108" s="64"/>
      <c r="T108" s="64"/>
      <c r="U108" s="64"/>
      <c r="V108" s="64"/>
      <c r="W108" s="64"/>
      <c r="X108" s="168" t="s">
        <v>3062</v>
      </c>
    </row>
    <row r="109" spans="1:24" ht="15.95" customHeight="1">
      <c r="A109" s="8"/>
      <c r="B109" s="7"/>
      <c r="C109" s="33"/>
      <c r="D109" s="7"/>
      <c r="E109" s="7"/>
      <c r="F109" s="7"/>
      <c r="G109" s="7"/>
      <c r="H109" s="7"/>
      <c r="I109" s="7"/>
      <c r="J109" s="7"/>
      <c r="K109" s="7"/>
      <c r="L109" s="7"/>
      <c r="M109" s="7"/>
      <c r="N109" s="7"/>
      <c r="O109" s="7"/>
      <c r="P109" s="7"/>
      <c r="Q109" s="7"/>
      <c r="R109" s="64"/>
      <c r="S109" s="64"/>
      <c r="T109" s="64"/>
      <c r="U109" s="64"/>
      <c r="V109" s="64"/>
      <c r="W109" s="64"/>
      <c r="X109" s="168" t="s">
        <v>3063</v>
      </c>
    </row>
    <row r="110" spans="1:24" ht="15.95" customHeight="1">
      <c r="A110" s="8"/>
      <c r="B110" s="7"/>
      <c r="C110" s="33"/>
      <c r="D110" s="7"/>
      <c r="E110" s="7"/>
      <c r="F110" s="7"/>
      <c r="G110" s="7"/>
      <c r="H110" s="7"/>
      <c r="I110" s="7"/>
      <c r="J110" s="7"/>
      <c r="K110" s="7"/>
      <c r="L110" s="7"/>
      <c r="M110" s="7"/>
      <c r="N110" s="7"/>
      <c r="O110" s="7"/>
      <c r="P110" s="7"/>
      <c r="Q110" s="7"/>
      <c r="R110" s="64"/>
      <c r="S110" s="64"/>
      <c r="T110" s="64"/>
      <c r="U110" s="64"/>
      <c r="V110" s="64"/>
      <c r="W110" s="64"/>
      <c r="X110" s="168" t="s">
        <v>3064</v>
      </c>
    </row>
    <row r="111" spans="1:24" ht="15.95" customHeight="1">
      <c r="A111" s="8"/>
      <c r="B111" s="7"/>
      <c r="C111" s="33"/>
      <c r="D111" s="7"/>
      <c r="E111" s="7"/>
      <c r="F111" s="7"/>
      <c r="G111" s="7"/>
      <c r="H111" s="7"/>
      <c r="I111" s="7"/>
      <c r="J111" s="7"/>
      <c r="K111" s="7"/>
      <c r="L111" s="7"/>
      <c r="M111" s="7"/>
      <c r="N111" s="7"/>
      <c r="O111" s="7"/>
      <c r="P111" s="7"/>
      <c r="Q111" s="7"/>
      <c r="R111" s="64"/>
      <c r="S111" s="64"/>
      <c r="T111" s="64"/>
      <c r="U111" s="64"/>
      <c r="V111" s="64"/>
      <c r="W111" s="64"/>
      <c r="X111" s="168" t="s">
        <v>3011</v>
      </c>
    </row>
    <row r="112" spans="1:24" ht="15.95" customHeight="1">
      <c r="A112" s="8"/>
      <c r="B112" s="7"/>
      <c r="C112" s="33"/>
      <c r="D112" s="7"/>
      <c r="E112" s="7"/>
      <c r="F112" s="7"/>
      <c r="G112" s="7"/>
      <c r="H112" s="7"/>
      <c r="I112" s="7"/>
      <c r="J112" s="7"/>
      <c r="K112" s="7"/>
      <c r="L112" s="7"/>
      <c r="M112" s="7"/>
      <c r="N112" s="7"/>
      <c r="O112" s="7"/>
      <c r="P112" s="7"/>
      <c r="Q112" s="7"/>
      <c r="R112" s="64"/>
      <c r="S112" s="64"/>
      <c r="T112" s="64"/>
      <c r="U112" s="64"/>
      <c r="V112" s="64"/>
      <c r="W112" s="64"/>
      <c r="X112" s="168" t="s">
        <v>3065</v>
      </c>
    </row>
    <row r="113" spans="1:24" ht="15.95" customHeight="1">
      <c r="A113" s="8"/>
      <c r="B113" s="7"/>
      <c r="C113" s="33"/>
      <c r="D113" s="7"/>
      <c r="E113" s="7"/>
      <c r="F113" s="7"/>
      <c r="G113" s="7"/>
      <c r="H113" s="7"/>
      <c r="I113" s="7"/>
      <c r="J113" s="7"/>
      <c r="K113" s="7"/>
      <c r="L113" s="7"/>
      <c r="M113" s="7"/>
      <c r="N113" s="7"/>
      <c r="O113" s="7"/>
      <c r="P113" s="7"/>
      <c r="Q113" s="7"/>
      <c r="R113" s="64"/>
      <c r="S113" s="64"/>
      <c r="T113" s="64"/>
      <c r="U113" s="64"/>
      <c r="V113" s="64"/>
      <c r="W113" s="64"/>
      <c r="X113" s="168" t="s">
        <v>3066</v>
      </c>
    </row>
    <row r="114" spans="1:24" ht="15.95" customHeight="1">
      <c r="A114" s="8"/>
      <c r="B114" s="7"/>
      <c r="C114" s="33"/>
      <c r="D114" s="7"/>
      <c r="E114" s="7"/>
      <c r="F114" s="7"/>
      <c r="G114" s="7"/>
      <c r="H114" s="7"/>
      <c r="I114" s="7"/>
      <c r="J114" s="7"/>
      <c r="K114" s="7"/>
      <c r="L114" s="7"/>
      <c r="M114" s="7"/>
      <c r="N114" s="7"/>
      <c r="O114" s="7"/>
      <c r="P114" s="7"/>
      <c r="Q114" s="7"/>
      <c r="R114" s="64"/>
      <c r="S114" s="64"/>
      <c r="T114" s="64"/>
      <c r="U114" s="64"/>
      <c r="V114" s="64"/>
      <c r="W114" s="64"/>
      <c r="X114" s="168" t="s">
        <v>3067</v>
      </c>
    </row>
    <row r="115" spans="1:24" ht="15.95" customHeight="1">
      <c r="A115" s="8"/>
      <c r="B115" s="7"/>
      <c r="C115" s="33"/>
      <c r="D115" s="7"/>
      <c r="E115" s="7"/>
      <c r="F115" s="7"/>
      <c r="G115" s="7"/>
      <c r="H115" s="7"/>
      <c r="I115" s="7"/>
      <c r="J115" s="7"/>
      <c r="K115" s="7"/>
      <c r="L115" s="7"/>
      <c r="M115" s="7"/>
      <c r="N115" s="7"/>
      <c r="O115" s="7"/>
      <c r="P115" s="7"/>
      <c r="Q115" s="7"/>
      <c r="R115" s="64"/>
      <c r="S115" s="64"/>
      <c r="T115" s="64"/>
      <c r="U115" s="64"/>
      <c r="V115" s="64"/>
      <c r="W115" s="64"/>
      <c r="X115" s="168" t="s">
        <v>3068</v>
      </c>
    </row>
    <row r="116" spans="1:24" ht="15.95" customHeight="1">
      <c r="A116" s="8"/>
      <c r="B116" s="7"/>
      <c r="C116" s="33"/>
      <c r="D116" s="7"/>
      <c r="E116" s="7"/>
      <c r="F116" s="7"/>
      <c r="G116" s="7"/>
      <c r="H116" s="7"/>
      <c r="I116" s="7"/>
      <c r="J116" s="7"/>
      <c r="K116" s="7"/>
      <c r="L116" s="7"/>
      <c r="M116" s="7"/>
      <c r="N116" s="7"/>
      <c r="O116" s="7"/>
      <c r="P116" s="7"/>
      <c r="Q116" s="7"/>
      <c r="R116" s="64"/>
      <c r="S116" s="64"/>
      <c r="T116" s="64"/>
      <c r="U116" s="64"/>
      <c r="V116" s="64"/>
      <c r="W116" s="64"/>
      <c r="X116" s="168" t="s">
        <v>3069</v>
      </c>
    </row>
    <row r="117" spans="1:24" ht="15.95" customHeight="1">
      <c r="A117" s="8"/>
      <c r="B117" s="7"/>
      <c r="C117" s="33"/>
      <c r="D117" s="7"/>
      <c r="E117" s="7"/>
      <c r="F117" s="7"/>
      <c r="G117" s="7"/>
      <c r="H117" s="7"/>
      <c r="I117" s="7"/>
      <c r="J117" s="7"/>
      <c r="K117" s="7"/>
      <c r="L117" s="7"/>
      <c r="M117" s="7"/>
      <c r="N117" s="7"/>
      <c r="O117" s="7"/>
      <c r="P117" s="7"/>
      <c r="Q117" s="7"/>
      <c r="R117" s="64"/>
      <c r="S117" s="64"/>
      <c r="T117" s="64"/>
      <c r="U117" s="64"/>
      <c r="V117" s="64"/>
      <c r="W117" s="64"/>
      <c r="X117" s="168" t="s">
        <v>3070</v>
      </c>
    </row>
    <row r="118" spans="1:24" ht="15.95" customHeight="1">
      <c r="A118" s="8"/>
      <c r="B118" s="7"/>
      <c r="C118" s="33"/>
      <c r="D118" s="7"/>
      <c r="E118" s="7"/>
      <c r="F118" s="7"/>
      <c r="G118" s="7"/>
      <c r="H118" s="7"/>
      <c r="I118" s="7"/>
      <c r="J118" s="7"/>
      <c r="K118" s="7"/>
      <c r="L118" s="7"/>
      <c r="M118" s="7"/>
      <c r="N118" s="7"/>
      <c r="O118" s="7"/>
      <c r="P118" s="7"/>
      <c r="Q118" s="7"/>
      <c r="R118" s="64"/>
      <c r="S118" s="64"/>
      <c r="T118" s="64"/>
      <c r="U118" s="64"/>
      <c r="V118" s="64"/>
      <c r="W118" s="64"/>
      <c r="X118" s="168" t="s">
        <v>3071</v>
      </c>
    </row>
    <row r="119" spans="1:24" ht="15.95" customHeight="1">
      <c r="A119" s="8"/>
      <c r="B119" s="7"/>
      <c r="C119" s="33"/>
      <c r="D119" s="7"/>
      <c r="E119" s="7"/>
      <c r="F119" s="7"/>
      <c r="G119" s="7"/>
      <c r="H119" s="7"/>
      <c r="I119" s="7"/>
      <c r="J119" s="7"/>
      <c r="K119" s="7"/>
      <c r="L119" s="7"/>
      <c r="M119" s="7"/>
      <c r="N119" s="7"/>
      <c r="O119" s="7"/>
      <c r="P119" s="7"/>
      <c r="Q119" s="7"/>
      <c r="R119" s="64"/>
      <c r="S119" s="64"/>
      <c r="T119" s="64"/>
      <c r="U119" s="64"/>
      <c r="V119" s="64"/>
      <c r="W119" s="64"/>
      <c r="X119" s="168" t="s">
        <v>3072</v>
      </c>
    </row>
    <row r="120" spans="1:24" ht="15.95" customHeight="1">
      <c r="A120" s="8"/>
      <c r="B120" s="7"/>
      <c r="C120" s="33"/>
      <c r="D120" s="7"/>
      <c r="E120" s="7"/>
      <c r="F120" s="7"/>
      <c r="G120" s="7"/>
      <c r="H120" s="7"/>
      <c r="I120" s="7"/>
      <c r="J120" s="7"/>
      <c r="K120" s="7"/>
      <c r="L120" s="7"/>
      <c r="M120" s="7"/>
      <c r="N120" s="7"/>
      <c r="O120" s="7"/>
      <c r="P120" s="7"/>
      <c r="Q120" s="7"/>
      <c r="R120" s="64"/>
      <c r="S120" s="64"/>
      <c r="T120" s="64"/>
      <c r="U120" s="64"/>
      <c r="V120" s="64"/>
      <c r="W120" s="64"/>
      <c r="X120" s="168" t="s">
        <v>3073</v>
      </c>
    </row>
    <row r="121" spans="1:24" ht="15.95" customHeight="1">
      <c r="A121" s="8"/>
      <c r="B121" s="7"/>
      <c r="C121" s="33"/>
      <c r="D121" s="7"/>
      <c r="E121" s="7"/>
      <c r="F121" s="7"/>
      <c r="G121" s="7"/>
      <c r="H121" s="7"/>
      <c r="I121" s="7"/>
      <c r="J121" s="7"/>
      <c r="K121" s="7"/>
      <c r="L121" s="7"/>
      <c r="M121" s="7"/>
      <c r="N121" s="7"/>
      <c r="O121" s="7"/>
      <c r="P121" s="7"/>
      <c r="Q121" s="7"/>
      <c r="R121" s="64"/>
      <c r="S121" s="64"/>
      <c r="T121" s="64"/>
      <c r="U121" s="64"/>
      <c r="V121" s="64"/>
      <c r="W121" s="64"/>
      <c r="X121" s="168" t="s">
        <v>3074</v>
      </c>
    </row>
    <row r="122" spans="1:24" ht="15.95" customHeight="1">
      <c r="A122" s="8"/>
      <c r="B122" s="7"/>
      <c r="C122" s="33"/>
      <c r="D122" s="7"/>
      <c r="E122" s="7"/>
      <c r="F122" s="7"/>
      <c r="G122" s="7"/>
      <c r="H122" s="7"/>
      <c r="I122" s="7"/>
      <c r="J122" s="7"/>
      <c r="K122" s="7"/>
      <c r="L122" s="7"/>
      <c r="M122" s="7"/>
      <c r="N122" s="7"/>
      <c r="O122" s="7"/>
      <c r="P122" s="7"/>
      <c r="Q122" s="7"/>
      <c r="R122" s="64"/>
      <c r="S122" s="64"/>
      <c r="T122" s="64"/>
      <c r="U122" s="64"/>
      <c r="V122" s="64"/>
      <c r="W122" s="64"/>
      <c r="X122" s="168" t="s">
        <v>3075</v>
      </c>
    </row>
    <row r="123" spans="1:24" ht="15.95" customHeight="1">
      <c r="A123" s="8"/>
      <c r="B123" s="7"/>
      <c r="C123" s="33"/>
      <c r="D123" s="7"/>
      <c r="E123" s="7"/>
      <c r="F123" s="7"/>
      <c r="G123" s="7"/>
      <c r="H123" s="7"/>
      <c r="I123" s="7"/>
      <c r="J123" s="7"/>
      <c r="K123" s="7"/>
      <c r="L123" s="7"/>
      <c r="M123" s="7"/>
      <c r="N123" s="7"/>
      <c r="O123" s="7"/>
      <c r="P123" s="7"/>
      <c r="Q123" s="7"/>
      <c r="R123" s="64"/>
      <c r="S123" s="64"/>
      <c r="T123" s="64"/>
      <c r="U123" s="64"/>
      <c r="V123" s="64"/>
      <c r="W123" s="64"/>
      <c r="X123" s="168" t="s">
        <v>3076</v>
      </c>
    </row>
    <row r="124" spans="1:24" ht="15.95" customHeight="1">
      <c r="A124" s="8"/>
      <c r="B124" s="7"/>
      <c r="C124" s="33"/>
      <c r="D124" s="7"/>
      <c r="E124" s="7"/>
      <c r="F124" s="7"/>
      <c r="G124" s="7"/>
      <c r="H124" s="7"/>
      <c r="I124" s="7"/>
      <c r="J124" s="7"/>
      <c r="K124" s="7"/>
      <c r="L124" s="7"/>
      <c r="M124" s="7"/>
      <c r="N124" s="7"/>
      <c r="O124" s="7"/>
      <c r="P124" s="7"/>
      <c r="Q124" s="7"/>
      <c r="R124" s="64"/>
      <c r="S124" s="64"/>
      <c r="T124" s="64"/>
      <c r="U124" s="64"/>
      <c r="V124" s="64"/>
      <c r="W124" s="64"/>
      <c r="X124" s="168" t="s">
        <v>3077</v>
      </c>
    </row>
    <row r="125" spans="1:24" ht="15.95" customHeight="1">
      <c r="A125" s="8"/>
      <c r="B125" s="7"/>
      <c r="C125" s="33"/>
      <c r="D125" s="7"/>
      <c r="E125" s="7"/>
      <c r="F125" s="7"/>
      <c r="G125" s="7"/>
      <c r="H125" s="7"/>
      <c r="I125" s="7"/>
      <c r="J125" s="7"/>
      <c r="K125" s="7"/>
      <c r="L125" s="7"/>
      <c r="M125" s="7"/>
      <c r="N125" s="7"/>
      <c r="O125" s="7"/>
      <c r="P125" s="7"/>
      <c r="Q125" s="7"/>
      <c r="R125" s="64"/>
      <c r="S125" s="64"/>
      <c r="T125" s="64"/>
      <c r="U125" s="64"/>
      <c r="V125" s="64"/>
      <c r="W125" s="64"/>
      <c r="X125" s="168" t="s">
        <v>3078</v>
      </c>
    </row>
    <row r="126" spans="1:24" ht="15.95" customHeight="1">
      <c r="A126" s="8"/>
      <c r="B126" s="7"/>
      <c r="C126" s="33"/>
      <c r="D126" s="7"/>
      <c r="E126" s="7"/>
      <c r="F126" s="7"/>
      <c r="G126" s="7"/>
      <c r="H126" s="7"/>
      <c r="I126" s="7"/>
      <c r="J126" s="7"/>
      <c r="K126" s="7"/>
      <c r="L126" s="7"/>
      <c r="M126" s="7"/>
      <c r="N126" s="7"/>
      <c r="O126" s="7"/>
      <c r="P126" s="7"/>
      <c r="Q126" s="7"/>
      <c r="R126" s="64"/>
      <c r="S126" s="64"/>
      <c r="T126" s="64"/>
      <c r="U126" s="64"/>
      <c r="V126" s="64"/>
      <c r="W126" s="64"/>
      <c r="X126" s="168" t="s">
        <v>3037</v>
      </c>
    </row>
    <row r="127" spans="1:24" ht="15.95" customHeight="1">
      <c r="A127" s="8"/>
      <c r="B127" s="7"/>
      <c r="C127" s="33"/>
      <c r="D127" s="7"/>
      <c r="E127" s="7"/>
      <c r="F127" s="7"/>
      <c r="G127" s="7"/>
      <c r="H127" s="7"/>
      <c r="I127" s="7"/>
      <c r="J127" s="7"/>
      <c r="K127" s="7"/>
      <c r="L127" s="7"/>
      <c r="M127" s="7"/>
      <c r="N127" s="7"/>
      <c r="O127" s="7"/>
      <c r="P127" s="7"/>
      <c r="Q127" s="7"/>
      <c r="R127" s="64"/>
      <c r="S127" s="64"/>
      <c r="T127" s="64"/>
      <c r="U127" s="64"/>
      <c r="V127" s="64"/>
      <c r="W127" s="64"/>
      <c r="X127" s="168" t="s">
        <v>3079</v>
      </c>
    </row>
    <row r="128" spans="1:24" ht="15.95" customHeight="1">
      <c r="A128" s="8"/>
      <c r="B128" s="7"/>
      <c r="C128" s="33"/>
      <c r="D128" s="7"/>
      <c r="E128" s="7"/>
      <c r="F128" s="7"/>
      <c r="G128" s="7"/>
      <c r="H128" s="7"/>
      <c r="I128" s="7"/>
      <c r="J128" s="7"/>
      <c r="K128" s="7"/>
      <c r="L128" s="7"/>
      <c r="M128" s="7"/>
      <c r="N128" s="7"/>
      <c r="O128" s="7"/>
      <c r="P128" s="7"/>
      <c r="Q128" s="7"/>
      <c r="R128" s="64"/>
      <c r="S128" s="64"/>
      <c r="T128" s="64"/>
      <c r="U128" s="64"/>
      <c r="V128" s="64"/>
      <c r="W128" s="64"/>
      <c r="X128" s="168" t="s">
        <v>3080</v>
      </c>
    </row>
    <row r="129" spans="1:24" ht="15.95" customHeight="1">
      <c r="A129" s="8"/>
      <c r="B129" s="7"/>
      <c r="C129" s="33"/>
      <c r="D129" s="7"/>
      <c r="E129" s="7"/>
      <c r="F129" s="7"/>
      <c r="G129" s="7"/>
      <c r="H129" s="7"/>
      <c r="I129" s="7"/>
      <c r="J129" s="7"/>
      <c r="K129" s="7"/>
      <c r="L129" s="7"/>
      <c r="M129" s="7"/>
      <c r="N129" s="7"/>
      <c r="O129" s="7"/>
      <c r="P129" s="7"/>
      <c r="Q129" s="7"/>
      <c r="R129" s="64"/>
      <c r="S129" s="64"/>
      <c r="T129" s="64"/>
      <c r="U129" s="64"/>
      <c r="V129" s="64"/>
      <c r="W129" s="64"/>
      <c r="X129" s="168" t="s">
        <v>3081</v>
      </c>
    </row>
    <row r="130" spans="1:24" ht="15.95" customHeight="1">
      <c r="A130" s="8"/>
      <c r="B130" s="7"/>
      <c r="C130" s="33"/>
      <c r="D130" s="7"/>
      <c r="E130" s="7"/>
      <c r="F130" s="7"/>
      <c r="G130" s="7"/>
      <c r="H130" s="7"/>
      <c r="I130" s="7"/>
      <c r="J130" s="7"/>
      <c r="K130" s="7"/>
      <c r="L130" s="7"/>
      <c r="M130" s="7"/>
      <c r="N130" s="7"/>
      <c r="O130" s="7"/>
      <c r="P130" s="7"/>
      <c r="Q130" s="7"/>
      <c r="R130" s="64"/>
      <c r="S130" s="64"/>
      <c r="T130" s="64"/>
      <c r="U130" s="64"/>
      <c r="V130" s="64"/>
      <c r="W130" s="64"/>
      <c r="X130" s="168" t="s">
        <v>3082</v>
      </c>
    </row>
    <row r="131" spans="1:24" ht="15.95" customHeight="1">
      <c r="A131" s="8"/>
      <c r="B131" s="7"/>
      <c r="C131" s="33"/>
      <c r="D131" s="7"/>
      <c r="E131" s="7"/>
      <c r="F131" s="7"/>
      <c r="G131" s="7"/>
      <c r="H131" s="7"/>
      <c r="I131" s="7"/>
      <c r="J131" s="7"/>
      <c r="K131" s="7"/>
      <c r="L131" s="7"/>
      <c r="M131" s="7"/>
      <c r="N131" s="7"/>
      <c r="O131" s="7"/>
      <c r="P131" s="7"/>
      <c r="Q131" s="7"/>
      <c r="R131" s="64"/>
      <c r="S131" s="64"/>
      <c r="T131" s="64"/>
      <c r="U131" s="64"/>
      <c r="V131" s="64"/>
      <c r="W131" s="64"/>
      <c r="X131" s="168" t="s">
        <v>3083</v>
      </c>
    </row>
    <row r="132" spans="1:24" ht="15.95" customHeight="1">
      <c r="A132" s="8"/>
      <c r="B132" s="7"/>
      <c r="C132" s="33"/>
      <c r="D132" s="7"/>
      <c r="E132" s="7"/>
      <c r="F132" s="7"/>
      <c r="G132" s="7"/>
      <c r="H132" s="7"/>
      <c r="I132" s="7"/>
      <c r="J132" s="7"/>
      <c r="K132" s="7"/>
      <c r="L132" s="7"/>
      <c r="M132" s="7"/>
      <c r="N132" s="7"/>
      <c r="O132" s="7"/>
      <c r="P132" s="7"/>
      <c r="Q132" s="7"/>
      <c r="R132" s="64"/>
      <c r="S132" s="64"/>
      <c r="T132" s="64"/>
      <c r="U132" s="64"/>
      <c r="V132" s="64"/>
      <c r="W132" s="64"/>
      <c r="X132" s="168" t="s">
        <v>3084</v>
      </c>
    </row>
    <row r="133" spans="1:24" ht="15.95" customHeight="1">
      <c r="A133" s="8"/>
      <c r="B133" s="7"/>
      <c r="C133" s="33"/>
      <c r="D133" s="7"/>
      <c r="E133" s="7"/>
      <c r="F133" s="7"/>
      <c r="G133" s="7"/>
      <c r="H133" s="7"/>
      <c r="I133" s="7"/>
      <c r="J133" s="7"/>
      <c r="K133" s="7"/>
      <c r="L133" s="7"/>
      <c r="M133" s="7"/>
      <c r="N133" s="7"/>
      <c r="O133" s="7"/>
      <c r="P133" s="7"/>
      <c r="Q133" s="7"/>
      <c r="R133" s="64"/>
      <c r="S133" s="64"/>
      <c r="T133" s="64"/>
      <c r="U133" s="64"/>
      <c r="V133" s="64"/>
      <c r="W133" s="64"/>
      <c r="X133" s="168" t="s">
        <v>3085</v>
      </c>
    </row>
    <row r="134" spans="1:24" ht="15.95" customHeight="1">
      <c r="A134" s="8"/>
      <c r="B134" s="7"/>
      <c r="C134" s="33"/>
      <c r="D134" s="7"/>
      <c r="E134" s="7"/>
      <c r="F134" s="7"/>
      <c r="G134" s="7"/>
      <c r="H134" s="7"/>
      <c r="I134" s="7"/>
      <c r="J134" s="7"/>
      <c r="K134" s="7"/>
      <c r="L134" s="7"/>
      <c r="M134" s="7"/>
      <c r="N134" s="7"/>
      <c r="O134" s="7"/>
      <c r="P134" s="7"/>
      <c r="Q134" s="7"/>
      <c r="R134" s="64"/>
      <c r="S134" s="64"/>
      <c r="T134" s="64"/>
      <c r="U134" s="64"/>
      <c r="V134" s="64"/>
      <c r="W134" s="64"/>
      <c r="X134" s="168" t="s">
        <v>3086</v>
      </c>
    </row>
    <row r="135" spans="1:24" ht="15.95" customHeight="1">
      <c r="A135" s="8"/>
      <c r="B135" s="7"/>
      <c r="C135" s="33"/>
      <c r="D135" s="7"/>
      <c r="E135" s="7"/>
      <c r="F135" s="7"/>
      <c r="G135" s="7"/>
      <c r="H135" s="7"/>
      <c r="I135" s="7"/>
      <c r="J135" s="7"/>
      <c r="K135" s="7"/>
      <c r="L135" s="7"/>
      <c r="M135" s="7"/>
      <c r="N135" s="7"/>
      <c r="O135" s="7"/>
      <c r="P135" s="7"/>
      <c r="Q135" s="7"/>
      <c r="R135" s="64"/>
      <c r="S135" s="64"/>
      <c r="T135" s="64"/>
      <c r="U135" s="64"/>
      <c r="V135" s="64"/>
      <c r="W135" s="64"/>
      <c r="X135" s="168" t="s">
        <v>3087</v>
      </c>
    </row>
    <row r="136" spans="1:24" ht="15.95" customHeight="1">
      <c r="A136" s="8"/>
      <c r="B136" s="7"/>
      <c r="C136" s="33"/>
      <c r="D136" s="7"/>
      <c r="E136" s="7"/>
      <c r="F136" s="7"/>
      <c r="G136" s="7"/>
      <c r="H136" s="7"/>
      <c r="I136" s="7"/>
      <c r="J136" s="7"/>
      <c r="K136" s="7"/>
      <c r="L136" s="7"/>
      <c r="M136" s="7"/>
      <c r="N136" s="7"/>
      <c r="O136" s="7"/>
      <c r="P136" s="7"/>
      <c r="Q136" s="7"/>
      <c r="R136" s="64"/>
      <c r="S136" s="64"/>
      <c r="T136" s="64"/>
      <c r="U136" s="64"/>
      <c r="V136" s="64"/>
      <c r="W136" s="64"/>
      <c r="X136" s="168" t="s">
        <v>3088</v>
      </c>
    </row>
    <row r="137" spans="1:24" ht="15.95" customHeight="1">
      <c r="A137" s="8"/>
      <c r="B137" s="7"/>
      <c r="C137" s="33"/>
      <c r="D137" s="7"/>
      <c r="E137" s="7"/>
      <c r="F137" s="7"/>
      <c r="G137" s="7"/>
      <c r="H137" s="7"/>
      <c r="I137" s="7"/>
      <c r="J137" s="7"/>
      <c r="K137" s="7"/>
      <c r="L137" s="7"/>
      <c r="M137" s="7"/>
      <c r="N137" s="7"/>
      <c r="O137" s="7"/>
      <c r="P137" s="7"/>
      <c r="Q137" s="7"/>
      <c r="R137" s="64"/>
      <c r="S137" s="64"/>
      <c r="T137" s="64"/>
      <c r="U137" s="64"/>
      <c r="V137" s="64"/>
      <c r="W137" s="64"/>
      <c r="X137" s="168" t="s">
        <v>3089</v>
      </c>
    </row>
    <row r="138" spans="1:24" ht="15.95" customHeight="1">
      <c r="A138" s="8"/>
      <c r="B138" s="7"/>
      <c r="C138" s="33"/>
      <c r="D138" s="7"/>
      <c r="E138" s="7"/>
      <c r="F138" s="7"/>
      <c r="G138" s="7"/>
      <c r="H138" s="7"/>
      <c r="I138" s="7"/>
      <c r="J138" s="7"/>
      <c r="K138" s="7"/>
      <c r="L138" s="7"/>
      <c r="M138" s="7"/>
      <c r="N138" s="7"/>
      <c r="O138" s="7"/>
      <c r="P138" s="7"/>
      <c r="Q138" s="7"/>
      <c r="R138" s="64"/>
      <c r="S138" s="64"/>
      <c r="T138" s="64"/>
      <c r="U138" s="64"/>
      <c r="V138" s="64"/>
      <c r="W138" s="64"/>
      <c r="X138" s="168" t="s">
        <v>3090</v>
      </c>
    </row>
    <row r="139" spans="1:24" ht="15.95" customHeight="1">
      <c r="A139" s="8"/>
      <c r="B139" s="7"/>
      <c r="C139" s="33"/>
      <c r="D139" s="7"/>
      <c r="E139" s="7"/>
      <c r="F139" s="7"/>
      <c r="G139" s="7"/>
      <c r="H139" s="7"/>
      <c r="I139" s="7"/>
      <c r="J139" s="7"/>
      <c r="K139" s="7"/>
      <c r="L139" s="7"/>
      <c r="M139" s="7"/>
      <c r="N139" s="7"/>
      <c r="O139" s="7"/>
      <c r="P139" s="7"/>
      <c r="Q139" s="7"/>
      <c r="R139" s="64"/>
      <c r="S139" s="64"/>
      <c r="T139" s="64"/>
      <c r="U139" s="64"/>
      <c r="V139" s="64"/>
      <c r="W139" s="64"/>
      <c r="X139" s="168" t="s">
        <v>3091</v>
      </c>
    </row>
    <row r="140" spans="1:24" ht="15.95" customHeight="1">
      <c r="A140" s="8"/>
      <c r="B140" s="7"/>
      <c r="C140" s="33"/>
      <c r="D140" s="7"/>
      <c r="E140" s="7"/>
      <c r="F140" s="7"/>
      <c r="G140" s="7"/>
      <c r="H140" s="7"/>
      <c r="I140" s="7"/>
      <c r="J140" s="7"/>
      <c r="K140" s="7"/>
      <c r="L140" s="7"/>
      <c r="M140" s="7"/>
      <c r="N140" s="7"/>
      <c r="O140" s="7"/>
      <c r="P140" s="7"/>
      <c r="Q140" s="7"/>
      <c r="R140" s="64"/>
      <c r="S140" s="64"/>
      <c r="T140" s="64"/>
      <c r="U140" s="64"/>
      <c r="V140" s="64"/>
      <c r="W140" s="64"/>
      <c r="X140" s="168" t="s">
        <v>3092</v>
      </c>
    </row>
    <row r="141" spans="1:24" ht="15.95" customHeight="1">
      <c r="A141" s="8"/>
      <c r="B141" s="7"/>
      <c r="C141" s="33"/>
      <c r="D141" s="7"/>
      <c r="E141" s="7"/>
      <c r="F141" s="7"/>
      <c r="G141" s="7"/>
      <c r="H141" s="7"/>
      <c r="I141" s="7"/>
      <c r="J141" s="7"/>
      <c r="K141" s="7"/>
      <c r="L141" s="7"/>
      <c r="M141" s="7"/>
      <c r="N141" s="7"/>
      <c r="O141" s="7"/>
      <c r="P141" s="7"/>
      <c r="Q141" s="7"/>
      <c r="R141" s="64"/>
      <c r="S141" s="64"/>
      <c r="T141" s="64"/>
      <c r="U141" s="64"/>
      <c r="V141" s="64"/>
      <c r="W141" s="64"/>
      <c r="X141" s="168" t="s">
        <v>3093</v>
      </c>
    </row>
    <row r="142" spans="1:24" ht="15.95" customHeight="1">
      <c r="A142" s="8"/>
      <c r="B142" s="7"/>
      <c r="C142" s="33"/>
      <c r="D142" s="7"/>
      <c r="E142" s="7"/>
      <c r="F142" s="7"/>
      <c r="G142" s="7"/>
      <c r="H142" s="7"/>
      <c r="I142" s="7"/>
      <c r="J142" s="7"/>
      <c r="K142" s="7"/>
      <c r="L142" s="7"/>
      <c r="M142" s="7"/>
      <c r="N142" s="7"/>
      <c r="O142" s="7"/>
      <c r="P142" s="7"/>
      <c r="Q142" s="7"/>
      <c r="R142" s="64"/>
      <c r="S142" s="64"/>
      <c r="T142" s="64"/>
      <c r="U142" s="64"/>
      <c r="V142" s="64"/>
      <c r="W142" s="64"/>
      <c r="X142" s="168" t="s">
        <v>3094</v>
      </c>
    </row>
    <row r="143" spans="1:24" ht="15.95" customHeight="1">
      <c r="A143" s="8"/>
      <c r="B143" s="7"/>
      <c r="C143" s="33"/>
      <c r="D143" s="7"/>
      <c r="E143" s="7"/>
      <c r="F143" s="7"/>
      <c r="G143" s="7"/>
      <c r="H143" s="7"/>
      <c r="I143" s="7"/>
      <c r="J143" s="7"/>
      <c r="K143" s="7"/>
      <c r="L143" s="7"/>
      <c r="M143" s="7"/>
      <c r="N143" s="7"/>
      <c r="O143" s="7"/>
      <c r="P143" s="7"/>
      <c r="Q143" s="7"/>
      <c r="R143" s="64"/>
      <c r="S143" s="64"/>
      <c r="T143" s="64"/>
      <c r="U143" s="64"/>
      <c r="V143" s="64"/>
      <c r="W143" s="64"/>
      <c r="X143" s="168" t="s">
        <v>3095</v>
      </c>
    </row>
    <row r="144" spans="1:24" ht="15.95" customHeight="1">
      <c r="A144" s="8"/>
      <c r="B144" s="7"/>
      <c r="C144" s="33"/>
      <c r="D144" s="7"/>
      <c r="E144" s="7"/>
      <c r="F144" s="7"/>
      <c r="G144" s="7"/>
      <c r="H144" s="7"/>
      <c r="I144" s="7"/>
      <c r="J144" s="7"/>
      <c r="K144" s="7"/>
      <c r="L144" s="7"/>
      <c r="M144" s="7"/>
      <c r="N144" s="7"/>
      <c r="O144" s="7"/>
      <c r="P144" s="7"/>
      <c r="Q144" s="7"/>
      <c r="R144" s="64"/>
      <c r="S144" s="64"/>
      <c r="T144" s="64"/>
      <c r="U144" s="64"/>
      <c r="V144" s="64"/>
      <c r="W144" s="64"/>
      <c r="X144" s="168" t="s">
        <v>3096</v>
      </c>
    </row>
    <row r="145" spans="1:24" ht="15.95" customHeight="1">
      <c r="A145" s="8"/>
      <c r="B145" s="7"/>
      <c r="C145" s="33"/>
      <c r="D145" s="7"/>
      <c r="E145" s="7"/>
      <c r="F145" s="7"/>
      <c r="G145" s="7"/>
      <c r="H145" s="7"/>
      <c r="I145" s="7"/>
      <c r="J145" s="7"/>
      <c r="K145" s="7"/>
      <c r="L145" s="7"/>
      <c r="M145" s="7"/>
      <c r="N145" s="7"/>
      <c r="O145" s="7"/>
      <c r="P145" s="7"/>
      <c r="Q145" s="7"/>
      <c r="R145" s="64"/>
      <c r="S145" s="64"/>
      <c r="T145" s="64"/>
      <c r="U145" s="64"/>
      <c r="V145" s="64"/>
      <c r="W145" s="64"/>
      <c r="X145" s="168" t="s">
        <v>3097</v>
      </c>
    </row>
    <row r="146" spans="1:24" ht="15.95" customHeight="1">
      <c r="A146" s="8"/>
      <c r="B146" s="7"/>
      <c r="C146" s="33"/>
      <c r="D146" s="7"/>
      <c r="E146" s="7"/>
      <c r="F146" s="7"/>
      <c r="G146" s="7"/>
      <c r="H146" s="7"/>
      <c r="I146" s="7"/>
      <c r="J146" s="7"/>
      <c r="K146" s="7"/>
      <c r="L146" s="7"/>
      <c r="M146" s="7"/>
      <c r="N146" s="7"/>
      <c r="O146" s="7"/>
      <c r="P146" s="7"/>
      <c r="Q146" s="7"/>
      <c r="R146" s="64"/>
      <c r="S146" s="64"/>
      <c r="T146" s="64"/>
      <c r="U146" s="64"/>
      <c r="V146" s="64"/>
      <c r="W146" s="64"/>
      <c r="X146" s="168" t="s">
        <v>3098</v>
      </c>
    </row>
    <row r="147" spans="1:24" ht="15.95" customHeight="1">
      <c r="A147" s="8"/>
      <c r="B147" s="7"/>
      <c r="C147" s="33"/>
      <c r="D147" s="7"/>
      <c r="E147" s="7"/>
      <c r="F147" s="7"/>
      <c r="G147" s="7"/>
      <c r="H147" s="7"/>
      <c r="I147" s="7"/>
      <c r="J147" s="7"/>
      <c r="K147" s="7"/>
      <c r="L147" s="7"/>
      <c r="M147" s="7"/>
      <c r="N147" s="7"/>
      <c r="O147" s="7"/>
      <c r="P147" s="7"/>
      <c r="Q147" s="7"/>
      <c r="R147" s="64"/>
      <c r="S147" s="64"/>
      <c r="T147" s="64"/>
      <c r="U147" s="64"/>
      <c r="V147" s="64"/>
      <c r="W147" s="64"/>
      <c r="X147" s="168" t="s">
        <v>3099</v>
      </c>
    </row>
    <row r="148" spans="1:24" ht="15.95" customHeight="1">
      <c r="A148" s="8"/>
      <c r="B148" s="7"/>
      <c r="C148" s="33"/>
      <c r="D148" s="7"/>
      <c r="E148" s="7"/>
      <c r="F148" s="7"/>
      <c r="G148" s="7"/>
      <c r="H148" s="7"/>
      <c r="I148" s="7"/>
      <c r="J148" s="7"/>
      <c r="K148" s="7"/>
      <c r="L148" s="7"/>
      <c r="M148" s="7"/>
      <c r="N148" s="7"/>
      <c r="O148" s="7"/>
      <c r="P148" s="7"/>
      <c r="Q148" s="7"/>
      <c r="R148" s="64"/>
      <c r="S148" s="64"/>
      <c r="T148" s="64"/>
      <c r="U148" s="64"/>
      <c r="V148" s="64"/>
      <c r="W148" s="64"/>
      <c r="X148" s="168" t="s">
        <v>3100</v>
      </c>
    </row>
    <row r="149" spans="1:24" ht="15.95" customHeight="1">
      <c r="A149" s="8"/>
      <c r="B149" s="7"/>
      <c r="C149" s="33"/>
      <c r="D149" s="7"/>
      <c r="E149" s="7"/>
      <c r="F149" s="7"/>
      <c r="G149" s="7"/>
      <c r="H149" s="7"/>
      <c r="I149" s="7"/>
      <c r="J149" s="7"/>
      <c r="K149" s="7"/>
      <c r="L149" s="7"/>
      <c r="M149" s="7"/>
      <c r="N149" s="7"/>
      <c r="O149" s="7"/>
      <c r="P149" s="7"/>
      <c r="Q149" s="7"/>
      <c r="R149" s="64"/>
      <c r="S149" s="64"/>
      <c r="T149" s="64"/>
      <c r="U149" s="64"/>
      <c r="V149" s="64"/>
      <c r="W149" s="64"/>
      <c r="X149" s="168" t="s">
        <v>3101</v>
      </c>
    </row>
    <row r="150" spans="1:24" ht="15.95" customHeight="1">
      <c r="A150" s="8"/>
      <c r="B150" s="7"/>
      <c r="C150" s="33"/>
      <c r="D150" s="7"/>
      <c r="E150" s="7"/>
      <c r="F150" s="7"/>
      <c r="G150" s="7"/>
      <c r="H150" s="7"/>
      <c r="I150" s="7"/>
      <c r="J150" s="7"/>
      <c r="K150" s="7"/>
      <c r="L150" s="7"/>
      <c r="M150" s="7"/>
      <c r="N150" s="7"/>
      <c r="O150" s="7"/>
      <c r="P150" s="7"/>
      <c r="Q150" s="7"/>
      <c r="R150" s="64"/>
      <c r="S150" s="64"/>
      <c r="T150" s="64"/>
      <c r="U150" s="64"/>
      <c r="V150" s="64"/>
      <c r="W150" s="64"/>
      <c r="X150" s="168" t="s">
        <v>3102</v>
      </c>
    </row>
    <row r="151" spans="1:24" ht="15.95" customHeight="1">
      <c r="A151" s="8"/>
      <c r="B151" s="7"/>
      <c r="C151" s="33"/>
      <c r="D151" s="7"/>
      <c r="E151" s="7"/>
      <c r="F151" s="7"/>
      <c r="G151" s="7"/>
      <c r="H151" s="7"/>
      <c r="I151" s="7"/>
      <c r="J151" s="7"/>
      <c r="K151" s="7"/>
      <c r="L151" s="7"/>
      <c r="M151" s="7"/>
      <c r="N151" s="7"/>
      <c r="O151" s="7"/>
      <c r="P151" s="7"/>
      <c r="Q151" s="7"/>
      <c r="R151" s="64"/>
      <c r="S151" s="64"/>
      <c r="T151" s="64"/>
      <c r="U151" s="64"/>
      <c r="V151" s="64"/>
      <c r="W151" s="64"/>
      <c r="X151" s="168" t="s">
        <v>3094</v>
      </c>
    </row>
    <row r="152" spans="1:24" ht="15.95" customHeight="1">
      <c r="A152" s="8"/>
      <c r="B152" s="7"/>
      <c r="C152" s="33"/>
      <c r="D152" s="7"/>
      <c r="E152" s="7"/>
      <c r="F152" s="7"/>
      <c r="G152" s="7"/>
      <c r="H152" s="7"/>
      <c r="I152" s="7"/>
      <c r="J152" s="7"/>
      <c r="K152" s="7"/>
      <c r="L152" s="7"/>
      <c r="M152" s="7"/>
      <c r="N152" s="7"/>
      <c r="O152" s="7"/>
      <c r="P152" s="7"/>
      <c r="Q152" s="7"/>
      <c r="R152" s="64"/>
      <c r="S152" s="64"/>
      <c r="T152" s="64"/>
      <c r="U152" s="64"/>
      <c r="V152" s="64"/>
      <c r="W152" s="64"/>
      <c r="X152" s="168" t="s">
        <v>3103</v>
      </c>
    </row>
    <row r="153" spans="1:24" ht="15.95" customHeight="1">
      <c r="A153" s="8"/>
      <c r="B153" s="7"/>
      <c r="C153" s="33"/>
      <c r="D153" s="7"/>
      <c r="E153" s="7"/>
      <c r="F153" s="7"/>
      <c r="G153" s="7"/>
      <c r="H153" s="7"/>
      <c r="I153" s="7"/>
      <c r="J153" s="7"/>
      <c r="K153" s="7"/>
      <c r="L153" s="7"/>
      <c r="M153" s="7"/>
      <c r="N153" s="7"/>
      <c r="O153" s="7"/>
      <c r="P153" s="7"/>
      <c r="Q153" s="7"/>
      <c r="R153" s="64"/>
      <c r="S153" s="64"/>
      <c r="T153" s="64"/>
      <c r="U153" s="64"/>
      <c r="V153" s="64"/>
      <c r="W153" s="64"/>
      <c r="X153" s="168" t="s">
        <v>3104</v>
      </c>
    </row>
    <row r="154" spans="1:24" ht="15.95" customHeight="1">
      <c r="A154" s="8"/>
      <c r="B154" s="7"/>
      <c r="C154" s="33"/>
      <c r="D154" s="7"/>
      <c r="E154" s="7"/>
      <c r="F154" s="7"/>
      <c r="G154" s="7"/>
      <c r="H154" s="7"/>
      <c r="I154" s="7"/>
      <c r="J154" s="7"/>
      <c r="K154" s="7"/>
      <c r="L154" s="7"/>
      <c r="M154" s="7"/>
      <c r="N154" s="7"/>
      <c r="O154" s="7"/>
      <c r="P154" s="7"/>
      <c r="Q154" s="7"/>
      <c r="R154" s="64"/>
      <c r="S154" s="64"/>
      <c r="T154" s="64"/>
      <c r="U154" s="64"/>
      <c r="V154" s="64"/>
      <c r="W154" s="64"/>
      <c r="X154" s="168" t="s">
        <v>3105</v>
      </c>
    </row>
    <row r="155" spans="1:24" ht="15.95" customHeight="1">
      <c r="A155" s="8"/>
      <c r="B155" s="7"/>
      <c r="C155" s="33"/>
      <c r="D155" s="7"/>
      <c r="E155" s="7"/>
      <c r="F155" s="7"/>
      <c r="G155" s="7"/>
      <c r="H155" s="7"/>
      <c r="I155" s="7"/>
      <c r="J155" s="7"/>
      <c r="K155" s="7"/>
      <c r="L155" s="7"/>
      <c r="M155" s="7"/>
      <c r="N155" s="7"/>
      <c r="O155" s="7"/>
      <c r="P155" s="7"/>
      <c r="Q155" s="7"/>
      <c r="R155" s="64"/>
      <c r="S155" s="64"/>
      <c r="T155" s="64"/>
      <c r="U155" s="64"/>
      <c r="V155" s="64"/>
      <c r="W155" s="64"/>
      <c r="X155" s="168" t="s">
        <v>3106</v>
      </c>
    </row>
    <row r="156" spans="1:24" ht="15.95" customHeight="1">
      <c r="A156" s="8"/>
      <c r="B156" s="7"/>
      <c r="C156" s="33"/>
      <c r="D156" s="7"/>
      <c r="E156" s="7"/>
      <c r="F156" s="7"/>
      <c r="G156" s="7"/>
      <c r="H156" s="7"/>
      <c r="I156" s="7"/>
      <c r="J156" s="7"/>
      <c r="K156" s="7"/>
      <c r="L156" s="7"/>
      <c r="M156" s="7"/>
      <c r="N156" s="7"/>
      <c r="O156" s="7"/>
      <c r="P156" s="7"/>
      <c r="Q156" s="7"/>
      <c r="R156" s="64"/>
      <c r="S156" s="64"/>
      <c r="T156" s="64"/>
      <c r="U156" s="64"/>
      <c r="V156" s="64"/>
      <c r="W156" s="64"/>
      <c r="X156" s="168" t="s">
        <v>3107</v>
      </c>
    </row>
    <row r="157" spans="1:24" ht="15.95" customHeight="1">
      <c r="A157" s="8"/>
      <c r="B157" s="7"/>
      <c r="C157" s="33"/>
      <c r="D157" s="7"/>
      <c r="E157" s="7"/>
      <c r="F157" s="7"/>
      <c r="G157" s="7"/>
      <c r="H157" s="7"/>
      <c r="I157" s="7"/>
      <c r="J157" s="7"/>
      <c r="K157" s="7"/>
      <c r="L157" s="7"/>
      <c r="M157" s="7"/>
      <c r="N157" s="7"/>
      <c r="O157" s="7"/>
      <c r="P157" s="7"/>
      <c r="Q157" s="7"/>
      <c r="R157" s="64"/>
      <c r="S157" s="64"/>
      <c r="T157" s="64"/>
      <c r="U157" s="64"/>
      <c r="V157" s="64"/>
      <c r="W157" s="64"/>
      <c r="X157" s="168" t="s">
        <v>3108</v>
      </c>
    </row>
    <row r="158" spans="1:24" ht="15.95" customHeight="1">
      <c r="A158" s="8"/>
      <c r="B158" s="7"/>
      <c r="C158" s="33"/>
      <c r="D158" s="7"/>
      <c r="E158" s="7"/>
      <c r="F158" s="7"/>
      <c r="G158" s="7"/>
      <c r="H158" s="7"/>
      <c r="I158" s="7"/>
      <c r="J158" s="7"/>
      <c r="K158" s="7"/>
      <c r="L158" s="7"/>
      <c r="M158" s="7"/>
      <c r="N158" s="7"/>
      <c r="O158" s="7"/>
      <c r="P158" s="7"/>
      <c r="Q158" s="7"/>
      <c r="R158" s="64"/>
      <c r="S158" s="64"/>
      <c r="T158" s="64"/>
      <c r="U158" s="64"/>
      <c r="V158" s="64"/>
      <c r="W158" s="64"/>
      <c r="X158" s="168" t="s">
        <v>3109</v>
      </c>
    </row>
    <row r="159" spans="1:24" ht="15.95" customHeight="1">
      <c r="A159" s="8"/>
      <c r="B159" s="7"/>
      <c r="C159" s="33"/>
      <c r="D159" s="7"/>
      <c r="E159" s="7"/>
      <c r="F159" s="7"/>
      <c r="G159" s="7"/>
      <c r="H159" s="7"/>
      <c r="I159" s="7"/>
      <c r="J159" s="7"/>
      <c r="K159" s="7"/>
      <c r="L159" s="7"/>
      <c r="M159" s="7"/>
      <c r="N159" s="7"/>
      <c r="O159" s="7"/>
      <c r="P159" s="7"/>
      <c r="Q159" s="7"/>
      <c r="R159" s="64"/>
      <c r="S159" s="64"/>
      <c r="T159" s="64"/>
      <c r="U159" s="64"/>
      <c r="V159" s="64"/>
      <c r="W159" s="64"/>
      <c r="X159" s="168" t="s">
        <v>3110</v>
      </c>
    </row>
    <row r="160" spans="1:24" ht="15.95" customHeight="1">
      <c r="A160" s="8"/>
      <c r="B160" s="7"/>
      <c r="C160" s="33"/>
      <c r="D160" s="7"/>
      <c r="E160" s="7"/>
      <c r="F160" s="7"/>
      <c r="G160" s="7"/>
      <c r="H160" s="7"/>
      <c r="I160" s="7"/>
      <c r="J160" s="7"/>
      <c r="K160" s="7"/>
      <c r="L160" s="7"/>
      <c r="M160" s="7"/>
      <c r="N160" s="7"/>
      <c r="O160" s="7"/>
      <c r="P160" s="7"/>
      <c r="Q160" s="7"/>
      <c r="R160" s="64"/>
      <c r="S160" s="64"/>
      <c r="T160" s="64"/>
      <c r="U160" s="64"/>
      <c r="V160" s="64"/>
      <c r="W160" s="64"/>
      <c r="X160" s="168" t="s">
        <v>3111</v>
      </c>
    </row>
    <row r="161" spans="1:24" ht="15.95" customHeight="1">
      <c r="A161" s="8"/>
      <c r="B161" s="7"/>
      <c r="C161" s="33"/>
      <c r="D161" s="7"/>
      <c r="E161" s="7"/>
      <c r="F161" s="7"/>
      <c r="G161" s="7"/>
      <c r="H161" s="7"/>
      <c r="I161" s="7"/>
      <c r="J161" s="7"/>
      <c r="K161" s="7"/>
      <c r="L161" s="7"/>
      <c r="M161" s="7"/>
      <c r="N161" s="7"/>
      <c r="O161" s="7"/>
      <c r="P161" s="7"/>
      <c r="Q161" s="7"/>
      <c r="R161" s="64"/>
      <c r="S161" s="64"/>
      <c r="T161" s="64"/>
      <c r="U161" s="64"/>
      <c r="V161" s="64"/>
      <c r="W161" s="64"/>
      <c r="X161" s="168" t="s">
        <v>3112</v>
      </c>
    </row>
    <row r="162" spans="1:24" ht="15.95" customHeight="1">
      <c r="A162" s="8"/>
      <c r="B162" s="7"/>
      <c r="C162" s="33"/>
      <c r="D162" s="7"/>
      <c r="E162" s="7"/>
      <c r="F162" s="7"/>
      <c r="G162" s="7"/>
      <c r="H162" s="7"/>
      <c r="I162" s="7"/>
      <c r="J162" s="7"/>
      <c r="K162" s="7"/>
      <c r="L162" s="7"/>
      <c r="M162" s="7"/>
      <c r="N162" s="7"/>
      <c r="O162" s="7"/>
      <c r="P162" s="7"/>
      <c r="Q162" s="7"/>
      <c r="R162" s="64"/>
      <c r="S162" s="64"/>
      <c r="T162" s="64"/>
      <c r="U162" s="64"/>
      <c r="V162" s="64"/>
      <c r="W162" s="64"/>
      <c r="X162" s="168" t="s">
        <v>3113</v>
      </c>
    </row>
    <row r="163" spans="1:24" ht="15.95" customHeight="1">
      <c r="A163" s="8"/>
      <c r="B163" s="7"/>
      <c r="C163" s="33"/>
      <c r="D163" s="7"/>
      <c r="E163" s="7"/>
      <c r="F163" s="7"/>
      <c r="G163" s="7"/>
      <c r="H163" s="7"/>
      <c r="I163" s="7"/>
      <c r="J163" s="7"/>
      <c r="K163" s="7"/>
      <c r="L163" s="7"/>
      <c r="M163" s="7"/>
      <c r="N163" s="7"/>
      <c r="O163" s="7"/>
      <c r="P163" s="7"/>
      <c r="Q163" s="7"/>
      <c r="R163" s="64"/>
      <c r="S163" s="64"/>
      <c r="T163" s="64"/>
      <c r="U163" s="64"/>
      <c r="V163" s="64"/>
      <c r="W163" s="64"/>
      <c r="X163" s="168" t="s">
        <v>3021</v>
      </c>
    </row>
    <row r="164" spans="1:24" ht="15.95" customHeight="1">
      <c r="A164" s="8"/>
      <c r="B164" s="7"/>
      <c r="C164" s="33"/>
      <c r="D164" s="7"/>
      <c r="E164" s="7"/>
      <c r="F164" s="7"/>
      <c r="G164" s="7"/>
      <c r="H164" s="7"/>
      <c r="I164" s="7"/>
      <c r="J164" s="7"/>
      <c r="K164" s="7"/>
      <c r="L164" s="7"/>
      <c r="M164" s="7"/>
      <c r="N164" s="7"/>
      <c r="O164" s="7"/>
      <c r="P164" s="7"/>
      <c r="Q164" s="7"/>
      <c r="R164" s="64"/>
      <c r="S164" s="64"/>
      <c r="T164" s="64"/>
      <c r="U164" s="64"/>
      <c r="V164" s="64"/>
      <c r="W164" s="64"/>
      <c r="X164" s="168" t="s">
        <v>3114</v>
      </c>
    </row>
    <row r="165" spans="1:24" ht="15.95" customHeight="1">
      <c r="A165" s="8"/>
      <c r="B165" s="7"/>
      <c r="C165" s="33"/>
      <c r="D165" s="7"/>
      <c r="E165" s="7"/>
      <c r="F165" s="7"/>
      <c r="G165" s="7"/>
      <c r="H165" s="7"/>
      <c r="I165" s="7"/>
      <c r="J165" s="7"/>
      <c r="K165" s="7"/>
      <c r="L165" s="7"/>
      <c r="M165" s="7"/>
      <c r="N165" s="7"/>
      <c r="O165" s="7"/>
      <c r="P165" s="7"/>
      <c r="Q165" s="7"/>
      <c r="R165" s="64"/>
      <c r="S165" s="64"/>
      <c r="T165" s="64"/>
      <c r="U165" s="64"/>
      <c r="V165" s="64"/>
      <c r="W165" s="64"/>
      <c r="X165" s="168" t="s">
        <v>3115</v>
      </c>
    </row>
    <row r="166" spans="1:24" ht="15.95" customHeight="1">
      <c r="A166" s="8"/>
      <c r="B166" s="7"/>
      <c r="C166" s="33"/>
      <c r="D166" s="7"/>
      <c r="E166" s="7"/>
      <c r="F166" s="7"/>
      <c r="G166" s="7"/>
      <c r="H166" s="7"/>
      <c r="I166" s="7"/>
      <c r="J166" s="7"/>
      <c r="K166" s="7"/>
      <c r="L166" s="7"/>
      <c r="M166" s="7"/>
      <c r="N166" s="7"/>
      <c r="O166" s="7"/>
      <c r="P166" s="7"/>
      <c r="Q166" s="7"/>
      <c r="R166" s="64"/>
      <c r="S166" s="64"/>
      <c r="T166" s="64"/>
      <c r="U166" s="64"/>
      <c r="V166" s="64"/>
      <c r="W166" s="64"/>
      <c r="X166" s="168" t="s">
        <v>3116</v>
      </c>
    </row>
    <row r="167" spans="1:24" ht="15.95" customHeight="1">
      <c r="A167" s="8"/>
      <c r="B167" s="7"/>
      <c r="C167" s="33"/>
      <c r="D167" s="7"/>
      <c r="E167" s="7"/>
      <c r="F167" s="7"/>
      <c r="G167" s="7"/>
      <c r="H167" s="7"/>
      <c r="I167" s="7"/>
      <c r="J167" s="7"/>
      <c r="K167" s="7"/>
      <c r="L167" s="7"/>
      <c r="M167" s="7"/>
      <c r="N167" s="7"/>
      <c r="O167" s="7"/>
      <c r="P167" s="7"/>
      <c r="Q167" s="7"/>
      <c r="R167" s="64"/>
      <c r="S167" s="64"/>
      <c r="T167" s="64"/>
      <c r="U167" s="64"/>
      <c r="V167" s="64"/>
      <c r="W167" s="64"/>
      <c r="X167" s="168" t="s">
        <v>3117</v>
      </c>
    </row>
    <row r="168" spans="1:24" ht="15.95" customHeight="1">
      <c r="A168" s="8"/>
      <c r="B168" s="7"/>
      <c r="C168" s="33"/>
      <c r="D168" s="7"/>
      <c r="E168" s="7"/>
      <c r="F168" s="7"/>
      <c r="G168" s="7"/>
      <c r="H168" s="7"/>
      <c r="I168" s="7"/>
      <c r="J168" s="7"/>
      <c r="K168" s="7"/>
      <c r="L168" s="7"/>
      <c r="M168" s="7"/>
      <c r="N168" s="7"/>
      <c r="O168" s="7"/>
      <c r="P168" s="7"/>
      <c r="Q168" s="7"/>
      <c r="R168" s="64"/>
      <c r="S168" s="64"/>
      <c r="T168" s="64"/>
      <c r="U168" s="64"/>
      <c r="V168" s="64"/>
      <c r="W168" s="64"/>
      <c r="X168" s="168" t="s">
        <v>3118</v>
      </c>
    </row>
    <row r="169" spans="1:24" ht="15.95" customHeight="1">
      <c r="A169" s="8"/>
      <c r="B169" s="7"/>
      <c r="C169" s="33"/>
      <c r="D169" s="7"/>
      <c r="E169" s="7"/>
      <c r="F169" s="7"/>
      <c r="G169" s="7"/>
      <c r="H169" s="7"/>
      <c r="I169" s="7"/>
      <c r="J169" s="7"/>
      <c r="K169" s="7"/>
      <c r="L169" s="7"/>
      <c r="M169" s="7"/>
      <c r="N169" s="7"/>
      <c r="O169" s="7"/>
      <c r="P169" s="7"/>
      <c r="Q169" s="7"/>
      <c r="R169" s="64"/>
      <c r="S169" s="64"/>
      <c r="T169" s="64"/>
      <c r="U169" s="64"/>
      <c r="V169" s="64"/>
      <c r="W169" s="64"/>
      <c r="X169" s="168" t="s">
        <v>3119</v>
      </c>
    </row>
    <row r="170" spans="1:24" ht="15.95" customHeight="1">
      <c r="A170" s="8"/>
      <c r="B170" s="7"/>
      <c r="C170" s="33"/>
      <c r="D170" s="7"/>
      <c r="E170" s="7"/>
      <c r="F170" s="7"/>
      <c r="G170" s="7"/>
      <c r="H170" s="7"/>
      <c r="I170" s="7"/>
      <c r="J170" s="7"/>
      <c r="K170" s="7"/>
      <c r="L170" s="7"/>
      <c r="M170" s="7"/>
      <c r="N170" s="7"/>
      <c r="O170" s="7"/>
      <c r="P170" s="7"/>
      <c r="Q170" s="7"/>
      <c r="R170" s="64"/>
      <c r="S170" s="64"/>
      <c r="T170" s="64"/>
      <c r="U170" s="64"/>
      <c r="V170" s="64"/>
      <c r="W170" s="64"/>
      <c r="X170" s="168" t="s">
        <v>3120</v>
      </c>
    </row>
    <row r="171" spans="1:24" ht="15.95" customHeight="1">
      <c r="A171" s="8"/>
      <c r="B171" s="7"/>
      <c r="C171" s="33"/>
      <c r="D171" s="7"/>
      <c r="E171" s="7"/>
      <c r="F171" s="7"/>
      <c r="G171" s="7"/>
      <c r="H171" s="7"/>
      <c r="I171" s="7"/>
      <c r="J171" s="7"/>
      <c r="K171" s="7"/>
      <c r="L171" s="7"/>
      <c r="M171" s="7"/>
      <c r="N171" s="7"/>
      <c r="O171" s="7"/>
      <c r="P171" s="7"/>
      <c r="Q171" s="7"/>
      <c r="R171" s="64"/>
      <c r="S171" s="64"/>
      <c r="T171" s="64"/>
      <c r="U171" s="64"/>
      <c r="V171" s="64"/>
      <c r="W171" s="64"/>
      <c r="X171" s="168" t="s">
        <v>3121</v>
      </c>
    </row>
    <row r="172" spans="1:24" ht="15.95" customHeight="1">
      <c r="A172" s="8"/>
      <c r="B172" s="7"/>
      <c r="C172" s="33"/>
      <c r="D172" s="7"/>
      <c r="E172" s="7"/>
      <c r="F172" s="7"/>
      <c r="G172" s="7"/>
      <c r="H172" s="7"/>
      <c r="I172" s="7"/>
      <c r="J172" s="7"/>
      <c r="K172" s="7"/>
      <c r="L172" s="7"/>
      <c r="M172" s="7"/>
      <c r="N172" s="7"/>
      <c r="O172" s="7"/>
      <c r="P172" s="7"/>
      <c r="Q172" s="7"/>
      <c r="R172" s="64"/>
      <c r="S172" s="64"/>
      <c r="T172" s="64"/>
      <c r="U172" s="64"/>
      <c r="V172" s="64"/>
      <c r="W172" s="64"/>
      <c r="X172" s="168" t="s">
        <v>3122</v>
      </c>
    </row>
    <row r="173" spans="1:24" ht="15.95" customHeight="1">
      <c r="A173" s="8"/>
      <c r="B173" s="7"/>
      <c r="C173" s="33"/>
      <c r="D173" s="7"/>
      <c r="E173" s="7"/>
      <c r="F173" s="7"/>
      <c r="G173" s="7"/>
      <c r="H173" s="7"/>
      <c r="I173" s="7"/>
      <c r="J173" s="7"/>
      <c r="K173" s="7"/>
      <c r="L173" s="7"/>
      <c r="M173" s="7"/>
      <c r="N173" s="7"/>
      <c r="O173" s="7"/>
      <c r="P173" s="7"/>
      <c r="Q173" s="7"/>
      <c r="R173" s="64"/>
      <c r="S173" s="64"/>
      <c r="T173" s="64"/>
      <c r="U173" s="64"/>
      <c r="V173" s="64"/>
      <c r="W173" s="64"/>
      <c r="X173" s="168" t="s">
        <v>3123</v>
      </c>
    </row>
    <row r="174" spans="1:24" ht="15.95" customHeight="1">
      <c r="A174" s="8"/>
      <c r="B174" s="7"/>
      <c r="C174" s="33"/>
      <c r="D174" s="7"/>
      <c r="E174" s="7"/>
      <c r="F174" s="7"/>
      <c r="G174" s="7"/>
      <c r="H174" s="7"/>
      <c r="I174" s="7"/>
      <c r="J174" s="7"/>
      <c r="K174" s="7"/>
      <c r="L174" s="7"/>
      <c r="M174" s="7"/>
      <c r="N174" s="7"/>
      <c r="O174" s="7"/>
      <c r="P174" s="7"/>
      <c r="Q174" s="7"/>
      <c r="R174" s="64"/>
      <c r="S174" s="64"/>
      <c r="T174" s="64"/>
      <c r="U174" s="64"/>
      <c r="V174" s="64"/>
      <c r="W174" s="64"/>
      <c r="X174" s="168" t="s">
        <v>3124</v>
      </c>
    </row>
    <row r="175" spans="1:24" ht="15.95" customHeight="1">
      <c r="A175" s="8"/>
      <c r="B175" s="7"/>
      <c r="C175" s="33"/>
      <c r="D175" s="7"/>
      <c r="E175" s="7"/>
      <c r="F175" s="7"/>
      <c r="G175" s="7"/>
      <c r="H175" s="7"/>
      <c r="I175" s="7"/>
      <c r="J175" s="7"/>
      <c r="K175" s="7"/>
      <c r="L175" s="7"/>
      <c r="M175" s="7"/>
      <c r="N175" s="7"/>
      <c r="O175" s="7"/>
      <c r="P175" s="7"/>
      <c r="Q175" s="7"/>
      <c r="R175" s="64"/>
      <c r="S175" s="64"/>
      <c r="T175" s="64"/>
      <c r="U175" s="64"/>
      <c r="V175" s="64"/>
      <c r="W175" s="64"/>
      <c r="X175" s="168" t="s">
        <v>3078</v>
      </c>
    </row>
    <row r="176" spans="1:24" ht="15.95" customHeight="1">
      <c r="A176" s="8"/>
      <c r="B176" s="7"/>
      <c r="C176" s="33"/>
      <c r="D176" s="7"/>
      <c r="E176" s="7"/>
      <c r="F176" s="7"/>
      <c r="G176" s="7"/>
      <c r="H176" s="7"/>
      <c r="I176" s="7"/>
      <c r="J176" s="7"/>
      <c r="K176" s="7"/>
      <c r="L176" s="7"/>
      <c r="M176" s="7"/>
      <c r="N176" s="7"/>
      <c r="O176" s="7"/>
      <c r="P176" s="7"/>
      <c r="Q176" s="7"/>
      <c r="R176" s="64"/>
      <c r="S176" s="64"/>
      <c r="T176" s="64"/>
      <c r="U176" s="64"/>
      <c r="V176" s="64"/>
      <c r="W176" s="64"/>
      <c r="X176" s="168" t="s">
        <v>3125</v>
      </c>
    </row>
    <row r="177" spans="1:24" ht="15.95" customHeight="1">
      <c r="A177" s="8"/>
      <c r="B177" s="7"/>
      <c r="C177" s="33"/>
      <c r="D177" s="7"/>
      <c r="E177" s="7"/>
      <c r="F177" s="7"/>
      <c r="G177" s="7"/>
      <c r="H177" s="7"/>
      <c r="I177" s="7"/>
      <c r="J177" s="7"/>
      <c r="K177" s="7"/>
      <c r="L177" s="7"/>
      <c r="M177" s="7"/>
      <c r="N177" s="7"/>
      <c r="O177" s="7"/>
      <c r="P177" s="7"/>
      <c r="Q177" s="7"/>
      <c r="R177" s="64"/>
      <c r="S177" s="64"/>
      <c r="T177" s="64"/>
      <c r="U177" s="64"/>
      <c r="V177" s="64"/>
      <c r="W177" s="64"/>
      <c r="X177" s="168" t="s">
        <v>3126</v>
      </c>
    </row>
    <row r="178" spans="1:24" ht="15.95" customHeight="1">
      <c r="A178" s="8"/>
      <c r="B178" s="7"/>
      <c r="C178" s="33"/>
      <c r="D178" s="7"/>
      <c r="E178" s="7"/>
      <c r="F178" s="7"/>
      <c r="G178" s="7"/>
      <c r="H178" s="7"/>
      <c r="I178" s="7"/>
      <c r="J178" s="7"/>
      <c r="K178" s="7"/>
      <c r="L178" s="7"/>
      <c r="M178" s="7"/>
      <c r="N178" s="7"/>
      <c r="O178" s="7"/>
      <c r="P178" s="7"/>
      <c r="Q178" s="7"/>
      <c r="R178" s="64"/>
      <c r="S178" s="64"/>
      <c r="T178" s="64"/>
      <c r="U178" s="64"/>
      <c r="V178" s="64"/>
      <c r="W178" s="64"/>
      <c r="X178" s="168" t="s">
        <v>3127</v>
      </c>
    </row>
    <row r="179" spans="1:24" ht="15.95" customHeight="1">
      <c r="A179" s="8"/>
      <c r="B179" s="7"/>
      <c r="C179" s="33"/>
      <c r="D179" s="7"/>
      <c r="E179" s="7"/>
      <c r="F179" s="7"/>
      <c r="G179" s="7"/>
      <c r="H179" s="7"/>
      <c r="I179" s="7"/>
      <c r="J179" s="7"/>
      <c r="K179" s="7"/>
      <c r="L179" s="7"/>
      <c r="M179" s="7"/>
      <c r="N179" s="7"/>
      <c r="O179" s="7"/>
      <c r="P179" s="7"/>
      <c r="Q179" s="7"/>
      <c r="R179" s="64"/>
      <c r="S179" s="64"/>
      <c r="T179" s="64"/>
      <c r="U179" s="64"/>
      <c r="V179" s="64"/>
      <c r="W179" s="64"/>
      <c r="X179" s="168" t="s">
        <v>3128</v>
      </c>
    </row>
    <row r="180" spans="1:24" ht="15.95" customHeight="1">
      <c r="A180" s="8"/>
      <c r="B180" s="7"/>
      <c r="C180" s="33"/>
      <c r="D180" s="7"/>
      <c r="E180" s="7"/>
      <c r="F180" s="7"/>
      <c r="G180" s="7"/>
      <c r="H180" s="7"/>
      <c r="I180" s="7"/>
      <c r="J180" s="7"/>
      <c r="K180" s="7"/>
      <c r="L180" s="7"/>
      <c r="M180" s="7"/>
      <c r="N180" s="7"/>
      <c r="O180" s="7"/>
      <c r="P180" s="7"/>
      <c r="Q180" s="7"/>
      <c r="R180" s="64"/>
      <c r="S180" s="64"/>
      <c r="T180" s="64"/>
      <c r="U180" s="64"/>
      <c r="V180" s="64"/>
      <c r="W180" s="64"/>
      <c r="X180" s="168" t="s">
        <v>3129</v>
      </c>
    </row>
    <row r="181" spans="1:24" ht="15.95" customHeight="1">
      <c r="A181" s="8"/>
      <c r="B181" s="7"/>
      <c r="C181" s="33"/>
      <c r="D181" s="7"/>
      <c r="E181" s="7"/>
      <c r="F181" s="7"/>
      <c r="G181" s="7"/>
      <c r="H181" s="7"/>
      <c r="I181" s="7"/>
      <c r="J181" s="7"/>
      <c r="K181" s="7"/>
      <c r="L181" s="7"/>
      <c r="M181" s="7"/>
      <c r="N181" s="7"/>
      <c r="O181" s="7"/>
      <c r="P181" s="7"/>
      <c r="Q181" s="7"/>
      <c r="R181" s="64"/>
      <c r="S181" s="64"/>
      <c r="T181" s="64"/>
      <c r="U181" s="64"/>
      <c r="V181" s="64"/>
      <c r="W181" s="64"/>
      <c r="X181" s="168" t="s">
        <v>3130</v>
      </c>
    </row>
    <row r="182" spans="1:24" ht="15.95" customHeight="1">
      <c r="A182" s="8"/>
      <c r="B182" s="7"/>
      <c r="C182" s="33"/>
      <c r="D182" s="7"/>
      <c r="E182" s="7"/>
      <c r="F182" s="7"/>
      <c r="G182" s="7"/>
      <c r="H182" s="7"/>
      <c r="I182" s="7"/>
      <c r="J182" s="7"/>
      <c r="K182" s="7"/>
      <c r="L182" s="7"/>
      <c r="M182" s="7"/>
      <c r="N182" s="7"/>
      <c r="O182" s="7"/>
      <c r="P182" s="7"/>
      <c r="Q182" s="7"/>
      <c r="R182" s="64"/>
      <c r="S182" s="64"/>
      <c r="T182" s="64"/>
      <c r="U182" s="64"/>
      <c r="V182" s="64"/>
      <c r="W182" s="64"/>
      <c r="X182" s="168" t="s">
        <v>3131</v>
      </c>
    </row>
    <row r="183" spans="1:24" ht="15.95" customHeight="1">
      <c r="A183" s="8"/>
      <c r="B183" s="7"/>
      <c r="C183" s="33"/>
      <c r="D183" s="7"/>
      <c r="E183" s="7"/>
      <c r="F183" s="7"/>
      <c r="G183" s="7"/>
      <c r="H183" s="7"/>
      <c r="I183" s="7"/>
      <c r="J183" s="7"/>
      <c r="K183" s="7"/>
      <c r="L183" s="7"/>
      <c r="M183" s="7"/>
      <c r="N183" s="7"/>
      <c r="O183" s="7"/>
      <c r="P183" s="7"/>
      <c r="Q183" s="7"/>
      <c r="R183" s="64"/>
      <c r="S183" s="64"/>
      <c r="T183" s="64"/>
      <c r="U183" s="64"/>
      <c r="V183" s="64"/>
      <c r="W183" s="64"/>
      <c r="X183" s="168" t="s">
        <v>3127</v>
      </c>
    </row>
    <row r="184" spans="1:24" ht="15.95" customHeight="1">
      <c r="A184" s="8"/>
      <c r="B184" s="7"/>
      <c r="C184" s="33"/>
      <c r="D184" s="7"/>
      <c r="E184" s="7"/>
      <c r="F184" s="7"/>
      <c r="G184" s="7"/>
      <c r="H184" s="7"/>
      <c r="I184" s="7"/>
      <c r="J184" s="7"/>
      <c r="K184" s="7"/>
      <c r="L184" s="7"/>
      <c r="M184" s="7"/>
      <c r="N184" s="7"/>
      <c r="O184" s="7"/>
      <c r="P184" s="7"/>
      <c r="Q184" s="7"/>
      <c r="R184" s="64"/>
      <c r="S184" s="64"/>
      <c r="T184" s="64"/>
      <c r="U184" s="64"/>
      <c r="V184" s="64"/>
      <c r="W184" s="64"/>
      <c r="X184" s="168" t="s">
        <v>3132</v>
      </c>
    </row>
    <row r="185" spans="1:24" ht="15.95" customHeight="1">
      <c r="A185" s="8"/>
      <c r="B185" s="7"/>
      <c r="C185" s="33"/>
      <c r="D185" s="7"/>
      <c r="E185" s="7"/>
      <c r="F185" s="7"/>
      <c r="G185" s="7"/>
      <c r="H185" s="7"/>
      <c r="I185" s="7"/>
      <c r="J185" s="7"/>
      <c r="K185" s="7"/>
      <c r="L185" s="7"/>
      <c r="M185" s="7"/>
      <c r="N185" s="7"/>
      <c r="O185" s="7"/>
      <c r="P185" s="7"/>
      <c r="Q185" s="7"/>
      <c r="R185" s="64"/>
      <c r="S185" s="64"/>
      <c r="T185" s="64"/>
      <c r="U185" s="64"/>
      <c r="V185" s="64"/>
      <c r="W185" s="64"/>
      <c r="X185" s="168" t="s">
        <v>3133</v>
      </c>
    </row>
    <row r="186" spans="1:24" ht="15.95" customHeight="1">
      <c r="A186" s="8"/>
      <c r="B186" s="7"/>
      <c r="C186" s="33"/>
      <c r="D186" s="7"/>
      <c r="E186" s="7"/>
      <c r="F186" s="7"/>
      <c r="G186" s="7"/>
      <c r="H186" s="7"/>
      <c r="I186" s="7"/>
      <c r="J186" s="7"/>
      <c r="K186" s="7"/>
      <c r="L186" s="7"/>
      <c r="M186" s="7"/>
      <c r="N186" s="7"/>
      <c r="O186" s="7"/>
      <c r="P186" s="7"/>
      <c r="Q186" s="7"/>
      <c r="R186" s="64"/>
      <c r="S186" s="64"/>
      <c r="T186" s="64"/>
      <c r="U186" s="64"/>
      <c r="V186" s="64"/>
      <c r="W186" s="64"/>
      <c r="X186" s="168" t="s">
        <v>3134</v>
      </c>
    </row>
    <row r="187" spans="1:24" ht="15.95" customHeight="1">
      <c r="A187" s="8"/>
      <c r="B187" s="7"/>
      <c r="C187" s="33"/>
      <c r="D187" s="7"/>
      <c r="E187" s="7"/>
      <c r="F187" s="7"/>
      <c r="G187" s="7"/>
      <c r="H187" s="7"/>
      <c r="I187" s="7"/>
      <c r="J187" s="7"/>
      <c r="K187" s="7"/>
      <c r="L187" s="7"/>
      <c r="M187" s="7"/>
      <c r="N187" s="7"/>
      <c r="O187" s="7"/>
      <c r="P187" s="7"/>
      <c r="Q187" s="7"/>
      <c r="R187" s="64"/>
      <c r="S187" s="64"/>
      <c r="T187" s="64"/>
      <c r="U187" s="64"/>
      <c r="V187" s="64"/>
      <c r="W187" s="64"/>
      <c r="X187" s="168" t="s">
        <v>3135</v>
      </c>
    </row>
    <row r="188" spans="1:24" ht="15.95" customHeight="1">
      <c r="A188" s="8"/>
      <c r="B188" s="7"/>
      <c r="C188" s="33"/>
      <c r="D188" s="7"/>
      <c r="E188" s="7"/>
      <c r="F188" s="7"/>
      <c r="G188" s="7"/>
      <c r="H188" s="7"/>
      <c r="I188" s="7"/>
      <c r="J188" s="7"/>
      <c r="K188" s="7"/>
      <c r="L188" s="7"/>
      <c r="M188" s="7"/>
      <c r="N188" s="7"/>
      <c r="O188" s="7"/>
      <c r="P188" s="7"/>
      <c r="Q188" s="7"/>
      <c r="R188" s="64"/>
      <c r="S188" s="64"/>
      <c r="T188" s="64"/>
      <c r="U188" s="64"/>
      <c r="V188" s="64"/>
      <c r="W188" s="64"/>
      <c r="X188" s="168" t="s">
        <v>3136</v>
      </c>
    </row>
    <row r="189" spans="1:24" ht="15.95" customHeight="1">
      <c r="A189" s="8"/>
      <c r="B189" s="7"/>
      <c r="C189" s="33"/>
      <c r="D189" s="7"/>
      <c r="E189" s="7"/>
      <c r="F189" s="7"/>
      <c r="G189" s="7"/>
      <c r="H189" s="7"/>
      <c r="I189" s="7"/>
      <c r="J189" s="7"/>
      <c r="K189" s="7"/>
      <c r="L189" s="7"/>
      <c r="M189" s="7"/>
      <c r="N189" s="7"/>
      <c r="O189" s="7"/>
      <c r="P189" s="7"/>
      <c r="Q189" s="7"/>
      <c r="R189" s="64"/>
      <c r="S189" s="64"/>
      <c r="T189" s="64"/>
      <c r="U189" s="64"/>
      <c r="V189" s="64"/>
      <c r="W189" s="64"/>
      <c r="X189" s="168" t="s">
        <v>3137</v>
      </c>
    </row>
    <row r="190" spans="1:24" ht="15.95" customHeight="1">
      <c r="A190" s="8"/>
      <c r="B190" s="7"/>
      <c r="C190" s="33"/>
      <c r="D190" s="7"/>
      <c r="E190" s="7"/>
      <c r="F190" s="7"/>
      <c r="G190" s="7"/>
      <c r="H190" s="7"/>
      <c r="I190" s="7"/>
      <c r="J190" s="7"/>
      <c r="K190" s="7"/>
      <c r="L190" s="7"/>
      <c r="M190" s="7"/>
      <c r="N190" s="7"/>
      <c r="O190" s="7"/>
      <c r="P190" s="7"/>
      <c r="Q190" s="7"/>
      <c r="R190" s="64"/>
      <c r="S190" s="64"/>
      <c r="T190" s="64"/>
      <c r="U190" s="64"/>
      <c r="V190" s="64"/>
      <c r="W190" s="64"/>
      <c r="X190" s="168" t="s">
        <v>3138</v>
      </c>
    </row>
    <row r="191" spans="1:24" ht="15.95" customHeight="1">
      <c r="A191" s="8"/>
      <c r="B191" s="7"/>
      <c r="C191" s="33"/>
      <c r="D191" s="7"/>
      <c r="E191" s="7"/>
      <c r="F191" s="7"/>
      <c r="G191" s="7"/>
      <c r="H191" s="7"/>
      <c r="I191" s="7"/>
      <c r="J191" s="7"/>
      <c r="K191" s="7"/>
      <c r="L191" s="7"/>
      <c r="M191" s="7"/>
      <c r="N191" s="7"/>
      <c r="O191" s="7"/>
      <c r="P191" s="7"/>
      <c r="Q191" s="7"/>
      <c r="R191" s="64"/>
      <c r="S191" s="64"/>
      <c r="T191" s="64"/>
      <c r="U191" s="64"/>
      <c r="V191" s="64"/>
      <c r="W191" s="64"/>
      <c r="X191" s="168" t="s">
        <v>3139</v>
      </c>
    </row>
    <row r="192" spans="1:24" ht="15.95" customHeight="1">
      <c r="A192" s="8"/>
      <c r="B192" s="7"/>
      <c r="C192" s="33"/>
      <c r="D192" s="7"/>
      <c r="E192" s="7"/>
      <c r="F192" s="7"/>
      <c r="G192" s="7"/>
      <c r="H192" s="7"/>
      <c r="I192" s="7"/>
      <c r="J192" s="7"/>
      <c r="K192" s="7"/>
      <c r="L192" s="7"/>
      <c r="M192" s="7"/>
      <c r="N192" s="7"/>
      <c r="O192" s="7"/>
      <c r="P192" s="7"/>
      <c r="Q192" s="7"/>
      <c r="R192" s="64"/>
      <c r="S192" s="64"/>
      <c r="T192" s="64"/>
      <c r="U192" s="64"/>
      <c r="V192" s="64"/>
      <c r="W192" s="64"/>
      <c r="X192" s="168" t="s">
        <v>3140</v>
      </c>
    </row>
    <row r="193" spans="1:24" ht="15.95" customHeight="1">
      <c r="A193" s="8"/>
      <c r="B193" s="7"/>
      <c r="C193" s="33"/>
      <c r="D193" s="7"/>
      <c r="E193" s="7"/>
      <c r="F193" s="7"/>
      <c r="G193" s="7"/>
      <c r="H193" s="7"/>
      <c r="I193" s="7"/>
      <c r="J193" s="7"/>
      <c r="K193" s="7"/>
      <c r="L193" s="7"/>
      <c r="M193" s="7"/>
      <c r="N193" s="7"/>
      <c r="O193" s="7"/>
      <c r="P193" s="7"/>
      <c r="Q193" s="7"/>
      <c r="R193" s="64"/>
      <c r="S193" s="64"/>
      <c r="T193" s="64"/>
      <c r="U193" s="64"/>
      <c r="V193" s="64"/>
      <c r="W193" s="64"/>
      <c r="X193" s="168" t="s">
        <v>3141</v>
      </c>
    </row>
    <row r="194" spans="1:24" ht="15.95" customHeight="1">
      <c r="A194" s="8"/>
      <c r="B194" s="7"/>
      <c r="C194" s="33"/>
      <c r="D194" s="7"/>
      <c r="E194" s="7"/>
      <c r="F194" s="7"/>
      <c r="G194" s="7"/>
      <c r="H194" s="7"/>
      <c r="I194" s="7"/>
      <c r="J194" s="7"/>
      <c r="K194" s="7"/>
      <c r="L194" s="7"/>
      <c r="M194" s="7"/>
      <c r="N194" s="7"/>
      <c r="O194" s="7"/>
      <c r="P194" s="7"/>
      <c r="Q194" s="7"/>
      <c r="R194" s="64"/>
      <c r="S194" s="64"/>
      <c r="T194" s="64"/>
      <c r="U194" s="64"/>
      <c r="V194" s="64"/>
      <c r="W194" s="64"/>
      <c r="X194" s="168" t="s">
        <v>3142</v>
      </c>
    </row>
    <row r="195" spans="1:24" ht="15.95" customHeight="1">
      <c r="A195" s="8"/>
      <c r="B195" s="7"/>
      <c r="C195" s="33"/>
      <c r="D195" s="7"/>
      <c r="E195" s="7"/>
      <c r="F195" s="7"/>
      <c r="G195" s="7"/>
      <c r="H195" s="7"/>
      <c r="I195" s="7"/>
      <c r="J195" s="7"/>
      <c r="K195" s="7"/>
      <c r="L195" s="7"/>
      <c r="M195" s="7"/>
      <c r="N195" s="7"/>
      <c r="O195" s="7"/>
      <c r="P195" s="7"/>
      <c r="Q195" s="7"/>
      <c r="R195" s="64"/>
      <c r="S195" s="64"/>
      <c r="T195" s="64"/>
      <c r="U195" s="64"/>
      <c r="V195" s="64"/>
      <c r="W195" s="64"/>
      <c r="X195" s="168" t="s">
        <v>3143</v>
      </c>
    </row>
    <row r="196" spans="1:24" ht="15.95" customHeight="1">
      <c r="A196" s="8"/>
      <c r="B196" s="7"/>
      <c r="C196" s="33"/>
      <c r="D196" s="7"/>
      <c r="E196" s="7"/>
      <c r="F196" s="7"/>
      <c r="G196" s="7"/>
      <c r="H196" s="7"/>
      <c r="I196" s="7"/>
      <c r="J196" s="7"/>
      <c r="K196" s="7"/>
      <c r="L196" s="7"/>
      <c r="M196" s="7"/>
      <c r="N196" s="7"/>
      <c r="O196" s="7"/>
      <c r="P196" s="7"/>
      <c r="Q196" s="7"/>
      <c r="R196" s="64"/>
      <c r="S196" s="64"/>
      <c r="T196" s="64"/>
      <c r="U196" s="64"/>
      <c r="V196" s="64"/>
      <c r="W196" s="64"/>
      <c r="X196" s="168" t="s">
        <v>3144</v>
      </c>
    </row>
    <row r="197" spans="1:24" ht="15.95" customHeight="1">
      <c r="A197" s="8"/>
      <c r="B197" s="7"/>
      <c r="C197" s="33"/>
      <c r="D197" s="7"/>
      <c r="E197" s="7"/>
      <c r="F197" s="7"/>
      <c r="G197" s="7"/>
      <c r="H197" s="7"/>
      <c r="I197" s="7"/>
      <c r="J197" s="7"/>
      <c r="K197" s="7"/>
      <c r="L197" s="7"/>
      <c r="M197" s="7"/>
      <c r="N197" s="7"/>
      <c r="O197" s="7"/>
      <c r="P197" s="7"/>
      <c r="Q197" s="7"/>
      <c r="R197" s="64"/>
      <c r="S197" s="64"/>
      <c r="T197" s="64"/>
      <c r="U197" s="64"/>
      <c r="V197" s="64"/>
      <c r="W197" s="64"/>
      <c r="X197" s="168" t="s">
        <v>3145</v>
      </c>
    </row>
    <row r="198" spans="1:24" ht="15.95" customHeight="1">
      <c r="A198" s="8"/>
      <c r="B198" s="7"/>
      <c r="C198" s="33"/>
      <c r="D198" s="7"/>
      <c r="E198" s="7"/>
      <c r="F198" s="7"/>
      <c r="G198" s="7"/>
      <c r="H198" s="7"/>
      <c r="I198" s="7"/>
      <c r="J198" s="7"/>
      <c r="K198" s="7"/>
      <c r="L198" s="7"/>
      <c r="M198" s="7"/>
      <c r="N198" s="7"/>
      <c r="O198" s="7"/>
      <c r="P198" s="7"/>
      <c r="Q198" s="7"/>
      <c r="R198" s="64"/>
      <c r="S198" s="64"/>
      <c r="T198" s="64"/>
      <c r="U198" s="64"/>
      <c r="V198" s="64"/>
      <c r="W198" s="64"/>
      <c r="X198" s="168" t="s">
        <v>3146</v>
      </c>
    </row>
    <row r="199" spans="1:24" ht="15.95" customHeight="1">
      <c r="A199" s="8"/>
      <c r="B199" s="7"/>
      <c r="C199" s="33"/>
      <c r="D199" s="7"/>
      <c r="E199" s="7"/>
      <c r="F199" s="7"/>
      <c r="G199" s="7"/>
      <c r="H199" s="7"/>
      <c r="I199" s="7"/>
      <c r="J199" s="7"/>
      <c r="K199" s="7"/>
      <c r="L199" s="7"/>
      <c r="M199" s="7"/>
      <c r="N199" s="7"/>
      <c r="O199" s="7"/>
      <c r="P199" s="7"/>
      <c r="Q199" s="7"/>
      <c r="R199" s="64"/>
      <c r="S199" s="64"/>
      <c r="T199" s="64"/>
      <c r="U199" s="64"/>
      <c r="V199" s="64"/>
      <c r="W199" s="64"/>
      <c r="X199" s="168" t="s">
        <v>3147</v>
      </c>
    </row>
    <row r="200" spans="1:24" ht="15.95" customHeight="1">
      <c r="A200" s="8"/>
      <c r="B200" s="7"/>
      <c r="C200" s="33"/>
      <c r="D200" s="7"/>
      <c r="E200" s="7"/>
      <c r="F200" s="7"/>
      <c r="G200" s="7"/>
      <c r="H200" s="7"/>
      <c r="I200" s="7"/>
      <c r="J200" s="7"/>
      <c r="K200" s="7"/>
      <c r="L200" s="7"/>
      <c r="M200" s="7"/>
      <c r="N200" s="7"/>
      <c r="O200" s="7"/>
      <c r="P200" s="7"/>
      <c r="Q200" s="7"/>
      <c r="R200" s="64"/>
      <c r="S200" s="64"/>
      <c r="T200" s="64"/>
      <c r="U200" s="64"/>
      <c r="V200" s="64"/>
      <c r="W200" s="64"/>
      <c r="X200" s="168" t="s">
        <v>3148</v>
      </c>
    </row>
    <row r="201" spans="1:24" ht="15.95" customHeight="1">
      <c r="A201" s="8"/>
      <c r="B201" s="7"/>
      <c r="C201" s="33"/>
      <c r="D201" s="7"/>
      <c r="E201" s="7"/>
      <c r="F201" s="7"/>
      <c r="G201" s="7"/>
      <c r="H201" s="7"/>
      <c r="I201" s="7"/>
      <c r="J201" s="7"/>
      <c r="K201" s="7"/>
      <c r="L201" s="7"/>
      <c r="M201" s="7"/>
      <c r="N201" s="7"/>
      <c r="O201" s="7"/>
      <c r="P201" s="7"/>
      <c r="Q201" s="7"/>
      <c r="R201" s="64"/>
      <c r="S201" s="64"/>
      <c r="T201" s="64"/>
      <c r="U201" s="64"/>
      <c r="V201" s="64"/>
      <c r="W201" s="64"/>
      <c r="X201" s="168" t="s">
        <v>3149</v>
      </c>
    </row>
    <row r="202" spans="1:24" ht="15.95" customHeight="1">
      <c r="A202" s="8"/>
      <c r="B202" s="7"/>
      <c r="C202" s="33"/>
      <c r="D202" s="7"/>
      <c r="E202" s="7"/>
      <c r="F202" s="7"/>
      <c r="G202" s="7"/>
      <c r="H202" s="7"/>
      <c r="I202" s="7"/>
      <c r="J202" s="7"/>
      <c r="K202" s="7"/>
      <c r="L202" s="7"/>
      <c r="M202" s="7"/>
      <c r="N202" s="7"/>
      <c r="O202" s="7"/>
      <c r="P202" s="7"/>
      <c r="Q202" s="7"/>
      <c r="R202" s="64"/>
      <c r="S202" s="64"/>
      <c r="T202" s="64"/>
      <c r="U202" s="64"/>
      <c r="V202" s="64"/>
      <c r="W202" s="64"/>
    </row>
    <row r="203" spans="1:24" ht="15.95" customHeight="1">
      <c r="A203" s="8"/>
      <c r="B203" s="7"/>
      <c r="C203" s="33"/>
      <c r="D203" s="7"/>
      <c r="E203" s="7"/>
      <c r="F203" s="7"/>
      <c r="G203" s="7"/>
      <c r="H203" s="7"/>
      <c r="I203" s="7"/>
      <c r="J203" s="7"/>
      <c r="K203" s="7"/>
      <c r="L203" s="7"/>
      <c r="M203" s="7"/>
      <c r="N203" s="7"/>
      <c r="O203" s="7"/>
      <c r="P203" s="7"/>
      <c r="Q203" s="7"/>
      <c r="R203" s="64"/>
      <c r="S203" s="64"/>
      <c r="T203" s="64"/>
      <c r="U203" s="64"/>
      <c r="V203" s="64"/>
      <c r="W203" s="64"/>
    </row>
    <row r="204" spans="1:24" ht="15.95" customHeight="1">
      <c r="A204" s="8"/>
      <c r="B204" s="7"/>
      <c r="C204" s="33"/>
      <c r="D204" s="7"/>
      <c r="E204" s="7"/>
      <c r="F204" s="7"/>
      <c r="G204" s="7"/>
      <c r="H204" s="7"/>
      <c r="I204" s="7"/>
      <c r="J204" s="7"/>
      <c r="K204" s="7"/>
      <c r="L204" s="7"/>
      <c r="M204" s="7"/>
      <c r="N204" s="7"/>
      <c r="O204" s="7"/>
      <c r="P204" s="7"/>
      <c r="Q204" s="7"/>
      <c r="R204" s="64"/>
      <c r="S204" s="64"/>
      <c r="T204" s="64"/>
      <c r="U204" s="64"/>
      <c r="V204" s="64"/>
      <c r="W204" s="64"/>
    </row>
    <row r="205" spans="1:24" ht="15.95" customHeight="1">
      <c r="A205" s="8"/>
      <c r="B205" s="7"/>
      <c r="C205" s="33"/>
      <c r="D205" s="7"/>
      <c r="E205" s="7"/>
      <c r="F205" s="7"/>
      <c r="G205" s="7"/>
      <c r="H205" s="7"/>
      <c r="I205" s="7"/>
      <c r="J205" s="7"/>
      <c r="K205" s="7"/>
      <c r="L205" s="7"/>
      <c r="M205" s="7"/>
      <c r="N205" s="7"/>
      <c r="O205" s="7"/>
      <c r="P205" s="7"/>
      <c r="Q205" s="7"/>
      <c r="R205" s="64"/>
      <c r="S205" s="64"/>
      <c r="T205" s="64"/>
      <c r="U205" s="64"/>
      <c r="V205" s="64"/>
      <c r="W205" s="64"/>
    </row>
    <row r="206" spans="1:24" ht="15.95" customHeight="1">
      <c r="A206" s="8"/>
      <c r="B206" s="7"/>
      <c r="C206" s="33"/>
      <c r="D206" s="7"/>
      <c r="E206" s="7"/>
      <c r="F206" s="7"/>
      <c r="G206" s="7"/>
      <c r="H206" s="7"/>
      <c r="I206" s="7"/>
      <c r="J206" s="7"/>
      <c r="K206" s="7"/>
      <c r="L206" s="7"/>
      <c r="M206" s="7"/>
      <c r="N206" s="7"/>
      <c r="O206" s="7"/>
      <c r="P206" s="7"/>
      <c r="Q206" s="7"/>
      <c r="R206" s="64"/>
      <c r="S206" s="64"/>
      <c r="T206" s="64"/>
      <c r="U206" s="64"/>
      <c r="V206" s="64"/>
      <c r="W206" s="64"/>
    </row>
    <row r="207" spans="1:24" ht="15.95" customHeight="1">
      <c r="A207" s="8"/>
      <c r="B207" s="7"/>
      <c r="C207" s="33"/>
      <c r="D207" s="7"/>
      <c r="E207" s="7"/>
      <c r="F207" s="7"/>
      <c r="G207" s="7"/>
      <c r="H207" s="7"/>
      <c r="I207" s="7"/>
      <c r="J207" s="7"/>
      <c r="K207" s="7"/>
      <c r="L207" s="7"/>
      <c r="M207" s="7"/>
      <c r="N207" s="7"/>
      <c r="O207" s="7"/>
      <c r="P207" s="7"/>
      <c r="Q207" s="7"/>
      <c r="R207" s="64"/>
      <c r="S207" s="64"/>
      <c r="T207" s="64"/>
      <c r="U207" s="64"/>
      <c r="V207" s="64"/>
      <c r="W207" s="64"/>
    </row>
    <row r="208" spans="1:24" ht="15.95" customHeight="1">
      <c r="A208" s="8"/>
      <c r="B208" s="7"/>
      <c r="C208" s="33"/>
      <c r="D208" s="7"/>
      <c r="E208" s="7"/>
      <c r="F208" s="7"/>
      <c r="G208" s="7"/>
      <c r="H208" s="7"/>
      <c r="I208" s="7"/>
      <c r="J208" s="7"/>
      <c r="K208" s="7"/>
      <c r="L208" s="7"/>
      <c r="M208" s="7"/>
      <c r="N208" s="7"/>
      <c r="O208" s="7"/>
      <c r="P208" s="7"/>
      <c r="Q208" s="7"/>
      <c r="R208" s="64"/>
      <c r="S208" s="64"/>
      <c r="T208" s="64"/>
      <c r="U208" s="64"/>
      <c r="V208" s="64"/>
      <c r="W208" s="64"/>
    </row>
    <row r="209" spans="1:23" ht="15.95" customHeight="1">
      <c r="A209" s="8"/>
      <c r="B209" s="7"/>
      <c r="C209" s="33"/>
      <c r="D209" s="7"/>
      <c r="E209" s="7"/>
      <c r="F209" s="7"/>
      <c r="G209" s="7"/>
      <c r="H209" s="7"/>
      <c r="I209" s="7"/>
      <c r="J209" s="7"/>
      <c r="K209" s="7"/>
      <c r="L209" s="7"/>
      <c r="M209" s="7"/>
      <c r="N209" s="7"/>
      <c r="O209" s="7"/>
      <c r="P209" s="7"/>
      <c r="Q209" s="7"/>
      <c r="R209" s="64"/>
      <c r="S209" s="64"/>
      <c r="T209" s="64"/>
      <c r="U209" s="64"/>
      <c r="V209" s="64"/>
      <c r="W209" s="64"/>
    </row>
    <row r="210" spans="1:23" ht="15.95" customHeight="1">
      <c r="A210" s="8"/>
      <c r="B210" s="7"/>
      <c r="C210" s="33"/>
      <c r="D210" s="7"/>
      <c r="E210" s="7"/>
      <c r="F210" s="7"/>
      <c r="G210" s="7"/>
      <c r="H210" s="7"/>
      <c r="I210" s="7"/>
      <c r="J210" s="7"/>
      <c r="K210" s="7"/>
      <c r="L210" s="7"/>
      <c r="M210" s="7"/>
      <c r="N210" s="7"/>
      <c r="O210" s="7"/>
      <c r="P210" s="7"/>
      <c r="Q210" s="7"/>
      <c r="R210" s="64"/>
      <c r="S210" s="64"/>
      <c r="T210" s="64"/>
      <c r="U210" s="64"/>
      <c r="V210" s="64"/>
      <c r="W210" s="64"/>
    </row>
    <row r="211" spans="1:23" ht="15.95" customHeight="1">
      <c r="A211" s="8"/>
      <c r="B211" s="7"/>
      <c r="C211" s="33"/>
      <c r="D211" s="7"/>
      <c r="E211" s="7"/>
      <c r="F211" s="7"/>
      <c r="G211" s="7"/>
      <c r="H211" s="7"/>
      <c r="I211" s="7"/>
      <c r="J211" s="7"/>
      <c r="K211" s="7"/>
      <c r="L211" s="7"/>
      <c r="M211" s="7"/>
      <c r="N211" s="7"/>
      <c r="O211" s="7"/>
      <c r="P211" s="7"/>
      <c r="Q211" s="7"/>
      <c r="R211" s="64"/>
      <c r="S211" s="64"/>
      <c r="T211" s="64"/>
      <c r="U211" s="64"/>
      <c r="V211" s="64"/>
      <c r="W211" s="64"/>
    </row>
    <row r="212" spans="1:23" ht="15.95" customHeight="1">
      <c r="A212" s="8"/>
      <c r="B212" s="7"/>
      <c r="C212" s="33"/>
      <c r="D212" s="7"/>
      <c r="E212" s="7"/>
      <c r="F212" s="7"/>
      <c r="G212" s="7"/>
      <c r="H212" s="7"/>
      <c r="I212" s="7"/>
      <c r="J212" s="7"/>
      <c r="K212" s="7"/>
      <c r="L212" s="7"/>
      <c r="M212" s="7"/>
      <c r="N212" s="7"/>
      <c r="O212" s="7"/>
      <c r="P212" s="7"/>
      <c r="Q212" s="7"/>
      <c r="R212" s="64"/>
      <c r="S212" s="64"/>
      <c r="T212" s="64"/>
      <c r="U212" s="64"/>
      <c r="V212" s="64"/>
      <c r="W212" s="64"/>
    </row>
    <row r="213" spans="1:23" ht="15.95" customHeight="1">
      <c r="A213" s="8"/>
      <c r="B213" s="7"/>
      <c r="C213" s="33"/>
      <c r="D213" s="7"/>
      <c r="E213" s="7"/>
      <c r="F213" s="7"/>
      <c r="G213" s="7"/>
      <c r="H213" s="7"/>
      <c r="I213" s="7"/>
      <c r="J213" s="7"/>
      <c r="K213" s="7"/>
      <c r="L213" s="7"/>
      <c r="M213" s="7"/>
      <c r="N213" s="7"/>
      <c r="O213" s="7"/>
      <c r="P213" s="7"/>
      <c r="Q213" s="7"/>
      <c r="R213" s="64"/>
      <c r="S213" s="64"/>
      <c r="T213" s="64"/>
      <c r="U213" s="64"/>
      <c r="V213" s="64"/>
      <c r="W213" s="64"/>
    </row>
    <row r="214" spans="1:23" ht="15.95" customHeight="1">
      <c r="A214" s="8"/>
      <c r="B214" s="7"/>
      <c r="C214" s="33"/>
      <c r="D214" s="7"/>
      <c r="E214" s="7"/>
      <c r="F214" s="7"/>
      <c r="G214" s="7"/>
      <c r="H214" s="7"/>
      <c r="I214" s="7"/>
      <c r="J214" s="7"/>
      <c r="K214" s="7"/>
      <c r="L214" s="7"/>
      <c r="M214" s="7"/>
      <c r="N214" s="7"/>
      <c r="O214" s="7"/>
      <c r="P214" s="7"/>
      <c r="Q214" s="7"/>
      <c r="R214" s="64"/>
      <c r="S214" s="64"/>
      <c r="T214" s="64"/>
      <c r="U214" s="64"/>
      <c r="V214" s="64"/>
      <c r="W214" s="64"/>
    </row>
    <row r="215" spans="1:23" ht="15.95" customHeight="1">
      <c r="A215" s="8"/>
      <c r="B215" s="7"/>
      <c r="C215" s="33"/>
      <c r="D215" s="7"/>
      <c r="E215" s="7"/>
      <c r="F215" s="7"/>
      <c r="G215" s="7"/>
      <c r="H215" s="7"/>
      <c r="I215" s="7"/>
      <c r="J215" s="7"/>
      <c r="K215" s="7"/>
      <c r="L215" s="7"/>
      <c r="M215" s="7"/>
      <c r="N215" s="7"/>
      <c r="O215" s="7"/>
      <c r="P215" s="7"/>
      <c r="Q215" s="7"/>
      <c r="R215" s="64"/>
      <c r="S215" s="64"/>
      <c r="T215" s="64"/>
      <c r="U215" s="64"/>
      <c r="V215" s="64"/>
      <c r="W215" s="64"/>
    </row>
    <row r="216" spans="1:23" ht="15.95" customHeight="1">
      <c r="A216" s="8"/>
      <c r="B216" s="7"/>
      <c r="C216" s="33"/>
      <c r="D216" s="7"/>
      <c r="E216" s="7"/>
      <c r="F216" s="7"/>
      <c r="G216" s="7"/>
      <c r="H216" s="7"/>
      <c r="I216" s="7"/>
      <c r="J216" s="7"/>
      <c r="K216" s="7"/>
      <c r="L216" s="7"/>
      <c r="M216" s="7"/>
      <c r="N216" s="7"/>
      <c r="O216" s="7"/>
      <c r="P216" s="7"/>
      <c r="Q216" s="7"/>
      <c r="R216" s="64"/>
      <c r="S216" s="64"/>
      <c r="T216" s="64"/>
      <c r="U216" s="64"/>
      <c r="V216" s="64"/>
      <c r="W216" s="64"/>
    </row>
    <row r="217" spans="1:23" ht="15.95" customHeight="1">
      <c r="A217" s="8"/>
      <c r="B217" s="7"/>
      <c r="C217" s="33"/>
      <c r="D217" s="7"/>
      <c r="E217" s="7"/>
      <c r="F217" s="7"/>
      <c r="G217" s="7"/>
      <c r="H217" s="7"/>
      <c r="I217" s="7"/>
      <c r="J217" s="7"/>
      <c r="K217" s="7"/>
      <c r="L217" s="7"/>
      <c r="M217" s="7"/>
      <c r="N217" s="7"/>
      <c r="O217" s="7"/>
      <c r="P217" s="7"/>
      <c r="Q217" s="7"/>
      <c r="R217" s="64"/>
      <c r="S217" s="64"/>
      <c r="T217" s="64"/>
      <c r="U217" s="64"/>
      <c r="V217" s="64"/>
      <c r="W217" s="64"/>
    </row>
    <row r="218" spans="1:23" ht="15.95" customHeight="1">
      <c r="A218" s="8"/>
      <c r="B218" s="7"/>
      <c r="C218" s="33"/>
      <c r="D218" s="7"/>
      <c r="E218" s="7"/>
      <c r="F218" s="7"/>
      <c r="G218" s="7"/>
      <c r="H218" s="7"/>
      <c r="I218" s="7"/>
      <c r="J218" s="7"/>
      <c r="K218" s="7"/>
      <c r="L218" s="7"/>
      <c r="M218" s="7"/>
      <c r="N218" s="7"/>
      <c r="O218" s="7"/>
      <c r="P218" s="7"/>
      <c r="Q218" s="7"/>
      <c r="R218" s="64"/>
      <c r="S218" s="64"/>
      <c r="T218" s="64"/>
      <c r="U218" s="64"/>
      <c r="V218" s="64"/>
      <c r="W218" s="64"/>
    </row>
    <row r="219" spans="1:23" ht="15.95" customHeight="1">
      <c r="A219" s="8"/>
      <c r="B219" s="7"/>
      <c r="C219" s="33"/>
      <c r="D219" s="7"/>
      <c r="E219" s="7"/>
      <c r="F219" s="7"/>
      <c r="G219" s="7"/>
      <c r="H219" s="7"/>
      <c r="I219" s="7"/>
      <c r="J219" s="7"/>
      <c r="K219" s="7"/>
      <c r="L219" s="7"/>
      <c r="M219" s="7"/>
      <c r="N219" s="7"/>
      <c r="O219" s="7"/>
      <c r="P219" s="7"/>
      <c r="Q219" s="7"/>
      <c r="R219" s="64"/>
      <c r="S219" s="64"/>
      <c r="T219" s="64"/>
      <c r="U219" s="64"/>
      <c r="V219" s="64"/>
      <c r="W219" s="64"/>
    </row>
    <row r="220" spans="1:23" ht="15.95" customHeight="1">
      <c r="A220" s="8"/>
      <c r="B220" s="7"/>
      <c r="C220" s="33"/>
      <c r="D220" s="7"/>
      <c r="E220" s="7"/>
      <c r="F220" s="7"/>
      <c r="G220" s="7"/>
      <c r="H220" s="7"/>
      <c r="I220" s="7"/>
      <c r="J220" s="7"/>
      <c r="K220" s="7"/>
      <c r="L220" s="7"/>
      <c r="M220" s="7"/>
      <c r="N220" s="7"/>
      <c r="O220" s="7"/>
      <c r="P220" s="7"/>
      <c r="Q220" s="7"/>
      <c r="R220" s="64"/>
      <c r="S220" s="64"/>
      <c r="T220" s="64"/>
      <c r="U220" s="64"/>
      <c r="V220" s="64"/>
      <c r="W220" s="64"/>
    </row>
    <row r="221" spans="1:23" ht="15.95" customHeight="1">
      <c r="A221" s="8"/>
      <c r="B221" s="7"/>
      <c r="C221" s="33"/>
      <c r="D221" s="7"/>
      <c r="E221" s="7"/>
      <c r="F221" s="7"/>
      <c r="G221" s="7"/>
      <c r="H221" s="7"/>
      <c r="I221" s="7"/>
      <c r="J221" s="7"/>
      <c r="K221" s="7"/>
      <c r="L221" s="7"/>
      <c r="M221" s="7"/>
      <c r="N221" s="7"/>
      <c r="O221" s="7"/>
      <c r="P221" s="7"/>
      <c r="Q221" s="7"/>
      <c r="R221" s="64"/>
      <c r="S221" s="64"/>
      <c r="T221" s="64"/>
      <c r="U221" s="64"/>
      <c r="V221" s="64"/>
      <c r="W221" s="64"/>
    </row>
    <row r="222" spans="1:23" ht="15.95" customHeight="1">
      <c r="A222" s="8"/>
      <c r="B222" s="7"/>
      <c r="C222" s="33"/>
      <c r="D222" s="7"/>
      <c r="E222" s="7"/>
      <c r="F222" s="7"/>
      <c r="G222" s="7"/>
      <c r="H222" s="7"/>
      <c r="I222" s="7"/>
      <c r="J222" s="7"/>
      <c r="K222" s="7"/>
      <c r="L222" s="7"/>
      <c r="M222" s="7"/>
      <c r="N222" s="7"/>
      <c r="O222" s="7"/>
      <c r="P222" s="7"/>
      <c r="Q222" s="7"/>
      <c r="R222" s="64"/>
      <c r="S222" s="64"/>
      <c r="T222" s="64"/>
      <c r="U222" s="64"/>
      <c r="V222" s="64"/>
      <c r="W222" s="64"/>
    </row>
    <row r="223" spans="1:23" ht="15.95" customHeight="1">
      <c r="A223" s="8"/>
      <c r="B223" s="7"/>
      <c r="C223" s="33"/>
      <c r="D223" s="7"/>
      <c r="E223" s="7"/>
      <c r="F223" s="7"/>
      <c r="G223" s="7"/>
      <c r="H223" s="7"/>
      <c r="I223" s="7"/>
      <c r="J223" s="7"/>
      <c r="K223" s="7"/>
      <c r="L223" s="7"/>
      <c r="M223" s="7"/>
      <c r="N223" s="7"/>
      <c r="O223" s="7"/>
      <c r="P223" s="7"/>
      <c r="Q223" s="7"/>
      <c r="R223" s="64"/>
      <c r="S223" s="64"/>
      <c r="T223" s="64"/>
      <c r="U223" s="64"/>
      <c r="V223" s="64"/>
      <c r="W223" s="64"/>
    </row>
    <row r="224" spans="1:23" ht="15.95" customHeight="1">
      <c r="A224" s="8"/>
      <c r="B224" s="7"/>
      <c r="C224" s="33"/>
      <c r="D224" s="7"/>
      <c r="E224" s="7"/>
      <c r="F224" s="7"/>
      <c r="G224" s="7"/>
      <c r="H224" s="7"/>
      <c r="I224" s="7"/>
      <c r="J224" s="7"/>
      <c r="K224" s="7"/>
      <c r="L224" s="7"/>
      <c r="M224" s="7"/>
      <c r="N224" s="7"/>
      <c r="O224" s="7"/>
      <c r="P224" s="7"/>
      <c r="Q224" s="7"/>
      <c r="R224" s="64"/>
      <c r="S224" s="64"/>
      <c r="T224" s="64"/>
      <c r="U224" s="64"/>
      <c r="V224" s="64"/>
      <c r="W224" s="64"/>
    </row>
    <row r="225" spans="1:23" ht="15.95" customHeight="1">
      <c r="A225" s="8"/>
      <c r="B225" s="7"/>
      <c r="C225" s="33"/>
      <c r="D225" s="7"/>
      <c r="E225" s="7"/>
      <c r="F225" s="7"/>
      <c r="G225" s="7"/>
      <c r="H225" s="7"/>
      <c r="I225" s="7"/>
      <c r="J225" s="7"/>
      <c r="K225" s="7"/>
      <c r="L225" s="7"/>
      <c r="M225" s="7"/>
      <c r="N225" s="7"/>
      <c r="O225" s="7"/>
      <c r="P225" s="7"/>
      <c r="Q225" s="7"/>
      <c r="R225" s="64"/>
      <c r="S225" s="64"/>
      <c r="T225" s="64"/>
      <c r="U225" s="64"/>
      <c r="V225" s="64"/>
      <c r="W225" s="64"/>
    </row>
    <row r="226" spans="1:23" ht="15.95" customHeight="1">
      <c r="A226" s="8"/>
      <c r="B226" s="7"/>
      <c r="C226" s="33"/>
      <c r="D226" s="7"/>
      <c r="E226" s="7"/>
      <c r="F226" s="7"/>
      <c r="G226" s="7"/>
      <c r="H226" s="7"/>
      <c r="I226" s="7"/>
      <c r="J226" s="7"/>
      <c r="K226" s="7"/>
      <c r="L226" s="7"/>
      <c r="M226" s="7"/>
      <c r="N226" s="7"/>
      <c r="O226" s="7"/>
      <c r="P226" s="7"/>
      <c r="Q226" s="7"/>
      <c r="R226" s="64"/>
      <c r="S226" s="64"/>
      <c r="T226" s="64"/>
      <c r="U226" s="64"/>
      <c r="V226" s="64"/>
      <c r="W226" s="64"/>
    </row>
    <row r="227" spans="1:23" ht="15.95" customHeight="1">
      <c r="A227" s="8"/>
      <c r="B227" s="7"/>
      <c r="C227" s="33"/>
      <c r="D227" s="7"/>
      <c r="E227" s="7"/>
      <c r="F227" s="7"/>
      <c r="G227" s="7"/>
      <c r="H227" s="7"/>
      <c r="I227" s="7"/>
      <c r="J227" s="7"/>
      <c r="K227" s="7"/>
      <c r="L227" s="7"/>
      <c r="M227" s="7"/>
      <c r="N227" s="7"/>
      <c r="O227" s="7"/>
      <c r="P227" s="7"/>
      <c r="Q227" s="7"/>
      <c r="R227" s="64"/>
      <c r="S227" s="64"/>
      <c r="T227" s="64"/>
      <c r="U227" s="64"/>
      <c r="V227" s="64"/>
      <c r="W227" s="64"/>
    </row>
    <row r="228" spans="1:23" ht="15.95" customHeight="1">
      <c r="A228" s="8"/>
      <c r="B228" s="7"/>
      <c r="C228" s="33"/>
      <c r="D228" s="7"/>
      <c r="E228" s="7"/>
      <c r="F228" s="7"/>
      <c r="G228" s="7"/>
      <c r="H228" s="7"/>
      <c r="I228" s="7"/>
      <c r="J228" s="7"/>
      <c r="K228" s="7"/>
      <c r="L228" s="7"/>
      <c r="M228" s="7"/>
      <c r="N228" s="7"/>
      <c r="O228" s="7"/>
      <c r="P228" s="7"/>
      <c r="Q228" s="7"/>
      <c r="R228" s="64"/>
      <c r="S228" s="64"/>
      <c r="T228" s="64"/>
      <c r="U228" s="64"/>
      <c r="V228" s="64"/>
      <c r="W228" s="64"/>
    </row>
    <row r="229" spans="1:23" ht="15.95" customHeight="1">
      <c r="A229" s="8"/>
      <c r="B229" s="7"/>
      <c r="C229" s="33"/>
      <c r="D229" s="7"/>
      <c r="E229" s="7"/>
      <c r="F229" s="7"/>
      <c r="G229" s="7"/>
      <c r="H229" s="7"/>
      <c r="I229" s="7"/>
      <c r="J229" s="7"/>
      <c r="K229" s="7"/>
      <c r="L229" s="7"/>
      <c r="M229" s="7"/>
      <c r="N229" s="7"/>
      <c r="O229" s="7"/>
      <c r="P229" s="7"/>
      <c r="Q229" s="7"/>
      <c r="R229" s="64"/>
      <c r="S229" s="64"/>
      <c r="T229" s="64"/>
      <c r="U229" s="64"/>
      <c r="V229" s="64"/>
      <c r="W229" s="64"/>
    </row>
    <row r="230" spans="1:23" ht="15.95" customHeight="1">
      <c r="A230" s="8"/>
      <c r="B230" s="7"/>
      <c r="C230" s="33"/>
      <c r="D230" s="7"/>
      <c r="E230" s="7"/>
      <c r="F230" s="7"/>
      <c r="G230" s="7"/>
      <c r="H230" s="7"/>
      <c r="I230" s="7"/>
      <c r="J230" s="7"/>
      <c r="K230" s="7"/>
      <c r="L230" s="7"/>
      <c r="M230" s="7"/>
      <c r="N230" s="7"/>
      <c r="O230" s="7"/>
      <c r="P230" s="7"/>
      <c r="Q230" s="7"/>
      <c r="R230" s="64"/>
      <c r="S230" s="64"/>
      <c r="T230" s="64"/>
      <c r="U230" s="64"/>
      <c r="V230" s="64"/>
      <c r="W230" s="64"/>
    </row>
    <row r="231" spans="1:23" ht="15.95" customHeight="1">
      <c r="A231" s="8"/>
      <c r="B231" s="7"/>
      <c r="C231" s="33"/>
      <c r="D231" s="7"/>
      <c r="E231" s="7"/>
      <c r="F231" s="7"/>
      <c r="G231" s="7"/>
      <c r="H231" s="7"/>
      <c r="I231" s="7"/>
      <c r="J231" s="7"/>
      <c r="K231" s="7"/>
      <c r="L231" s="7"/>
      <c r="M231" s="7"/>
      <c r="N231" s="7"/>
      <c r="O231" s="7"/>
      <c r="P231" s="7"/>
      <c r="Q231" s="7"/>
      <c r="R231" s="64"/>
      <c r="S231" s="64"/>
      <c r="T231" s="64"/>
      <c r="U231" s="64"/>
      <c r="V231" s="64"/>
      <c r="W231" s="64"/>
    </row>
    <row r="232" spans="1:23" ht="15.95" customHeight="1">
      <c r="A232" s="8"/>
      <c r="B232" s="7"/>
      <c r="C232" s="33"/>
      <c r="D232" s="7"/>
      <c r="E232" s="7"/>
      <c r="F232" s="7"/>
      <c r="G232" s="7"/>
      <c r="H232" s="7"/>
      <c r="I232" s="7"/>
      <c r="J232" s="7"/>
      <c r="K232" s="7"/>
      <c r="L232" s="7"/>
      <c r="M232" s="7"/>
      <c r="N232" s="7"/>
      <c r="O232" s="7"/>
      <c r="P232" s="7"/>
      <c r="Q232" s="7"/>
      <c r="R232" s="64"/>
      <c r="S232" s="64"/>
      <c r="T232" s="64"/>
      <c r="U232" s="64"/>
      <c r="V232" s="64"/>
      <c r="W232" s="64"/>
    </row>
    <row r="233" spans="1:23" ht="15.95" customHeight="1">
      <c r="A233" s="8"/>
      <c r="B233" s="7"/>
      <c r="C233" s="33"/>
      <c r="D233" s="7"/>
      <c r="E233" s="7"/>
      <c r="F233" s="7"/>
      <c r="G233" s="7"/>
      <c r="H233" s="7"/>
      <c r="I233" s="7"/>
      <c r="J233" s="7"/>
      <c r="K233" s="7"/>
      <c r="L233" s="7"/>
      <c r="M233" s="7"/>
      <c r="N233" s="7"/>
      <c r="O233" s="7"/>
      <c r="P233" s="7"/>
      <c r="Q233" s="7"/>
      <c r="R233" s="64"/>
      <c r="S233" s="64"/>
      <c r="T233" s="64"/>
      <c r="U233" s="64"/>
      <c r="V233" s="64"/>
      <c r="W233" s="64"/>
    </row>
    <row r="234" spans="1:23" ht="15.95" customHeight="1">
      <c r="A234" s="8"/>
      <c r="B234" s="7"/>
      <c r="C234" s="33"/>
      <c r="D234" s="7"/>
      <c r="E234" s="7"/>
      <c r="F234" s="7"/>
      <c r="G234" s="7"/>
      <c r="H234" s="7"/>
      <c r="I234" s="7"/>
      <c r="J234" s="7"/>
      <c r="K234" s="7"/>
      <c r="L234" s="7"/>
      <c r="M234" s="7"/>
      <c r="N234" s="7"/>
      <c r="O234" s="7"/>
      <c r="P234" s="7"/>
      <c r="Q234" s="7"/>
      <c r="R234" s="64"/>
      <c r="S234" s="64"/>
      <c r="T234" s="64"/>
      <c r="U234" s="64"/>
      <c r="V234" s="64"/>
      <c r="W234" s="64"/>
    </row>
    <row r="235" spans="1:23" ht="15.95" customHeight="1">
      <c r="A235" s="8"/>
      <c r="B235" s="7"/>
      <c r="C235" s="33"/>
      <c r="D235" s="7"/>
      <c r="E235" s="7"/>
      <c r="F235" s="7"/>
      <c r="G235" s="7"/>
      <c r="H235" s="7"/>
      <c r="I235" s="7"/>
      <c r="J235" s="7"/>
      <c r="K235" s="7"/>
      <c r="L235" s="7"/>
      <c r="M235" s="7"/>
      <c r="N235" s="7"/>
      <c r="O235" s="7"/>
      <c r="P235" s="7"/>
      <c r="Q235" s="7"/>
      <c r="R235" s="64"/>
      <c r="S235" s="64"/>
      <c r="T235" s="64"/>
      <c r="U235" s="64"/>
      <c r="V235" s="64"/>
      <c r="W235" s="64"/>
    </row>
    <row r="236" spans="1:23" ht="15.95" customHeight="1">
      <c r="A236" s="8"/>
      <c r="B236" s="7"/>
      <c r="C236" s="33"/>
      <c r="D236" s="7"/>
      <c r="E236" s="7"/>
      <c r="F236" s="7"/>
      <c r="G236" s="7"/>
      <c r="H236" s="7"/>
      <c r="I236" s="7"/>
      <c r="J236" s="7"/>
      <c r="K236" s="7"/>
      <c r="L236" s="7"/>
      <c r="M236" s="7"/>
      <c r="N236" s="7"/>
      <c r="O236" s="7"/>
      <c r="P236" s="7"/>
      <c r="Q236" s="7"/>
      <c r="R236" s="64"/>
      <c r="S236" s="64"/>
      <c r="T236" s="64"/>
      <c r="U236" s="64"/>
      <c r="V236" s="64"/>
      <c r="W236" s="64"/>
    </row>
    <row r="237" spans="1:23" ht="15.95" customHeight="1">
      <c r="A237" s="8"/>
      <c r="B237" s="7"/>
      <c r="C237" s="33"/>
      <c r="D237" s="7"/>
      <c r="E237" s="7"/>
      <c r="F237" s="7"/>
      <c r="G237" s="7"/>
      <c r="H237" s="7"/>
      <c r="I237" s="7"/>
      <c r="J237" s="7"/>
      <c r="K237" s="7"/>
      <c r="L237" s="7"/>
      <c r="M237" s="7"/>
      <c r="N237" s="7"/>
      <c r="O237" s="7"/>
      <c r="P237" s="7"/>
      <c r="Q237" s="7"/>
      <c r="R237" s="64"/>
      <c r="S237" s="64"/>
      <c r="T237" s="64"/>
      <c r="U237" s="64"/>
      <c r="V237" s="64"/>
      <c r="W237" s="64"/>
    </row>
    <row r="238" spans="1:23" ht="15.95" customHeight="1">
      <c r="A238" s="8"/>
      <c r="B238" s="7"/>
      <c r="C238" s="33"/>
      <c r="D238" s="7"/>
      <c r="E238" s="7"/>
      <c r="F238" s="7"/>
      <c r="G238" s="7"/>
      <c r="H238" s="7"/>
      <c r="I238" s="7"/>
      <c r="J238" s="7"/>
      <c r="K238" s="7"/>
      <c r="L238" s="7"/>
      <c r="M238" s="7"/>
      <c r="N238" s="7"/>
      <c r="O238" s="7"/>
      <c r="P238" s="7"/>
      <c r="Q238" s="7"/>
      <c r="R238" s="64"/>
      <c r="S238" s="64"/>
      <c r="T238" s="64"/>
      <c r="U238" s="64"/>
      <c r="V238" s="64"/>
      <c r="W238" s="64"/>
    </row>
    <row r="239" spans="1:23" ht="15.95" customHeight="1">
      <c r="A239" s="8"/>
      <c r="B239" s="7"/>
      <c r="C239" s="33"/>
      <c r="D239" s="7"/>
      <c r="E239" s="7"/>
      <c r="F239" s="7"/>
      <c r="G239" s="7"/>
      <c r="H239" s="7"/>
      <c r="I239" s="7"/>
      <c r="J239" s="7"/>
      <c r="K239" s="7"/>
      <c r="L239" s="7"/>
      <c r="M239" s="7"/>
      <c r="N239" s="7"/>
      <c r="O239" s="7"/>
      <c r="P239" s="7"/>
      <c r="Q239" s="7"/>
      <c r="R239" s="64"/>
      <c r="S239" s="64"/>
      <c r="T239" s="64"/>
      <c r="U239" s="64"/>
      <c r="V239" s="64"/>
      <c r="W239" s="64"/>
    </row>
    <row r="240" spans="1:23" ht="15.95" customHeight="1">
      <c r="A240" s="8"/>
      <c r="B240" s="7"/>
      <c r="C240" s="33"/>
      <c r="D240" s="7"/>
      <c r="E240" s="7"/>
      <c r="F240" s="7"/>
      <c r="G240" s="7"/>
      <c r="H240" s="7"/>
      <c r="I240" s="7"/>
      <c r="J240" s="7"/>
      <c r="K240" s="7"/>
      <c r="L240" s="7"/>
      <c r="M240" s="7"/>
      <c r="N240" s="7"/>
      <c r="O240" s="7"/>
      <c r="P240" s="7"/>
      <c r="Q240" s="7"/>
      <c r="R240" s="64"/>
      <c r="S240" s="64"/>
      <c r="T240" s="64"/>
      <c r="U240" s="64"/>
      <c r="V240" s="64"/>
      <c r="W240" s="64"/>
    </row>
    <row r="241" spans="1:23" ht="15.95" customHeight="1">
      <c r="A241" s="8"/>
      <c r="B241" s="7"/>
      <c r="C241" s="33"/>
      <c r="D241" s="7"/>
      <c r="E241" s="7"/>
      <c r="F241" s="7"/>
      <c r="G241" s="7"/>
      <c r="H241" s="7"/>
      <c r="I241" s="7"/>
      <c r="J241" s="7"/>
      <c r="K241" s="7"/>
      <c r="L241" s="7"/>
      <c r="M241" s="7"/>
      <c r="N241" s="7"/>
      <c r="O241" s="7"/>
      <c r="P241" s="7"/>
      <c r="Q241" s="7"/>
      <c r="R241" s="64"/>
      <c r="S241" s="64"/>
      <c r="T241" s="64"/>
      <c r="U241" s="64"/>
      <c r="V241" s="64"/>
      <c r="W241" s="64"/>
    </row>
    <row r="242" spans="1:23" ht="15.95" customHeight="1">
      <c r="A242" s="8"/>
      <c r="B242" s="7"/>
      <c r="C242" s="33"/>
      <c r="D242" s="7"/>
      <c r="E242" s="7"/>
      <c r="F242" s="7"/>
      <c r="G242" s="7"/>
      <c r="H242" s="7"/>
      <c r="I242" s="7"/>
      <c r="J242" s="7"/>
      <c r="K242" s="7"/>
      <c r="L242" s="7"/>
      <c r="M242" s="7"/>
      <c r="N242" s="7"/>
      <c r="O242" s="7"/>
      <c r="P242" s="7"/>
      <c r="Q242" s="7"/>
      <c r="R242" s="64"/>
      <c r="S242" s="64"/>
      <c r="T242" s="64"/>
      <c r="U242" s="64"/>
      <c r="V242" s="64"/>
      <c r="W242" s="64"/>
    </row>
    <row r="243" spans="1:23" ht="15.95" customHeight="1">
      <c r="A243" s="8"/>
      <c r="B243" s="7"/>
      <c r="C243" s="33"/>
      <c r="D243" s="7"/>
      <c r="E243" s="7"/>
      <c r="F243" s="7"/>
      <c r="G243" s="7"/>
      <c r="H243" s="7"/>
      <c r="I243" s="7"/>
      <c r="J243" s="7"/>
      <c r="K243" s="7"/>
      <c r="L243" s="7"/>
      <c r="M243" s="7"/>
      <c r="N243" s="7"/>
      <c r="O243" s="7"/>
      <c r="P243" s="7"/>
      <c r="Q243" s="7"/>
      <c r="R243" s="64"/>
      <c r="S243" s="64"/>
      <c r="T243" s="64"/>
      <c r="U243" s="64"/>
      <c r="V243" s="64"/>
      <c r="W243" s="64"/>
    </row>
    <row r="244" spans="1:23" ht="15.95" customHeight="1">
      <c r="A244" s="8"/>
      <c r="B244" s="7"/>
      <c r="C244" s="33"/>
      <c r="D244" s="7"/>
      <c r="E244" s="7"/>
      <c r="F244" s="7"/>
      <c r="G244" s="7"/>
      <c r="H244" s="7"/>
      <c r="I244" s="7"/>
      <c r="J244" s="7"/>
      <c r="K244" s="7"/>
      <c r="L244" s="7"/>
      <c r="M244" s="7"/>
      <c r="N244" s="7"/>
      <c r="O244" s="7"/>
      <c r="P244" s="7"/>
      <c r="Q244" s="7"/>
      <c r="R244" s="64"/>
      <c r="S244" s="64"/>
      <c r="T244" s="64"/>
      <c r="U244" s="64"/>
      <c r="V244" s="64"/>
      <c r="W244" s="64"/>
    </row>
    <row r="245" spans="1:23" ht="15.95" customHeight="1">
      <c r="A245" s="8"/>
      <c r="B245" s="7"/>
      <c r="C245" s="33"/>
      <c r="D245" s="7"/>
      <c r="E245" s="7"/>
      <c r="F245" s="7"/>
      <c r="G245" s="7"/>
      <c r="H245" s="7"/>
      <c r="I245" s="7"/>
      <c r="J245" s="7"/>
      <c r="K245" s="7"/>
      <c r="L245" s="7"/>
      <c r="M245" s="7"/>
      <c r="N245" s="7"/>
      <c r="O245" s="7"/>
      <c r="P245" s="7"/>
      <c r="Q245" s="7"/>
      <c r="R245" s="64"/>
      <c r="S245" s="64"/>
      <c r="T245" s="64"/>
      <c r="U245" s="64"/>
      <c r="V245" s="64"/>
      <c r="W245" s="64"/>
    </row>
    <row r="246" spans="1:23" ht="15.95" customHeight="1">
      <c r="A246" s="8"/>
      <c r="B246" s="7"/>
      <c r="C246" s="33"/>
      <c r="D246" s="7"/>
      <c r="E246" s="7"/>
      <c r="F246" s="7"/>
      <c r="G246" s="7"/>
      <c r="H246" s="7"/>
      <c r="I246" s="7"/>
      <c r="J246" s="7"/>
      <c r="K246" s="7"/>
      <c r="L246" s="7"/>
      <c r="M246" s="7"/>
      <c r="N246" s="7"/>
      <c r="O246" s="7"/>
      <c r="P246" s="7"/>
      <c r="Q246" s="7"/>
      <c r="R246" s="64"/>
      <c r="S246" s="64"/>
      <c r="T246" s="64"/>
      <c r="U246" s="64"/>
      <c r="V246" s="64"/>
      <c r="W246" s="64"/>
    </row>
    <row r="247" spans="1:23" ht="15.95" customHeight="1">
      <c r="A247" s="8"/>
      <c r="B247" s="7"/>
      <c r="C247" s="33"/>
      <c r="D247" s="7"/>
      <c r="E247" s="7"/>
      <c r="F247" s="7"/>
      <c r="G247" s="7"/>
      <c r="H247" s="7"/>
      <c r="I247" s="7"/>
      <c r="J247" s="7"/>
      <c r="K247" s="7"/>
      <c r="L247" s="7"/>
      <c r="M247" s="7"/>
      <c r="N247" s="7"/>
      <c r="O247" s="7"/>
      <c r="P247" s="7"/>
      <c r="Q247" s="7"/>
      <c r="R247" s="64"/>
      <c r="S247" s="64"/>
      <c r="T247" s="64"/>
      <c r="U247" s="64"/>
      <c r="V247" s="64"/>
      <c r="W247" s="64"/>
    </row>
    <row r="248" spans="1:23" ht="15.95" customHeight="1">
      <c r="A248" s="8"/>
      <c r="B248" s="7"/>
      <c r="C248" s="33"/>
      <c r="D248" s="7"/>
      <c r="E248" s="7"/>
      <c r="F248" s="7"/>
      <c r="G248" s="7"/>
      <c r="H248" s="7"/>
      <c r="I248" s="7"/>
      <c r="J248" s="7"/>
      <c r="K248" s="7"/>
      <c r="L248" s="7"/>
      <c r="M248" s="7"/>
      <c r="N248" s="7"/>
      <c r="O248" s="7"/>
      <c r="P248" s="7"/>
      <c r="Q248" s="7"/>
      <c r="R248" s="64"/>
      <c r="S248" s="64"/>
      <c r="T248" s="64"/>
      <c r="U248" s="64"/>
      <c r="V248" s="64"/>
      <c r="W248" s="64"/>
    </row>
    <row r="249" spans="1:23" ht="15.95" customHeight="1">
      <c r="A249" s="8"/>
      <c r="B249" s="7"/>
      <c r="C249" s="33"/>
      <c r="D249" s="7"/>
      <c r="E249" s="7"/>
      <c r="F249" s="7"/>
      <c r="G249" s="7"/>
      <c r="H249" s="7"/>
      <c r="I249" s="7"/>
      <c r="J249" s="7"/>
      <c r="K249" s="7"/>
      <c r="L249" s="7"/>
      <c r="M249" s="7"/>
      <c r="N249" s="7"/>
      <c r="O249" s="7"/>
      <c r="P249" s="7"/>
      <c r="Q249" s="7"/>
      <c r="R249" s="64"/>
      <c r="S249" s="64"/>
      <c r="T249" s="64"/>
      <c r="U249" s="64"/>
      <c r="V249" s="64"/>
      <c r="W249" s="64"/>
    </row>
    <row r="250" spans="1:23" ht="15.95" customHeight="1">
      <c r="A250" s="8"/>
      <c r="B250" s="7"/>
      <c r="C250" s="33"/>
      <c r="D250" s="7"/>
      <c r="E250" s="7"/>
      <c r="F250" s="7"/>
      <c r="G250" s="7"/>
      <c r="H250" s="7"/>
      <c r="I250" s="7"/>
      <c r="J250" s="7"/>
      <c r="K250" s="7"/>
      <c r="L250" s="7"/>
      <c r="M250" s="7"/>
      <c r="N250" s="7"/>
      <c r="O250" s="7"/>
      <c r="P250" s="7"/>
      <c r="Q250" s="7"/>
      <c r="R250" s="64"/>
      <c r="S250" s="64"/>
      <c r="T250" s="64"/>
      <c r="U250" s="64"/>
      <c r="V250" s="64"/>
      <c r="W250" s="64"/>
    </row>
    <row r="251" spans="1:23" ht="15.95" customHeight="1">
      <c r="A251" s="8"/>
      <c r="B251" s="7"/>
      <c r="C251" s="33"/>
      <c r="D251" s="7"/>
      <c r="E251" s="7"/>
      <c r="F251" s="7"/>
      <c r="G251" s="7"/>
      <c r="H251" s="7"/>
      <c r="I251" s="7"/>
      <c r="J251" s="7"/>
      <c r="K251" s="7"/>
      <c r="L251" s="7"/>
      <c r="M251" s="7"/>
      <c r="N251" s="7"/>
      <c r="O251" s="7"/>
      <c r="P251" s="7"/>
      <c r="Q251" s="7"/>
      <c r="R251" s="64"/>
      <c r="S251" s="64"/>
      <c r="T251" s="64"/>
      <c r="U251" s="64"/>
      <c r="V251" s="64"/>
      <c r="W251" s="64"/>
    </row>
    <row r="252" spans="1:23" ht="15.95" customHeight="1">
      <c r="A252" s="8"/>
      <c r="B252" s="7"/>
      <c r="C252" s="33"/>
      <c r="D252" s="7"/>
      <c r="E252" s="7"/>
      <c r="F252" s="7"/>
      <c r="G252" s="7"/>
      <c r="H252" s="7"/>
      <c r="I252" s="7"/>
      <c r="J252" s="7"/>
      <c r="K252" s="7"/>
      <c r="L252" s="7"/>
      <c r="M252" s="7"/>
      <c r="N252" s="7"/>
      <c r="O252" s="7"/>
      <c r="P252" s="7"/>
      <c r="Q252" s="7"/>
      <c r="R252" s="64"/>
      <c r="S252" s="64"/>
      <c r="T252" s="64"/>
      <c r="U252" s="64"/>
      <c r="V252" s="64"/>
      <c r="W252" s="64"/>
    </row>
    <row r="253" spans="1:23" ht="15.95" customHeight="1">
      <c r="A253" s="8"/>
      <c r="B253" s="7"/>
      <c r="C253" s="33"/>
      <c r="D253" s="7"/>
      <c r="E253" s="7"/>
      <c r="F253" s="7"/>
      <c r="G253" s="7"/>
      <c r="H253" s="7"/>
      <c r="I253" s="7"/>
      <c r="J253" s="7"/>
      <c r="K253" s="7"/>
      <c r="L253" s="7"/>
      <c r="M253" s="7"/>
      <c r="N253" s="7"/>
      <c r="O253" s="7"/>
      <c r="P253" s="7"/>
      <c r="Q253" s="7"/>
      <c r="R253" s="64"/>
      <c r="S253" s="64"/>
      <c r="T253" s="64"/>
      <c r="U253" s="64"/>
      <c r="V253" s="64"/>
      <c r="W253" s="64"/>
    </row>
    <row r="254" spans="1:23" ht="15.95" customHeight="1">
      <c r="A254" s="8"/>
      <c r="B254" s="7"/>
      <c r="C254" s="33"/>
      <c r="D254" s="7"/>
      <c r="E254" s="7"/>
      <c r="F254" s="7"/>
      <c r="G254" s="7"/>
      <c r="H254" s="7"/>
      <c r="I254" s="7"/>
      <c r="J254" s="7"/>
      <c r="K254" s="7"/>
      <c r="L254" s="7"/>
      <c r="M254" s="7"/>
      <c r="N254" s="7"/>
      <c r="O254" s="7"/>
      <c r="P254" s="7"/>
      <c r="Q254" s="7"/>
      <c r="R254" s="64"/>
      <c r="S254" s="64"/>
      <c r="T254" s="64"/>
      <c r="U254" s="64"/>
      <c r="V254" s="64"/>
      <c r="W254" s="64"/>
    </row>
    <row r="255" spans="1:23" ht="15.95" customHeight="1">
      <c r="A255" s="8"/>
      <c r="B255" s="7"/>
      <c r="C255" s="33"/>
      <c r="D255" s="7"/>
      <c r="E255" s="7"/>
      <c r="F255" s="7"/>
      <c r="G255" s="7"/>
      <c r="H255" s="7"/>
      <c r="I255" s="7"/>
      <c r="J255" s="7"/>
      <c r="K255" s="7"/>
      <c r="L255" s="7"/>
      <c r="M255" s="7"/>
      <c r="N255" s="7"/>
      <c r="O255" s="7"/>
      <c r="P255" s="7"/>
      <c r="Q255" s="7"/>
      <c r="R255" s="64"/>
      <c r="S255" s="64"/>
      <c r="T255" s="64"/>
      <c r="U255" s="64"/>
      <c r="V255" s="64"/>
      <c r="W255" s="64"/>
    </row>
    <row r="256" spans="1:23" ht="15.95" customHeight="1">
      <c r="A256" s="8"/>
      <c r="B256" s="7"/>
      <c r="C256" s="33"/>
      <c r="D256" s="7"/>
      <c r="E256" s="7"/>
      <c r="F256" s="7"/>
      <c r="G256" s="7"/>
      <c r="H256" s="7"/>
      <c r="I256" s="7"/>
      <c r="J256" s="7"/>
      <c r="K256" s="7"/>
      <c r="L256" s="7"/>
      <c r="M256" s="7"/>
      <c r="N256" s="7"/>
      <c r="O256" s="7"/>
      <c r="P256" s="7"/>
      <c r="Q256" s="7"/>
      <c r="R256" s="64"/>
      <c r="S256" s="64"/>
      <c r="T256" s="64"/>
      <c r="U256" s="64"/>
      <c r="V256" s="64"/>
      <c r="W256" s="64"/>
    </row>
    <row r="257" spans="1:23" ht="15.95" customHeight="1">
      <c r="A257" s="8"/>
      <c r="B257" s="7"/>
      <c r="C257" s="33"/>
      <c r="D257" s="7"/>
      <c r="E257" s="7"/>
      <c r="F257" s="7"/>
      <c r="G257" s="7"/>
      <c r="H257" s="7"/>
      <c r="I257" s="7"/>
      <c r="J257" s="7"/>
      <c r="K257" s="7"/>
      <c r="L257" s="7"/>
      <c r="M257" s="7"/>
      <c r="N257" s="7"/>
      <c r="O257" s="7"/>
      <c r="P257" s="7"/>
      <c r="Q257" s="7"/>
      <c r="R257" s="64"/>
      <c r="S257" s="64"/>
      <c r="T257" s="64"/>
      <c r="U257" s="64"/>
      <c r="V257" s="64"/>
      <c r="W257" s="64"/>
    </row>
    <row r="258" spans="1:23" ht="15.95" customHeight="1">
      <c r="A258" s="8"/>
      <c r="B258" s="7"/>
      <c r="C258" s="33"/>
      <c r="D258" s="7"/>
      <c r="E258" s="7"/>
      <c r="F258" s="7"/>
      <c r="G258" s="7"/>
      <c r="H258" s="7"/>
      <c r="I258" s="7"/>
      <c r="J258" s="7"/>
      <c r="K258" s="7"/>
      <c r="L258" s="7"/>
      <c r="M258" s="7"/>
      <c r="N258" s="7"/>
      <c r="O258" s="7"/>
      <c r="P258" s="7"/>
      <c r="Q258" s="7"/>
      <c r="R258" s="64"/>
      <c r="S258" s="64"/>
      <c r="T258" s="64"/>
      <c r="U258" s="64"/>
      <c r="V258" s="64"/>
      <c r="W258" s="64"/>
    </row>
    <row r="259" spans="1:23" ht="15.95" customHeight="1">
      <c r="A259" s="8"/>
      <c r="B259" s="7"/>
      <c r="C259" s="33"/>
      <c r="D259" s="7"/>
      <c r="E259" s="7"/>
      <c r="F259" s="7"/>
      <c r="G259" s="7"/>
      <c r="H259" s="7"/>
      <c r="I259" s="7"/>
      <c r="J259" s="7"/>
      <c r="K259" s="7"/>
      <c r="L259" s="7"/>
      <c r="M259" s="7"/>
      <c r="N259" s="7"/>
      <c r="O259" s="7"/>
      <c r="P259" s="7"/>
      <c r="Q259" s="7"/>
      <c r="R259" s="64"/>
      <c r="S259" s="64"/>
      <c r="T259" s="64"/>
      <c r="U259" s="64"/>
      <c r="V259" s="64"/>
      <c r="W259" s="64"/>
    </row>
    <row r="260" spans="1:23" ht="15.95" customHeight="1">
      <c r="A260" s="8"/>
      <c r="B260" s="7"/>
      <c r="C260" s="33"/>
      <c r="D260" s="7"/>
      <c r="E260" s="7"/>
      <c r="F260" s="7"/>
      <c r="G260" s="7"/>
      <c r="H260" s="7"/>
      <c r="I260" s="7"/>
      <c r="J260" s="7"/>
      <c r="K260" s="7"/>
      <c r="L260" s="7"/>
      <c r="M260" s="7"/>
      <c r="N260" s="7"/>
      <c r="O260" s="7"/>
      <c r="P260" s="7"/>
      <c r="Q260" s="7"/>
      <c r="R260" s="64"/>
      <c r="S260" s="64"/>
      <c r="T260" s="64"/>
      <c r="U260" s="64"/>
      <c r="V260" s="64"/>
      <c r="W260" s="64"/>
    </row>
    <row r="261" spans="1:23" ht="15.95" customHeight="1">
      <c r="A261" s="8"/>
      <c r="B261" s="7"/>
      <c r="C261" s="33"/>
      <c r="D261" s="7"/>
      <c r="E261" s="7"/>
      <c r="F261" s="7"/>
      <c r="G261" s="7"/>
      <c r="H261" s="7"/>
      <c r="I261" s="7"/>
      <c r="J261" s="7"/>
      <c r="K261" s="7"/>
      <c r="L261" s="7"/>
      <c r="M261" s="7"/>
      <c r="N261" s="7"/>
      <c r="O261" s="7"/>
      <c r="P261" s="7"/>
      <c r="Q261" s="7"/>
      <c r="R261" s="64"/>
      <c r="S261" s="64"/>
      <c r="T261" s="64"/>
      <c r="U261" s="64"/>
      <c r="V261" s="64"/>
      <c r="W261" s="64"/>
    </row>
    <row r="262" spans="1:23" ht="15.95" customHeight="1">
      <c r="A262" s="8"/>
      <c r="B262" s="7"/>
      <c r="C262" s="33"/>
      <c r="D262" s="7"/>
      <c r="E262" s="7"/>
      <c r="F262" s="7"/>
      <c r="G262" s="7"/>
      <c r="H262" s="7"/>
      <c r="I262" s="7"/>
      <c r="J262" s="7"/>
      <c r="K262" s="7"/>
      <c r="L262" s="7"/>
      <c r="M262" s="7"/>
      <c r="N262" s="7"/>
      <c r="O262" s="7"/>
      <c r="P262" s="7"/>
      <c r="Q262" s="7"/>
      <c r="R262" s="64"/>
      <c r="S262" s="64"/>
      <c r="T262" s="64"/>
      <c r="U262" s="64"/>
      <c r="V262" s="64"/>
      <c r="W262" s="64"/>
    </row>
    <row r="263" spans="1:23" ht="15.95" customHeight="1">
      <c r="A263" s="8"/>
      <c r="B263" s="7"/>
      <c r="C263" s="33"/>
      <c r="D263" s="7"/>
      <c r="E263" s="7"/>
      <c r="F263" s="7"/>
      <c r="G263" s="7"/>
      <c r="H263" s="7"/>
      <c r="I263" s="7"/>
      <c r="J263" s="7"/>
      <c r="K263" s="7"/>
      <c r="L263" s="7"/>
      <c r="M263" s="7"/>
      <c r="N263" s="7"/>
      <c r="O263" s="7"/>
      <c r="P263" s="7"/>
      <c r="Q263" s="7"/>
      <c r="R263" s="64"/>
      <c r="S263" s="64"/>
      <c r="T263" s="64"/>
      <c r="U263" s="64"/>
      <c r="V263" s="64"/>
      <c r="W263" s="64"/>
    </row>
    <row r="264" spans="1:23" ht="15.95" customHeight="1">
      <c r="A264" s="8"/>
      <c r="B264" s="7"/>
      <c r="C264" s="33"/>
      <c r="D264" s="7"/>
      <c r="E264" s="7"/>
      <c r="F264" s="7"/>
      <c r="G264" s="7"/>
      <c r="H264" s="7"/>
      <c r="I264" s="7"/>
      <c r="J264" s="7"/>
      <c r="K264" s="7"/>
      <c r="L264" s="7"/>
      <c r="M264" s="7"/>
      <c r="N264" s="7"/>
      <c r="O264" s="7"/>
      <c r="P264" s="7"/>
      <c r="Q264" s="7"/>
      <c r="R264" s="64"/>
      <c r="S264" s="64"/>
      <c r="T264" s="64"/>
      <c r="U264" s="64"/>
      <c r="V264" s="64"/>
      <c r="W264" s="64"/>
    </row>
    <row r="265" spans="1:23" ht="15.95" customHeight="1">
      <c r="A265" s="8"/>
      <c r="B265" s="7"/>
      <c r="C265" s="33"/>
      <c r="D265" s="7"/>
      <c r="E265" s="7"/>
      <c r="F265" s="7"/>
      <c r="G265" s="7"/>
      <c r="H265" s="7"/>
      <c r="I265" s="7"/>
      <c r="J265" s="7"/>
      <c r="K265" s="7"/>
      <c r="L265" s="7"/>
      <c r="M265" s="7"/>
      <c r="N265" s="7"/>
      <c r="O265" s="7"/>
      <c r="P265" s="7"/>
      <c r="Q265" s="7"/>
      <c r="R265" s="64"/>
      <c r="S265" s="64"/>
      <c r="T265" s="64"/>
      <c r="U265" s="64"/>
      <c r="V265" s="64"/>
      <c r="W265" s="64"/>
    </row>
    <row r="266" spans="1:23" ht="15.95" customHeight="1">
      <c r="A266" s="8"/>
      <c r="B266" s="7"/>
      <c r="C266" s="33"/>
      <c r="D266" s="7"/>
      <c r="E266" s="7"/>
      <c r="F266" s="7"/>
      <c r="G266" s="7"/>
      <c r="H266" s="7"/>
      <c r="I266" s="7"/>
      <c r="J266" s="7"/>
      <c r="K266" s="7"/>
      <c r="L266" s="7"/>
      <c r="M266" s="7"/>
      <c r="N266" s="7"/>
      <c r="O266" s="7"/>
      <c r="P266" s="7"/>
      <c r="Q266" s="7"/>
      <c r="R266" s="64"/>
      <c r="S266" s="64"/>
      <c r="T266" s="64"/>
      <c r="U266" s="64"/>
      <c r="V266" s="64"/>
      <c r="W266" s="64"/>
    </row>
    <row r="267" spans="1:23" ht="15.95" customHeight="1">
      <c r="A267" s="8"/>
      <c r="B267" s="7"/>
      <c r="C267" s="33"/>
      <c r="D267" s="7"/>
      <c r="E267" s="7"/>
      <c r="F267" s="7"/>
      <c r="G267" s="7"/>
      <c r="H267" s="7"/>
      <c r="I267" s="7"/>
      <c r="J267" s="7"/>
      <c r="K267" s="7"/>
      <c r="L267" s="7"/>
      <c r="M267" s="7"/>
      <c r="N267" s="7"/>
      <c r="O267" s="7"/>
      <c r="P267" s="7"/>
      <c r="Q267" s="7"/>
      <c r="R267" s="64"/>
      <c r="S267" s="64"/>
      <c r="T267" s="64"/>
      <c r="U267" s="64"/>
      <c r="V267" s="64"/>
      <c r="W267" s="64"/>
    </row>
    <row r="268" spans="1:23" ht="15.95" customHeight="1">
      <c r="A268" s="8"/>
      <c r="B268" s="7"/>
      <c r="C268" s="33"/>
      <c r="D268" s="7"/>
      <c r="E268" s="7"/>
      <c r="F268" s="7"/>
      <c r="G268" s="7"/>
      <c r="H268" s="7"/>
      <c r="I268" s="7"/>
      <c r="J268" s="7"/>
      <c r="K268" s="7"/>
      <c r="L268" s="7"/>
      <c r="M268" s="7"/>
      <c r="N268" s="7"/>
      <c r="O268" s="7"/>
      <c r="P268" s="7"/>
      <c r="Q268" s="7"/>
      <c r="R268" s="64"/>
      <c r="S268" s="64"/>
      <c r="T268" s="64"/>
      <c r="U268" s="64"/>
      <c r="V268" s="64"/>
      <c r="W268" s="64"/>
    </row>
    <row r="269" spans="1:23" ht="15.95" customHeight="1">
      <c r="A269" s="8"/>
      <c r="B269" s="7"/>
      <c r="C269" s="33"/>
      <c r="D269" s="7"/>
      <c r="E269" s="7"/>
      <c r="F269" s="7"/>
      <c r="G269" s="7"/>
      <c r="H269" s="7"/>
      <c r="I269" s="7"/>
      <c r="J269" s="7"/>
      <c r="K269" s="7"/>
      <c r="L269" s="7"/>
      <c r="M269" s="7"/>
      <c r="N269" s="7"/>
      <c r="O269" s="7"/>
      <c r="P269" s="7"/>
      <c r="Q269" s="7"/>
      <c r="R269" s="64"/>
      <c r="S269" s="64"/>
      <c r="T269" s="64"/>
      <c r="U269" s="64"/>
      <c r="V269" s="64"/>
      <c r="W269" s="64"/>
    </row>
    <row r="270" spans="1:23" ht="15.95" customHeight="1">
      <c r="A270" s="8"/>
      <c r="B270" s="7"/>
      <c r="C270" s="33"/>
      <c r="D270" s="7"/>
      <c r="E270" s="7"/>
      <c r="F270" s="7"/>
      <c r="G270" s="7"/>
      <c r="H270" s="7"/>
      <c r="I270" s="7"/>
      <c r="J270" s="7"/>
      <c r="K270" s="7"/>
      <c r="L270" s="7"/>
      <c r="M270" s="7"/>
      <c r="N270" s="7"/>
      <c r="O270" s="7"/>
      <c r="P270" s="7"/>
      <c r="Q270" s="7"/>
      <c r="R270" s="64"/>
      <c r="S270" s="64"/>
      <c r="T270" s="64"/>
      <c r="U270" s="64"/>
      <c r="V270" s="64"/>
      <c r="W270" s="64"/>
    </row>
    <row r="271" spans="1:23" ht="15.95" customHeight="1">
      <c r="A271" s="8"/>
      <c r="B271" s="7"/>
      <c r="C271" s="33"/>
      <c r="D271" s="7"/>
      <c r="E271" s="7"/>
      <c r="F271" s="7"/>
      <c r="G271" s="7"/>
      <c r="H271" s="7"/>
      <c r="I271" s="7"/>
      <c r="J271" s="7"/>
      <c r="K271" s="7"/>
      <c r="L271" s="7"/>
      <c r="M271" s="7"/>
      <c r="N271" s="7"/>
      <c r="O271" s="7"/>
      <c r="P271" s="7"/>
      <c r="Q271" s="7"/>
      <c r="R271" s="64"/>
      <c r="S271" s="64"/>
      <c r="T271" s="64"/>
      <c r="U271" s="64"/>
      <c r="V271" s="64"/>
      <c r="W271" s="64"/>
    </row>
    <row r="272" spans="1:23" ht="15.95" customHeight="1">
      <c r="A272" s="8"/>
      <c r="B272" s="7"/>
      <c r="C272" s="33"/>
      <c r="D272" s="7"/>
      <c r="E272" s="7"/>
      <c r="F272" s="7"/>
      <c r="G272" s="7"/>
      <c r="H272" s="7"/>
      <c r="I272" s="7"/>
      <c r="J272" s="7"/>
      <c r="K272" s="7"/>
      <c r="L272" s="7"/>
      <c r="M272" s="7"/>
      <c r="N272" s="7"/>
      <c r="O272" s="7"/>
      <c r="P272" s="7"/>
      <c r="Q272" s="7"/>
      <c r="R272" s="64"/>
      <c r="S272" s="64"/>
      <c r="T272" s="64"/>
      <c r="U272" s="64"/>
      <c r="V272" s="64"/>
      <c r="W272" s="64"/>
    </row>
    <row r="273" spans="1:23" ht="15.95" customHeight="1">
      <c r="A273" s="8"/>
      <c r="B273" s="7"/>
      <c r="C273" s="33"/>
      <c r="D273" s="7"/>
      <c r="E273" s="7"/>
      <c r="F273" s="7"/>
      <c r="G273" s="7"/>
      <c r="H273" s="7"/>
      <c r="I273" s="7"/>
      <c r="J273" s="7"/>
      <c r="K273" s="7"/>
      <c r="L273" s="7"/>
      <c r="M273" s="7"/>
      <c r="N273" s="7"/>
      <c r="O273" s="7"/>
      <c r="P273" s="7"/>
      <c r="Q273" s="7"/>
      <c r="R273" s="64"/>
      <c r="S273" s="64"/>
      <c r="T273" s="64"/>
      <c r="U273" s="64"/>
      <c r="V273" s="64"/>
      <c r="W273" s="64"/>
    </row>
    <row r="274" spans="1:23" ht="15.95" customHeight="1">
      <c r="A274" s="8"/>
      <c r="B274" s="7"/>
      <c r="C274" s="33"/>
      <c r="D274" s="7"/>
      <c r="E274" s="7"/>
      <c r="F274" s="7"/>
      <c r="G274" s="7"/>
      <c r="H274" s="7"/>
      <c r="I274" s="7"/>
      <c r="J274" s="7"/>
      <c r="K274" s="7"/>
      <c r="L274" s="7"/>
      <c r="M274" s="7"/>
      <c r="N274" s="7"/>
      <c r="O274" s="7"/>
      <c r="P274" s="7"/>
      <c r="Q274" s="7"/>
      <c r="R274" s="64"/>
      <c r="S274" s="64"/>
      <c r="T274" s="64"/>
      <c r="U274" s="64"/>
      <c r="V274" s="64"/>
      <c r="W274" s="64"/>
    </row>
    <row r="275" spans="1:23" ht="15.95" customHeight="1">
      <c r="A275" s="8"/>
      <c r="B275" s="7"/>
      <c r="C275" s="33"/>
      <c r="D275" s="7"/>
      <c r="E275" s="7"/>
      <c r="F275" s="7"/>
      <c r="G275" s="7"/>
      <c r="H275" s="7"/>
      <c r="I275" s="7"/>
      <c r="J275" s="7"/>
      <c r="K275" s="7"/>
      <c r="L275" s="7"/>
      <c r="M275" s="7"/>
      <c r="N275" s="7"/>
      <c r="O275" s="7"/>
      <c r="P275" s="7"/>
      <c r="Q275" s="7"/>
      <c r="R275" s="64"/>
      <c r="S275" s="64"/>
      <c r="T275" s="64"/>
      <c r="U275" s="64"/>
      <c r="V275" s="64"/>
      <c r="W275" s="64"/>
    </row>
    <row r="276" spans="1:23" ht="15.95" customHeight="1">
      <c r="A276" s="8"/>
      <c r="B276" s="7"/>
      <c r="C276" s="33"/>
      <c r="D276" s="7"/>
      <c r="E276" s="7"/>
      <c r="F276" s="7"/>
      <c r="G276" s="7"/>
      <c r="H276" s="7"/>
      <c r="I276" s="7"/>
      <c r="J276" s="7"/>
      <c r="K276" s="7"/>
      <c r="L276" s="7"/>
      <c r="M276" s="7"/>
      <c r="N276" s="7"/>
      <c r="O276" s="7"/>
      <c r="P276" s="7"/>
      <c r="Q276" s="7"/>
      <c r="R276" s="64"/>
      <c r="S276" s="64"/>
      <c r="T276" s="64"/>
      <c r="U276" s="64"/>
      <c r="V276" s="64"/>
      <c r="W276" s="64"/>
    </row>
    <row r="277" spans="1:23" ht="15.95" customHeight="1">
      <c r="A277" s="8"/>
      <c r="B277" s="7"/>
      <c r="C277" s="33"/>
      <c r="D277" s="7"/>
      <c r="E277" s="7"/>
      <c r="F277" s="7"/>
      <c r="G277" s="7"/>
      <c r="H277" s="7"/>
      <c r="I277" s="7"/>
      <c r="J277" s="7"/>
      <c r="K277" s="7"/>
      <c r="L277" s="7"/>
      <c r="M277" s="7"/>
      <c r="N277" s="7"/>
      <c r="O277" s="7"/>
      <c r="P277" s="7"/>
      <c r="Q277" s="7"/>
      <c r="R277" s="64"/>
      <c r="S277" s="64"/>
      <c r="T277" s="64"/>
      <c r="U277" s="64"/>
      <c r="V277" s="64"/>
      <c r="W277" s="64"/>
    </row>
    <row r="278" spans="1:23" ht="15.95" customHeight="1">
      <c r="A278" s="8"/>
      <c r="B278" s="7"/>
      <c r="C278" s="33"/>
      <c r="D278" s="7"/>
      <c r="E278" s="7"/>
      <c r="F278" s="7"/>
      <c r="G278" s="7"/>
      <c r="H278" s="7"/>
      <c r="I278" s="7"/>
      <c r="J278" s="7"/>
      <c r="K278" s="7"/>
      <c r="L278" s="7"/>
      <c r="M278" s="7"/>
      <c r="N278" s="7"/>
      <c r="O278" s="7"/>
      <c r="P278" s="7"/>
      <c r="Q278" s="7"/>
      <c r="R278" s="64"/>
      <c r="S278" s="64"/>
      <c r="T278" s="64"/>
      <c r="U278" s="64"/>
      <c r="V278" s="64"/>
      <c r="W278" s="64"/>
    </row>
    <row r="279" spans="1:23" ht="15.95" customHeight="1">
      <c r="A279" s="8"/>
      <c r="B279" s="7"/>
      <c r="C279" s="33"/>
      <c r="D279" s="7"/>
      <c r="E279" s="7"/>
      <c r="F279" s="7"/>
      <c r="G279" s="7"/>
      <c r="H279" s="7"/>
      <c r="I279" s="7"/>
      <c r="J279" s="7"/>
      <c r="K279" s="7"/>
      <c r="L279" s="7"/>
      <c r="M279" s="7"/>
      <c r="N279" s="7"/>
      <c r="O279" s="7"/>
      <c r="P279" s="7"/>
      <c r="Q279" s="7"/>
      <c r="R279" s="64"/>
      <c r="S279" s="64"/>
      <c r="T279" s="64"/>
      <c r="U279" s="64"/>
      <c r="V279" s="64"/>
      <c r="W279" s="64"/>
    </row>
    <row r="280" spans="1:23" ht="15.95" customHeight="1">
      <c r="A280" s="8"/>
      <c r="B280" s="7"/>
      <c r="C280" s="33"/>
      <c r="D280" s="7"/>
      <c r="E280" s="7"/>
      <c r="F280" s="7"/>
      <c r="G280" s="7"/>
      <c r="H280" s="7"/>
      <c r="I280" s="7"/>
      <c r="J280" s="7"/>
      <c r="K280" s="7"/>
      <c r="L280" s="7"/>
      <c r="M280" s="7"/>
      <c r="N280" s="7"/>
      <c r="O280" s="7"/>
      <c r="P280" s="7"/>
      <c r="Q280" s="7"/>
      <c r="R280" s="64"/>
      <c r="S280" s="64"/>
      <c r="T280" s="64"/>
      <c r="U280" s="64"/>
      <c r="V280" s="64"/>
      <c r="W280" s="64"/>
    </row>
    <row r="281" spans="1:23" ht="15.95" customHeight="1">
      <c r="A281" s="8"/>
      <c r="B281" s="7"/>
      <c r="C281" s="33"/>
      <c r="D281" s="7"/>
      <c r="E281" s="7"/>
      <c r="F281" s="7"/>
      <c r="G281" s="7"/>
      <c r="H281" s="7"/>
      <c r="I281" s="7"/>
      <c r="J281" s="7"/>
      <c r="K281" s="7"/>
      <c r="L281" s="7"/>
      <c r="M281" s="7"/>
      <c r="N281" s="7"/>
      <c r="O281" s="7"/>
      <c r="P281" s="7"/>
      <c r="Q281" s="7"/>
      <c r="R281" s="64"/>
      <c r="S281" s="64"/>
      <c r="T281" s="64"/>
      <c r="U281" s="64"/>
      <c r="V281" s="64"/>
      <c r="W281" s="64"/>
    </row>
    <row r="282" spans="1:23" ht="15.95" customHeight="1">
      <c r="A282" s="8"/>
      <c r="B282" s="7"/>
      <c r="C282" s="33"/>
      <c r="D282" s="7"/>
      <c r="E282" s="7"/>
      <c r="F282" s="7"/>
      <c r="G282" s="7"/>
      <c r="H282" s="7"/>
      <c r="I282" s="7"/>
      <c r="J282" s="7"/>
      <c r="K282" s="7"/>
      <c r="L282" s="7"/>
      <c r="M282" s="7"/>
      <c r="N282" s="7"/>
      <c r="O282" s="7"/>
      <c r="P282" s="7"/>
      <c r="Q282" s="7"/>
      <c r="R282" s="64"/>
      <c r="S282" s="64"/>
      <c r="T282" s="64"/>
      <c r="U282" s="64"/>
      <c r="V282" s="64"/>
      <c r="W282" s="64"/>
    </row>
    <row r="283" spans="1:23" ht="15.95" customHeight="1">
      <c r="A283" s="8"/>
      <c r="B283" s="7"/>
      <c r="C283" s="33"/>
      <c r="D283" s="7"/>
      <c r="E283" s="7"/>
      <c r="F283" s="7"/>
      <c r="G283" s="7"/>
      <c r="H283" s="7"/>
      <c r="I283" s="7"/>
      <c r="J283" s="7"/>
      <c r="K283" s="7"/>
      <c r="L283" s="7"/>
      <c r="M283" s="7"/>
      <c r="N283" s="7"/>
      <c r="O283" s="7"/>
      <c r="P283" s="7"/>
      <c r="Q283" s="7"/>
      <c r="R283" s="64"/>
      <c r="S283" s="64"/>
      <c r="T283" s="64"/>
      <c r="U283" s="64"/>
      <c r="V283" s="64"/>
      <c r="W283" s="64"/>
    </row>
    <row r="284" spans="1:23" ht="15.95" customHeight="1">
      <c r="A284" s="8"/>
      <c r="B284" s="7"/>
      <c r="C284" s="33"/>
      <c r="D284" s="7"/>
      <c r="E284" s="7"/>
      <c r="F284" s="7"/>
      <c r="G284" s="7"/>
      <c r="H284" s="7"/>
      <c r="I284" s="7"/>
      <c r="J284" s="7"/>
      <c r="K284" s="7"/>
      <c r="L284" s="7"/>
      <c r="M284" s="7"/>
      <c r="N284" s="7"/>
      <c r="O284" s="7"/>
      <c r="P284" s="7"/>
      <c r="Q284" s="7"/>
      <c r="R284" s="64"/>
      <c r="S284" s="64"/>
      <c r="T284" s="64"/>
      <c r="U284" s="64"/>
      <c r="V284" s="64"/>
      <c r="W284" s="64"/>
    </row>
    <row r="285" spans="1:23" ht="15.95" customHeight="1">
      <c r="A285" s="8"/>
      <c r="B285" s="7"/>
      <c r="C285" s="33"/>
      <c r="D285" s="7"/>
      <c r="E285" s="7"/>
      <c r="F285" s="7"/>
      <c r="G285" s="7"/>
      <c r="H285" s="7"/>
      <c r="I285" s="7"/>
      <c r="J285" s="7"/>
      <c r="K285" s="7"/>
      <c r="L285" s="7"/>
      <c r="M285" s="7"/>
      <c r="N285" s="7"/>
      <c r="O285" s="7"/>
      <c r="P285" s="7"/>
      <c r="Q285" s="7"/>
      <c r="R285" s="64"/>
      <c r="S285" s="64"/>
      <c r="T285" s="64"/>
      <c r="U285" s="64"/>
      <c r="V285" s="64"/>
      <c r="W285" s="64"/>
    </row>
    <row r="286" spans="1:23" ht="15.95" customHeight="1">
      <c r="A286" s="8"/>
      <c r="B286" s="7"/>
      <c r="C286" s="33"/>
      <c r="D286" s="7"/>
      <c r="E286" s="7"/>
      <c r="F286" s="7"/>
      <c r="G286" s="7"/>
      <c r="H286" s="7"/>
      <c r="I286" s="7"/>
      <c r="J286" s="7"/>
      <c r="K286" s="7"/>
      <c r="L286" s="7"/>
      <c r="M286" s="7"/>
      <c r="N286" s="7"/>
      <c r="O286" s="7"/>
      <c r="P286" s="7"/>
      <c r="Q286" s="7"/>
      <c r="R286" s="64"/>
      <c r="S286" s="64"/>
      <c r="T286" s="64"/>
      <c r="U286" s="64"/>
      <c r="V286" s="64"/>
      <c r="W286" s="64"/>
    </row>
    <row r="287" spans="1:23" ht="15.95" customHeight="1">
      <c r="A287" s="8"/>
      <c r="B287" s="7"/>
      <c r="C287" s="33"/>
      <c r="D287" s="7"/>
      <c r="E287" s="7"/>
      <c r="F287" s="7"/>
      <c r="G287" s="7"/>
      <c r="H287" s="7"/>
      <c r="I287" s="7"/>
      <c r="J287" s="7"/>
      <c r="K287" s="7"/>
      <c r="L287" s="7"/>
      <c r="M287" s="7"/>
      <c r="N287" s="7"/>
      <c r="O287" s="7"/>
      <c r="P287" s="7"/>
      <c r="Q287" s="7"/>
      <c r="R287" s="64"/>
      <c r="S287" s="64"/>
      <c r="T287" s="64"/>
      <c r="U287" s="64"/>
      <c r="V287" s="64"/>
      <c r="W287" s="64"/>
    </row>
    <row r="288" spans="1:23" ht="15.95" customHeight="1">
      <c r="A288" s="8"/>
      <c r="B288" s="7"/>
      <c r="C288" s="33"/>
      <c r="D288" s="7"/>
      <c r="E288" s="7"/>
      <c r="F288" s="7"/>
      <c r="G288" s="7"/>
      <c r="H288" s="7"/>
      <c r="I288" s="7"/>
      <c r="J288" s="7"/>
      <c r="K288" s="7"/>
      <c r="L288" s="7"/>
      <c r="M288" s="7"/>
      <c r="N288" s="7"/>
      <c r="O288" s="7"/>
      <c r="P288" s="7"/>
      <c r="Q288" s="7"/>
      <c r="R288" s="64"/>
      <c r="S288" s="64"/>
      <c r="T288" s="64"/>
      <c r="U288" s="64"/>
      <c r="V288" s="64"/>
      <c r="W288" s="64"/>
    </row>
    <row r="289" spans="1:23" ht="15.95" customHeight="1">
      <c r="A289" s="8"/>
      <c r="B289" s="7"/>
      <c r="C289" s="33"/>
      <c r="D289" s="7"/>
      <c r="E289" s="7"/>
      <c r="F289" s="7"/>
      <c r="G289" s="7"/>
      <c r="H289" s="7"/>
      <c r="I289" s="7"/>
      <c r="J289" s="7"/>
      <c r="K289" s="7"/>
      <c r="L289" s="7"/>
      <c r="M289" s="7"/>
      <c r="N289" s="7"/>
      <c r="O289" s="7"/>
      <c r="P289" s="7"/>
      <c r="Q289" s="7"/>
      <c r="R289" s="64"/>
      <c r="S289" s="64"/>
      <c r="T289" s="64"/>
      <c r="U289" s="64"/>
      <c r="V289" s="64"/>
      <c r="W289" s="64"/>
    </row>
    <row r="290" spans="1:23" ht="15.95" customHeight="1">
      <c r="A290" s="8"/>
      <c r="B290" s="7"/>
      <c r="C290" s="33"/>
      <c r="D290" s="7"/>
      <c r="E290" s="7"/>
      <c r="F290" s="7"/>
      <c r="G290" s="7"/>
      <c r="H290" s="7"/>
      <c r="I290" s="7"/>
      <c r="J290" s="7"/>
      <c r="K290" s="7"/>
      <c r="L290" s="7"/>
      <c r="M290" s="7"/>
      <c r="N290" s="7"/>
      <c r="O290" s="7"/>
      <c r="P290" s="7"/>
      <c r="Q290" s="7"/>
      <c r="R290" s="64"/>
      <c r="S290" s="64"/>
      <c r="T290" s="64"/>
      <c r="U290" s="64"/>
      <c r="V290" s="64"/>
      <c r="W290" s="64"/>
    </row>
    <row r="291" spans="1:23" ht="15.95" customHeight="1">
      <c r="A291" s="8"/>
      <c r="B291" s="7"/>
      <c r="C291" s="33"/>
      <c r="D291" s="7"/>
      <c r="E291" s="7"/>
      <c r="F291" s="7"/>
      <c r="G291" s="7"/>
      <c r="H291" s="7"/>
      <c r="I291" s="7"/>
      <c r="J291" s="7"/>
      <c r="K291" s="7"/>
      <c r="L291" s="7"/>
      <c r="M291" s="7"/>
      <c r="N291" s="7"/>
      <c r="O291" s="7"/>
      <c r="P291" s="7"/>
      <c r="Q291" s="7"/>
      <c r="R291" s="64"/>
      <c r="S291" s="64"/>
      <c r="T291" s="64"/>
      <c r="U291" s="64"/>
      <c r="V291" s="64"/>
      <c r="W291" s="64"/>
    </row>
    <row r="292" spans="1:23" ht="15.95" customHeight="1">
      <c r="A292" s="8"/>
      <c r="B292" s="7"/>
      <c r="C292" s="33"/>
      <c r="D292" s="7"/>
      <c r="E292" s="7"/>
      <c r="F292" s="7"/>
      <c r="G292" s="7"/>
      <c r="H292" s="7"/>
      <c r="I292" s="7"/>
      <c r="J292" s="7"/>
      <c r="K292" s="7"/>
      <c r="L292" s="7"/>
      <c r="M292" s="7"/>
      <c r="N292" s="7"/>
      <c r="O292" s="7"/>
      <c r="P292" s="7"/>
      <c r="Q292" s="7"/>
      <c r="R292" s="64"/>
      <c r="S292" s="64"/>
      <c r="T292" s="64"/>
      <c r="U292" s="64"/>
      <c r="V292" s="64"/>
      <c r="W292" s="64"/>
    </row>
    <row r="293" spans="1:23" ht="15.95" customHeight="1">
      <c r="A293" s="8"/>
      <c r="B293" s="7"/>
      <c r="C293" s="33"/>
      <c r="D293" s="7"/>
      <c r="E293" s="7"/>
      <c r="F293" s="7"/>
      <c r="G293" s="7"/>
      <c r="H293" s="7"/>
      <c r="I293" s="7"/>
      <c r="J293" s="7"/>
      <c r="K293" s="7"/>
      <c r="L293" s="7"/>
      <c r="M293" s="7"/>
      <c r="N293" s="7"/>
      <c r="O293" s="7"/>
      <c r="P293" s="7"/>
      <c r="Q293" s="7"/>
      <c r="R293" s="64"/>
      <c r="S293" s="64"/>
      <c r="T293" s="64"/>
      <c r="U293" s="64"/>
      <c r="V293" s="64"/>
      <c r="W293" s="64"/>
    </row>
    <row r="294" spans="1:23" ht="15.95" customHeight="1">
      <c r="A294" s="8"/>
      <c r="B294" s="7"/>
      <c r="C294" s="33"/>
      <c r="D294" s="7"/>
      <c r="E294" s="7"/>
      <c r="F294" s="7"/>
      <c r="G294" s="7"/>
      <c r="H294" s="7"/>
      <c r="I294" s="7"/>
      <c r="J294" s="7"/>
      <c r="K294" s="7"/>
      <c r="L294" s="7"/>
      <c r="M294" s="7"/>
      <c r="N294" s="7"/>
      <c r="O294" s="7"/>
      <c r="P294" s="7"/>
      <c r="Q294" s="7"/>
      <c r="R294" s="64"/>
      <c r="S294" s="64"/>
      <c r="T294" s="64"/>
      <c r="U294" s="64"/>
      <c r="V294" s="64"/>
      <c r="W294" s="64"/>
    </row>
    <row r="295" spans="1:23" ht="15.95" customHeight="1">
      <c r="A295" s="8"/>
      <c r="B295" s="7"/>
      <c r="C295" s="33"/>
      <c r="D295" s="7"/>
      <c r="E295" s="7"/>
      <c r="F295" s="7"/>
      <c r="G295" s="7"/>
      <c r="H295" s="7"/>
      <c r="I295" s="7"/>
      <c r="J295" s="7"/>
      <c r="K295" s="7"/>
      <c r="L295" s="7"/>
      <c r="M295" s="7"/>
      <c r="N295" s="7"/>
      <c r="O295" s="7"/>
      <c r="P295" s="7"/>
      <c r="Q295" s="7"/>
      <c r="R295" s="64"/>
      <c r="S295" s="64"/>
      <c r="T295" s="64"/>
      <c r="U295" s="64"/>
      <c r="V295" s="64"/>
      <c r="W295" s="64"/>
    </row>
    <row r="296" spans="1:23" ht="15.95" customHeight="1">
      <c r="A296" s="8"/>
      <c r="B296" s="7"/>
      <c r="C296" s="33"/>
      <c r="D296" s="7"/>
      <c r="E296" s="7"/>
      <c r="F296" s="7"/>
      <c r="G296" s="7"/>
      <c r="H296" s="7"/>
      <c r="I296" s="7"/>
      <c r="J296" s="7"/>
      <c r="K296" s="7"/>
      <c r="L296" s="7"/>
      <c r="M296" s="7"/>
      <c r="N296" s="7"/>
      <c r="O296" s="7"/>
      <c r="P296" s="7"/>
      <c r="Q296" s="7"/>
      <c r="R296" s="64"/>
      <c r="S296" s="64"/>
      <c r="T296" s="64"/>
      <c r="U296" s="64"/>
      <c r="V296" s="64"/>
      <c r="W296" s="64"/>
    </row>
    <row r="297" spans="1:23" ht="15.95" customHeight="1">
      <c r="A297" s="8"/>
      <c r="B297" s="7"/>
      <c r="C297" s="33"/>
      <c r="D297" s="7"/>
      <c r="E297" s="7"/>
      <c r="F297" s="7"/>
      <c r="G297" s="7"/>
      <c r="H297" s="7"/>
      <c r="I297" s="7"/>
      <c r="J297" s="7"/>
      <c r="K297" s="7"/>
      <c r="L297" s="7"/>
      <c r="M297" s="7"/>
      <c r="N297" s="7"/>
      <c r="O297" s="7"/>
      <c r="P297" s="7"/>
      <c r="Q297" s="7"/>
      <c r="R297" s="64"/>
      <c r="S297" s="64"/>
      <c r="T297" s="64"/>
      <c r="U297" s="64"/>
      <c r="V297" s="64"/>
      <c r="W297" s="64"/>
    </row>
    <row r="298" spans="1:23" ht="15.95" customHeight="1">
      <c r="A298" s="8"/>
      <c r="B298" s="7"/>
      <c r="C298" s="33"/>
      <c r="D298" s="7"/>
      <c r="E298" s="7"/>
      <c r="F298" s="7"/>
      <c r="G298" s="7"/>
      <c r="H298" s="7"/>
      <c r="I298" s="7"/>
      <c r="J298" s="7"/>
      <c r="K298" s="7"/>
      <c r="L298" s="7"/>
      <c r="M298" s="7"/>
      <c r="N298" s="7"/>
      <c r="O298" s="7"/>
      <c r="P298" s="7"/>
      <c r="Q298" s="7"/>
      <c r="R298" s="64"/>
      <c r="S298" s="64"/>
      <c r="T298" s="64"/>
      <c r="U298" s="64"/>
      <c r="V298" s="64"/>
      <c r="W298" s="64"/>
    </row>
    <row r="299" spans="1:23" ht="15.95" customHeight="1">
      <c r="A299" s="8"/>
      <c r="B299" s="7"/>
      <c r="C299" s="33"/>
      <c r="D299" s="7"/>
      <c r="E299" s="7"/>
      <c r="F299" s="7"/>
      <c r="G299" s="7"/>
      <c r="H299" s="7"/>
      <c r="I299" s="7"/>
      <c r="J299" s="7"/>
      <c r="K299" s="7"/>
      <c r="L299" s="7"/>
      <c r="M299" s="7"/>
      <c r="N299" s="7"/>
      <c r="O299" s="7"/>
      <c r="P299" s="7"/>
      <c r="Q299" s="7"/>
      <c r="R299" s="64"/>
      <c r="S299" s="64"/>
      <c r="T299" s="64"/>
      <c r="U299" s="64"/>
      <c r="V299" s="64"/>
      <c r="W299" s="64"/>
    </row>
    <row r="300" spans="1:23" ht="15.95" customHeight="1">
      <c r="A300" s="8"/>
      <c r="B300" s="7"/>
      <c r="C300" s="33"/>
      <c r="D300" s="7"/>
      <c r="E300" s="7"/>
      <c r="F300" s="7"/>
      <c r="G300" s="7"/>
      <c r="H300" s="7"/>
      <c r="I300" s="7"/>
      <c r="J300" s="7"/>
      <c r="K300" s="7"/>
      <c r="L300" s="7"/>
      <c r="M300" s="7"/>
      <c r="N300" s="7"/>
      <c r="O300" s="7"/>
      <c r="P300" s="7"/>
      <c r="Q300" s="7"/>
      <c r="R300" s="64"/>
      <c r="S300" s="64"/>
      <c r="T300" s="64"/>
      <c r="U300" s="64"/>
      <c r="V300" s="64"/>
      <c r="W300" s="64"/>
    </row>
    <row r="301" spans="1:23" ht="15.95" customHeight="1">
      <c r="A301" s="8"/>
      <c r="B301" s="7"/>
      <c r="C301" s="33"/>
      <c r="D301" s="7"/>
      <c r="E301" s="7"/>
      <c r="F301" s="7"/>
      <c r="G301" s="7"/>
      <c r="H301" s="7"/>
      <c r="I301" s="7"/>
      <c r="J301" s="7"/>
      <c r="K301" s="7"/>
      <c r="L301" s="7"/>
      <c r="M301" s="7"/>
      <c r="N301" s="7"/>
      <c r="O301" s="7"/>
      <c r="P301" s="7"/>
      <c r="Q301" s="7"/>
      <c r="R301" s="64"/>
      <c r="S301" s="64"/>
      <c r="T301" s="64"/>
      <c r="U301" s="64"/>
      <c r="V301" s="64"/>
      <c r="W301" s="64"/>
    </row>
    <row r="302" spans="1:23" ht="15.95" customHeight="1">
      <c r="A302" s="8"/>
      <c r="B302" s="7"/>
      <c r="C302" s="33"/>
      <c r="D302" s="7"/>
      <c r="E302" s="7"/>
      <c r="F302" s="7"/>
      <c r="G302" s="7"/>
      <c r="H302" s="7"/>
      <c r="I302" s="7"/>
      <c r="J302" s="7"/>
      <c r="K302" s="7"/>
      <c r="L302" s="7"/>
      <c r="M302" s="7"/>
      <c r="N302" s="7"/>
      <c r="O302" s="7"/>
      <c r="P302" s="7"/>
      <c r="Q302" s="7"/>
      <c r="R302" s="64"/>
      <c r="S302" s="64"/>
      <c r="T302" s="64"/>
      <c r="U302" s="64"/>
      <c r="V302" s="64"/>
      <c r="W302" s="64"/>
    </row>
    <row r="303" spans="1:23" ht="15.95" customHeight="1">
      <c r="A303" s="8"/>
      <c r="B303" s="7"/>
      <c r="C303" s="33"/>
      <c r="D303" s="7"/>
      <c r="E303" s="7"/>
      <c r="F303" s="7"/>
      <c r="G303" s="7"/>
      <c r="H303" s="7"/>
      <c r="I303" s="7"/>
      <c r="J303" s="7"/>
      <c r="K303" s="7"/>
      <c r="L303" s="7"/>
      <c r="M303" s="7"/>
      <c r="N303" s="7"/>
      <c r="O303" s="7"/>
      <c r="P303" s="7"/>
      <c r="Q303" s="7"/>
      <c r="R303" s="64"/>
      <c r="S303" s="64"/>
      <c r="T303" s="64"/>
      <c r="U303" s="64"/>
      <c r="V303" s="64"/>
      <c r="W303" s="64"/>
    </row>
    <row r="304" spans="1:23" ht="15.95" customHeight="1">
      <c r="A304" s="8"/>
      <c r="B304" s="7"/>
      <c r="C304" s="33"/>
      <c r="D304" s="7"/>
      <c r="E304" s="7"/>
      <c r="F304" s="7"/>
      <c r="G304" s="7"/>
      <c r="H304" s="7"/>
      <c r="I304" s="7"/>
      <c r="J304" s="7"/>
      <c r="K304" s="7"/>
      <c r="L304" s="7"/>
      <c r="M304" s="7"/>
      <c r="N304" s="7"/>
      <c r="O304" s="7"/>
      <c r="P304" s="7"/>
      <c r="Q304" s="7"/>
      <c r="R304" s="64"/>
      <c r="S304" s="64"/>
      <c r="T304" s="64"/>
      <c r="U304" s="64"/>
      <c r="V304" s="64"/>
      <c r="W304" s="64"/>
    </row>
    <row r="305" spans="1:23" ht="15.95" customHeight="1">
      <c r="A305" s="8"/>
      <c r="B305" s="7"/>
      <c r="C305" s="33"/>
      <c r="D305" s="7"/>
      <c r="E305" s="7"/>
      <c r="F305" s="7"/>
      <c r="G305" s="7"/>
      <c r="H305" s="7"/>
      <c r="I305" s="7"/>
      <c r="J305" s="7"/>
      <c r="K305" s="7"/>
      <c r="L305" s="7"/>
      <c r="M305" s="7"/>
      <c r="N305" s="7"/>
      <c r="O305" s="7"/>
      <c r="P305" s="7"/>
      <c r="Q305" s="7"/>
      <c r="R305" s="64"/>
      <c r="S305" s="64"/>
      <c r="T305" s="64"/>
      <c r="U305" s="64"/>
      <c r="V305" s="64"/>
      <c r="W305" s="64"/>
    </row>
    <row r="306" spans="1:23" ht="15.95" customHeight="1">
      <c r="A306" s="8"/>
      <c r="B306" s="7"/>
      <c r="C306" s="33"/>
      <c r="D306" s="7"/>
      <c r="E306" s="7"/>
      <c r="F306" s="7"/>
      <c r="G306" s="7"/>
      <c r="H306" s="7"/>
      <c r="I306" s="7"/>
      <c r="J306" s="7"/>
      <c r="K306" s="7"/>
      <c r="L306" s="7"/>
      <c r="M306" s="7"/>
      <c r="N306" s="7"/>
      <c r="O306" s="7"/>
      <c r="P306" s="7"/>
      <c r="Q306" s="7"/>
      <c r="R306" s="64"/>
      <c r="S306" s="64"/>
      <c r="T306" s="64"/>
      <c r="U306" s="64"/>
      <c r="V306" s="64"/>
      <c r="W306" s="64"/>
    </row>
    <row r="307" spans="1:23" ht="15.95" customHeight="1">
      <c r="A307" s="8"/>
      <c r="B307" s="7"/>
      <c r="C307" s="33"/>
      <c r="D307" s="7"/>
      <c r="E307" s="7"/>
      <c r="F307" s="7"/>
      <c r="G307" s="7"/>
      <c r="H307" s="7"/>
      <c r="I307" s="7"/>
      <c r="J307" s="7"/>
      <c r="K307" s="7"/>
      <c r="L307" s="7"/>
      <c r="M307" s="7"/>
      <c r="N307" s="7"/>
      <c r="O307" s="7"/>
      <c r="P307" s="7"/>
      <c r="Q307" s="7"/>
      <c r="R307" s="64"/>
      <c r="S307" s="64"/>
      <c r="T307" s="64"/>
      <c r="U307" s="64"/>
      <c r="V307" s="64"/>
      <c r="W307" s="64"/>
    </row>
    <row r="308" spans="1:23" ht="15.95" customHeight="1">
      <c r="A308" s="8"/>
      <c r="B308" s="7"/>
      <c r="C308" s="33"/>
      <c r="D308" s="7"/>
      <c r="E308" s="7"/>
      <c r="F308" s="7"/>
      <c r="G308" s="7"/>
      <c r="H308" s="7"/>
      <c r="I308" s="7"/>
      <c r="J308" s="7"/>
      <c r="K308" s="7"/>
      <c r="L308" s="7"/>
      <c r="M308" s="7"/>
      <c r="N308" s="7"/>
      <c r="O308" s="7"/>
      <c r="P308" s="7"/>
      <c r="Q308" s="7"/>
      <c r="R308" s="64"/>
      <c r="S308" s="64"/>
      <c r="T308" s="64"/>
      <c r="U308" s="64"/>
      <c r="V308" s="64"/>
      <c r="W308" s="64"/>
    </row>
    <row r="309" spans="1:23" ht="15.95" customHeight="1">
      <c r="A309" s="8"/>
      <c r="B309" s="7"/>
      <c r="C309" s="33"/>
      <c r="D309" s="7"/>
      <c r="E309" s="7"/>
      <c r="F309" s="7"/>
      <c r="G309" s="7"/>
      <c r="H309" s="7"/>
      <c r="I309" s="7"/>
      <c r="J309" s="7"/>
      <c r="K309" s="7"/>
      <c r="L309" s="7"/>
      <c r="M309" s="7"/>
      <c r="N309" s="7"/>
      <c r="O309" s="7"/>
      <c r="P309" s="7"/>
      <c r="Q309" s="7"/>
      <c r="R309" s="64"/>
      <c r="S309" s="64"/>
      <c r="T309" s="64"/>
      <c r="U309" s="64"/>
      <c r="V309" s="64"/>
      <c r="W309" s="64"/>
    </row>
    <row r="310" spans="1:23" ht="15.95" customHeight="1">
      <c r="A310" s="8"/>
      <c r="B310" s="7"/>
      <c r="C310" s="33"/>
      <c r="D310" s="7"/>
      <c r="E310" s="7"/>
      <c r="F310" s="7"/>
      <c r="G310" s="7"/>
      <c r="H310" s="7"/>
      <c r="I310" s="7"/>
      <c r="J310" s="7"/>
      <c r="K310" s="7"/>
      <c r="L310" s="7"/>
      <c r="M310" s="7"/>
      <c r="N310" s="7"/>
      <c r="O310" s="7"/>
      <c r="P310" s="7"/>
      <c r="Q310" s="7"/>
      <c r="R310" s="64"/>
      <c r="S310" s="64"/>
      <c r="T310" s="64"/>
      <c r="U310" s="64"/>
      <c r="V310" s="64"/>
      <c r="W310" s="64"/>
    </row>
    <row r="311" spans="1:23" ht="15.95" customHeight="1">
      <c r="A311" s="8"/>
      <c r="B311" s="7"/>
      <c r="C311" s="33"/>
      <c r="D311" s="7"/>
      <c r="E311" s="7"/>
      <c r="F311" s="7"/>
      <c r="G311" s="7"/>
      <c r="H311" s="7"/>
      <c r="I311" s="7"/>
      <c r="J311" s="7"/>
      <c r="K311" s="7"/>
      <c r="L311" s="7"/>
      <c r="M311" s="7"/>
      <c r="N311" s="7"/>
      <c r="O311" s="7"/>
      <c r="P311" s="7"/>
      <c r="Q311" s="7"/>
      <c r="R311" s="64"/>
      <c r="S311" s="64"/>
      <c r="T311" s="64"/>
      <c r="U311" s="64"/>
      <c r="V311" s="64"/>
      <c r="W311" s="64"/>
    </row>
    <row r="312" spans="1:23" ht="15.95" customHeight="1">
      <c r="A312" s="8"/>
      <c r="B312" s="7"/>
      <c r="C312" s="33"/>
      <c r="D312" s="7"/>
      <c r="E312" s="7"/>
      <c r="F312" s="7"/>
      <c r="G312" s="7"/>
      <c r="H312" s="7"/>
      <c r="I312" s="7"/>
      <c r="J312" s="7"/>
      <c r="K312" s="7"/>
      <c r="L312" s="7"/>
      <c r="M312" s="7"/>
      <c r="N312" s="7"/>
      <c r="O312" s="7"/>
      <c r="P312" s="7"/>
      <c r="Q312" s="7"/>
      <c r="R312" s="64"/>
      <c r="S312" s="64"/>
      <c r="T312" s="64"/>
      <c r="U312" s="64"/>
      <c r="V312" s="64"/>
      <c r="W312" s="64"/>
    </row>
    <row r="313" spans="1:23" ht="15.95" customHeight="1">
      <c r="A313" s="8"/>
      <c r="B313" s="7"/>
      <c r="C313" s="33"/>
      <c r="D313" s="7"/>
      <c r="E313" s="7"/>
      <c r="F313" s="7"/>
      <c r="G313" s="7"/>
      <c r="H313" s="7"/>
      <c r="I313" s="7"/>
      <c r="J313" s="7"/>
      <c r="K313" s="7"/>
      <c r="L313" s="7"/>
      <c r="M313" s="7"/>
      <c r="N313" s="7"/>
      <c r="O313" s="7"/>
      <c r="P313" s="7"/>
      <c r="Q313" s="7"/>
      <c r="R313" s="64"/>
      <c r="S313" s="64"/>
      <c r="T313" s="64"/>
      <c r="U313" s="64"/>
      <c r="V313" s="64"/>
      <c r="W313" s="64"/>
    </row>
    <row r="314" spans="1:23" ht="15.95" customHeight="1">
      <c r="A314" s="8"/>
      <c r="B314" s="7"/>
      <c r="C314" s="33"/>
      <c r="D314" s="7"/>
      <c r="E314" s="7"/>
      <c r="F314" s="7"/>
      <c r="G314" s="7"/>
      <c r="H314" s="7"/>
      <c r="I314" s="7"/>
      <c r="J314" s="7"/>
      <c r="K314" s="7"/>
      <c r="L314" s="7"/>
      <c r="M314" s="7"/>
      <c r="N314" s="7"/>
      <c r="O314" s="7"/>
      <c r="P314" s="7"/>
      <c r="Q314" s="7"/>
      <c r="R314" s="64"/>
      <c r="S314" s="64"/>
      <c r="T314" s="64"/>
      <c r="U314" s="64"/>
      <c r="V314" s="64"/>
      <c r="W314" s="64"/>
    </row>
    <row r="315" spans="1:23" ht="15.95" customHeight="1">
      <c r="A315" s="8"/>
      <c r="B315" s="7"/>
      <c r="C315" s="33"/>
      <c r="D315" s="7"/>
      <c r="E315" s="7"/>
      <c r="F315" s="7"/>
      <c r="G315" s="7"/>
      <c r="H315" s="7"/>
      <c r="I315" s="7"/>
      <c r="J315" s="7"/>
      <c r="K315" s="7"/>
      <c r="L315" s="7"/>
      <c r="M315" s="7"/>
      <c r="N315" s="7"/>
      <c r="O315" s="7"/>
      <c r="P315" s="7"/>
      <c r="Q315" s="7"/>
      <c r="R315" s="64"/>
      <c r="S315" s="64"/>
      <c r="T315" s="64"/>
      <c r="U315" s="64"/>
      <c r="V315" s="64"/>
      <c r="W315" s="64"/>
    </row>
    <row r="316" spans="1:23" ht="15.95" customHeight="1">
      <c r="A316" s="8"/>
      <c r="B316" s="7"/>
      <c r="C316" s="33"/>
      <c r="D316" s="7"/>
      <c r="E316" s="7"/>
      <c r="F316" s="7"/>
      <c r="G316" s="7"/>
      <c r="H316" s="7"/>
      <c r="I316" s="7"/>
      <c r="J316" s="7"/>
      <c r="K316" s="7"/>
      <c r="L316" s="7"/>
      <c r="M316" s="7"/>
      <c r="N316" s="7"/>
      <c r="O316" s="7"/>
      <c r="P316" s="7"/>
      <c r="Q316" s="7"/>
      <c r="R316" s="64"/>
      <c r="S316" s="64"/>
      <c r="T316" s="64"/>
      <c r="U316" s="64"/>
      <c r="V316" s="64"/>
      <c r="W316" s="64"/>
    </row>
    <row r="317" spans="1:23" ht="15.95" customHeight="1">
      <c r="A317" s="8"/>
      <c r="B317" s="7"/>
      <c r="C317" s="33"/>
      <c r="D317" s="7"/>
      <c r="E317" s="7"/>
      <c r="F317" s="7"/>
      <c r="G317" s="7"/>
      <c r="H317" s="7"/>
      <c r="I317" s="7"/>
      <c r="J317" s="7"/>
      <c r="K317" s="7"/>
      <c r="L317" s="7"/>
      <c r="M317" s="7"/>
      <c r="N317" s="7"/>
      <c r="O317" s="7"/>
      <c r="P317" s="7"/>
      <c r="Q317" s="7"/>
      <c r="R317" s="64"/>
      <c r="S317" s="64"/>
      <c r="T317" s="64"/>
      <c r="U317" s="64"/>
      <c r="V317" s="64"/>
      <c r="W317" s="64"/>
    </row>
    <row r="318" spans="1:23" ht="15.95" customHeight="1">
      <c r="A318" s="8"/>
      <c r="B318" s="7"/>
      <c r="C318" s="33"/>
      <c r="D318" s="7"/>
      <c r="E318" s="7"/>
      <c r="F318" s="7"/>
      <c r="G318" s="7"/>
      <c r="H318" s="7"/>
      <c r="I318" s="7"/>
      <c r="J318" s="7"/>
      <c r="K318" s="7"/>
      <c r="L318" s="7"/>
      <c r="M318" s="7"/>
      <c r="N318" s="7"/>
      <c r="O318" s="7"/>
      <c r="P318" s="7"/>
      <c r="Q318" s="7"/>
      <c r="R318" s="64"/>
      <c r="S318" s="64"/>
      <c r="T318" s="64"/>
      <c r="U318" s="64"/>
      <c r="V318" s="64"/>
      <c r="W318" s="64"/>
    </row>
    <row r="319" spans="1:23" ht="15.95" customHeight="1">
      <c r="A319" s="8"/>
      <c r="B319" s="7"/>
      <c r="C319" s="33"/>
      <c r="D319" s="7"/>
      <c r="E319" s="7"/>
      <c r="F319" s="7"/>
      <c r="G319" s="7"/>
      <c r="H319" s="7"/>
      <c r="I319" s="7"/>
      <c r="J319" s="7"/>
      <c r="K319" s="7"/>
      <c r="L319" s="7"/>
      <c r="M319" s="7"/>
      <c r="N319" s="7"/>
      <c r="O319" s="7"/>
      <c r="P319" s="7"/>
      <c r="Q319" s="7"/>
      <c r="R319" s="64"/>
      <c r="S319" s="64"/>
      <c r="T319" s="64"/>
      <c r="U319" s="64"/>
      <c r="V319" s="64"/>
      <c r="W319" s="64"/>
    </row>
    <row r="320" spans="1:23" ht="15.95" customHeight="1">
      <c r="A320" s="8"/>
      <c r="B320" s="7"/>
      <c r="C320" s="33"/>
      <c r="D320" s="7"/>
      <c r="E320" s="7"/>
      <c r="F320" s="7"/>
      <c r="G320" s="7"/>
      <c r="H320" s="7"/>
      <c r="I320" s="7"/>
      <c r="J320" s="7"/>
      <c r="K320" s="7"/>
      <c r="L320" s="7"/>
      <c r="M320" s="7"/>
      <c r="N320" s="7"/>
      <c r="O320" s="7"/>
      <c r="P320" s="7"/>
      <c r="Q320" s="7"/>
      <c r="R320" s="64"/>
      <c r="S320" s="64"/>
      <c r="T320" s="64"/>
      <c r="U320" s="64"/>
      <c r="V320" s="64"/>
      <c r="W320" s="64"/>
    </row>
    <row r="321" spans="1:23" ht="15.95" customHeight="1">
      <c r="A321" s="8"/>
      <c r="B321" s="7"/>
      <c r="C321" s="33"/>
      <c r="D321" s="7"/>
      <c r="E321" s="7"/>
      <c r="F321" s="7"/>
      <c r="G321" s="7"/>
      <c r="H321" s="7"/>
      <c r="I321" s="7"/>
      <c r="J321" s="7"/>
      <c r="K321" s="7"/>
      <c r="L321" s="7"/>
      <c r="M321" s="7"/>
      <c r="N321" s="7"/>
      <c r="O321" s="7"/>
      <c r="P321" s="7"/>
      <c r="Q321" s="7"/>
      <c r="R321" s="64"/>
      <c r="S321" s="64"/>
      <c r="T321" s="64"/>
      <c r="U321" s="64"/>
      <c r="V321" s="64"/>
      <c r="W321" s="64"/>
    </row>
    <row r="322" spans="1:23" ht="15.95" customHeight="1">
      <c r="A322" s="8"/>
      <c r="B322" s="7"/>
      <c r="C322" s="33"/>
      <c r="D322" s="7"/>
      <c r="E322" s="7"/>
      <c r="F322" s="7"/>
      <c r="G322" s="7"/>
      <c r="H322" s="7"/>
      <c r="I322" s="7"/>
      <c r="J322" s="7"/>
      <c r="K322" s="7"/>
      <c r="L322" s="7"/>
      <c r="M322" s="7"/>
      <c r="N322" s="7"/>
      <c r="O322" s="7"/>
      <c r="P322" s="7"/>
      <c r="Q322" s="7"/>
      <c r="R322" s="64"/>
      <c r="S322" s="64"/>
      <c r="T322" s="64"/>
      <c r="U322" s="64"/>
      <c r="V322" s="64"/>
      <c r="W322" s="64"/>
    </row>
    <row r="323" spans="1:23" ht="15.95" customHeight="1">
      <c r="A323" s="8"/>
      <c r="B323" s="7"/>
      <c r="C323" s="33"/>
      <c r="D323" s="7"/>
      <c r="E323" s="7"/>
      <c r="F323" s="7"/>
      <c r="G323" s="7"/>
      <c r="H323" s="7"/>
      <c r="I323" s="7"/>
      <c r="J323" s="7"/>
      <c r="K323" s="7"/>
      <c r="L323" s="7"/>
      <c r="M323" s="7"/>
      <c r="N323" s="7"/>
      <c r="O323" s="7"/>
      <c r="P323" s="7"/>
      <c r="Q323" s="7"/>
      <c r="R323" s="64"/>
      <c r="S323" s="64"/>
      <c r="T323" s="64"/>
      <c r="U323" s="64"/>
      <c r="V323" s="64"/>
      <c r="W323" s="64"/>
    </row>
    <row r="324" spans="1:23" ht="15.95" customHeight="1">
      <c r="A324" s="8"/>
      <c r="B324" s="7"/>
      <c r="C324" s="33"/>
      <c r="D324" s="7"/>
      <c r="E324" s="7"/>
      <c r="F324" s="7"/>
      <c r="G324" s="7"/>
      <c r="H324" s="7"/>
      <c r="I324" s="7"/>
      <c r="J324" s="7"/>
      <c r="K324" s="7"/>
      <c r="L324" s="7"/>
      <c r="M324" s="7"/>
      <c r="N324" s="7"/>
      <c r="O324" s="7"/>
      <c r="P324" s="7"/>
      <c r="Q324" s="7"/>
      <c r="R324" s="64"/>
      <c r="S324" s="64"/>
      <c r="T324" s="64"/>
      <c r="U324" s="64"/>
      <c r="V324" s="64"/>
      <c r="W324" s="64"/>
    </row>
    <row r="325" spans="1:23" ht="15.95" customHeight="1">
      <c r="A325" s="8"/>
      <c r="B325" s="7"/>
      <c r="C325" s="33"/>
      <c r="D325" s="7"/>
      <c r="E325" s="7"/>
      <c r="F325" s="7"/>
      <c r="G325" s="7"/>
      <c r="H325" s="7"/>
      <c r="I325" s="7"/>
      <c r="J325" s="7"/>
      <c r="K325" s="7"/>
      <c r="L325" s="7"/>
      <c r="M325" s="7"/>
      <c r="N325" s="7"/>
      <c r="O325" s="7"/>
      <c r="P325" s="7"/>
      <c r="Q325" s="7"/>
      <c r="R325" s="64"/>
      <c r="S325" s="64"/>
      <c r="T325" s="64"/>
      <c r="U325" s="64"/>
      <c r="V325" s="64"/>
      <c r="W325" s="64"/>
    </row>
    <row r="326" spans="1:23" ht="15.95" customHeight="1">
      <c r="A326" s="8"/>
      <c r="B326" s="7"/>
      <c r="C326" s="33"/>
      <c r="D326" s="7"/>
      <c r="E326" s="7"/>
      <c r="F326" s="7"/>
      <c r="G326" s="7"/>
      <c r="H326" s="7"/>
      <c r="I326" s="7"/>
      <c r="J326" s="7"/>
      <c r="K326" s="7"/>
      <c r="L326" s="7"/>
      <c r="M326" s="7"/>
      <c r="N326" s="7"/>
      <c r="O326" s="7"/>
      <c r="P326" s="7"/>
      <c r="Q326" s="7"/>
      <c r="R326" s="64"/>
      <c r="S326" s="64"/>
      <c r="T326" s="64"/>
      <c r="U326" s="64"/>
      <c r="V326" s="64"/>
      <c r="W326" s="64"/>
    </row>
    <row r="327" spans="1:23" ht="15.95" customHeight="1">
      <c r="A327" s="8"/>
      <c r="B327" s="7"/>
      <c r="C327" s="33"/>
      <c r="D327" s="7"/>
      <c r="E327" s="7"/>
      <c r="F327" s="7"/>
      <c r="G327" s="7"/>
      <c r="H327" s="7"/>
      <c r="I327" s="7"/>
      <c r="J327" s="7"/>
      <c r="K327" s="7"/>
      <c r="L327" s="7"/>
      <c r="M327" s="7"/>
      <c r="N327" s="7"/>
      <c r="O327" s="7"/>
      <c r="P327" s="7"/>
      <c r="Q327" s="7"/>
      <c r="R327" s="64"/>
      <c r="S327" s="64"/>
      <c r="T327" s="64"/>
      <c r="U327" s="64"/>
      <c r="V327" s="64"/>
      <c r="W327" s="64"/>
    </row>
    <row r="328" spans="1:23" ht="15.95" customHeight="1">
      <c r="A328" s="8"/>
      <c r="B328" s="7"/>
      <c r="C328" s="33"/>
      <c r="D328" s="7"/>
      <c r="E328" s="7"/>
      <c r="F328" s="7"/>
      <c r="G328" s="7"/>
      <c r="H328" s="7"/>
      <c r="I328" s="7"/>
      <c r="J328" s="7"/>
      <c r="K328" s="7"/>
      <c r="L328" s="7"/>
      <c r="M328" s="7"/>
      <c r="N328" s="7"/>
      <c r="O328" s="7"/>
      <c r="P328" s="7"/>
      <c r="Q328" s="7"/>
      <c r="R328" s="64"/>
      <c r="S328" s="64"/>
      <c r="T328" s="64"/>
      <c r="U328" s="64"/>
      <c r="V328" s="64"/>
      <c r="W328" s="64"/>
    </row>
    <row r="329" spans="1:23" ht="15.95" customHeight="1">
      <c r="A329" s="8"/>
      <c r="B329" s="7"/>
      <c r="C329" s="33"/>
      <c r="D329" s="7"/>
      <c r="E329" s="7"/>
      <c r="F329" s="7"/>
      <c r="G329" s="7"/>
      <c r="H329" s="7"/>
      <c r="I329" s="7"/>
      <c r="J329" s="7"/>
      <c r="K329" s="7"/>
      <c r="L329" s="7"/>
      <c r="M329" s="7"/>
      <c r="N329" s="7"/>
      <c r="O329" s="7"/>
      <c r="P329" s="7"/>
      <c r="Q329" s="7"/>
      <c r="R329" s="64"/>
      <c r="S329" s="64"/>
      <c r="T329" s="64"/>
      <c r="U329" s="64"/>
      <c r="V329" s="64"/>
      <c r="W329" s="64"/>
    </row>
    <row r="330" spans="1:23" ht="15.95" customHeight="1">
      <c r="A330" s="8"/>
      <c r="B330" s="7"/>
      <c r="C330" s="33"/>
      <c r="D330" s="7"/>
      <c r="E330" s="7"/>
      <c r="F330" s="7"/>
      <c r="G330" s="7"/>
      <c r="H330" s="7"/>
      <c r="I330" s="7"/>
      <c r="J330" s="7"/>
      <c r="K330" s="7"/>
      <c r="L330" s="7"/>
      <c r="M330" s="7"/>
      <c r="N330" s="7"/>
      <c r="O330" s="7"/>
      <c r="P330" s="7"/>
      <c r="Q330" s="7"/>
      <c r="R330" s="64"/>
      <c r="S330" s="64"/>
      <c r="T330" s="64"/>
      <c r="U330" s="64"/>
      <c r="V330" s="64"/>
      <c r="W330" s="64"/>
    </row>
    <row r="331" spans="1:23" ht="15.95" customHeight="1">
      <c r="A331" s="8"/>
      <c r="B331" s="7"/>
      <c r="C331" s="33"/>
      <c r="D331" s="7"/>
      <c r="E331" s="7"/>
      <c r="F331" s="7"/>
      <c r="G331" s="7"/>
      <c r="H331" s="7"/>
      <c r="I331" s="7"/>
      <c r="J331" s="7"/>
      <c r="K331" s="7"/>
      <c r="L331" s="7"/>
      <c r="M331" s="7"/>
      <c r="N331" s="7"/>
      <c r="O331" s="7"/>
      <c r="P331" s="7"/>
      <c r="Q331" s="7"/>
      <c r="R331" s="64"/>
      <c r="S331" s="64"/>
      <c r="T331" s="64"/>
      <c r="U331" s="64"/>
      <c r="V331" s="64"/>
      <c r="W331" s="64"/>
    </row>
    <row r="332" spans="1:23" ht="15.95" customHeight="1">
      <c r="A332" s="8"/>
      <c r="B332" s="7"/>
      <c r="C332" s="33"/>
      <c r="D332" s="7"/>
      <c r="E332" s="7"/>
      <c r="F332" s="7"/>
      <c r="G332" s="7"/>
      <c r="H332" s="7"/>
      <c r="I332" s="7"/>
      <c r="J332" s="7"/>
      <c r="K332" s="7"/>
      <c r="L332" s="7"/>
      <c r="M332" s="7"/>
      <c r="N332" s="7"/>
      <c r="O332" s="7"/>
      <c r="P332" s="7"/>
      <c r="Q332" s="7"/>
      <c r="R332" s="64"/>
      <c r="S332" s="64"/>
      <c r="T332" s="64"/>
      <c r="U332" s="64"/>
      <c r="V332" s="64"/>
      <c r="W332" s="64"/>
    </row>
    <row r="333" spans="1:23" ht="15.95" customHeight="1">
      <c r="A333" s="8"/>
      <c r="B333" s="7"/>
      <c r="C333" s="33"/>
      <c r="D333" s="7"/>
      <c r="E333" s="7"/>
      <c r="F333" s="7"/>
      <c r="G333" s="7"/>
      <c r="H333" s="7"/>
      <c r="I333" s="7"/>
      <c r="J333" s="7"/>
      <c r="K333" s="7"/>
      <c r="L333" s="7"/>
      <c r="M333" s="7"/>
      <c r="N333" s="7"/>
      <c r="O333" s="7"/>
      <c r="P333" s="7"/>
      <c r="Q333" s="7"/>
      <c r="R333" s="64"/>
      <c r="S333" s="64"/>
      <c r="T333" s="64"/>
      <c r="U333" s="64"/>
      <c r="V333" s="64"/>
      <c r="W333" s="64"/>
    </row>
    <row r="334" spans="1:23" ht="15.95" customHeight="1">
      <c r="A334" s="8"/>
      <c r="B334" s="7"/>
      <c r="C334" s="33"/>
      <c r="D334" s="7"/>
      <c r="E334" s="7"/>
      <c r="F334" s="7"/>
      <c r="G334" s="7"/>
      <c r="H334" s="7"/>
      <c r="I334" s="7"/>
      <c r="J334" s="7"/>
      <c r="K334" s="7"/>
      <c r="L334" s="7"/>
      <c r="M334" s="7"/>
      <c r="N334" s="7"/>
      <c r="O334" s="7"/>
      <c r="P334" s="7"/>
      <c r="Q334" s="7"/>
      <c r="R334" s="64"/>
      <c r="S334" s="64"/>
      <c r="T334" s="64"/>
      <c r="U334" s="64"/>
      <c r="V334" s="64"/>
      <c r="W334" s="64"/>
    </row>
    <row r="335" spans="1:23" ht="15.95" customHeight="1">
      <c r="A335" s="8"/>
      <c r="B335" s="7"/>
      <c r="C335" s="33"/>
      <c r="D335" s="7"/>
      <c r="E335" s="7"/>
      <c r="F335" s="7"/>
      <c r="G335" s="7"/>
      <c r="H335" s="7"/>
      <c r="I335" s="7"/>
      <c r="J335" s="7"/>
      <c r="K335" s="7"/>
      <c r="L335" s="7"/>
      <c r="M335" s="7"/>
      <c r="N335" s="7"/>
      <c r="O335" s="7"/>
      <c r="P335" s="7"/>
      <c r="Q335" s="7"/>
      <c r="R335" s="64"/>
      <c r="S335" s="64"/>
      <c r="T335" s="64"/>
      <c r="U335" s="64"/>
      <c r="V335" s="64"/>
      <c r="W335" s="64"/>
    </row>
    <row r="336" spans="1:23" ht="15.95" customHeight="1">
      <c r="A336" s="8"/>
      <c r="B336" s="7"/>
      <c r="C336" s="33"/>
      <c r="D336" s="7"/>
      <c r="E336" s="7"/>
      <c r="F336" s="7"/>
      <c r="G336" s="7"/>
      <c r="H336" s="7"/>
      <c r="I336" s="7"/>
      <c r="J336" s="7"/>
      <c r="K336" s="7"/>
      <c r="L336" s="7"/>
      <c r="M336" s="7"/>
      <c r="N336" s="7"/>
      <c r="O336" s="7"/>
      <c r="P336" s="7"/>
      <c r="Q336" s="7"/>
      <c r="R336" s="64"/>
      <c r="S336" s="64"/>
      <c r="T336" s="64"/>
      <c r="U336" s="64"/>
      <c r="V336" s="64"/>
      <c r="W336" s="64"/>
    </row>
    <row r="337" spans="1:23" ht="15.95" customHeight="1">
      <c r="A337" s="8"/>
      <c r="B337" s="7"/>
      <c r="C337" s="33"/>
      <c r="D337" s="7"/>
      <c r="E337" s="7"/>
      <c r="F337" s="7"/>
      <c r="G337" s="7"/>
      <c r="H337" s="7"/>
      <c r="I337" s="7"/>
      <c r="J337" s="7"/>
      <c r="K337" s="7"/>
      <c r="L337" s="7"/>
      <c r="M337" s="7"/>
      <c r="N337" s="7"/>
      <c r="O337" s="7"/>
      <c r="P337" s="7"/>
      <c r="Q337" s="7"/>
      <c r="R337" s="64"/>
      <c r="S337" s="64"/>
      <c r="T337" s="64"/>
      <c r="U337" s="64"/>
      <c r="V337" s="64"/>
      <c r="W337" s="64"/>
    </row>
    <row r="338" spans="1:23" ht="15.95" customHeight="1">
      <c r="A338" s="8"/>
      <c r="B338" s="7"/>
      <c r="C338" s="33"/>
      <c r="D338" s="7"/>
      <c r="E338" s="7"/>
      <c r="F338" s="7"/>
      <c r="G338" s="7"/>
      <c r="H338" s="7"/>
      <c r="I338" s="7"/>
      <c r="J338" s="7"/>
      <c r="K338" s="7"/>
      <c r="L338" s="7"/>
      <c r="M338" s="7"/>
      <c r="N338" s="7"/>
      <c r="O338" s="7"/>
      <c r="P338" s="7"/>
      <c r="Q338" s="7"/>
      <c r="R338" s="64"/>
      <c r="S338" s="64"/>
      <c r="T338" s="64"/>
      <c r="U338" s="64"/>
      <c r="V338" s="64"/>
      <c r="W338" s="64"/>
    </row>
    <row r="339" spans="1:23" ht="15.95" customHeight="1">
      <c r="A339" s="8"/>
      <c r="B339" s="7"/>
      <c r="C339" s="33"/>
      <c r="D339" s="7"/>
      <c r="E339" s="7"/>
      <c r="F339" s="7"/>
      <c r="G339" s="7"/>
      <c r="H339" s="7"/>
      <c r="I339" s="7"/>
      <c r="J339" s="7"/>
      <c r="K339" s="7"/>
      <c r="L339" s="7"/>
      <c r="M339" s="7"/>
      <c r="N339" s="7"/>
      <c r="O339" s="7"/>
      <c r="P339" s="7"/>
      <c r="Q339" s="7"/>
      <c r="R339" s="64"/>
      <c r="S339" s="64"/>
      <c r="T339" s="64"/>
      <c r="U339" s="64"/>
      <c r="V339" s="64"/>
      <c r="W339" s="64"/>
    </row>
    <row r="340" spans="1:23" ht="15.95" customHeight="1">
      <c r="A340" s="8"/>
      <c r="B340" s="7"/>
      <c r="C340" s="33"/>
      <c r="D340" s="7"/>
      <c r="E340" s="7"/>
      <c r="F340" s="7"/>
      <c r="G340" s="7"/>
      <c r="H340" s="7"/>
      <c r="I340" s="7"/>
      <c r="J340" s="7"/>
      <c r="K340" s="7"/>
      <c r="L340" s="7"/>
      <c r="M340" s="7"/>
      <c r="N340" s="7"/>
      <c r="O340" s="7"/>
      <c r="P340" s="7"/>
      <c r="Q340" s="7"/>
      <c r="R340" s="64"/>
      <c r="S340" s="64"/>
      <c r="T340" s="64"/>
      <c r="U340" s="64"/>
      <c r="V340" s="64"/>
      <c r="W340" s="64"/>
    </row>
    <row r="341" spans="1:23" ht="15.95" customHeight="1">
      <c r="A341" s="8"/>
      <c r="B341" s="7"/>
      <c r="C341" s="33"/>
      <c r="D341" s="7"/>
      <c r="E341" s="7"/>
      <c r="F341" s="7"/>
      <c r="G341" s="7"/>
      <c r="H341" s="7"/>
      <c r="I341" s="7"/>
      <c r="J341" s="7"/>
      <c r="K341" s="7"/>
      <c r="L341" s="7"/>
      <c r="M341" s="7"/>
      <c r="N341" s="7"/>
      <c r="O341" s="7"/>
      <c r="P341" s="7"/>
      <c r="Q341" s="7"/>
      <c r="R341" s="64"/>
      <c r="S341" s="64"/>
      <c r="T341" s="64"/>
      <c r="U341" s="64"/>
      <c r="V341" s="64"/>
      <c r="W341" s="64"/>
    </row>
    <row r="342" spans="1:23" ht="15.95" customHeight="1">
      <c r="A342" s="8"/>
      <c r="B342" s="7"/>
      <c r="C342" s="33"/>
      <c r="D342" s="7"/>
      <c r="E342" s="7"/>
      <c r="F342" s="7"/>
      <c r="G342" s="7"/>
      <c r="H342" s="7"/>
      <c r="I342" s="7"/>
      <c r="J342" s="7"/>
      <c r="K342" s="7"/>
      <c r="L342" s="7"/>
      <c r="M342" s="7"/>
      <c r="N342" s="7"/>
      <c r="O342" s="7"/>
      <c r="P342" s="7"/>
      <c r="Q342" s="7"/>
      <c r="R342" s="64"/>
      <c r="S342" s="64"/>
      <c r="T342" s="64"/>
      <c r="U342" s="64"/>
      <c r="V342" s="64"/>
      <c r="W342" s="64"/>
    </row>
    <row r="343" spans="1:23" ht="15.95" customHeight="1">
      <c r="A343" s="8"/>
      <c r="B343" s="7"/>
      <c r="C343" s="33"/>
      <c r="D343" s="7"/>
      <c r="E343" s="7"/>
      <c r="F343" s="7"/>
      <c r="G343" s="7"/>
      <c r="H343" s="7"/>
      <c r="I343" s="7"/>
      <c r="J343" s="7"/>
      <c r="K343" s="7"/>
      <c r="L343" s="7"/>
      <c r="M343" s="7"/>
      <c r="N343" s="7"/>
      <c r="O343" s="7"/>
      <c r="P343" s="7"/>
      <c r="Q343" s="7"/>
      <c r="R343" s="64"/>
      <c r="S343" s="64"/>
      <c r="T343" s="64"/>
      <c r="U343" s="64"/>
      <c r="V343" s="64"/>
      <c r="W343" s="64"/>
    </row>
    <row r="344" spans="1:23" ht="15.95" customHeight="1">
      <c r="A344" s="8"/>
      <c r="B344" s="7"/>
      <c r="C344" s="33"/>
      <c r="D344" s="7"/>
      <c r="E344" s="7"/>
      <c r="F344" s="7"/>
      <c r="G344" s="7"/>
      <c r="H344" s="7"/>
      <c r="I344" s="7"/>
      <c r="J344" s="7"/>
      <c r="K344" s="7"/>
      <c r="L344" s="7"/>
      <c r="M344" s="7"/>
      <c r="N344" s="7"/>
      <c r="O344" s="7"/>
      <c r="P344" s="7"/>
      <c r="Q344" s="7"/>
      <c r="R344" s="64"/>
      <c r="S344" s="64"/>
      <c r="T344" s="64"/>
      <c r="U344" s="64"/>
      <c r="V344" s="64"/>
      <c r="W344" s="64"/>
    </row>
    <row r="345" spans="1:23" ht="15.95" customHeight="1">
      <c r="A345" s="8"/>
      <c r="B345" s="7"/>
      <c r="C345" s="33"/>
      <c r="D345" s="7"/>
      <c r="E345" s="7"/>
      <c r="F345" s="7"/>
      <c r="G345" s="7"/>
      <c r="H345" s="7"/>
      <c r="I345" s="7"/>
      <c r="J345" s="7"/>
      <c r="K345" s="7"/>
      <c r="L345" s="7"/>
      <c r="M345" s="7"/>
      <c r="N345" s="7"/>
      <c r="O345" s="7"/>
      <c r="P345" s="7"/>
      <c r="Q345" s="7"/>
      <c r="R345" s="64"/>
      <c r="S345" s="64"/>
      <c r="T345" s="64"/>
      <c r="U345" s="64"/>
      <c r="V345" s="64"/>
      <c r="W345" s="64"/>
    </row>
    <row r="346" spans="1:23" ht="15.95" customHeight="1">
      <c r="A346" s="8"/>
      <c r="B346" s="7"/>
      <c r="C346" s="33"/>
      <c r="D346" s="7"/>
      <c r="E346" s="7"/>
      <c r="F346" s="7"/>
      <c r="G346" s="7"/>
      <c r="H346" s="7"/>
      <c r="I346" s="7"/>
      <c r="J346" s="7"/>
      <c r="K346" s="7"/>
      <c r="L346" s="7"/>
      <c r="M346" s="7"/>
      <c r="N346" s="7"/>
      <c r="O346" s="7"/>
      <c r="P346" s="7"/>
      <c r="Q346" s="7"/>
      <c r="R346" s="64"/>
      <c r="S346" s="64"/>
      <c r="T346" s="64"/>
      <c r="U346" s="64"/>
      <c r="V346" s="64"/>
      <c r="W346" s="64"/>
    </row>
    <row r="347" spans="1:23" ht="15.95" customHeight="1">
      <c r="A347" s="8"/>
      <c r="B347" s="7"/>
      <c r="C347" s="33"/>
      <c r="D347" s="7"/>
      <c r="E347" s="7"/>
      <c r="F347" s="7"/>
      <c r="G347" s="7"/>
      <c r="H347" s="7"/>
      <c r="I347" s="7"/>
      <c r="J347" s="7"/>
      <c r="K347" s="7"/>
      <c r="L347" s="7"/>
      <c r="M347" s="7"/>
      <c r="N347" s="7"/>
      <c r="O347" s="7"/>
      <c r="P347" s="7"/>
      <c r="Q347" s="7"/>
      <c r="R347" s="64"/>
      <c r="S347" s="64"/>
      <c r="T347" s="64"/>
      <c r="U347" s="64"/>
      <c r="V347" s="64"/>
      <c r="W347" s="64"/>
    </row>
    <row r="348" spans="1:23" ht="15.95" customHeight="1">
      <c r="A348" s="8"/>
      <c r="B348" s="7"/>
      <c r="C348" s="33"/>
      <c r="D348" s="7"/>
      <c r="E348" s="7"/>
      <c r="F348" s="7"/>
      <c r="G348" s="7"/>
      <c r="H348" s="7"/>
      <c r="I348" s="7"/>
      <c r="J348" s="7"/>
      <c r="K348" s="7"/>
      <c r="L348" s="7"/>
      <c r="M348" s="7"/>
      <c r="N348" s="7"/>
      <c r="O348" s="7"/>
      <c r="P348" s="7"/>
      <c r="Q348" s="7"/>
      <c r="R348" s="64"/>
      <c r="S348" s="64"/>
      <c r="T348" s="64"/>
      <c r="U348" s="64"/>
      <c r="V348" s="64"/>
      <c r="W348" s="64"/>
    </row>
    <row r="349" spans="1:23" ht="15.95" customHeight="1">
      <c r="A349" s="8"/>
      <c r="B349" s="7"/>
      <c r="C349" s="33"/>
      <c r="D349" s="7"/>
      <c r="E349" s="7"/>
      <c r="F349" s="7"/>
      <c r="G349" s="7"/>
      <c r="H349" s="7"/>
      <c r="I349" s="7"/>
      <c r="J349" s="7"/>
      <c r="K349" s="7"/>
      <c r="L349" s="7"/>
      <c r="M349" s="7"/>
      <c r="N349" s="7"/>
      <c r="O349" s="7"/>
      <c r="P349" s="7"/>
      <c r="Q349" s="7"/>
      <c r="R349" s="64"/>
      <c r="S349" s="64"/>
      <c r="T349" s="64"/>
      <c r="U349" s="64"/>
      <c r="V349" s="64"/>
      <c r="W349" s="64"/>
    </row>
    <row r="350" spans="1:23" ht="15.95" customHeight="1">
      <c r="A350" s="8"/>
      <c r="B350" s="7"/>
      <c r="C350" s="33"/>
      <c r="D350" s="7"/>
      <c r="E350" s="7"/>
      <c r="F350" s="7"/>
      <c r="G350" s="7"/>
      <c r="H350" s="7"/>
      <c r="I350" s="7"/>
      <c r="J350" s="7"/>
      <c r="K350" s="7"/>
      <c r="L350" s="7"/>
      <c r="M350" s="7"/>
      <c r="N350" s="7"/>
      <c r="O350" s="7"/>
      <c r="P350" s="7"/>
      <c r="Q350" s="7"/>
      <c r="R350" s="64"/>
      <c r="S350" s="64"/>
      <c r="T350" s="64"/>
      <c r="U350" s="64"/>
      <c r="V350" s="64"/>
      <c r="W350" s="64"/>
    </row>
    <row r="351" spans="1:23" ht="15.95" customHeight="1">
      <c r="A351" s="8"/>
      <c r="B351" s="7"/>
      <c r="C351" s="33"/>
      <c r="D351" s="7"/>
      <c r="E351" s="7"/>
      <c r="F351" s="7"/>
      <c r="G351" s="7"/>
      <c r="H351" s="7"/>
      <c r="I351" s="7"/>
      <c r="J351" s="7"/>
      <c r="K351" s="7"/>
      <c r="L351" s="7"/>
      <c r="M351" s="7"/>
      <c r="N351" s="7"/>
      <c r="O351" s="7"/>
      <c r="P351" s="7"/>
      <c r="Q351" s="7"/>
      <c r="R351" s="64"/>
      <c r="S351" s="64"/>
      <c r="T351" s="64"/>
      <c r="U351" s="64"/>
      <c r="V351" s="64"/>
      <c r="W351" s="64"/>
    </row>
    <row r="352" spans="1:23" ht="15.95" customHeight="1">
      <c r="A352" s="8"/>
      <c r="B352" s="7"/>
      <c r="C352" s="33"/>
      <c r="D352" s="7"/>
      <c r="E352" s="7"/>
      <c r="F352" s="7"/>
      <c r="G352" s="7"/>
      <c r="H352" s="7"/>
      <c r="I352" s="7"/>
      <c r="J352" s="7"/>
      <c r="K352" s="7"/>
      <c r="L352" s="7"/>
      <c r="M352" s="7"/>
      <c r="N352" s="7"/>
      <c r="O352" s="7"/>
      <c r="P352" s="7"/>
      <c r="Q352" s="7"/>
      <c r="R352" s="64"/>
      <c r="S352" s="64"/>
      <c r="T352" s="64"/>
      <c r="U352" s="64"/>
      <c r="V352" s="64"/>
      <c r="W352" s="64"/>
    </row>
    <row r="353" spans="1:23" ht="15.95" customHeight="1">
      <c r="A353" s="8"/>
      <c r="B353" s="7"/>
      <c r="C353" s="33"/>
      <c r="D353" s="7"/>
      <c r="E353" s="7"/>
      <c r="F353" s="7"/>
      <c r="G353" s="7"/>
      <c r="H353" s="7"/>
      <c r="I353" s="7"/>
      <c r="J353" s="7"/>
      <c r="K353" s="7"/>
      <c r="L353" s="7"/>
      <c r="M353" s="7"/>
      <c r="N353" s="7"/>
      <c r="O353" s="7"/>
      <c r="P353" s="7"/>
      <c r="Q353" s="7"/>
      <c r="R353" s="64"/>
      <c r="S353" s="64"/>
      <c r="T353" s="64"/>
      <c r="U353" s="64"/>
      <c r="V353" s="64"/>
      <c r="W353" s="64"/>
    </row>
    <row r="354" spans="1:23" ht="15.95" customHeight="1">
      <c r="A354" s="8"/>
      <c r="B354" s="7"/>
      <c r="C354" s="33"/>
      <c r="D354" s="7"/>
      <c r="E354" s="7"/>
      <c r="F354" s="7"/>
      <c r="G354" s="7"/>
      <c r="H354" s="7"/>
      <c r="I354" s="7"/>
      <c r="J354" s="7"/>
      <c r="K354" s="7"/>
      <c r="L354" s="7"/>
      <c r="M354" s="7"/>
      <c r="N354" s="7"/>
      <c r="O354" s="7"/>
      <c r="P354" s="7"/>
      <c r="Q354" s="7"/>
      <c r="R354" s="64"/>
      <c r="S354" s="64"/>
      <c r="T354" s="64"/>
      <c r="U354" s="64"/>
      <c r="V354" s="64"/>
      <c r="W354" s="64"/>
    </row>
    <row r="355" spans="1:23" ht="15.95" customHeight="1">
      <c r="A355" s="8"/>
      <c r="B355" s="7"/>
      <c r="C355" s="33"/>
      <c r="D355" s="7"/>
      <c r="E355" s="7"/>
      <c r="F355" s="7"/>
      <c r="G355" s="7"/>
      <c r="H355" s="7"/>
      <c r="I355" s="7"/>
      <c r="J355" s="7"/>
      <c r="K355" s="7"/>
      <c r="L355" s="7"/>
      <c r="M355" s="7"/>
      <c r="N355" s="7"/>
      <c r="O355" s="7"/>
      <c r="P355" s="7"/>
      <c r="Q355" s="7"/>
      <c r="R355" s="64"/>
      <c r="S355" s="64"/>
      <c r="T355" s="64"/>
      <c r="U355" s="64"/>
      <c r="V355" s="64"/>
      <c r="W355" s="64"/>
    </row>
    <row r="356" spans="1:23" ht="15.95" customHeight="1">
      <c r="A356" s="8"/>
      <c r="B356" s="7"/>
      <c r="C356" s="33"/>
      <c r="D356" s="7"/>
      <c r="E356" s="7"/>
      <c r="F356" s="7"/>
      <c r="G356" s="7"/>
      <c r="H356" s="7"/>
      <c r="I356" s="7"/>
      <c r="J356" s="7"/>
      <c r="K356" s="7"/>
      <c r="L356" s="7"/>
      <c r="M356" s="7"/>
      <c r="N356" s="7"/>
      <c r="O356" s="7"/>
      <c r="P356" s="7"/>
      <c r="Q356" s="7"/>
      <c r="R356" s="64"/>
      <c r="S356" s="64"/>
      <c r="T356" s="64"/>
      <c r="U356" s="64"/>
      <c r="V356" s="64"/>
      <c r="W356" s="64"/>
    </row>
    <row r="357" spans="1:23" ht="15.95" customHeight="1">
      <c r="A357" s="8"/>
      <c r="B357" s="7"/>
      <c r="C357" s="33"/>
      <c r="D357" s="7"/>
      <c r="E357" s="7"/>
      <c r="F357" s="7"/>
      <c r="G357" s="7"/>
      <c r="H357" s="7"/>
      <c r="I357" s="7"/>
      <c r="J357" s="7"/>
      <c r="K357" s="7"/>
      <c r="L357" s="7"/>
      <c r="M357" s="7"/>
      <c r="N357" s="7"/>
      <c r="O357" s="7"/>
      <c r="P357" s="7"/>
      <c r="Q357" s="7"/>
      <c r="R357" s="64"/>
      <c r="S357" s="64"/>
      <c r="T357" s="64"/>
      <c r="U357" s="64"/>
      <c r="V357" s="64"/>
      <c r="W357" s="64"/>
    </row>
    <row r="358" spans="1:23" ht="15.95" customHeight="1">
      <c r="A358" s="8"/>
      <c r="B358" s="7"/>
      <c r="C358" s="33"/>
      <c r="D358" s="7"/>
      <c r="E358" s="7"/>
      <c r="F358" s="7"/>
      <c r="G358" s="7"/>
      <c r="H358" s="7"/>
      <c r="I358" s="7"/>
      <c r="J358" s="7"/>
      <c r="K358" s="7"/>
      <c r="L358" s="7"/>
      <c r="M358" s="7"/>
      <c r="N358" s="7"/>
      <c r="O358" s="7"/>
      <c r="P358" s="7"/>
      <c r="Q358" s="7"/>
      <c r="R358" s="64"/>
      <c r="S358" s="64"/>
      <c r="T358" s="64"/>
      <c r="U358" s="64"/>
      <c r="V358" s="64"/>
      <c r="W358" s="64"/>
    </row>
    <row r="359" spans="1:23" ht="15.95" customHeight="1">
      <c r="A359" s="8"/>
      <c r="B359" s="7"/>
      <c r="C359" s="33"/>
      <c r="D359" s="7"/>
      <c r="E359" s="7"/>
      <c r="F359" s="7"/>
      <c r="G359" s="7"/>
      <c r="H359" s="7"/>
      <c r="I359" s="7"/>
      <c r="J359" s="7"/>
      <c r="K359" s="7"/>
      <c r="L359" s="7"/>
      <c r="M359" s="7"/>
      <c r="N359" s="7"/>
      <c r="O359" s="7"/>
      <c r="P359" s="7"/>
      <c r="Q359" s="7"/>
      <c r="R359" s="64"/>
      <c r="S359" s="64"/>
      <c r="T359" s="64"/>
      <c r="U359" s="64"/>
      <c r="V359" s="64"/>
      <c r="W359" s="64"/>
    </row>
    <row r="360" spans="1:23" ht="15.95" customHeight="1">
      <c r="A360" s="8"/>
      <c r="B360" s="7"/>
      <c r="C360" s="33"/>
      <c r="D360" s="7"/>
      <c r="E360" s="7"/>
      <c r="F360" s="7"/>
      <c r="G360" s="7"/>
      <c r="H360" s="7"/>
      <c r="I360" s="7"/>
      <c r="J360" s="7"/>
      <c r="K360" s="7"/>
      <c r="L360" s="7"/>
      <c r="M360" s="7"/>
      <c r="N360" s="7"/>
      <c r="O360" s="7"/>
      <c r="P360" s="7"/>
      <c r="Q360" s="7"/>
      <c r="R360" s="64"/>
      <c r="S360" s="64"/>
      <c r="T360" s="64"/>
      <c r="U360" s="64"/>
      <c r="V360" s="64"/>
      <c r="W360" s="64"/>
    </row>
    <row r="361" spans="1:23" ht="15.95" customHeight="1">
      <c r="A361" s="8"/>
      <c r="B361" s="7"/>
      <c r="C361" s="33"/>
      <c r="D361" s="7"/>
      <c r="E361" s="7"/>
      <c r="F361" s="7"/>
      <c r="G361" s="7"/>
      <c r="H361" s="7"/>
      <c r="I361" s="7"/>
      <c r="J361" s="7"/>
      <c r="K361" s="7"/>
      <c r="L361" s="7"/>
      <c r="M361" s="7"/>
      <c r="N361" s="7"/>
      <c r="O361" s="7"/>
      <c r="P361" s="7"/>
      <c r="Q361" s="7"/>
      <c r="R361" s="64"/>
      <c r="S361" s="64"/>
      <c r="T361" s="64"/>
      <c r="U361" s="64"/>
      <c r="V361" s="64"/>
      <c r="W361" s="64"/>
    </row>
    <row r="362" spans="1:23" ht="15.95" customHeight="1">
      <c r="A362" s="8"/>
      <c r="B362" s="7"/>
      <c r="C362" s="33"/>
      <c r="D362" s="7"/>
      <c r="E362" s="7"/>
      <c r="F362" s="7"/>
      <c r="G362" s="7"/>
      <c r="H362" s="7"/>
      <c r="I362" s="7"/>
      <c r="J362" s="7"/>
      <c r="K362" s="7"/>
      <c r="L362" s="7"/>
      <c r="M362" s="7"/>
      <c r="N362" s="7"/>
      <c r="O362" s="7"/>
      <c r="P362" s="7"/>
      <c r="Q362" s="7"/>
      <c r="R362" s="64"/>
      <c r="S362" s="64"/>
      <c r="T362" s="64"/>
      <c r="U362" s="64"/>
      <c r="V362" s="64"/>
      <c r="W362" s="64"/>
    </row>
    <row r="363" spans="1:23" ht="15.95" customHeight="1">
      <c r="A363" s="8"/>
      <c r="B363" s="7"/>
      <c r="C363" s="33"/>
      <c r="D363" s="7"/>
      <c r="E363" s="7"/>
      <c r="F363" s="7"/>
      <c r="G363" s="7"/>
      <c r="H363" s="7"/>
      <c r="I363" s="7"/>
      <c r="J363" s="7"/>
      <c r="K363" s="7"/>
      <c r="L363" s="7"/>
      <c r="M363" s="7"/>
      <c r="N363" s="7"/>
      <c r="O363" s="7"/>
      <c r="P363" s="7"/>
      <c r="Q363" s="7"/>
      <c r="R363" s="64"/>
      <c r="S363" s="64"/>
      <c r="T363" s="64"/>
      <c r="U363" s="64"/>
      <c r="V363" s="64"/>
      <c r="W363" s="64"/>
    </row>
    <row r="364" spans="1:23" ht="15.95" customHeight="1">
      <c r="A364" s="8"/>
      <c r="B364" s="7"/>
      <c r="C364" s="33"/>
      <c r="D364" s="7"/>
      <c r="E364" s="7"/>
      <c r="F364" s="7"/>
      <c r="G364" s="7"/>
      <c r="H364" s="7"/>
      <c r="I364" s="7"/>
      <c r="J364" s="7"/>
      <c r="K364" s="7"/>
      <c r="L364" s="7"/>
      <c r="M364" s="7"/>
      <c r="N364" s="7"/>
      <c r="O364" s="7"/>
      <c r="P364" s="7"/>
      <c r="Q364" s="7"/>
      <c r="R364" s="64"/>
      <c r="S364" s="64"/>
      <c r="T364" s="64"/>
      <c r="U364" s="64"/>
      <c r="V364" s="64"/>
      <c r="W364" s="64"/>
    </row>
    <row r="365" spans="1:23" ht="15.95" customHeight="1">
      <c r="A365" s="8"/>
      <c r="B365" s="7"/>
      <c r="C365" s="33"/>
      <c r="D365" s="7"/>
      <c r="E365" s="7"/>
      <c r="F365" s="7"/>
      <c r="G365" s="7"/>
      <c r="H365" s="7"/>
      <c r="I365" s="7"/>
      <c r="J365" s="7"/>
      <c r="K365" s="7"/>
      <c r="L365" s="7"/>
      <c r="M365" s="7"/>
      <c r="N365" s="7"/>
      <c r="O365" s="7"/>
      <c r="P365" s="7"/>
      <c r="Q365" s="7"/>
      <c r="R365" s="64"/>
      <c r="S365" s="64"/>
      <c r="T365" s="64"/>
      <c r="U365" s="64"/>
      <c r="V365" s="64"/>
      <c r="W365" s="64"/>
    </row>
    <row r="366" spans="1:23" ht="15.95" customHeight="1">
      <c r="A366" s="8"/>
      <c r="B366" s="7"/>
      <c r="C366" s="33"/>
      <c r="D366" s="7"/>
      <c r="E366" s="7"/>
      <c r="F366" s="7"/>
      <c r="G366" s="7"/>
      <c r="H366" s="7"/>
      <c r="I366" s="7"/>
      <c r="J366" s="7"/>
      <c r="K366" s="7"/>
      <c r="L366" s="7"/>
      <c r="M366" s="7"/>
      <c r="N366" s="7"/>
      <c r="O366" s="7"/>
      <c r="P366" s="7"/>
      <c r="Q366" s="7"/>
      <c r="R366" s="64"/>
      <c r="S366" s="64"/>
      <c r="T366" s="64"/>
      <c r="U366" s="64"/>
      <c r="V366" s="64"/>
      <c r="W366" s="64"/>
    </row>
    <row r="367" spans="1:23" ht="15.95" customHeight="1">
      <c r="A367" s="8"/>
      <c r="B367" s="7"/>
      <c r="C367" s="33"/>
      <c r="D367" s="7"/>
      <c r="E367" s="7"/>
      <c r="F367" s="7"/>
      <c r="G367" s="7"/>
      <c r="H367" s="7"/>
      <c r="I367" s="7"/>
      <c r="J367" s="7"/>
      <c r="K367" s="7"/>
      <c r="L367" s="7"/>
      <c r="M367" s="7"/>
      <c r="N367" s="7"/>
      <c r="O367" s="7"/>
      <c r="P367" s="7"/>
      <c r="Q367" s="7"/>
      <c r="R367" s="64"/>
      <c r="S367" s="64"/>
      <c r="T367" s="64"/>
      <c r="U367" s="64"/>
      <c r="V367" s="64"/>
      <c r="W367" s="64"/>
    </row>
    <row r="368" spans="1:23" ht="15.95" customHeight="1">
      <c r="A368" s="8"/>
      <c r="B368" s="7"/>
      <c r="C368" s="33"/>
      <c r="D368" s="7"/>
      <c r="E368" s="7"/>
      <c r="F368" s="7"/>
      <c r="G368" s="7"/>
      <c r="H368" s="7"/>
      <c r="I368" s="7"/>
      <c r="J368" s="7"/>
      <c r="K368" s="7"/>
      <c r="L368" s="7"/>
      <c r="M368" s="7"/>
      <c r="N368" s="7"/>
      <c r="O368" s="7"/>
      <c r="P368" s="7"/>
      <c r="Q368" s="7"/>
      <c r="R368" s="64"/>
      <c r="S368" s="64"/>
      <c r="T368" s="64"/>
      <c r="U368" s="64"/>
      <c r="V368" s="64"/>
      <c r="W368" s="64"/>
    </row>
    <row r="369" spans="1:23" ht="15.95" customHeight="1">
      <c r="A369" s="8"/>
      <c r="B369" s="7"/>
      <c r="C369" s="33"/>
      <c r="D369" s="7"/>
      <c r="E369" s="7"/>
      <c r="F369" s="7"/>
      <c r="G369" s="7"/>
      <c r="H369" s="7"/>
      <c r="I369" s="7"/>
      <c r="J369" s="7"/>
      <c r="K369" s="7"/>
      <c r="L369" s="7"/>
      <c r="M369" s="7"/>
      <c r="N369" s="7"/>
      <c r="O369" s="7"/>
      <c r="P369" s="7"/>
      <c r="Q369" s="7"/>
      <c r="R369" s="64"/>
      <c r="S369" s="64"/>
      <c r="T369" s="64"/>
      <c r="U369" s="64"/>
      <c r="V369" s="64"/>
      <c r="W369" s="64"/>
    </row>
    <row r="370" spans="1:23" ht="15.95" customHeight="1">
      <c r="A370" s="8"/>
      <c r="B370" s="7"/>
      <c r="C370" s="33"/>
      <c r="D370" s="7"/>
      <c r="E370" s="7"/>
      <c r="F370" s="7"/>
      <c r="G370" s="7"/>
      <c r="H370" s="7"/>
      <c r="I370" s="7"/>
      <c r="J370" s="7"/>
      <c r="K370" s="7"/>
      <c r="L370" s="7"/>
      <c r="M370" s="7"/>
      <c r="N370" s="7"/>
      <c r="O370" s="7"/>
      <c r="P370" s="7"/>
      <c r="Q370" s="7"/>
      <c r="R370" s="64"/>
      <c r="S370" s="64"/>
      <c r="T370" s="64"/>
      <c r="U370" s="64"/>
      <c r="V370" s="64"/>
      <c r="W370" s="64"/>
    </row>
    <row r="371" spans="1:23" ht="15.95" customHeight="1">
      <c r="A371" s="8"/>
      <c r="B371" s="7"/>
      <c r="C371" s="33"/>
      <c r="D371" s="7"/>
      <c r="E371" s="7"/>
      <c r="F371" s="7"/>
      <c r="G371" s="7"/>
      <c r="H371" s="7"/>
      <c r="I371" s="7"/>
      <c r="J371" s="7"/>
      <c r="K371" s="7"/>
      <c r="L371" s="7"/>
      <c r="M371" s="7"/>
      <c r="N371" s="7"/>
      <c r="O371" s="7"/>
      <c r="P371" s="7"/>
      <c r="Q371" s="7"/>
      <c r="R371" s="64"/>
      <c r="S371" s="64"/>
      <c r="T371" s="64"/>
      <c r="U371" s="64"/>
      <c r="V371" s="64"/>
      <c r="W371" s="64"/>
    </row>
    <row r="372" spans="1:23" ht="15.95" customHeight="1">
      <c r="A372" s="8"/>
      <c r="B372" s="7"/>
      <c r="C372" s="33"/>
      <c r="D372" s="7"/>
      <c r="E372" s="7"/>
      <c r="F372" s="7"/>
      <c r="G372" s="7"/>
      <c r="H372" s="7"/>
      <c r="I372" s="7"/>
      <c r="J372" s="7"/>
      <c r="K372" s="7"/>
      <c r="L372" s="7"/>
      <c r="M372" s="7"/>
      <c r="N372" s="7"/>
      <c r="O372" s="7"/>
      <c r="P372" s="7"/>
      <c r="Q372" s="7"/>
      <c r="R372" s="64"/>
      <c r="S372" s="64"/>
      <c r="T372" s="64"/>
      <c r="U372" s="64"/>
      <c r="V372" s="64"/>
      <c r="W372" s="64"/>
    </row>
    <row r="373" spans="1:23" ht="15.95" customHeight="1">
      <c r="A373" s="8"/>
      <c r="B373" s="7"/>
      <c r="C373" s="33"/>
      <c r="D373" s="7"/>
      <c r="E373" s="7"/>
      <c r="F373" s="7"/>
      <c r="G373" s="7"/>
      <c r="H373" s="7"/>
      <c r="I373" s="7"/>
      <c r="J373" s="7"/>
      <c r="K373" s="7"/>
      <c r="L373" s="7"/>
      <c r="M373" s="7"/>
      <c r="N373" s="7"/>
      <c r="O373" s="7"/>
      <c r="P373" s="7"/>
      <c r="Q373" s="7"/>
      <c r="R373" s="64"/>
      <c r="S373" s="64"/>
      <c r="T373" s="64"/>
      <c r="U373" s="64"/>
      <c r="V373" s="64"/>
      <c r="W373" s="64"/>
    </row>
    <row r="374" spans="1:23" ht="15.95" customHeight="1">
      <c r="A374" s="8"/>
      <c r="B374" s="7"/>
      <c r="C374" s="33"/>
      <c r="D374" s="7"/>
      <c r="E374" s="7"/>
      <c r="F374" s="7"/>
      <c r="G374" s="7"/>
      <c r="H374" s="7"/>
      <c r="I374" s="7"/>
      <c r="J374" s="7"/>
      <c r="K374" s="7"/>
      <c r="L374" s="7"/>
      <c r="M374" s="7"/>
      <c r="N374" s="7"/>
      <c r="O374" s="7"/>
      <c r="P374" s="7"/>
      <c r="Q374" s="7"/>
      <c r="R374" s="64"/>
      <c r="S374" s="64"/>
      <c r="T374" s="64"/>
      <c r="U374" s="64"/>
      <c r="V374" s="64"/>
      <c r="W374" s="64"/>
    </row>
    <row r="375" spans="1:23" ht="15.95" customHeight="1">
      <c r="A375" s="8"/>
      <c r="B375" s="7"/>
      <c r="C375" s="33"/>
      <c r="D375" s="7"/>
      <c r="E375" s="7"/>
      <c r="F375" s="7"/>
      <c r="G375" s="7"/>
      <c r="H375" s="7"/>
      <c r="I375" s="7"/>
      <c r="J375" s="7"/>
      <c r="K375" s="7"/>
      <c r="L375" s="7"/>
      <c r="M375" s="7"/>
      <c r="N375" s="7"/>
      <c r="O375" s="7"/>
      <c r="P375" s="7"/>
      <c r="Q375" s="7"/>
      <c r="R375" s="64"/>
      <c r="S375" s="64"/>
      <c r="T375" s="64"/>
      <c r="U375" s="64"/>
      <c r="V375" s="64"/>
      <c r="W375" s="64"/>
    </row>
    <row r="376" spans="1:23" ht="15.95" customHeight="1">
      <c r="A376" s="8"/>
      <c r="B376" s="7"/>
      <c r="C376" s="33"/>
      <c r="D376" s="7"/>
      <c r="E376" s="7"/>
      <c r="F376" s="7"/>
      <c r="G376" s="7"/>
      <c r="H376" s="7"/>
      <c r="I376" s="7"/>
      <c r="J376" s="7"/>
      <c r="K376" s="7"/>
      <c r="L376" s="7"/>
      <c r="M376" s="7"/>
      <c r="N376" s="7"/>
      <c r="O376" s="7"/>
      <c r="P376" s="7"/>
      <c r="Q376" s="7"/>
      <c r="R376" s="64"/>
      <c r="S376" s="64"/>
      <c r="T376" s="64"/>
      <c r="U376" s="64"/>
      <c r="V376" s="64"/>
      <c r="W376" s="64"/>
    </row>
    <row r="377" spans="1:23" ht="15.95" customHeight="1">
      <c r="A377" s="8"/>
      <c r="B377" s="7"/>
      <c r="C377" s="33"/>
      <c r="D377" s="7"/>
      <c r="E377" s="7"/>
      <c r="F377" s="7"/>
      <c r="G377" s="7"/>
      <c r="H377" s="7"/>
      <c r="I377" s="7"/>
      <c r="J377" s="7"/>
      <c r="K377" s="7"/>
      <c r="L377" s="7"/>
      <c r="M377" s="7"/>
      <c r="N377" s="7"/>
      <c r="O377" s="7"/>
      <c r="P377" s="7"/>
      <c r="Q377" s="7"/>
      <c r="R377" s="64"/>
      <c r="S377" s="64"/>
      <c r="T377" s="64"/>
      <c r="U377" s="64"/>
      <c r="V377" s="64"/>
      <c r="W377" s="64"/>
    </row>
    <row r="378" spans="1:23" ht="15.95" customHeight="1">
      <c r="A378" s="8"/>
      <c r="B378" s="7"/>
      <c r="C378" s="33"/>
      <c r="D378" s="7"/>
      <c r="E378" s="7"/>
      <c r="F378" s="7"/>
      <c r="G378" s="7"/>
      <c r="H378" s="7"/>
      <c r="I378" s="7"/>
      <c r="J378" s="7"/>
      <c r="K378" s="7"/>
      <c r="L378" s="7"/>
      <c r="M378" s="7"/>
      <c r="N378" s="7"/>
      <c r="O378" s="7"/>
      <c r="P378" s="7"/>
      <c r="Q378" s="7"/>
      <c r="R378" s="64"/>
      <c r="S378" s="64"/>
      <c r="T378" s="64"/>
      <c r="U378" s="64"/>
      <c r="V378" s="64"/>
      <c r="W378" s="64"/>
    </row>
    <row r="379" spans="1:23" ht="15.95" customHeight="1">
      <c r="A379" s="8"/>
      <c r="B379" s="7"/>
      <c r="C379" s="33"/>
      <c r="D379" s="7"/>
      <c r="E379" s="7"/>
      <c r="F379" s="7"/>
      <c r="G379" s="7"/>
      <c r="H379" s="7"/>
      <c r="I379" s="7"/>
      <c r="J379" s="7"/>
      <c r="K379" s="7"/>
      <c r="L379" s="7"/>
      <c r="M379" s="7"/>
      <c r="N379" s="7"/>
      <c r="O379" s="7"/>
      <c r="P379" s="7"/>
      <c r="Q379" s="7"/>
      <c r="R379" s="64"/>
      <c r="S379" s="64"/>
      <c r="T379" s="64"/>
      <c r="U379" s="64"/>
      <c r="V379" s="64"/>
      <c r="W379" s="64"/>
    </row>
    <row r="380" spans="1:23" ht="15.95" customHeight="1">
      <c r="A380" s="8"/>
      <c r="B380" s="7"/>
      <c r="C380" s="33"/>
      <c r="D380" s="7"/>
      <c r="E380" s="7"/>
      <c r="F380" s="7"/>
      <c r="G380" s="7"/>
      <c r="H380" s="7"/>
      <c r="I380" s="7"/>
      <c r="J380" s="7"/>
      <c r="K380" s="7"/>
      <c r="L380" s="7"/>
      <c r="M380" s="7"/>
      <c r="N380" s="7"/>
      <c r="O380" s="7"/>
      <c r="P380" s="7"/>
      <c r="Q380" s="7"/>
      <c r="R380" s="64"/>
      <c r="S380" s="64"/>
      <c r="T380" s="64"/>
      <c r="U380" s="64"/>
      <c r="V380" s="64"/>
      <c r="W380" s="64"/>
    </row>
    <row r="381" spans="1:23" ht="15.95" customHeight="1">
      <c r="A381" s="8"/>
      <c r="B381" s="7"/>
      <c r="C381" s="33"/>
      <c r="D381" s="7"/>
      <c r="E381" s="7"/>
      <c r="F381" s="7"/>
      <c r="G381" s="7"/>
      <c r="H381" s="7"/>
      <c r="I381" s="7"/>
      <c r="J381" s="7"/>
      <c r="K381" s="7"/>
      <c r="L381" s="7"/>
      <c r="M381" s="7"/>
      <c r="N381" s="7"/>
      <c r="O381" s="7"/>
      <c r="P381" s="7"/>
      <c r="Q381" s="7"/>
      <c r="R381" s="64"/>
      <c r="S381" s="64"/>
      <c r="T381" s="64"/>
      <c r="U381" s="64"/>
      <c r="V381" s="64"/>
      <c r="W381" s="64"/>
    </row>
    <row r="382" spans="1:23" ht="15.95" customHeight="1">
      <c r="A382" s="8"/>
      <c r="B382" s="7"/>
      <c r="C382" s="33"/>
      <c r="D382" s="7"/>
      <c r="E382" s="7"/>
      <c r="F382" s="7"/>
      <c r="G382" s="7"/>
      <c r="H382" s="7"/>
      <c r="I382" s="7"/>
      <c r="J382" s="7"/>
      <c r="K382" s="7"/>
      <c r="L382" s="7"/>
      <c r="M382" s="7"/>
      <c r="N382" s="7"/>
      <c r="O382" s="7"/>
      <c r="P382" s="7"/>
      <c r="Q382" s="7"/>
      <c r="R382" s="64"/>
      <c r="S382" s="64"/>
      <c r="T382" s="64"/>
      <c r="U382" s="64"/>
      <c r="V382" s="64"/>
      <c r="W382" s="64"/>
    </row>
    <row r="383" spans="1:23" ht="15.95" customHeight="1">
      <c r="A383" s="8"/>
      <c r="B383" s="7"/>
      <c r="C383" s="33"/>
      <c r="D383" s="7"/>
      <c r="E383" s="7"/>
      <c r="F383" s="7"/>
      <c r="G383" s="7"/>
      <c r="H383" s="7"/>
      <c r="I383" s="7"/>
      <c r="J383" s="7"/>
      <c r="K383" s="7"/>
      <c r="L383" s="7"/>
      <c r="M383" s="7"/>
      <c r="N383" s="7"/>
      <c r="O383" s="7"/>
      <c r="P383" s="7"/>
      <c r="Q383" s="7"/>
      <c r="R383" s="64"/>
      <c r="S383" s="64"/>
      <c r="T383" s="64"/>
      <c r="U383" s="64"/>
      <c r="V383" s="64"/>
      <c r="W383" s="64"/>
    </row>
    <row r="384" spans="1:23" ht="15.95" customHeight="1">
      <c r="A384" s="8"/>
      <c r="B384" s="7"/>
      <c r="C384" s="33"/>
      <c r="D384" s="7"/>
      <c r="E384" s="7"/>
      <c r="F384" s="7"/>
      <c r="G384" s="7"/>
      <c r="H384" s="7"/>
      <c r="I384" s="7"/>
      <c r="J384" s="7"/>
      <c r="K384" s="7"/>
      <c r="L384" s="7"/>
      <c r="M384" s="7"/>
      <c r="N384" s="7"/>
      <c r="O384" s="7"/>
      <c r="P384" s="7"/>
      <c r="Q384" s="7"/>
      <c r="R384" s="64"/>
      <c r="S384" s="64"/>
      <c r="T384" s="64"/>
      <c r="U384" s="64"/>
      <c r="V384" s="64"/>
      <c r="W384" s="64"/>
    </row>
    <row r="385" spans="1:23" ht="15.95" customHeight="1">
      <c r="A385" s="8"/>
      <c r="B385" s="7"/>
      <c r="C385" s="33"/>
      <c r="D385" s="7"/>
      <c r="E385" s="7"/>
      <c r="F385" s="7"/>
      <c r="G385" s="7"/>
      <c r="H385" s="7"/>
      <c r="I385" s="7"/>
      <c r="J385" s="7"/>
      <c r="K385" s="7"/>
      <c r="L385" s="7"/>
      <c r="M385" s="7"/>
      <c r="N385" s="7"/>
      <c r="O385" s="7"/>
      <c r="P385" s="7"/>
      <c r="Q385" s="7"/>
      <c r="R385" s="64"/>
      <c r="S385" s="64"/>
      <c r="T385" s="64"/>
      <c r="U385" s="64"/>
      <c r="V385" s="64"/>
      <c r="W385" s="64"/>
    </row>
    <row r="386" spans="1:23" ht="15.95" customHeight="1">
      <c r="A386" s="8"/>
      <c r="B386" s="7"/>
      <c r="C386" s="33"/>
      <c r="D386" s="7"/>
      <c r="E386" s="7"/>
      <c r="F386" s="7"/>
      <c r="G386" s="7"/>
      <c r="H386" s="7"/>
      <c r="I386" s="7"/>
      <c r="J386" s="7"/>
      <c r="K386" s="7"/>
      <c r="L386" s="7"/>
      <c r="M386" s="7"/>
      <c r="N386" s="7"/>
      <c r="O386" s="7"/>
      <c r="P386" s="7"/>
      <c r="Q386" s="7"/>
      <c r="R386" s="64"/>
      <c r="S386" s="64"/>
      <c r="T386" s="64"/>
      <c r="U386" s="64"/>
      <c r="V386" s="64"/>
      <c r="W386" s="64"/>
    </row>
    <row r="387" spans="1:23" ht="15.95" customHeight="1">
      <c r="A387" s="8"/>
      <c r="B387" s="7"/>
      <c r="C387" s="33"/>
      <c r="D387" s="7"/>
      <c r="E387" s="7"/>
      <c r="F387" s="7"/>
      <c r="G387" s="7"/>
      <c r="H387" s="7"/>
      <c r="I387" s="7"/>
      <c r="J387" s="7"/>
      <c r="K387" s="7"/>
      <c r="L387" s="7"/>
      <c r="M387" s="7"/>
      <c r="N387" s="7"/>
      <c r="O387" s="7"/>
      <c r="P387" s="7"/>
      <c r="Q387" s="7"/>
      <c r="R387" s="64"/>
      <c r="S387" s="64"/>
      <c r="T387" s="64"/>
      <c r="U387" s="64"/>
      <c r="V387" s="64"/>
      <c r="W387" s="64"/>
    </row>
    <row r="388" spans="1:23" ht="15.95" customHeight="1">
      <c r="A388" s="8"/>
      <c r="B388" s="7"/>
      <c r="C388" s="33"/>
      <c r="D388" s="7"/>
      <c r="E388" s="7"/>
      <c r="F388" s="7"/>
      <c r="G388" s="7"/>
      <c r="H388" s="7"/>
      <c r="I388" s="7"/>
      <c r="J388" s="7"/>
      <c r="K388" s="7"/>
      <c r="L388" s="7"/>
      <c r="M388" s="7"/>
      <c r="N388" s="7"/>
      <c r="O388" s="7"/>
      <c r="P388" s="7"/>
      <c r="Q388" s="7"/>
      <c r="R388" s="64"/>
      <c r="S388" s="64"/>
      <c r="T388" s="64"/>
      <c r="U388" s="64"/>
      <c r="V388" s="64"/>
      <c r="W388" s="64"/>
    </row>
    <row r="389" spans="1:23" ht="15.95" customHeight="1">
      <c r="A389" s="8"/>
      <c r="B389" s="7"/>
      <c r="C389" s="33"/>
      <c r="D389" s="7"/>
      <c r="E389" s="7"/>
      <c r="F389" s="7"/>
      <c r="G389" s="7"/>
      <c r="H389" s="7"/>
      <c r="I389" s="7"/>
      <c r="J389" s="7"/>
      <c r="K389" s="7"/>
      <c r="L389" s="7"/>
      <c r="M389" s="7"/>
      <c r="N389" s="7"/>
      <c r="O389" s="7"/>
      <c r="P389" s="7"/>
      <c r="Q389" s="7"/>
      <c r="R389" s="64"/>
      <c r="S389" s="64"/>
      <c r="T389" s="64"/>
      <c r="U389" s="64"/>
      <c r="V389" s="64"/>
      <c r="W389" s="64"/>
    </row>
    <row r="390" spans="1:23" ht="15.95" customHeight="1">
      <c r="A390" s="8"/>
      <c r="B390" s="7"/>
      <c r="C390" s="33"/>
      <c r="D390" s="7"/>
      <c r="E390" s="7"/>
      <c r="F390" s="7"/>
      <c r="G390" s="7"/>
      <c r="H390" s="7"/>
      <c r="I390" s="7"/>
      <c r="J390" s="7"/>
      <c r="K390" s="7"/>
      <c r="L390" s="7"/>
      <c r="M390" s="7"/>
      <c r="N390" s="7"/>
      <c r="O390" s="7"/>
      <c r="P390" s="7"/>
      <c r="Q390" s="7"/>
      <c r="R390" s="64"/>
      <c r="S390" s="64"/>
      <c r="T390" s="64"/>
      <c r="U390" s="64"/>
      <c r="V390" s="64"/>
      <c r="W390" s="64"/>
    </row>
    <row r="391" spans="1:23" ht="15.95" customHeight="1">
      <c r="A391" s="8"/>
      <c r="B391" s="7"/>
      <c r="C391" s="33"/>
      <c r="D391" s="7"/>
      <c r="E391" s="7"/>
      <c r="F391" s="7"/>
      <c r="G391" s="7"/>
      <c r="H391" s="7"/>
      <c r="I391" s="7"/>
      <c r="J391" s="7"/>
      <c r="K391" s="7"/>
      <c r="L391" s="7"/>
      <c r="M391" s="7"/>
      <c r="N391" s="7"/>
      <c r="O391" s="7"/>
      <c r="P391" s="7"/>
      <c r="Q391" s="7"/>
      <c r="R391" s="64"/>
      <c r="S391" s="64"/>
      <c r="T391" s="64"/>
      <c r="U391" s="64"/>
      <c r="V391" s="64"/>
      <c r="W391" s="64"/>
    </row>
    <row r="392" spans="1:23" ht="15.95" customHeight="1">
      <c r="A392" s="8"/>
      <c r="B392" s="7"/>
      <c r="C392" s="33"/>
      <c r="D392" s="7"/>
      <c r="E392" s="7"/>
      <c r="F392" s="7"/>
      <c r="G392" s="7"/>
      <c r="H392" s="7"/>
      <c r="I392" s="7"/>
      <c r="J392" s="7"/>
      <c r="K392" s="7"/>
      <c r="L392" s="7"/>
      <c r="M392" s="7"/>
      <c r="N392" s="7"/>
      <c r="O392" s="7"/>
      <c r="P392" s="7"/>
      <c r="Q392" s="7"/>
      <c r="R392" s="64"/>
      <c r="S392" s="64"/>
      <c r="T392" s="64"/>
      <c r="U392" s="64"/>
      <c r="V392" s="64"/>
      <c r="W392" s="64"/>
    </row>
    <row r="393" spans="1:23" ht="15.95" customHeight="1">
      <c r="A393" s="8"/>
      <c r="B393" s="7"/>
      <c r="C393" s="33"/>
      <c r="D393" s="7"/>
      <c r="E393" s="7"/>
      <c r="F393" s="7"/>
      <c r="G393" s="7"/>
      <c r="H393" s="7"/>
      <c r="I393" s="7"/>
      <c r="J393" s="7"/>
      <c r="K393" s="7"/>
      <c r="L393" s="7"/>
      <c r="M393" s="7"/>
      <c r="N393" s="7"/>
      <c r="O393" s="7"/>
      <c r="P393" s="7"/>
      <c r="Q393" s="7"/>
      <c r="R393" s="64"/>
      <c r="S393" s="64"/>
      <c r="T393" s="64"/>
      <c r="U393" s="64"/>
      <c r="V393" s="64"/>
      <c r="W393" s="64"/>
    </row>
    <row r="394" spans="1:23" ht="15.95" customHeight="1">
      <c r="A394" s="8"/>
      <c r="B394" s="7"/>
      <c r="C394" s="33"/>
      <c r="D394" s="7"/>
      <c r="E394" s="7"/>
      <c r="F394" s="7"/>
      <c r="G394" s="7"/>
      <c r="H394" s="7"/>
      <c r="I394" s="7"/>
      <c r="J394" s="7"/>
      <c r="K394" s="7"/>
      <c r="L394" s="7"/>
      <c r="M394" s="7"/>
      <c r="N394" s="7"/>
      <c r="O394" s="7"/>
      <c r="P394" s="7"/>
      <c r="Q394" s="7"/>
      <c r="R394" s="64"/>
      <c r="S394" s="64"/>
      <c r="T394" s="64"/>
      <c r="U394" s="64"/>
      <c r="V394" s="64"/>
      <c r="W394" s="64"/>
    </row>
    <row r="395" spans="1:23" ht="15.95" customHeight="1">
      <c r="A395" s="8"/>
      <c r="B395" s="7"/>
      <c r="C395" s="33"/>
      <c r="D395" s="7"/>
      <c r="E395" s="7"/>
      <c r="F395" s="7"/>
      <c r="G395" s="7"/>
      <c r="H395" s="7"/>
      <c r="I395" s="7"/>
      <c r="J395" s="7"/>
      <c r="K395" s="7"/>
      <c r="L395" s="7"/>
      <c r="M395" s="7"/>
      <c r="N395" s="7"/>
      <c r="O395" s="7"/>
      <c r="P395" s="7"/>
      <c r="Q395" s="7"/>
      <c r="R395" s="64"/>
      <c r="S395" s="64"/>
      <c r="T395" s="64"/>
      <c r="U395" s="64"/>
      <c r="V395" s="64"/>
      <c r="W395" s="64"/>
    </row>
    <row r="396" spans="1:23" ht="15.95" customHeight="1">
      <c r="A396" s="8"/>
      <c r="B396" s="7"/>
      <c r="C396" s="33"/>
      <c r="D396" s="7"/>
      <c r="E396" s="7"/>
      <c r="F396" s="7"/>
      <c r="G396" s="7"/>
      <c r="H396" s="7"/>
      <c r="I396" s="7"/>
      <c r="J396" s="7"/>
      <c r="K396" s="7"/>
      <c r="L396" s="7"/>
      <c r="M396" s="7"/>
      <c r="N396" s="7"/>
      <c r="O396" s="7"/>
      <c r="P396" s="7"/>
      <c r="Q396" s="7"/>
      <c r="R396" s="64"/>
      <c r="S396" s="64"/>
      <c r="T396" s="64"/>
      <c r="U396" s="64"/>
      <c r="V396" s="64"/>
      <c r="W396" s="64"/>
    </row>
    <row r="397" spans="1:23" ht="15.95" customHeight="1">
      <c r="A397" s="8"/>
      <c r="B397" s="7"/>
      <c r="C397" s="33"/>
      <c r="D397" s="7"/>
      <c r="E397" s="7"/>
      <c r="F397" s="7"/>
      <c r="G397" s="7"/>
      <c r="H397" s="7"/>
      <c r="I397" s="7"/>
      <c r="J397" s="7"/>
      <c r="K397" s="7"/>
      <c r="L397" s="7"/>
      <c r="M397" s="7"/>
      <c r="N397" s="7"/>
      <c r="O397" s="7"/>
      <c r="P397" s="7"/>
      <c r="Q397" s="7"/>
      <c r="R397" s="64"/>
      <c r="S397" s="64"/>
      <c r="T397" s="64"/>
      <c r="U397" s="64"/>
      <c r="V397" s="64"/>
      <c r="W397" s="64"/>
    </row>
    <row r="398" spans="1:23" ht="15.95" customHeight="1">
      <c r="A398" s="8"/>
      <c r="B398" s="7"/>
      <c r="C398" s="33"/>
      <c r="D398" s="7"/>
      <c r="E398" s="7"/>
      <c r="F398" s="7"/>
      <c r="G398" s="7"/>
      <c r="H398" s="7"/>
      <c r="I398" s="7"/>
      <c r="J398" s="7"/>
      <c r="K398" s="7"/>
      <c r="L398" s="7"/>
      <c r="M398" s="7"/>
      <c r="N398" s="7"/>
      <c r="O398" s="7"/>
      <c r="P398" s="7"/>
      <c r="Q398" s="7"/>
      <c r="R398" s="64"/>
      <c r="S398" s="64"/>
      <c r="T398" s="64"/>
      <c r="U398" s="64"/>
      <c r="V398" s="64"/>
      <c r="W398" s="64"/>
    </row>
    <row r="399" spans="1:23" ht="15.95" customHeight="1">
      <c r="A399" s="8"/>
      <c r="B399" s="7"/>
      <c r="C399" s="33"/>
      <c r="D399" s="7"/>
      <c r="E399" s="7"/>
      <c r="F399" s="7"/>
      <c r="G399" s="7"/>
      <c r="H399" s="7"/>
      <c r="I399" s="7"/>
      <c r="J399" s="7"/>
      <c r="K399" s="7"/>
      <c r="L399" s="7"/>
      <c r="M399" s="7"/>
      <c r="N399" s="7"/>
      <c r="O399" s="7"/>
      <c r="P399" s="7"/>
      <c r="Q399" s="7"/>
      <c r="R399" s="64"/>
      <c r="S399" s="64"/>
      <c r="T399" s="64"/>
      <c r="U399" s="64"/>
      <c r="V399" s="64"/>
      <c r="W399" s="64"/>
    </row>
    <row r="400" spans="1:23" ht="15.95" customHeight="1">
      <c r="A400" s="8"/>
      <c r="B400" s="7"/>
      <c r="C400" s="33"/>
      <c r="D400" s="7"/>
      <c r="E400" s="7"/>
      <c r="F400" s="7"/>
      <c r="G400" s="7"/>
      <c r="H400" s="7"/>
      <c r="I400" s="7"/>
      <c r="J400" s="7"/>
      <c r="K400" s="7"/>
      <c r="L400" s="7"/>
      <c r="M400" s="7"/>
      <c r="N400" s="7"/>
      <c r="O400" s="7"/>
      <c r="P400" s="7"/>
      <c r="Q400" s="7"/>
      <c r="R400" s="64"/>
      <c r="S400" s="64"/>
      <c r="T400" s="64"/>
      <c r="U400" s="64"/>
      <c r="V400" s="64"/>
      <c r="W400" s="64"/>
    </row>
    <row r="401" spans="1:23" ht="15.95" customHeight="1">
      <c r="A401" s="8"/>
      <c r="B401" s="7"/>
      <c r="C401" s="33"/>
      <c r="D401" s="7"/>
      <c r="E401" s="7"/>
      <c r="F401" s="7"/>
      <c r="G401" s="7"/>
      <c r="H401" s="7"/>
      <c r="I401" s="7"/>
      <c r="J401" s="7"/>
      <c r="K401" s="7"/>
      <c r="L401" s="7"/>
      <c r="M401" s="7"/>
      <c r="N401" s="7"/>
      <c r="O401" s="7"/>
      <c r="P401" s="7"/>
      <c r="Q401" s="7"/>
      <c r="R401" s="64"/>
      <c r="S401" s="64"/>
      <c r="T401" s="64"/>
      <c r="U401" s="64"/>
      <c r="V401" s="64"/>
      <c r="W401" s="64"/>
    </row>
    <row r="402" spans="1:23" ht="15.95" customHeight="1">
      <c r="A402" s="8"/>
      <c r="B402" s="7"/>
      <c r="C402" s="33"/>
      <c r="D402" s="7"/>
      <c r="E402" s="7"/>
      <c r="F402" s="7"/>
      <c r="G402" s="7"/>
      <c r="H402" s="7"/>
      <c r="I402" s="7"/>
      <c r="J402" s="7"/>
      <c r="K402" s="7"/>
      <c r="L402" s="7"/>
      <c r="M402" s="7"/>
      <c r="N402" s="7"/>
      <c r="O402" s="7"/>
      <c r="P402" s="7"/>
      <c r="Q402" s="7"/>
      <c r="R402" s="64"/>
      <c r="S402" s="64"/>
      <c r="T402" s="64"/>
      <c r="U402" s="64"/>
      <c r="V402" s="64"/>
      <c r="W402" s="64"/>
    </row>
    <row r="403" spans="1:23" ht="15.95" customHeight="1">
      <c r="A403" s="8"/>
      <c r="B403" s="7"/>
      <c r="C403" s="33"/>
      <c r="D403" s="7"/>
      <c r="E403" s="7"/>
      <c r="F403" s="7"/>
      <c r="G403" s="7"/>
      <c r="H403" s="7"/>
      <c r="I403" s="7"/>
      <c r="J403" s="7"/>
      <c r="K403" s="7"/>
      <c r="L403" s="7"/>
      <c r="M403" s="7"/>
      <c r="N403" s="7"/>
      <c r="O403" s="7"/>
      <c r="P403" s="7"/>
      <c r="Q403" s="7"/>
      <c r="R403" s="64"/>
      <c r="S403" s="64"/>
      <c r="T403" s="64"/>
      <c r="U403" s="64"/>
      <c r="V403" s="64"/>
      <c r="W403" s="64"/>
    </row>
    <row r="404" spans="1:23" ht="15.95" customHeight="1">
      <c r="A404" s="8"/>
      <c r="B404" s="7"/>
      <c r="C404" s="33"/>
      <c r="D404" s="7"/>
      <c r="E404" s="7"/>
      <c r="F404" s="7"/>
      <c r="G404" s="7"/>
      <c r="H404" s="7"/>
      <c r="I404" s="7"/>
      <c r="J404" s="7"/>
      <c r="K404" s="7"/>
      <c r="L404" s="7"/>
      <c r="M404" s="7"/>
      <c r="N404" s="7"/>
      <c r="O404" s="7"/>
      <c r="P404" s="7"/>
      <c r="Q404" s="7"/>
      <c r="R404" s="64"/>
      <c r="S404" s="64"/>
      <c r="T404" s="64"/>
      <c r="U404" s="64"/>
      <c r="V404" s="64"/>
      <c r="W404" s="64"/>
    </row>
    <row r="405" spans="1:23" ht="15.95" customHeight="1">
      <c r="A405" s="8"/>
      <c r="B405" s="7"/>
      <c r="C405" s="33"/>
      <c r="D405" s="7"/>
      <c r="E405" s="7"/>
      <c r="F405" s="7"/>
      <c r="G405" s="7"/>
      <c r="H405" s="7"/>
      <c r="I405" s="7"/>
      <c r="J405" s="7"/>
      <c r="K405" s="7"/>
      <c r="L405" s="7"/>
      <c r="M405" s="7"/>
      <c r="N405" s="7"/>
      <c r="O405" s="7"/>
      <c r="P405" s="7"/>
      <c r="Q405" s="7"/>
      <c r="R405" s="64"/>
      <c r="S405" s="64"/>
      <c r="T405" s="64"/>
      <c r="U405" s="64"/>
      <c r="V405" s="64"/>
      <c r="W405" s="64"/>
    </row>
    <row r="406" spans="1:23" ht="15.95" customHeight="1">
      <c r="A406" s="8"/>
      <c r="B406" s="7"/>
      <c r="C406" s="33"/>
      <c r="D406" s="7"/>
      <c r="E406" s="7"/>
      <c r="F406" s="7"/>
      <c r="G406" s="7"/>
      <c r="H406" s="7"/>
      <c r="I406" s="7"/>
      <c r="J406" s="7"/>
      <c r="K406" s="7"/>
      <c r="L406" s="7"/>
      <c r="M406" s="7"/>
      <c r="N406" s="7"/>
      <c r="O406" s="7"/>
      <c r="P406" s="7"/>
      <c r="Q406" s="7"/>
      <c r="R406" s="64"/>
      <c r="S406" s="64"/>
      <c r="T406" s="64"/>
      <c r="U406" s="64"/>
      <c r="V406" s="64"/>
      <c r="W406" s="64"/>
    </row>
    <row r="407" spans="1:23" ht="15.95" customHeight="1">
      <c r="A407" s="8"/>
      <c r="B407" s="7"/>
      <c r="C407" s="33"/>
      <c r="D407" s="7"/>
      <c r="E407" s="7"/>
      <c r="F407" s="7"/>
      <c r="G407" s="7"/>
      <c r="H407" s="7"/>
      <c r="I407" s="7"/>
      <c r="J407" s="7"/>
      <c r="K407" s="7"/>
      <c r="L407" s="7"/>
      <c r="M407" s="7"/>
      <c r="N407" s="7"/>
      <c r="O407" s="7"/>
      <c r="P407" s="7"/>
      <c r="Q407" s="7"/>
      <c r="R407" s="64"/>
      <c r="S407" s="64"/>
      <c r="T407" s="64"/>
      <c r="U407" s="64"/>
      <c r="V407" s="64"/>
      <c r="W407" s="64"/>
    </row>
    <row r="408" spans="1:23" ht="15.95" customHeight="1">
      <c r="A408" s="8"/>
      <c r="B408" s="7"/>
      <c r="C408" s="33"/>
      <c r="D408" s="7"/>
      <c r="E408" s="7"/>
      <c r="F408" s="7"/>
      <c r="G408" s="7"/>
      <c r="H408" s="7"/>
      <c r="I408" s="7"/>
      <c r="J408" s="7"/>
      <c r="K408" s="7"/>
      <c r="L408" s="7"/>
      <c r="M408" s="7"/>
      <c r="N408" s="7"/>
      <c r="O408" s="7"/>
      <c r="P408" s="7"/>
      <c r="Q408" s="7"/>
      <c r="R408" s="64"/>
      <c r="S408" s="64"/>
      <c r="T408" s="64"/>
      <c r="U408" s="64"/>
      <c r="V408" s="64"/>
      <c r="W408" s="64"/>
    </row>
    <row r="409" spans="1:23" ht="15.95" customHeight="1">
      <c r="A409" s="8"/>
      <c r="B409" s="7"/>
      <c r="C409" s="33"/>
      <c r="D409" s="7"/>
      <c r="E409" s="7"/>
      <c r="F409" s="7"/>
      <c r="G409" s="7"/>
      <c r="H409" s="7"/>
      <c r="I409" s="7"/>
      <c r="J409" s="7"/>
      <c r="K409" s="7"/>
      <c r="L409" s="7"/>
      <c r="M409" s="7"/>
      <c r="N409" s="7"/>
      <c r="O409" s="7"/>
      <c r="P409" s="7"/>
      <c r="Q409" s="7"/>
      <c r="R409" s="64"/>
      <c r="S409" s="64"/>
      <c r="T409" s="64"/>
      <c r="U409" s="64"/>
      <c r="V409" s="64"/>
      <c r="W409" s="64"/>
    </row>
    <row r="410" spans="1:23" ht="15.95" customHeight="1">
      <c r="A410" s="8"/>
      <c r="B410" s="7"/>
      <c r="C410" s="33"/>
      <c r="D410" s="7"/>
      <c r="E410" s="7"/>
      <c r="F410" s="7"/>
      <c r="G410" s="7"/>
      <c r="H410" s="7"/>
      <c r="I410" s="7"/>
      <c r="J410" s="7"/>
      <c r="K410" s="7"/>
      <c r="L410" s="7"/>
      <c r="M410" s="7"/>
      <c r="N410" s="7"/>
      <c r="O410" s="7"/>
      <c r="P410" s="7"/>
      <c r="Q410" s="7"/>
      <c r="R410" s="64"/>
      <c r="S410" s="64"/>
      <c r="T410" s="64"/>
      <c r="U410" s="64"/>
      <c r="V410" s="64"/>
      <c r="W410" s="64"/>
    </row>
    <row r="411" spans="1:23" ht="15.95" customHeight="1">
      <c r="A411" s="8"/>
      <c r="B411" s="7"/>
      <c r="C411" s="33"/>
      <c r="D411" s="7"/>
      <c r="E411" s="7"/>
      <c r="F411" s="7"/>
      <c r="G411" s="7"/>
      <c r="H411" s="7"/>
      <c r="I411" s="7"/>
      <c r="J411" s="7"/>
      <c r="K411" s="7"/>
      <c r="L411" s="7"/>
      <c r="M411" s="7"/>
      <c r="N411" s="7"/>
      <c r="O411" s="7"/>
      <c r="P411" s="7"/>
      <c r="Q411" s="7"/>
      <c r="R411" s="64"/>
      <c r="S411" s="64"/>
      <c r="T411" s="64"/>
      <c r="U411" s="64"/>
      <c r="V411" s="64"/>
      <c r="W411" s="64"/>
    </row>
    <row r="412" spans="1:23" ht="15.95" customHeight="1">
      <c r="A412" s="8"/>
      <c r="B412" s="7"/>
      <c r="C412" s="33"/>
      <c r="D412" s="7"/>
      <c r="E412" s="7"/>
      <c r="F412" s="7"/>
      <c r="G412" s="7"/>
      <c r="H412" s="7"/>
      <c r="I412" s="7"/>
      <c r="J412" s="7"/>
      <c r="K412" s="7"/>
      <c r="L412" s="7"/>
      <c r="M412" s="7"/>
      <c r="N412" s="7"/>
      <c r="O412" s="7"/>
      <c r="P412" s="7"/>
      <c r="Q412" s="7"/>
      <c r="R412" s="64"/>
      <c r="S412" s="64"/>
      <c r="T412" s="64"/>
      <c r="U412" s="64"/>
      <c r="V412" s="64"/>
      <c r="W412" s="64"/>
    </row>
    <row r="413" spans="1:23" ht="15.95" customHeight="1">
      <c r="A413" s="8"/>
      <c r="B413" s="7"/>
      <c r="C413" s="33"/>
      <c r="D413" s="7"/>
      <c r="E413" s="7"/>
      <c r="F413" s="7"/>
      <c r="G413" s="7"/>
      <c r="H413" s="7"/>
      <c r="I413" s="7"/>
      <c r="J413" s="7"/>
      <c r="K413" s="7"/>
      <c r="L413" s="7"/>
      <c r="M413" s="7"/>
      <c r="N413" s="7"/>
      <c r="O413" s="7"/>
      <c r="P413" s="7"/>
      <c r="Q413" s="7"/>
      <c r="R413" s="64"/>
      <c r="S413" s="64"/>
      <c r="T413" s="64"/>
      <c r="U413" s="64"/>
      <c r="V413" s="64"/>
      <c r="W413" s="64"/>
    </row>
    <row r="414" spans="1:23" ht="15.95" customHeight="1">
      <c r="A414" s="8"/>
      <c r="B414" s="7"/>
      <c r="C414" s="33"/>
      <c r="D414" s="7"/>
      <c r="E414" s="7"/>
      <c r="F414" s="7"/>
      <c r="G414" s="7"/>
      <c r="H414" s="7"/>
      <c r="I414" s="7"/>
      <c r="J414" s="7"/>
      <c r="K414" s="7"/>
      <c r="L414" s="7"/>
      <c r="M414" s="7"/>
      <c r="N414" s="7"/>
      <c r="O414" s="7"/>
      <c r="P414" s="7"/>
      <c r="Q414" s="7"/>
      <c r="R414" s="64"/>
      <c r="S414" s="64"/>
      <c r="T414" s="64"/>
      <c r="U414" s="64"/>
      <c r="V414" s="64"/>
      <c r="W414" s="64"/>
    </row>
    <row r="415" spans="1:23" ht="15.95" customHeight="1">
      <c r="A415" s="8"/>
      <c r="B415" s="7"/>
      <c r="C415" s="33"/>
      <c r="D415" s="7"/>
      <c r="E415" s="7"/>
      <c r="F415" s="7"/>
      <c r="G415" s="7"/>
      <c r="H415" s="7"/>
      <c r="I415" s="7"/>
      <c r="J415" s="7"/>
      <c r="K415" s="7"/>
      <c r="L415" s="7"/>
      <c r="M415" s="7"/>
      <c r="N415" s="7"/>
      <c r="O415" s="7"/>
      <c r="P415" s="7"/>
      <c r="Q415" s="7"/>
      <c r="R415" s="64"/>
      <c r="S415" s="64"/>
      <c r="T415" s="64"/>
      <c r="U415" s="64"/>
      <c r="V415" s="64"/>
      <c r="W415" s="64"/>
    </row>
    <row r="416" spans="1:23" ht="15.95" customHeight="1">
      <c r="A416" s="8"/>
      <c r="B416" s="7"/>
      <c r="C416" s="33"/>
      <c r="D416" s="7"/>
      <c r="E416" s="7"/>
      <c r="F416" s="7"/>
      <c r="G416" s="7"/>
      <c r="H416" s="7"/>
      <c r="I416" s="7"/>
      <c r="J416" s="7"/>
      <c r="K416" s="7"/>
      <c r="L416" s="7"/>
      <c r="M416" s="7"/>
      <c r="N416" s="7"/>
      <c r="O416" s="7"/>
      <c r="P416" s="7"/>
      <c r="Q416" s="7"/>
      <c r="R416" s="64"/>
      <c r="S416" s="64"/>
      <c r="T416" s="64"/>
      <c r="U416" s="64"/>
      <c r="V416" s="64"/>
      <c r="W416" s="64"/>
    </row>
    <row r="417" spans="1:23" ht="15.95" customHeight="1">
      <c r="A417" s="8"/>
      <c r="B417" s="7"/>
      <c r="C417" s="33"/>
      <c r="D417" s="7"/>
      <c r="E417" s="7"/>
      <c r="F417" s="7"/>
      <c r="G417" s="7"/>
      <c r="H417" s="7"/>
      <c r="I417" s="7"/>
      <c r="J417" s="7"/>
      <c r="K417" s="7"/>
      <c r="L417" s="7"/>
      <c r="M417" s="7"/>
      <c r="N417" s="7"/>
      <c r="O417" s="7"/>
      <c r="P417" s="7"/>
      <c r="Q417" s="7"/>
      <c r="R417" s="64"/>
      <c r="S417" s="64"/>
      <c r="T417" s="64"/>
      <c r="U417" s="64"/>
      <c r="V417" s="64"/>
      <c r="W417" s="64"/>
    </row>
    <row r="418" spans="1:23" ht="15.95" customHeight="1">
      <c r="A418" s="8"/>
      <c r="B418" s="7"/>
      <c r="C418" s="33"/>
      <c r="D418" s="7"/>
      <c r="E418" s="7"/>
      <c r="F418" s="7"/>
      <c r="G418" s="7"/>
      <c r="H418" s="7"/>
      <c r="I418" s="7"/>
      <c r="J418" s="7"/>
      <c r="K418" s="7"/>
      <c r="L418" s="7"/>
      <c r="M418" s="7"/>
      <c r="N418" s="7"/>
      <c r="O418" s="7"/>
      <c r="P418" s="7"/>
      <c r="Q418" s="7"/>
      <c r="R418" s="64"/>
      <c r="S418" s="64"/>
      <c r="T418" s="64"/>
      <c r="U418" s="64"/>
      <c r="V418" s="64"/>
      <c r="W418" s="64"/>
    </row>
    <row r="419" spans="1:23" ht="15.95" customHeight="1">
      <c r="A419" s="8"/>
      <c r="B419" s="7"/>
      <c r="C419" s="33"/>
      <c r="D419" s="7"/>
      <c r="E419" s="7"/>
      <c r="F419" s="7"/>
      <c r="G419" s="7"/>
      <c r="H419" s="7"/>
      <c r="I419" s="7"/>
      <c r="J419" s="7"/>
      <c r="K419" s="7"/>
      <c r="L419" s="7"/>
      <c r="M419" s="7"/>
      <c r="N419" s="7"/>
      <c r="O419" s="7"/>
      <c r="P419" s="7"/>
      <c r="Q419" s="7"/>
      <c r="R419" s="64"/>
      <c r="S419" s="64"/>
      <c r="T419" s="64"/>
      <c r="U419" s="64"/>
      <c r="V419" s="64"/>
      <c r="W419" s="64"/>
    </row>
    <row r="420" spans="1:23" ht="15.95" customHeight="1">
      <c r="A420" s="8"/>
      <c r="B420" s="7"/>
      <c r="C420" s="33"/>
      <c r="D420" s="7"/>
      <c r="E420" s="7"/>
      <c r="F420" s="7"/>
      <c r="G420" s="7"/>
      <c r="H420" s="7"/>
      <c r="I420" s="7"/>
      <c r="J420" s="7"/>
      <c r="K420" s="7"/>
      <c r="L420" s="7"/>
      <c r="M420" s="7"/>
      <c r="N420" s="7"/>
      <c r="O420" s="7"/>
      <c r="P420" s="7"/>
      <c r="Q420" s="7"/>
      <c r="R420" s="64"/>
      <c r="S420" s="64"/>
      <c r="T420" s="64"/>
      <c r="U420" s="64"/>
      <c r="V420" s="64"/>
      <c r="W420" s="64"/>
    </row>
    <row r="421" spans="1:23" ht="15.95" customHeight="1">
      <c r="A421" s="8"/>
      <c r="B421" s="7"/>
      <c r="C421" s="33"/>
      <c r="D421" s="7"/>
      <c r="E421" s="7"/>
      <c r="F421" s="7"/>
      <c r="G421" s="7"/>
      <c r="H421" s="7"/>
      <c r="I421" s="7"/>
      <c r="J421" s="7"/>
      <c r="K421" s="7"/>
      <c r="L421" s="7"/>
      <c r="M421" s="7"/>
      <c r="N421" s="7"/>
      <c r="O421" s="7"/>
      <c r="P421" s="7"/>
      <c r="Q421" s="7"/>
      <c r="R421" s="64"/>
      <c r="S421" s="64"/>
      <c r="T421" s="64"/>
      <c r="U421" s="64"/>
      <c r="V421" s="64"/>
      <c r="W421" s="64"/>
    </row>
    <row r="422" spans="1:23" ht="15.95" customHeight="1">
      <c r="A422" s="8"/>
      <c r="B422" s="7"/>
      <c r="C422" s="33"/>
      <c r="D422" s="7"/>
      <c r="E422" s="7"/>
      <c r="F422" s="7"/>
      <c r="G422" s="7"/>
      <c r="H422" s="7"/>
      <c r="I422" s="7"/>
      <c r="J422" s="7"/>
      <c r="K422" s="7"/>
      <c r="L422" s="7"/>
      <c r="M422" s="7"/>
      <c r="N422" s="7"/>
      <c r="O422" s="7"/>
      <c r="P422" s="7"/>
      <c r="Q422" s="7"/>
      <c r="R422" s="64"/>
      <c r="S422" s="64"/>
      <c r="T422" s="64"/>
      <c r="U422" s="64"/>
      <c r="V422" s="64"/>
      <c r="W422" s="64"/>
    </row>
    <row r="423" spans="1:23" ht="15.95" customHeight="1">
      <c r="A423" s="8"/>
      <c r="B423" s="7"/>
      <c r="C423" s="33"/>
      <c r="D423" s="7"/>
      <c r="E423" s="7"/>
      <c r="F423" s="7"/>
      <c r="G423" s="7"/>
      <c r="H423" s="7"/>
      <c r="I423" s="7"/>
      <c r="J423" s="7"/>
      <c r="K423" s="7"/>
      <c r="L423" s="7"/>
      <c r="M423" s="7"/>
      <c r="N423" s="7"/>
      <c r="O423" s="7"/>
      <c r="P423" s="7"/>
      <c r="Q423" s="7"/>
      <c r="R423" s="64"/>
      <c r="S423" s="64"/>
      <c r="T423" s="64"/>
      <c r="U423" s="64"/>
      <c r="V423" s="64"/>
      <c r="W423" s="64"/>
    </row>
    <row r="424" spans="1:23" ht="15.95" customHeight="1">
      <c r="A424" s="8"/>
      <c r="B424" s="7"/>
      <c r="C424" s="33"/>
      <c r="D424" s="7"/>
      <c r="E424" s="7"/>
      <c r="F424" s="7"/>
      <c r="G424" s="7"/>
      <c r="H424" s="7"/>
      <c r="I424" s="7"/>
      <c r="J424" s="7"/>
      <c r="K424" s="7"/>
      <c r="L424" s="7"/>
      <c r="M424" s="7"/>
      <c r="N424" s="7"/>
      <c r="O424" s="7"/>
      <c r="P424" s="7"/>
      <c r="Q424" s="7"/>
      <c r="R424" s="64"/>
      <c r="S424" s="64"/>
      <c r="T424" s="64"/>
      <c r="U424" s="64"/>
      <c r="V424" s="64"/>
      <c r="W424" s="64"/>
    </row>
    <row r="425" spans="1:23" ht="15.95" customHeight="1">
      <c r="A425" s="8"/>
      <c r="B425" s="7"/>
      <c r="C425" s="33"/>
      <c r="D425" s="7"/>
      <c r="E425" s="7"/>
      <c r="F425" s="7"/>
      <c r="G425" s="7"/>
      <c r="H425" s="7"/>
      <c r="I425" s="7"/>
      <c r="J425" s="7"/>
      <c r="K425" s="7"/>
      <c r="L425" s="7"/>
      <c r="M425" s="7"/>
      <c r="N425" s="7"/>
      <c r="O425" s="7"/>
      <c r="P425" s="7"/>
      <c r="Q425" s="7"/>
      <c r="R425" s="64"/>
      <c r="S425" s="64"/>
      <c r="T425" s="64"/>
      <c r="U425" s="64"/>
      <c r="V425" s="64"/>
      <c r="W425" s="64"/>
    </row>
    <row r="426" spans="1:23" ht="15.95" customHeight="1">
      <c r="A426" s="8"/>
      <c r="B426" s="7"/>
      <c r="C426" s="33"/>
      <c r="D426" s="7"/>
      <c r="E426" s="7"/>
      <c r="F426" s="7"/>
      <c r="G426" s="7"/>
      <c r="H426" s="7"/>
      <c r="I426" s="7"/>
      <c r="J426" s="7"/>
      <c r="K426" s="7"/>
      <c r="L426" s="7"/>
      <c r="M426" s="7"/>
      <c r="N426" s="7"/>
      <c r="O426" s="7"/>
      <c r="P426" s="7"/>
      <c r="Q426" s="7"/>
      <c r="R426" s="64"/>
      <c r="S426" s="64"/>
      <c r="T426" s="64"/>
      <c r="U426" s="64"/>
      <c r="V426" s="64"/>
      <c r="W426" s="64"/>
    </row>
    <row r="427" spans="1:23" ht="15.95" customHeight="1">
      <c r="A427" s="8"/>
      <c r="B427" s="7"/>
      <c r="C427" s="33"/>
      <c r="D427" s="7"/>
      <c r="E427" s="7"/>
      <c r="F427" s="7"/>
      <c r="G427" s="7"/>
      <c r="H427" s="7"/>
      <c r="I427" s="7"/>
      <c r="J427" s="7"/>
      <c r="K427" s="7"/>
      <c r="L427" s="7"/>
      <c r="M427" s="7"/>
      <c r="N427" s="7"/>
      <c r="O427" s="7"/>
      <c r="P427" s="7"/>
      <c r="Q427" s="7"/>
      <c r="R427" s="64"/>
      <c r="S427" s="64"/>
      <c r="T427" s="64"/>
      <c r="U427" s="64"/>
      <c r="V427" s="64"/>
      <c r="W427" s="64"/>
    </row>
    <row r="428" spans="1:23" ht="15.95" customHeight="1">
      <c r="A428" s="8"/>
      <c r="B428" s="7"/>
      <c r="C428" s="33"/>
      <c r="D428" s="7"/>
      <c r="E428" s="7"/>
      <c r="F428" s="7"/>
      <c r="G428" s="7"/>
      <c r="H428" s="7"/>
      <c r="I428" s="7"/>
      <c r="J428" s="7"/>
      <c r="K428" s="7"/>
      <c r="L428" s="7"/>
      <c r="M428" s="7"/>
      <c r="N428" s="7"/>
      <c r="O428" s="7"/>
      <c r="P428" s="7"/>
      <c r="Q428" s="7"/>
      <c r="R428" s="64"/>
      <c r="S428" s="64"/>
      <c r="T428" s="64"/>
      <c r="U428" s="64"/>
      <c r="V428" s="64"/>
      <c r="W428" s="64"/>
    </row>
    <row r="429" spans="1:23" ht="15.95" customHeight="1">
      <c r="A429" s="8"/>
      <c r="B429" s="7"/>
      <c r="C429" s="33"/>
      <c r="D429" s="7"/>
      <c r="E429" s="7"/>
      <c r="F429" s="7"/>
      <c r="G429" s="7"/>
      <c r="H429" s="7"/>
      <c r="I429" s="7"/>
      <c r="J429" s="7"/>
      <c r="K429" s="7"/>
      <c r="L429" s="7"/>
      <c r="M429" s="7"/>
      <c r="N429" s="7"/>
      <c r="O429" s="7"/>
      <c r="P429" s="7"/>
      <c r="Q429" s="7"/>
      <c r="R429" s="64"/>
      <c r="S429" s="64"/>
      <c r="T429" s="64"/>
      <c r="U429" s="64"/>
      <c r="V429" s="64"/>
      <c r="W429" s="64"/>
    </row>
    <row r="430" spans="1:23" ht="15.95" customHeight="1">
      <c r="A430" s="8"/>
      <c r="B430" s="7"/>
      <c r="C430" s="33"/>
      <c r="D430" s="7"/>
      <c r="E430" s="7"/>
      <c r="F430" s="7"/>
      <c r="G430" s="7"/>
      <c r="H430" s="7"/>
      <c r="I430" s="7"/>
      <c r="J430" s="7"/>
      <c r="K430" s="7"/>
      <c r="L430" s="7"/>
      <c r="M430" s="7"/>
      <c r="N430" s="7"/>
      <c r="O430" s="7"/>
      <c r="P430" s="7"/>
      <c r="Q430" s="7"/>
      <c r="R430" s="64"/>
      <c r="S430" s="64"/>
      <c r="T430" s="64"/>
      <c r="U430" s="64"/>
      <c r="V430" s="64"/>
      <c r="W430" s="64"/>
    </row>
    <row r="431" spans="1:23" ht="15.95" customHeight="1">
      <c r="A431" s="8"/>
      <c r="B431" s="7"/>
      <c r="C431" s="33"/>
      <c r="D431" s="7"/>
      <c r="E431" s="7"/>
      <c r="F431" s="7"/>
      <c r="G431" s="7"/>
      <c r="H431" s="7"/>
      <c r="I431" s="7"/>
      <c r="J431" s="7"/>
      <c r="K431" s="7"/>
      <c r="L431" s="7"/>
      <c r="M431" s="7"/>
      <c r="N431" s="7"/>
      <c r="O431" s="7"/>
      <c r="P431" s="7"/>
      <c r="Q431" s="7"/>
      <c r="R431" s="64"/>
      <c r="S431" s="64"/>
      <c r="T431" s="64"/>
      <c r="U431" s="64"/>
      <c r="V431" s="64"/>
      <c r="W431" s="64"/>
    </row>
    <row r="432" spans="1:23" ht="15.95" customHeight="1">
      <c r="A432" s="8"/>
      <c r="B432" s="7"/>
      <c r="C432" s="33"/>
      <c r="D432" s="7"/>
      <c r="E432" s="7"/>
      <c r="F432" s="7"/>
      <c r="G432" s="7"/>
      <c r="H432" s="7"/>
      <c r="I432" s="7"/>
      <c r="J432" s="7"/>
      <c r="K432" s="7"/>
      <c r="L432" s="7"/>
      <c r="M432" s="7"/>
      <c r="N432" s="7"/>
      <c r="O432" s="7"/>
      <c r="P432" s="7"/>
      <c r="Q432" s="7"/>
      <c r="R432" s="64"/>
      <c r="S432" s="64"/>
      <c r="T432" s="64"/>
      <c r="U432" s="64"/>
      <c r="V432" s="64"/>
      <c r="W432" s="64"/>
    </row>
    <row r="433" spans="1:23" ht="15.95" customHeight="1">
      <c r="A433" s="8"/>
      <c r="B433" s="7"/>
      <c r="C433" s="33"/>
      <c r="D433" s="7"/>
      <c r="E433" s="7"/>
      <c r="F433" s="7"/>
      <c r="G433" s="7"/>
      <c r="H433" s="7"/>
      <c r="I433" s="7"/>
      <c r="J433" s="7"/>
      <c r="K433" s="7"/>
      <c r="L433" s="7"/>
      <c r="M433" s="7"/>
      <c r="N433" s="7"/>
      <c r="O433" s="7"/>
      <c r="P433" s="7"/>
      <c r="Q433" s="7"/>
      <c r="R433" s="64"/>
      <c r="S433" s="64"/>
      <c r="T433" s="64"/>
      <c r="U433" s="64"/>
      <c r="V433" s="64"/>
      <c r="W433" s="64"/>
    </row>
    <row r="434" spans="1:23" ht="15.95" customHeight="1">
      <c r="A434" s="8"/>
      <c r="B434" s="7"/>
      <c r="C434" s="33"/>
      <c r="D434" s="7"/>
      <c r="E434" s="7"/>
      <c r="F434" s="7"/>
      <c r="G434" s="7"/>
      <c r="H434" s="7"/>
      <c r="I434" s="7"/>
      <c r="J434" s="7"/>
      <c r="K434" s="7"/>
      <c r="L434" s="7"/>
      <c r="M434" s="7"/>
      <c r="N434" s="7"/>
      <c r="O434" s="7"/>
      <c r="P434" s="7"/>
      <c r="Q434" s="7"/>
      <c r="R434" s="64"/>
      <c r="S434" s="64"/>
      <c r="T434" s="64"/>
      <c r="U434" s="64"/>
      <c r="V434" s="64"/>
      <c r="W434" s="64"/>
    </row>
    <row r="435" spans="1:23" ht="15.95" customHeight="1">
      <c r="A435" s="8"/>
      <c r="B435" s="7"/>
      <c r="C435" s="33"/>
      <c r="D435" s="7"/>
      <c r="E435" s="7"/>
      <c r="F435" s="7"/>
      <c r="G435" s="7"/>
      <c r="H435" s="7"/>
      <c r="I435" s="7"/>
      <c r="J435" s="7"/>
      <c r="K435" s="7"/>
      <c r="L435" s="7"/>
      <c r="M435" s="7"/>
      <c r="N435" s="7"/>
      <c r="O435" s="7"/>
      <c r="P435" s="7"/>
      <c r="Q435" s="7"/>
      <c r="R435" s="64"/>
      <c r="S435" s="64"/>
      <c r="T435" s="64"/>
      <c r="U435" s="64"/>
      <c r="V435" s="64"/>
      <c r="W435" s="64"/>
    </row>
    <row r="436" spans="1:23" ht="15.95" customHeight="1">
      <c r="A436" s="8"/>
      <c r="B436" s="7"/>
      <c r="C436" s="33"/>
      <c r="D436" s="7"/>
      <c r="E436" s="7"/>
      <c r="F436" s="7"/>
      <c r="G436" s="7"/>
      <c r="H436" s="7"/>
      <c r="I436" s="7"/>
      <c r="J436" s="7"/>
      <c r="K436" s="7"/>
      <c r="L436" s="7"/>
      <c r="M436" s="7"/>
      <c r="N436" s="7"/>
      <c r="O436" s="7"/>
      <c r="P436" s="7"/>
      <c r="Q436" s="7"/>
      <c r="R436" s="64"/>
      <c r="S436" s="64"/>
      <c r="T436" s="64"/>
      <c r="U436" s="64"/>
      <c r="V436" s="64"/>
      <c r="W436" s="64"/>
    </row>
    <row r="437" spans="1:23" ht="15.95" customHeight="1">
      <c r="A437" s="8"/>
      <c r="B437" s="7"/>
      <c r="C437" s="33"/>
      <c r="D437" s="7"/>
      <c r="E437" s="7"/>
      <c r="F437" s="7"/>
      <c r="G437" s="7"/>
      <c r="H437" s="7"/>
      <c r="I437" s="7"/>
      <c r="J437" s="7"/>
      <c r="K437" s="7"/>
      <c r="L437" s="7"/>
      <c r="M437" s="7"/>
      <c r="N437" s="7"/>
      <c r="O437" s="7"/>
      <c r="P437" s="7"/>
      <c r="Q437" s="7"/>
      <c r="R437" s="64"/>
      <c r="S437" s="64"/>
      <c r="T437" s="64"/>
      <c r="U437" s="64"/>
      <c r="V437" s="64"/>
      <c r="W437" s="64"/>
    </row>
    <row r="438" spans="1:23" ht="15.95" customHeight="1">
      <c r="A438" s="8"/>
      <c r="B438" s="7"/>
      <c r="C438" s="33"/>
      <c r="D438" s="7"/>
      <c r="E438" s="7"/>
      <c r="F438" s="7"/>
      <c r="G438" s="7"/>
      <c r="H438" s="7"/>
      <c r="I438" s="7"/>
      <c r="J438" s="7"/>
      <c r="K438" s="7"/>
      <c r="L438" s="7"/>
      <c r="M438" s="7"/>
      <c r="N438" s="7"/>
      <c r="O438" s="7"/>
      <c r="P438" s="7"/>
      <c r="Q438" s="7"/>
      <c r="R438" s="64"/>
      <c r="S438" s="64"/>
      <c r="T438" s="64"/>
      <c r="U438" s="64"/>
      <c r="V438" s="64"/>
      <c r="W438" s="64"/>
    </row>
    <row r="439" spans="1:23" ht="15.95" customHeight="1">
      <c r="A439" s="8"/>
      <c r="B439" s="7"/>
      <c r="C439" s="33"/>
      <c r="D439" s="7"/>
      <c r="E439" s="7"/>
      <c r="F439" s="7"/>
      <c r="G439" s="7"/>
      <c r="H439" s="7"/>
      <c r="I439" s="7"/>
      <c r="J439" s="7"/>
      <c r="K439" s="7"/>
      <c r="L439" s="7"/>
      <c r="M439" s="7"/>
      <c r="N439" s="7"/>
      <c r="O439" s="7"/>
      <c r="P439" s="7"/>
      <c r="Q439" s="7"/>
      <c r="R439" s="64"/>
      <c r="S439" s="64"/>
      <c r="T439" s="64"/>
      <c r="U439" s="64"/>
      <c r="V439" s="64"/>
      <c r="W439" s="64"/>
    </row>
    <row r="440" spans="1:23" ht="15.95" customHeight="1">
      <c r="A440" s="8"/>
      <c r="B440" s="7"/>
      <c r="C440" s="33"/>
      <c r="D440" s="7"/>
      <c r="E440" s="7"/>
      <c r="F440" s="7"/>
      <c r="G440" s="7"/>
      <c r="H440" s="7"/>
      <c r="I440" s="7"/>
      <c r="J440" s="7"/>
      <c r="K440" s="7"/>
      <c r="L440" s="7"/>
      <c r="M440" s="7"/>
      <c r="N440" s="7"/>
      <c r="O440" s="7"/>
      <c r="P440" s="7"/>
      <c r="Q440" s="7"/>
      <c r="R440" s="64"/>
      <c r="S440" s="64"/>
      <c r="T440" s="64"/>
      <c r="U440" s="64"/>
      <c r="V440" s="64"/>
      <c r="W440" s="64"/>
    </row>
    <row r="441" spans="1:23" ht="15.95" customHeight="1">
      <c r="A441" s="8"/>
      <c r="B441" s="7"/>
      <c r="C441" s="33"/>
      <c r="D441" s="7"/>
      <c r="E441" s="7"/>
      <c r="F441" s="7"/>
      <c r="G441" s="7"/>
      <c r="H441" s="7"/>
      <c r="I441" s="7"/>
      <c r="J441" s="7"/>
      <c r="K441" s="7"/>
      <c r="L441" s="7"/>
      <c r="M441" s="7"/>
      <c r="N441" s="7"/>
      <c r="O441" s="7"/>
      <c r="P441" s="7"/>
      <c r="Q441" s="7"/>
      <c r="R441" s="64"/>
      <c r="S441" s="64"/>
      <c r="T441" s="64"/>
      <c r="U441" s="64"/>
      <c r="V441" s="64"/>
      <c r="W441" s="64"/>
    </row>
    <row r="442" spans="1:23" ht="15.95" customHeight="1">
      <c r="A442" s="8"/>
      <c r="B442" s="7"/>
      <c r="C442" s="33"/>
      <c r="D442" s="7"/>
      <c r="E442" s="7"/>
      <c r="F442" s="7"/>
      <c r="G442" s="7"/>
      <c r="H442" s="7"/>
      <c r="I442" s="7"/>
      <c r="J442" s="7"/>
      <c r="K442" s="7"/>
      <c r="L442" s="7"/>
      <c r="M442" s="7"/>
      <c r="N442" s="7"/>
      <c r="O442" s="7"/>
      <c r="P442" s="7"/>
      <c r="Q442" s="7"/>
      <c r="R442" s="64"/>
      <c r="S442" s="64"/>
      <c r="T442" s="64"/>
      <c r="U442" s="64"/>
      <c r="V442" s="64"/>
      <c r="W442" s="64"/>
    </row>
    <row r="443" spans="1:23" ht="15.95" customHeight="1">
      <c r="A443" s="8"/>
      <c r="B443" s="7"/>
      <c r="C443" s="33"/>
      <c r="D443" s="7"/>
      <c r="E443" s="7"/>
      <c r="F443" s="7"/>
      <c r="G443" s="7"/>
      <c r="H443" s="7"/>
      <c r="I443" s="7"/>
      <c r="J443" s="7"/>
      <c r="K443" s="7"/>
      <c r="L443" s="7"/>
      <c r="M443" s="7"/>
      <c r="N443" s="7"/>
      <c r="O443" s="7"/>
      <c r="P443" s="7"/>
      <c r="Q443" s="7"/>
      <c r="R443" s="64"/>
      <c r="S443" s="64"/>
      <c r="T443" s="64"/>
      <c r="U443" s="64"/>
      <c r="V443" s="64"/>
      <c r="W443" s="64"/>
    </row>
    <row r="444" spans="1:23" ht="15.95" customHeight="1">
      <c r="A444" s="8"/>
      <c r="B444" s="7"/>
      <c r="C444" s="33"/>
      <c r="D444" s="7"/>
      <c r="E444" s="7"/>
      <c r="F444" s="7"/>
      <c r="G444" s="7"/>
      <c r="H444" s="7"/>
      <c r="I444" s="7"/>
      <c r="J444" s="7"/>
      <c r="K444" s="7"/>
      <c r="L444" s="7"/>
      <c r="M444" s="7"/>
      <c r="N444" s="7"/>
      <c r="O444" s="7"/>
      <c r="P444" s="7"/>
      <c r="Q444" s="7"/>
      <c r="R444" s="64"/>
      <c r="S444" s="64"/>
      <c r="T444" s="64"/>
      <c r="U444" s="64"/>
      <c r="V444" s="64"/>
      <c r="W444" s="64"/>
    </row>
    <row r="445" spans="1:23" ht="15.95" customHeight="1">
      <c r="A445" s="8"/>
      <c r="B445" s="7"/>
      <c r="C445" s="33"/>
      <c r="D445" s="7"/>
      <c r="E445" s="7"/>
      <c r="F445" s="7"/>
      <c r="G445" s="7"/>
      <c r="H445" s="7"/>
      <c r="I445" s="7"/>
      <c r="J445" s="7"/>
      <c r="K445" s="7"/>
      <c r="L445" s="7"/>
      <c r="M445" s="7"/>
      <c r="N445" s="7"/>
      <c r="O445" s="7"/>
      <c r="P445" s="7"/>
      <c r="Q445" s="7"/>
      <c r="R445" s="64"/>
      <c r="S445" s="64"/>
      <c r="T445" s="64"/>
      <c r="U445" s="64"/>
      <c r="V445" s="64"/>
      <c r="W445" s="64"/>
    </row>
    <row r="446" spans="1:23" ht="15.95" customHeight="1">
      <c r="A446" s="8"/>
      <c r="B446" s="7"/>
      <c r="C446" s="33"/>
      <c r="D446" s="7"/>
      <c r="E446" s="7"/>
      <c r="F446" s="7"/>
      <c r="G446" s="7"/>
      <c r="H446" s="7"/>
      <c r="I446" s="7"/>
      <c r="J446" s="7"/>
      <c r="K446" s="7"/>
      <c r="L446" s="7"/>
      <c r="M446" s="7"/>
      <c r="N446" s="7"/>
      <c r="O446" s="7"/>
      <c r="P446" s="7"/>
      <c r="Q446" s="7"/>
      <c r="R446" s="64"/>
      <c r="S446" s="64"/>
      <c r="T446" s="64"/>
      <c r="U446" s="64"/>
      <c r="V446" s="64"/>
      <c r="W446" s="64"/>
    </row>
    <row r="447" spans="1:23" ht="15.95" customHeight="1">
      <c r="A447" s="8"/>
      <c r="B447" s="7"/>
      <c r="C447" s="33"/>
      <c r="D447" s="7"/>
      <c r="E447" s="7"/>
      <c r="F447" s="7"/>
      <c r="G447" s="7"/>
      <c r="H447" s="7"/>
      <c r="I447" s="7"/>
      <c r="J447" s="7"/>
      <c r="K447" s="7"/>
      <c r="L447" s="7"/>
      <c r="M447" s="7"/>
      <c r="N447" s="7"/>
      <c r="O447" s="7"/>
      <c r="P447" s="7"/>
      <c r="Q447" s="7"/>
      <c r="R447" s="64"/>
      <c r="S447" s="64"/>
      <c r="T447" s="64"/>
      <c r="U447" s="64"/>
      <c r="V447" s="64"/>
      <c r="W447" s="64"/>
    </row>
    <row r="448" spans="1:23" ht="15.95" customHeight="1">
      <c r="A448" s="8"/>
      <c r="B448" s="7"/>
      <c r="C448" s="33"/>
      <c r="D448" s="7"/>
      <c r="E448" s="7"/>
      <c r="F448" s="7"/>
      <c r="G448" s="7"/>
      <c r="H448" s="7"/>
      <c r="I448" s="7"/>
      <c r="J448" s="7"/>
      <c r="K448" s="7"/>
      <c r="L448" s="7"/>
      <c r="M448" s="7"/>
      <c r="N448" s="7"/>
      <c r="O448" s="7"/>
      <c r="P448" s="7"/>
      <c r="Q448" s="7"/>
      <c r="R448" s="64"/>
      <c r="S448" s="64"/>
      <c r="T448" s="64"/>
      <c r="U448" s="64"/>
      <c r="V448" s="64"/>
      <c r="W448" s="64"/>
    </row>
    <row r="449" spans="1:23" ht="15.95" customHeight="1">
      <c r="A449" s="8"/>
      <c r="B449" s="7"/>
      <c r="C449" s="33"/>
      <c r="D449" s="7"/>
      <c r="E449" s="7"/>
      <c r="F449" s="7"/>
      <c r="G449" s="7"/>
      <c r="H449" s="7"/>
      <c r="I449" s="7"/>
      <c r="J449" s="7"/>
      <c r="K449" s="7"/>
      <c r="L449" s="7"/>
      <c r="M449" s="7"/>
      <c r="N449" s="7"/>
      <c r="O449" s="7"/>
      <c r="P449" s="7"/>
      <c r="Q449" s="7"/>
      <c r="R449" s="64"/>
      <c r="S449" s="64"/>
      <c r="T449" s="64"/>
      <c r="U449" s="64"/>
      <c r="V449" s="64"/>
      <c r="W449" s="64"/>
    </row>
    <row r="450" spans="1:23" ht="15.95" customHeight="1">
      <c r="A450" s="8"/>
      <c r="B450" s="7"/>
      <c r="C450" s="33"/>
      <c r="D450" s="7"/>
      <c r="E450" s="7"/>
      <c r="F450" s="7"/>
      <c r="G450" s="7"/>
      <c r="H450" s="7"/>
      <c r="I450" s="7"/>
      <c r="J450" s="7"/>
      <c r="K450" s="7"/>
      <c r="L450" s="7"/>
      <c r="M450" s="7"/>
      <c r="N450" s="7"/>
      <c r="O450" s="7"/>
      <c r="P450" s="7"/>
      <c r="Q450" s="7"/>
      <c r="R450" s="64"/>
      <c r="S450" s="64"/>
      <c r="T450" s="64"/>
      <c r="U450" s="64"/>
      <c r="V450" s="64"/>
      <c r="W450" s="64"/>
    </row>
    <row r="451" spans="1:23" ht="15.95" customHeight="1">
      <c r="A451" s="8"/>
      <c r="B451" s="7"/>
      <c r="C451" s="33"/>
      <c r="D451" s="7"/>
      <c r="E451" s="7"/>
      <c r="F451" s="7"/>
      <c r="G451" s="7"/>
      <c r="H451" s="7"/>
      <c r="I451" s="7"/>
      <c r="J451" s="7"/>
      <c r="K451" s="7"/>
      <c r="L451" s="7"/>
      <c r="M451" s="7"/>
      <c r="N451" s="7"/>
      <c r="O451" s="7"/>
      <c r="P451" s="7"/>
      <c r="Q451" s="7"/>
      <c r="R451" s="64"/>
      <c r="S451" s="64"/>
      <c r="T451" s="64"/>
      <c r="U451" s="64"/>
      <c r="V451" s="64"/>
      <c r="W451" s="64"/>
    </row>
    <row r="452" spans="1:23" ht="15.95" customHeight="1">
      <c r="A452" s="8"/>
      <c r="B452" s="7"/>
      <c r="C452" s="33"/>
      <c r="D452" s="7"/>
      <c r="E452" s="7"/>
      <c r="F452" s="7"/>
      <c r="G452" s="7"/>
      <c r="H452" s="7"/>
      <c r="I452" s="7"/>
      <c r="J452" s="7"/>
      <c r="K452" s="7"/>
      <c r="L452" s="7"/>
      <c r="M452" s="7"/>
      <c r="N452" s="7"/>
      <c r="O452" s="7"/>
      <c r="P452" s="7"/>
      <c r="Q452" s="7"/>
      <c r="R452" s="64"/>
      <c r="S452" s="64"/>
      <c r="T452" s="64"/>
      <c r="U452" s="64"/>
      <c r="V452" s="64"/>
      <c r="W452" s="64"/>
    </row>
    <row r="453" spans="1:23" ht="15.95" customHeight="1">
      <c r="A453" s="8"/>
      <c r="B453" s="7"/>
      <c r="C453" s="33"/>
      <c r="D453" s="7"/>
      <c r="E453" s="7"/>
      <c r="F453" s="7"/>
      <c r="G453" s="7"/>
      <c r="H453" s="7"/>
      <c r="I453" s="7"/>
      <c r="J453" s="7"/>
      <c r="K453" s="7"/>
      <c r="L453" s="7"/>
      <c r="M453" s="7"/>
      <c r="N453" s="7"/>
      <c r="O453" s="7"/>
      <c r="P453" s="7"/>
      <c r="Q453" s="7"/>
      <c r="R453" s="64"/>
      <c r="S453" s="64"/>
      <c r="T453" s="64"/>
      <c r="U453" s="64"/>
      <c r="V453" s="64"/>
      <c r="W453" s="64"/>
    </row>
    <row r="454" spans="1:23" ht="15.95" customHeight="1">
      <c r="A454" s="8"/>
      <c r="B454" s="7"/>
      <c r="C454" s="33"/>
      <c r="D454" s="7"/>
      <c r="E454" s="7"/>
      <c r="F454" s="7"/>
      <c r="G454" s="7"/>
      <c r="H454" s="7"/>
      <c r="I454" s="7"/>
      <c r="J454" s="7"/>
      <c r="K454" s="7"/>
      <c r="L454" s="7"/>
      <c r="M454" s="7"/>
      <c r="N454" s="7"/>
      <c r="O454" s="7"/>
      <c r="P454" s="7"/>
      <c r="Q454" s="7"/>
      <c r="R454" s="64"/>
      <c r="S454" s="64"/>
      <c r="T454" s="64"/>
      <c r="U454" s="64"/>
      <c r="V454" s="64"/>
      <c r="W454" s="64"/>
    </row>
    <row r="455" spans="1:23" ht="15.95" customHeight="1">
      <c r="A455" s="8"/>
      <c r="B455" s="7"/>
      <c r="C455" s="33"/>
      <c r="D455" s="7"/>
      <c r="E455" s="7"/>
      <c r="F455" s="7"/>
      <c r="G455" s="7"/>
      <c r="H455" s="7"/>
      <c r="I455" s="7"/>
      <c r="J455" s="7"/>
      <c r="K455" s="7"/>
      <c r="L455" s="7"/>
      <c r="M455" s="7"/>
      <c r="N455" s="7"/>
      <c r="O455" s="7"/>
      <c r="P455" s="7"/>
      <c r="Q455" s="7"/>
      <c r="R455" s="64"/>
      <c r="S455" s="64"/>
      <c r="T455" s="64"/>
      <c r="U455" s="64"/>
      <c r="V455" s="64"/>
      <c r="W455" s="64"/>
    </row>
    <row r="456" spans="1:23" ht="15.95" customHeight="1">
      <c r="A456" s="8"/>
      <c r="B456" s="7"/>
      <c r="C456" s="33"/>
      <c r="D456" s="7"/>
      <c r="E456" s="7"/>
      <c r="F456" s="7"/>
      <c r="G456" s="7"/>
      <c r="H456" s="7"/>
      <c r="I456" s="7"/>
      <c r="J456" s="7"/>
      <c r="K456" s="7"/>
      <c r="L456" s="7"/>
      <c r="M456" s="7"/>
      <c r="N456" s="7"/>
      <c r="O456" s="7"/>
      <c r="P456" s="7"/>
      <c r="Q456" s="7"/>
      <c r="R456" s="64"/>
      <c r="S456" s="64"/>
      <c r="T456" s="64"/>
      <c r="U456" s="64"/>
      <c r="V456" s="64"/>
      <c r="W456" s="64"/>
    </row>
    <row r="457" spans="1:23" ht="15.95" customHeight="1">
      <c r="A457" s="8"/>
      <c r="B457" s="7"/>
      <c r="C457" s="33"/>
      <c r="D457" s="7"/>
      <c r="E457" s="7"/>
      <c r="F457" s="7"/>
      <c r="G457" s="7"/>
      <c r="H457" s="7"/>
      <c r="I457" s="7"/>
      <c r="J457" s="7"/>
      <c r="K457" s="7"/>
      <c r="L457" s="7"/>
      <c r="M457" s="7"/>
      <c r="N457" s="7"/>
      <c r="O457" s="7"/>
      <c r="P457" s="7"/>
      <c r="Q457" s="7"/>
      <c r="R457" s="64"/>
      <c r="S457" s="64"/>
      <c r="T457" s="64"/>
      <c r="U457" s="64"/>
      <c r="V457" s="64"/>
      <c r="W457" s="64"/>
    </row>
    <row r="458" spans="1:23" ht="15.95" customHeight="1">
      <c r="A458" s="8"/>
      <c r="B458" s="7"/>
      <c r="C458" s="33"/>
      <c r="D458" s="7"/>
      <c r="E458" s="7"/>
      <c r="F458" s="7"/>
      <c r="G458" s="7"/>
      <c r="H458" s="7"/>
      <c r="I458" s="7"/>
      <c r="J458" s="7"/>
      <c r="K458" s="7"/>
      <c r="L458" s="7"/>
      <c r="M458" s="7"/>
      <c r="N458" s="7"/>
      <c r="O458" s="7"/>
      <c r="P458" s="7"/>
      <c r="Q458" s="7"/>
      <c r="R458" s="64"/>
      <c r="S458" s="64"/>
      <c r="T458" s="64"/>
      <c r="U458" s="64"/>
      <c r="V458" s="64"/>
      <c r="W458" s="64"/>
    </row>
    <row r="459" spans="1:23" ht="15.95" customHeight="1">
      <c r="A459" s="8"/>
      <c r="B459" s="7"/>
      <c r="C459" s="33"/>
      <c r="D459" s="7"/>
      <c r="E459" s="7"/>
      <c r="F459" s="7"/>
      <c r="G459" s="7"/>
      <c r="H459" s="7"/>
      <c r="I459" s="7"/>
      <c r="J459" s="7"/>
      <c r="K459" s="7"/>
      <c r="L459" s="7"/>
      <c r="M459" s="7"/>
      <c r="N459" s="7"/>
      <c r="O459" s="7"/>
      <c r="P459" s="7"/>
      <c r="Q459" s="7"/>
      <c r="R459" s="64"/>
      <c r="S459" s="64"/>
      <c r="T459" s="64"/>
      <c r="U459" s="64"/>
      <c r="V459" s="64"/>
      <c r="W459" s="64"/>
    </row>
    <row r="460" spans="1:23" ht="15.95" customHeight="1">
      <c r="A460" s="8"/>
      <c r="B460" s="7"/>
      <c r="C460" s="33"/>
      <c r="D460" s="7"/>
      <c r="E460" s="7"/>
      <c r="F460" s="7"/>
      <c r="G460" s="7"/>
      <c r="H460" s="7"/>
      <c r="I460" s="7"/>
      <c r="J460" s="7"/>
      <c r="K460" s="7"/>
      <c r="L460" s="7"/>
      <c r="M460" s="7"/>
      <c r="N460" s="7"/>
      <c r="O460" s="7"/>
      <c r="P460" s="7"/>
      <c r="Q460" s="7"/>
      <c r="R460" s="64"/>
      <c r="S460" s="64"/>
      <c r="T460" s="64"/>
      <c r="U460" s="64"/>
      <c r="V460" s="64"/>
      <c r="W460" s="64"/>
    </row>
    <row r="461" spans="1:23" ht="15.95" customHeight="1">
      <c r="A461" s="8"/>
      <c r="B461" s="7"/>
      <c r="C461" s="33"/>
      <c r="D461" s="7"/>
      <c r="E461" s="7"/>
      <c r="F461" s="7"/>
      <c r="G461" s="7"/>
      <c r="H461" s="7"/>
      <c r="I461" s="7"/>
      <c r="J461" s="7"/>
      <c r="K461" s="7"/>
      <c r="L461" s="7"/>
      <c r="M461" s="7"/>
      <c r="N461" s="7"/>
      <c r="O461" s="7"/>
      <c r="P461" s="7"/>
      <c r="Q461" s="7"/>
      <c r="R461" s="64"/>
      <c r="S461" s="64"/>
      <c r="T461" s="64"/>
      <c r="U461" s="64"/>
      <c r="V461" s="64"/>
      <c r="W461" s="64"/>
    </row>
    <row r="462" spans="1:23" ht="15.95" customHeight="1">
      <c r="A462" s="8"/>
      <c r="B462" s="7"/>
      <c r="C462" s="33"/>
      <c r="D462" s="7"/>
      <c r="E462" s="7"/>
      <c r="F462" s="7"/>
      <c r="G462" s="7"/>
      <c r="H462" s="7"/>
      <c r="I462" s="7"/>
      <c r="J462" s="7"/>
      <c r="K462" s="7"/>
      <c r="L462" s="7"/>
      <c r="M462" s="7"/>
      <c r="N462" s="7"/>
      <c r="O462" s="7"/>
      <c r="P462" s="7"/>
      <c r="Q462" s="7"/>
      <c r="R462" s="64"/>
      <c r="S462" s="64"/>
      <c r="T462" s="64"/>
      <c r="U462" s="64"/>
      <c r="V462" s="64"/>
      <c r="W462" s="64"/>
    </row>
    <row r="463" spans="1:23" ht="15.95" customHeight="1">
      <c r="A463" s="8"/>
      <c r="B463" s="7"/>
      <c r="C463" s="33"/>
      <c r="D463" s="7"/>
      <c r="E463" s="7"/>
      <c r="F463" s="7"/>
      <c r="G463" s="7"/>
      <c r="H463" s="7"/>
      <c r="I463" s="7"/>
      <c r="J463" s="7"/>
      <c r="K463" s="7"/>
      <c r="L463" s="7"/>
      <c r="M463" s="7"/>
      <c r="N463" s="7"/>
      <c r="O463" s="7"/>
      <c r="P463" s="7"/>
      <c r="Q463" s="7"/>
      <c r="R463" s="64"/>
      <c r="S463" s="64"/>
      <c r="T463" s="64"/>
      <c r="U463" s="64"/>
      <c r="V463" s="64"/>
      <c r="W463" s="64"/>
    </row>
    <row r="464" spans="1:23" ht="15.95" customHeight="1">
      <c r="A464" s="8"/>
      <c r="B464" s="7"/>
      <c r="C464" s="33"/>
      <c r="D464" s="7"/>
      <c r="E464" s="7"/>
      <c r="F464" s="7"/>
      <c r="G464" s="7"/>
      <c r="H464" s="7"/>
      <c r="I464" s="7"/>
      <c r="J464" s="7"/>
      <c r="K464" s="7"/>
      <c r="L464" s="7"/>
      <c r="M464" s="7"/>
      <c r="N464" s="7"/>
      <c r="O464" s="7"/>
      <c r="P464" s="7"/>
      <c r="Q464" s="7"/>
      <c r="R464" s="64"/>
      <c r="S464" s="64"/>
      <c r="T464" s="64"/>
      <c r="U464" s="64"/>
      <c r="V464" s="64"/>
      <c r="W464" s="64"/>
    </row>
    <row r="465" spans="1:23" ht="15.95" customHeight="1">
      <c r="A465" s="8"/>
      <c r="B465" s="7"/>
      <c r="C465" s="33"/>
      <c r="D465" s="7"/>
      <c r="E465" s="7"/>
      <c r="F465" s="7"/>
      <c r="G465" s="7"/>
      <c r="H465" s="7"/>
      <c r="I465" s="7"/>
      <c r="J465" s="7"/>
      <c r="K465" s="7"/>
      <c r="L465" s="7"/>
      <c r="M465" s="7"/>
      <c r="N465" s="7"/>
      <c r="O465" s="7"/>
      <c r="P465" s="7"/>
      <c r="Q465" s="7"/>
      <c r="R465" s="64"/>
      <c r="S465" s="64"/>
      <c r="T465" s="64"/>
      <c r="U465" s="64"/>
      <c r="V465" s="64"/>
      <c r="W465" s="64"/>
    </row>
    <row r="466" spans="1:23" ht="15.95" customHeight="1">
      <c r="A466" s="8"/>
      <c r="B466" s="7"/>
      <c r="C466" s="33"/>
      <c r="D466" s="7"/>
      <c r="E466" s="7"/>
      <c r="F466" s="7"/>
      <c r="G466" s="7"/>
      <c r="H466" s="7"/>
      <c r="I466" s="7"/>
      <c r="J466" s="7"/>
      <c r="K466" s="7"/>
      <c r="L466" s="7"/>
      <c r="M466" s="7"/>
      <c r="N466" s="7"/>
      <c r="O466" s="7"/>
      <c r="P466" s="7"/>
      <c r="Q466" s="7"/>
      <c r="R466" s="64"/>
      <c r="S466" s="64"/>
      <c r="T466" s="64"/>
      <c r="U466" s="64"/>
      <c r="V466" s="64"/>
      <c r="W466" s="64"/>
    </row>
    <row r="467" spans="1:23" ht="15.95" customHeight="1">
      <c r="A467" s="8"/>
      <c r="B467" s="7"/>
      <c r="C467" s="33"/>
      <c r="D467" s="7"/>
      <c r="E467" s="7"/>
      <c r="F467" s="7"/>
      <c r="G467" s="7"/>
      <c r="H467" s="7"/>
      <c r="I467" s="7"/>
      <c r="J467" s="7"/>
      <c r="K467" s="7"/>
      <c r="L467" s="7"/>
      <c r="M467" s="7"/>
      <c r="N467" s="7"/>
      <c r="O467" s="7"/>
      <c r="P467" s="7"/>
      <c r="Q467" s="7"/>
      <c r="R467" s="64"/>
      <c r="S467" s="64"/>
      <c r="T467" s="64"/>
      <c r="U467" s="64"/>
      <c r="V467" s="64"/>
      <c r="W467" s="64"/>
    </row>
    <row r="468" spans="1:23" ht="15.95" customHeight="1">
      <c r="A468" s="8"/>
      <c r="B468" s="7"/>
      <c r="C468" s="33"/>
      <c r="D468" s="7"/>
      <c r="E468" s="7"/>
      <c r="F468" s="7"/>
      <c r="G468" s="7"/>
      <c r="H468" s="7"/>
      <c r="I468" s="7"/>
      <c r="J468" s="7"/>
      <c r="K468" s="7"/>
      <c r="L468" s="7"/>
      <c r="M468" s="7"/>
      <c r="N468" s="7"/>
      <c r="O468" s="7"/>
      <c r="P468" s="7"/>
      <c r="Q468" s="7"/>
      <c r="R468" s="64"/>
      <c r="S468" s="64"/>
      <c r="T468" s="64"/>
      <c r="U468" s="64"/>
      <c r="V468" s="64"/>
      <c r="W468" s="64"/>
    </row>
    <row r="469" spans="1:23" ht="15.95" customHeight="1">
      <c r="A469" s="8"/>
      <c r="B469" s="7"/>
      <c r="C469" s="33"/>
      <c r="D469" s="7"/>
      <c r="E469" s="7"/>
      <c r="F469" s="7"/>
      <c r="G469" s="7"/>
      <c r="H469" s="7"/>
      <c r="I469" s="7"/>
      <c r="J469" s="7"/>
      <c r="K469" s="7"/>
      <c r="L469" s="7"/>
      <c r="M469" s="7"/>
      <c r="N469" s="7"/>
      <c r="O469" s="7"/>
      <c r="P469" s="7"/>
      <c r="Q469" s="7"/>
      <c r="R469" s="64"/>
      <c r="S469" s="64"/>
      <c r="T469" s="64"/>
      <c r="U469" s="64"/>
      <c r="V469" s="64"/>
      <c r="W469" s="64"/>
    </row>
    <row r="470" spans="1:23" ht="15.95" customHeight="1">
      <c r="A470" s="8"/>
      <c r="B470" s="7"/>
      <c r="C470" s="33"/>
      <c r="D470" s="7"/>
      <c r="E470" s="7"/>
      <c r="F470" s="7"/>
      <c r="G470" s="7"/>
      <c r="H470" s="7"/>
      <c r="I470" s="7"/>
      <c r="J470" s="7"/>
      <c r="K470" s="7"/>
      <c r="L470" s="7"/>
      <c r="M470" s="7"/>
      <c r="N470" s="7"/>
      <c r="O470" s="7"/>
      <c r="P470" s="7"/>
      <c r="Q470" s="7"/>
      <c r="R470" s="64"/>
      <c r="S470" s="64"/>
      <c r="T470" s="64"/>
      <c r="U470" s="64"/>
      <c r="V470" s="64"/>
      <c r="W470" s="64"/>
    </row>
    <row r="471" spans="1:23" ht="15.95" customHeight="1">
      <c r="A471" s="8"/>
      <c r="B471" s="7"/>
      <c r="C471" s="33"/>
      <c r="D471" s="7"/>
      <c r="E471" s="7"/>
      <c r="F471" s="7"/>
      <c r="G471" s="7"/>
      <c r="H471" s="7"/>
      <c r="I471" s="7"/>
      <c r="J471" s="7"/>
      <c r="K471" s="7"/>
      <c r="L471" s="7"/>
      <c r="M471" s="7"/>
      <c r="N471" s="7"/>
      <c r="O471" s="7"/>
      <c r="P471" s="7"/>
      <c r="Q471" s="7"/>
      <c r="R471" s="64"/>
      <c r="S471" s="64"/>
      <c r="T471" s="64"/>
      <c r="U471" s="64"/>
      <c r="V471" s="64"/>
      <c r="W471" s="64"/>
    </row>
    <row r="472" spans="1:23" ht="15.95" customHeight="1">
      <c r="A472" s="8"/>
      <c r="B472" s="7"/>
      <c r="C472" s="33"/>
      <c r="D472" s="7"/>
      <c r="E472" s="7"/>
      <c r="F472" s="7"/>
      <c r="G472" s="7"/>
      <c r="H472" s="7"/>
      <c r="I472" s="7"/>
      <c r="J472" s="7"/>
      <c r="K472" s="7"/>
      <c r="L472" s="7"/>
      <c r="M472" s="7"/>
      <c r="N472" s="7"/>
      <c r="O472" s="7"/>
      <c r="P472" s="7"/>
      <c r="Q472" s="7"/>
      <c r="R472" s="64"/>
      <c r="S472" s="64"/>
      <c r="T472" s="64"/>
      <c r="U472" s="64"/>
      <c r="V472" s="64"/>
      <c r="W472" s="64"/>
    </row>
    <row r="473" spans="1:23" ht="15.95" customHeight="1">
      <c r="A473" s="8"/>
      <c r="B473" s="7"/>
      <c r="C473" s="33"/>
      <c r="D473" s="7"/>
      <c r="E473" s="7"/>
      <c r="F473" s="7"/>
      <c r="G473" s="7"/>
      <c r="H473" s="7"/>
      <c r="I473" s="7"/>
      <c r="J473" s="7"/>
      <c r="K473" s="7"/>
      <c r="L473" s="7"/>
      <c r="M473" s="7"/>
      <c r="N473" s="7"/>
      <c r="O473" s="7"/>
      <c r="P473" s="7"/>
      <c r="Q473" s="7"/>
      <c r="R473" s="64"/>
      <c r="S473" s="64"/>
      <c r="T473" s="64"/>
      <c r="U473" s="64"/>
      <c r="V473" s="64"/>
      <c r="W473" s="64"/>
    </row>
    <row r="474" spans="1:23" ht="15.95" customHeight="1">
      <c r="A474" s="8"/>
      <c r="B474" s="7"/>
      <c r="C474" s="33"/>
      <c r="D474" s="7"/>
      <c r="E474" s="7"/>
      <c r="F474" s="7"/>
      <c r="G474" s="7"/>
      <c r="H474" s="7"/>
      <c r="I474" s="7"/>
      <c r="J474" s="7"/>
      <c r="K474" s="7"/>
      <c r="L474" s="7"/>
      <c r="M474" s="7"/>
      <c r="N474" s="7"/>
      <c r="O474" s="7"/>
      <c r="P474" s="7"/>
      <c r="Q474" s="7"/>
      <c r="R474" s="64"/>
      <c r="S474" s="64"/>
      <c r="T474" s="64"/>
      <c r="U474" s="64"/>
      <c r="V474" s="64"/>
      <c r="W474" s="64"/>
    </row>
    <row r="475" spans="1:23" ht="15.95" customHeight="1">
      <c r="A475" s="8"/>
      <c r="B475" s="7"/>
      <c r="C475" s="33"/>
      <c r="D475" s="7"/>
      <c r="E475" s="7"/>
      <c r="F475" s="7"/>
      <c r="G475" s="7"/>
      <c r="H475" s="7"/>
      <c r="I475" s="7"/>
      <c r="J475" s="7"/>
      <c r="K475" s="7"/>
      <c r="L475" s="7"/>
      <c r="M475" s="7"/>
      <c r="N475" s="7"/>
      <c r="O475" s="7"/>
      <c r="P475" s="7"/>
      <c r="Q475" s="7"/>
      <c r="R475" s="64"/>
      <c r="S475" s="64"/>
      <c r="T475" s="64"/>
      <c r="U475" s="64"/>
      <c r="V475" s="64"/>
      <c r="W475" s="64"/>
    </row>
    <row r="476" spans="1:23" ht="15.95" customHeight="1">
      <c r="A476" s="8"/>
      <c r="B476" s="7"/>
      <c r="C476" s="33"/>
      <c r="D476" s="7"/>
      <c r="E476" s="7"/>
      <c r="F476" s="7"/>
      <c r="G476" s="7"/>
      <c r="H476" s="7"/>
      <c r="I476" s="7"/>
      <c r="J476" s="7"/>
      <c r="K476" s="7"/>
      <c r="L476" s="7"/>
      <c r="M476" s="7"/>
      <c r="N476" s="7"/>
      <c r="O476" s="7"/>
      <c r="P476" s="7"/>
      <c r="Q476" s="7"/>
      <c r="R476" s="64"/>
      <c r="S476" s="64"/>
      <c r="T476" s="64"/>
      <c r="U476" s="64"/>
      <c r="V476" s="64"/>
      <c r="W476" s="64"/>
    </row>
    <row r="477" spans="1:23" ht="15.95" customHeight="1">
      <c r="A477" s="8"/>
      <c r="B477" s="7"/>
      <c r="C477" s="33"/>
      <c r="D477" s="7"/>
      <c r="E477" s="7"/>
      <c r="F477" s="7"/>
      <c r="G477" s="7"/>
      <c r="H477" s="7"/>
      <c r="I477" s="7"/>
      <c r="J477" s="7"/>
      <c r="K477" s="7"/>
      <c r="L477" s="7"/>
      <c r="M477" s="7"/>
      <c r="N477" s="7"/>
      <c r="O477" s="7"/>
      <c r="P477" s="7"/>
      <c r="Q477" s="7"/>
      <c r="R477" s="64"/>
      <c r="S477" s="64"/>
      <c r="T477" s="64"/>
      <c r="U477" s="64"/>
      <c r="V477" s="64"/>
      <c r="W477" s="64"/>
    </row>
    <row r="478" spans="1:23" ht="15.95" customHeight="1">
      <c r="A478" s="8"/>
      <c r="B478" s="7"/>
      <c r="C478" s="33"/>
      <c r="D478" s="7"/>
      <c r="E478" s="7"/>
      <c r="F478" s="7"/>
      <c r="G478" s="7"/>
      <c r="H478" s="7"/>
      <c r="I478" s="7"/>
      <c r="J478" s="7"/>
      <c r="K478" s="7"/>
      <c r="L478" s="7"/>
      <c r="M478" s="7"/>
      <c r="N478" s="7"/>
      <c r="O478" s="7"/>
      <c r="P478" s="7"/>
      <c r="Q478" s="7"/>
      <c r="R478" s="64"/>
      <c r="S478" s="64"/>
      <c r="T478" s="64"/>
      <c r="U478" s="64"/>
      <c r="V478" s="64"/>
      <c r="W478" s="64"/>
    </row>
    <row r="479" spans="1:23" ht="15.95" customHeight="1">
      <c r="A479" s="8"/>
      <c r="B479" s="7"/>
      <c r="C479" s="33"/>
      <c r="D479" s="7"/>
      <c r="E479" s="7"/>
      <c r="F479" s="7"/>
      <c r="G479" s="7"/>
      <c r="H479" s="7"/>
      <c r="I479" s="7"/>
      <c r="J479" s="7"/>
      <c r="K479" s="7"/>
      <c r="L479" s="7"/>
      <c r="M479" s="7"/>
      <c r="N479" s="7"/>
      <c r="O479" s="7"/>
      <c r="P479" s="7"/>
      <c r="Q479" s="7"/>
      <c r="R479" s="64"/>
      <c r="S479" s="64"/>
      <c r="T479" s="64"/>
      <c r="U479" s="64"/>
      <c r="V479" s="64"/>
      <c r="W479" s="64"/>
    </row>
    <row r="480" spans="1:23" ht="15.95" customHeight="1">
      <c r="A480" s="8"/>
      <c r="B480" s="7"/>
      <c r="C480" s="33"/>
      <c r="D480" s="7"/>
      <c r="E480" s="7"/>
      <c r="F480" s="7"/>
      <c r="G480" s="7"/>
      <c r="H480" s="7"/>
      <c r="I480" s="7"/>
      <c r="J480" s="7"/>
      <c r="K480" s="7"/>
      <c r="L480" s="7"/>
      <c r="M480" s="7"/>
      <c r="N480" s="7"/>
      <c r="O480" s="7"/>
      <c r="P480" s="7"/>
      <c r="Q480" s="7"/>
      <c r="R480" s="64"/>
      <c r="S480" s="64"/>
      <c r="T480" s="64"/>
      <c r="U480" s="64"/>
      <c r="V480" s="64"/>
      <c r="W480" s="64"/>
    </row>
    <row r="481" spans="1:23" ht="15.95" customHeight="1">
      <c r="A481" s="8"/>
      <c r="B481" s="7"/>
      <c r="C481" s="33"/>
      <c r="D481" s="7"/>
      <c r="E481" s="7"/>
      <c r="F481" s="7"/>
      <c r="G481" s="7"/>
      <c r="H481" s="7"/>
      <c r="I481" s="7"/>
      <c r="J481" s="7"/>
      <c r="K481" s="7"/>
      <c r="L481" s="7"/>
      <c r="M481" s="7"/>
      <c r="N481" s="7"/>
      <c r="O481" s="7"/>
      <c r="P481" s="7"/>
      <c r="Q481" s="7"/>
      <c r="R481" s="64"/>
      <c r="S481" s="64"/>
      <c r="T481" s="64"/>
      <c r="U481" s="64"/>
      <c r="V481" s="64"/>
      <c r="W481" s="64"/>
    </row>
    <row r="482" spans="1:23" ht="15.95" customHeight="1">
      <c r="A482" s="8"/>
      <c r="B482" s="7"/>
      <c r="C482" s="33"/>
      <c r="D482" s="7"/>
      <c r="E482" s="7"/>
      <c r="F482" s="7"/>
      <c r="G482" s="7"/>
      <c r="H482" s="7"/>
      <c r="I482" s="7"/>
      <c r="J482" s="7"/>
      <c r="K482" s="7"/>
      <c r="L482" s="7"/>
      <c r="M482" s="7"/>
      <c r="N482" s="7"/>
      <c r="O482" s="7"/>
      <c r="P482" s="7"/>
      <c r="Q482" s="7"/>
      <c r="R482" s="64"/>
      <c r="S482" s="64"/>
      <c r="T482" s="64"/>
      <c r="U482" s="64"/>
      <c r="V482" s="64"/>
      <c r="W482" s="64"/>
    </row>
    <row r="483" spans="1:23" ht="15.95" customHeight="1">
      <c r="A483" s="8"/>
      <c r="B483" s="7"/>
      <c r="C483" s="33"/>
      <c r="D483" s="7"/>
      <c r="E483" s="7"/>
      <c r="F483" s="7"/>
      <c r="G483" s="7"/>
      <c r="H483" s="7"/>
      <c r="I483" s="7"/>
      <c r="J483" s="7"/>
      <c r="K483" s="7"/>
      <c r="L483" s="7"/>
      <c r="M483" s="7"/>
      <c r="N483" s="7"/>
      <c r="O483" s="7"/>
      <c r="P483" s="7"/>
      <c r="Q483" s="7"/>
      <c r="R483" s="64"/>
      <c r="S483" s="64"/>
      <c r="T483" s="64"/>
      <c r="U483" s="64"/>
      <c r="V483" s="64"/>
      <c r="W483" s="64"/>
    </row>
    <row r="484" spans="1:23" ht="15.95" customHeight="1">
      <c r="A484" s="8"/>
      <c r="B484" s="7"/>
      <c r="C484" s="33"/>
      <c r="D484" s="7"/>
      <c r="E484" s="7"/>
      <c r="F484" s="7"/>
      <c r="G484" s="7"/>
      <c r="H484" s="7"/>
      <c r="I484" s="7"/>
      <c r="J484" s="7"/>
      <c r="K484" s="7"/>
      <c r="L484" s="7"/>
      <c r="M484" s="7"/>
      <c r="N484" s="7"/>
      <c r="O484" s="7"/>
      <c r="P484" s="7"/>
      <c r="Q484" s="7"/>
      <c r="R484" s="64"/>
      <c r="S484" s="64"/>
      <c r="T484" s="64"/>
      <c r="U484" s="64"/>
      <c r="V484" s="64"/>
      <c r="W484" s="64"/>
    </row>
    <row r="485" spans="1:23" ht="15.95" customHeight="1">
      <c r="A485" s="8"/>
      <c r="B485" s="7"/>
      <c r="C485" s="33"/>
      <c r="D485" s="7"/>
      <c r="E485" s="7"/>
      <c r="F485" s="7"/>
      <c r="G485" s="7"/>
      <c r="H485" s="7"/>
      <c r="I485" s="7"/>
      <c r="J485" s="7"/>
      <c r="K485" s="7"/>
      <c r="L485" s="7"/>
      <c r="M485" s="7"/>
      <c r="N485" s="7"/>
      <c r="O485" s="7"/>
      <c r="P485" s="7"/>
      <c r="Q485" s="7"/>
      <c r="R485" s="64"/>
      <c r="S485" s="64"/>
      <c r="T485" s="64"/>
      <c r="U485" s="64"/>
      <c r="V485" s="64"/>
      <c r="W485" s="64"/>
    </row>
    <row r="486" spans="1:23" ht="15.95" customHeight="1">
      <c r="A486" s="8"/>
      <c r="B486" s="7"/>
      <c r="C486" s="33"/>
      <c r="D486" s="7"/>
      <c r="E486" s="7"/>
      <c r="F486" s="7"/>
      <c r="G486" s="7"/>
      <c r="H486" s="7"/>
      <c r="I486" s="7"/>
      <c r="J486" s="7"/>
      <c r="K486" s="7"/>
      <c r="L486" s="7"/>
      <c r="M486" s="7"/>
      <c r="N486" s="7"/>
      <c r="O486" s="7"/>
      <c r="P486" s="7"/>
      <c r="Q486" s="7"/>
      <c r="R486" s="64"/>
      <c r="S486" s="64"/>
      <c r="T486" s="64"/>
      <c r="U486" s="64"/>
      <c r="V486" s="64"/>
      <c r="W486" s="64"/>
    </row>
    <row r="487" spans="1:23" ht="15.95" customHeight="1">
      <c r="A487" s="8"/>
      <c r="B487" s="7"/>
      <c r="C487" s="33"/>
      <c r="D487" s="7"/>
      <c r="E487" s="7"/>
      <c r="F487" s="7"/>
      <c r="G487" s="7"/>
      <c r="H487" s="7"/>
      <c r="I487" s="7"/>
      <c r="J487" s="7"/>
      <c r="K487" s="7"/>
      <c r="L487" s="7"/>
      <c r="M487" s="7"/>
      <c r="N487" s="7"/>
      <c r="O487" s="7"/>
      <c r="P487" s="7"/>
      <c r="Q487" s="7"/>
      <c r="R487" s="64"/>
      <c r="S487" s="64"/>
      <c r="T487" s="64"/>
      <c r="U487" s="64"/>
      <c r="V487" s="64"/>
      <c r="W487" s="64"/>
    </row>
    <row r="488" spans="1:23" ht="15.95" customHeight="1">
      <c r="A488" s="8"/>
      <c r="B488" s="7"/>
      <c r="C488" s="33"/>
      <c r="D488" s="7"/>
      <c r="E488" s="7"/>
      <c r="F488" s="7"/>
      <c r="G488" s="7"/>
      <c r="H488" s="7"/>
      <c r="I488" s="7"/>
      <c r="J488" s="7"/>
      <c r="K488" s="7"/>
      <c r="L488" s="7"/>
      <c r="M488" s="7"/>
      <c r="N488" s="7"/>
      <c r="O488" s="7"/>
      <c r="P488" s="7"/>
      <c r="Q488" s="7"/>
      <c r="R488" s="64"/>
      <c r="S488" s="64"/>
      <c r="T488" s="64"/>
      <c r="U488" s="64"/>
      <c r="V488" s="64"/>
      <c r="W488" s="64"/>
    </row>
    <row r="489" spans="1:23" ht="15.95" customHeight="1">
      <c r="A489" s="8"/>
      <c r="B489" s="7"/>
      <c r="C489" s="33"/>
      <c r="D489" s="7"/>
      <c r="E489" s="7"/>
      <c r="F489" s="7"/>
      <c r="G489" s="7"/>
      <c r="H489" s="7"/>
      <c r="I489" s="7"/>
      <c r="J489" s="7"/>
      <c r="K489" s="7"/>
      <c r="L489" s="7"/>
      <c r="M489" s="7"/>
      <c r="N489" s="7"/>
      <c r="O489" s="7"/>
      <c r="P489" s="7"/>
      <c r="Q489" s="7"/>
      <c r="R489" s="64"/>
      <c r="S489" s="64"/>
      <c r="T489" s="64"/>
      <c r="U489" s="64"/>
      <c r="V489" s="64"/>
      <c r="W489" s="64"/>
    </row>
    <row r="490" spans="1:23" ht="15.95" customHeight="1">
      <c r="A490" s="8"/>
      <c r="B490" s="7"/>
      <c r="C490" s="33"/>
      <c r="D490" s="7"/>
      <c r="E490" s="7"/>
      <c r="F490" s="7"/>
      <c r="G490" s="7"/>
      <c r="H490" s="7"/>
      <c r="I490" s="7"/>
      <c r="J490" s="7"/>
      <c r="K490" s="7"/>
      <c r="L490" s="7"/>
      <c r="M490" s="7"/>
      <c r="N490" s="7"/>
      <c r="O490" s="7"/>
      <c r="P490" s="7"/>
      <c r="Q490" s="7"/>
      <c r="R490" s="64"/>
      <c r="S490" s="64"/>
      <c r="T490" s="64"/>
      <c r="U490" s="64"/>
      <c r="V490" s="64"/>
      <c r="W490" s="64"/>
    </row>
    <row r="491" spans="1:23" ht="15.95" customHeight="1">
      <c r="A491" s="8"/>
      <c r="B491" s="7"/>
      <c r="C491" s="33"/>
      <c r="D491" s="7"/>
      <c r="E491" s="7"/>
      <c r="F491" s="7"/>
      <c r="G491" s="7"/>
      <c r="H491" s="7"/>
      <c r="I491" s="7"/>
      <c r="J491" s="7"/>
      <c r="K491" s="7"/>
      <c r="L491" s="7"/>
      <c r="M491" s="7"/>
      <c r="N491" s="7"/>
      <c r="O491" s="7"/>
      <c r="P491" s="7"/>
      <c r="Q491" s="7"/>
      <c r="R491" s="64"/>
      <c r="S491" s="64"/>
      <c r="T491" s="64"/>
      <c r="U491" s="64"/>
      <c r="V491" s="64"/>
      <c r="W491" s="64"/>
    </row>
    <row r="492" spans="1:23" ht="15.95" customHeight="1">
      <c r="A492" s="8"/>
      <c r="B492" s="7"/>
      <c r="C492" s="33"/>
      <c r="D492" s="7"/>
      <c r="E492" s="7"/>
      <c r="F492" s="7"/>
      <c r="G492" s="7"/>
      <c r="H492" s="7"/>
      <c r="I492" s="7"/>
      <c r="J492" s="7"/>
      <c r="K492" s="7"/>
      <c r="L492" s="7"/>
      <c r="M492" s="7"/>
      <c r="N492" s="7"/>
      <c r="O492" s="7"/>
      <c r="P492" s="7"/>
      <c r="Q492" s="7"/>
      <c r="R492" s="64"/>
      <c r="S492" s="64"/>
      <c r="T492" s="64"/>
      <c r="U492" s="64"/>
      <c r="V492" s="64"/>
      <c r="W492" s="64"/>
    </row>
    <row r="493" spans="1:23" ht="15.95" customHeight="1">
      <c r="A493" s="8"/>
      <c r="B493" s="7"/>
      <c r="C493" s="33"/>
      <c r="D493" s="7"/>
      <c r="E493" s="7"/>
      <c r="F493" s="7"/>
      <c r="G493" s="7"/>
      <c r="H493" s="7"/>
      <c r="I493" s="7"/>
      <c r="J493" s="7"/>
      <c r="K493" s="7"/>
      <c r="L493" s="7"/>
      <c r="M493" s="7"/>
      <c r="N493" s="7"/>
      <c r="O493" s="7"/>
      <c r="P493" s="7"/>
      <c r="Q493" s="7"/>
      <c r="R493" s="64"/>
      <c r="S493" s="64"/>
      <c r="T493" s="64"/>
      <c r="U493" s="64"/>
      <c r="V493" s="64"/>
      <c r="W493" s="64"/>
    </row>
    <row r="494" spans="1:23" ht="15.95" customHeight="1">
      <c r="A494" s="8"/>
      <c r="B494" s="7"/>
      <c r="C494" s="33"/>
      <c r="D494" s="7"/>
      <c r="E494" s="7"/>
      <c r="F494" s="7"/>
      <c r="G494" s="7"/>
      <c r="H494" s="7"/>
      <c r="I494" s="7"/>
      <c r="J494" s="7"/>
      <c r="K494" s="7"/>
      <c r="L494" s="7"/>
      <c r="M494" s="7"/>
      <c r="N494" s="7"/>
      <c r="O494" s="7"/>
      <c r="P494" s="7"/>
      <c r="Q494" s="7"/>
      <c r="R494" s="64"/>
      <c r="S494" s="64"/>
      <c r="T494" s="64"/>
      <c r="U494" s="64"/>
      <c r="V494" s="64"/>
      <c r="W494" s="64"/>
    </row>
    <row r="495" spans="1:23" ht="15.95" customHeight="1">
      <c r="A495" s="8"/>
      <c r="B495" s="7"/>
      <c r="C495" s="33"/>
      <c r="D495" s="7"/>
      <c r="E495" s="7"/>
      <c r="F495" s="7"/>
      <c r="G495" s="7"/>
      <c r="H495" s="7"/>
      <c r="I495" s="7"/>
      <c r="J495" s="7"/>
      <c r="K495" s="7"/>
      <c r="L495" s="7"/>
      <c r="M495" s="7"/>
      <c r="N495" s="7"/>
      <c r="O495" s="7"/>
      <c r="P495" s="7"/>
      <c r="Q495" s="7"/>
      <c r="R495" s="64"/>
      <c r="S495" s="64"/>
      <c r="T495" s="64"/>
      <c r="U495" s="64"/>
      <c r="V495" s="64"/>
      <c r="W495" s="64"/>
    </row>
    <row r="496" spans="1:23" ht="15.95" customHeight="1">
      <c r="A496" s="8"/>
      <c r="B496" s="7"/>
      <c r="C496" s="33"/>
      <c r="D496" s="7"/>
      <c r="E496" s="7"/>
      <c r="F496" s="7"/>
      <c r="G496" s="7"/>
      <c r="H496" s="7"/>
      <c r="I496" s="7"/>
      <c r="J496" s="7"/>
      <c r="K496" s="7"/>
      <c r="L496" s="7"/>
      <c r="M496" s="7"/>
      <c r="N496" s="7"/>
      <c r="O496" s="7"/>
      <c r="P496" s="7"/>
      <c r="Q496" s="7"/>
      <c r="R496" s="64"/>
      <c r="S496" s="64"/>
      <c r="T496" s="64"/>
      <c r="U496" s="64"/>
      <c r="V496" s="64"/>
      <c r="W496" s="64"/>
    </row>
    <row r="497" spans="1:23" ht="15.95" customHeight="1">
      <c r="A497" s="8"/>
      <c r="B497" s="7"/>
      <c r="C497" s="33"/>
      <c r="D497" s="7"/>
      <c r="E497" s="7"/>
      <c r="F497" s="7"/>
      <c r="G497" s="7"/>
      <c r="H497" s="7"/>
      <c r="I497" s="7"/>
      <c r="J497" s="7"/>
      <c r="K497" s="7"/>
      <c r="L497" s="7"/>
      <c r="M497" s="7"/>
      <c r="N497" s="7"/>
      <c r="O497" s="7"/>
      <c r="P497" s="7"/>
      <c r="Q497" s="7"/>
      <c r="R497" s="64"/>
      <c r="S497" s="64"/>
      <c r="T497" s="64"/>
      <c r="U497" s="64"/>
      <c r="V497" s="64"/>
      <c r="W497" s="64"/>
    </row>
    <row r="498" spans="1:23" ht="15.95" customHeight="1">
      <c r="A498" s="8"/>
      <c r="B498" s="7"/>
      <c r="C498" s="33"/>
      <c r="D498" s="7"/>
      <c r="E498" s="7"/>
      <c r="F498" s="7"/>
      <c r="G498" s="7"/>
      <c r="H498" s="7"/>
      <c r="I498" s="7"/>
      <c r="J498" s="7"/>
      <c r="K498" s="7"/>
      <c r="L498" s="7"/>
      <c r="M498" s="7"/>
      <c r="N498" s="7"/>
      <c r="O498" s="7"/>
      <c r="P498" s="7"/>
      <c r="Q498" s="7"/>
      <c r="R498" s="64"/>
      <c r="S498" s="64"/>
      <c r="T498" s="64"/>
      <c r="U498" s="64"/>
      <c r="V498" s="64"/>
      <c r="W498" s="64"/>
    </row>
    <row r="499" spans="1:23" ht="15.95" customHeight="1">
      <c r="A499" s="8"/>
      <c r="B499" s="7"/>
      <c r="C499" s="33"/>
      <c r="D499" s="7"/>
      <c r="E499" s="7"/>
      <c r="F499" s="7"/>
      <c r="G499" s="7"/>
      <c r="H499" s="7"/>
      <c r="I499" s="7"/>
      <c r="J499" s="7"/>
      <c r="K499" s="7"/>
      <c r="L499" s="7"/>
      <c r="M499" s="7"/>
      <c r="N499" s="7"/>
      <c r="O499" s="7"/>
      <c r="P499" s="7"/>
      <c r="Q499" s="7"/>
      <c r="R499" s="64"/>
      <c r="S499" s="64"/>
      <c r="T499" s="64"/>
      <c r="U499" s="64"/>
      <c r="V499" s="64"/>
      <c r="W499" s="64"/>
    </row>
    <row r="500" spans="1:23" ht="15.95" customHeight="1">
      <c r="A500" s="8"/>
      <c r="B500" s="7"/>
      <c r="C500" s="33"/>
      <c r="D500" s="7"/>
      <c r="E500" s="7"/>
      <c r="F500" s="7"/>
      <c r="G500" s="7"/>
      <c r="H500" s="7"/>
      <c r="I500" s="7"/>
      <c r="J500" s="7"/>
      <c r="K500" s="7"/>
      <c r="L500" s="7"/>
      <c r="M500" s="7"/>
      <c r="N500" s="7"/>
      <c r="O500" s="7"/>
      <c r="P500" s="7"/>
      <c r="Q500" s="7"/>
      <c r="R500" s="64"/>
      <c r="S500" s="64"/>
      <c r="T500" s="64"/>
      <c r="U500" s="64"/>
      <c r="V500" s="64"/>
      <c r="W500" s="64"/>
    </row>
    <row r="501" spans="1:23" ht="15.95" customHeight="1">
      <c r="A501" s="8"/>
      <c r="B501" s="7"/>
      <c r="C501" s="33"/>
      <c r="D501" s="7"/>
      <c r="E501" s="7"/>
      <c r="F501" s="7"/>
      <c r="G501" s="7"/>
      <c r="H501" s="7"/>
      <c r="I501" s="7"/>
      <c r="J501" s="7"/>
      <c r="K501" s="7"/>
      <c r="L501" s="7"/>
      <c r="M501" s="7"/>
      <c r="N501" s="7"/>
      <c r="O501" s="7"/>
      <c r="P501" s="7"/>
      <c r="Q501" s="7"/>
      <c r="R501" s="64"/>
      <c r="S501" s="64"/>
      <c r="T501" s="64"/>
      <c r="U501" s="64"/>
      <c r="V501" s="64"/>
      <c r="W501" s="64"/>
    </row>
    <row r="502" spans="1:23" ht="15.95" customHeight="1">
      <c r="A502" s="8"/>
      <c r="B502" s="7"/>
      <c r="C502" s="33"/>
      <c r="D502" s="7"/>
      <c r="E502" s="7"/>
      <c r="F502" s="7"/>
      <c r="G502" s="7"/>
      <c r="H502" s="7"/>
      <c r="I502" s="7"/>
      <c r="J502" s="7"/>
      <c r="K502" s="7"/>
      <c r="L502" s="7"/>
      <c r="M502" s="7"/>
      <c r="N502" s="7"/>
      <c r="O502" s="7"/>
      <c r="P502" s="7"/>
      <c r="Q502" s="7"/>
      <c r="R502" s="64"/>
      <c r="S502" s="64"/>
      <c r="T502" s="64"/>
      <c r="U502" s="64"/>
      <c r="V502" s="64"/>
      <c r="W502" s="64"/>
    </row>
    <row r="503" spans="1:23" ht="15.95" customHeight="1">
      <c r="A503" s="8"/>
      <c r="B503" s="7"/>
      <c r="C503" s="33"/>
      <c r="D503" s="7"/>
      <c r="E503" s="7"/>
      <c r="F503" s="7"/>
      <c r="G503" s="7"/>
      <c r="H503" s="7"/>
      <c r="I503" s="7"/>
      <c r="J503" s="7"/>
      <c r="K503" s="7"/>
      <c r="L503" s="7"/>
      <c r="M503" s="7"/>
      <c r="N503" s="7"/>
      <c r="O503" s="7"/>
      <c r="P503" s="7"/>
      <c r="Q503" s="7"/>
      <c r="R503" s="64"/>
      <c r="S503" s="64"/>
      <c r="T503" s="64"/>
      <c r="U503" s="64"/>
      <c r="V503" s="64"/>
      <c r="W503" s="64"/>
    </row>
    <row r="504" spans="1:23" ht="15.95" customHeight="1">
      <c r="A504" s="8"/>
      <c r="B504" s="7"/>
      <c r="C504" s="33"/>
      <c r="D504" s="7"/>
      <c r="E504" s="7"/>
      <c r="F504" s="7"/>
      <c r="G504" s="7"/>
      <c r="H504" s="7"/>
      <c r="I504" s="7"/>
      <c r="J504" s="7"/>
      <c r="K504" s="7"/>
      <c r="L504" s="7"/>
      <c r="M504" s="7"/>
      <c r="N504" s="7"/>
      <c r="O504" s="7"/>
      <c r="P504" s="7"/>
      <c r="Q504" s="7"/>
      <c r="R504" s="64"/>
      <c r="S504" s="64"/>
      <c r="T504" s="64"/>
      <c r="U504" s="64"/>
      <c r="V504" s="64"/>
      <c r="W504" s="64"/>
    </row>
    <row r="505" spans="1:23" ht="15.95" customHeight="1">
      <c r="A505" s="8"/>
      <c r="B505" s="7"/>
      <c r="C505" s="33"/>
      <c r="D505" s="7"/>
      <c r="E505" s="7"/>
      <c r="F505" s="7"/>
      <c r="G505" s="7"/>
      <c r="H505" s="7"/>
      <c r="I505" s="7"/>
      <c r="J505" s="7"/>
      <c r="K505" s="7"/>
      <c r="L505" s="7"/>
      <c r="M505" s="7"/>
      <c r="N505" s="7"/>
      <c r="O505" s="7"/>
      <c r="P505" s="7"/>
      <c r="Q505" s="7"/>
      <c r="R505" s="64"/>
      <c r="S505" s="64"/>
      <c r="T505" s="64"/>
      <c r="U505" s="64"/>
      <c r="V505" s="64"/>
      <c r="W505" s="64"/>
    </row>
    <row r="506" spans="1:23" ht="15.95" customHeight="1">
      <c r="A506" s="8"/>
      <c r="B506" s="7"/>
      <c r="C506" s="33"/>
      <c r="D506" s="7"/>
      <c r="E506" s="7"/>
      <c r="F506" s="7"/>
      <c r="G506" s="7"/>
      <c r="H506" s="7"/>
      <c r="I506" s="7"/>
      <c r="J506" s="7"/>
      <c r="K506" s="7"/>
      <c r="L506" s="7"/>
      <c r="M506" s="7"/>
      <c r="N506" s="7"/>
      <c r="O506" s="7"/>
      <c r="P506" s="7"/>
      <c r="Q506" s="7"/>
      <c r="R506" s="64"/>
      <c r="S506" s="64"/>
      <c r="T506" s="64"/>
      <c r="U506" s="64"/>
      <c r="V506" s="64"/>
      <c r="W506" s="64"/>
    </row>
    <row r="507" spans="1:23" ht="15.95" customHeight="1">
      <c r="A507" s="8"/>
      <c r="B507" s="7"/>
      <c r="C507" s="33"/>
      <c r="D507" s="7"/>
      <c r="E507" s="7"/>
      <c r="F507" s="7"/>
      <c r="G507" s="7"/>
      <c r="H507" s="7"/>
      <c r="I507" s="7"/>
      <c r="J507" s="7"/>
      <c r="K507" s="7"/>
      <c r="L507" s="7"/>
      <c r="M507" s="7"/>
      <c r="N507" s="7"/>
      <c r="O507" s="7"/>
      <c r="P507" s="7"/>
      <c r="Q507" s="7"/>
      <c r="R507" s="64"/>
      <c r="S507" s="64"/>
      <c r="T507" s="64"/>
      <c r="U507" s="64"/>
      <c r="V507" s="64"/>
      <c r="W507" s="64"/>
    </row>
    <row r="508" spans="1:23" ht="15.95" customHeight="1">
      <c r="A508" s="8"/>
      <c r="B508" s="7"/>
      <c r="C508" s="33"/>
      <c r="D508" s="7"/>
      <c r="E508" s="7"/>
      <c r="F508" s="7"/>
      <c r="G508" s="7"/>
      <c r="H508" s="7"/>
      <c r="I508" s="7"/>
      <c r="J508" s="7"/>
      <c r="K508" s="7"/>
      <c r="L508" s="7"/>
      <c r="M508" s="7"/>
      <c r="N508" s="7"/>
      <c r="O508" s="7"/>
      <c r="P508" s="7"/>
      <c r="Q508" s="7"/>
      <c r="R508" s="64"/>
      <c r="S508" s="64"/>
      <c r="T508" s="64"/>
      <c r="U508" s="64"/>
      <c r="V508" s="64"/>
      <c r="W508" s="64"/>
    </row>
    <row r="509" spans="1:23" ht="15.95" customHeight="1">
      <c r="A509" s="8"/>
      <c r="B509" s="7"/>
      <c r="C509" s="33"/>
      <c r="D509" s="7"/>
      <c r="E509" s="7"/>
      <c r="F509" s="7"/>
      <c r="G509" s="7"/>
      <c r="H509" s="7"/>
      <c r="I509" s="7"/>
      <c r="J509" s="7"/>
      <c r="K509" s="7"/>
      <c r="L509" s="7"/>
      <c r="M509" s="7"/>
      <c r="N509" s="7"/>
      <c r="O509" s="7"/>
      <c r="P509" s="7"/>
      <c r="Q509" s="7"/>
      <c r="R509" s="64"/>
      <c r="S509" s="64"/>
      <c r="T509" s="64"/>
      <c r="U509" s="64"/>
      <c r="V509" s="64"/>
      <c r="W509" s="64"/>
    </row>
    <row r="510" spans="1:23" ht="15.95" customHeight="1">
      <c r="A510" s="8"/>
      <c r="B510" s="7"/>
      <c r="C510" s="33"/>
      <c r="D510" s="7"/>
      <c r="E510" s="7"/>
      <c r="F510" s="7"/>
      <c r="G510" s="7"/>
      <c r="H510" s="7"/>
      <c r="I510" s="7"/>
      <c r="J510" s="7"/>
      <c r="K510" s="7"/>
      <c r="L510" s="7"/>
      <c r="M510" s="7"/>
      <c r="N510" s="7"/>
      <c r="O510" s="7"/>
      <c r="P510" s="7"/>
      <c r="Q510" s="7"/>
      <c r="R510" s="64"/>
      <c r="S510" s="64"/>
      <c r="T510" s="64"/>
      <c r="U510" s="64"/>
      <c r="V510" s="64"/>
      <c r="W510" s="64"/>
    </row>
    <row r="511" spans="1:23" ht="15.95" customHeight="1">
      <c r="A511" s="8"/>
      <c r="B511" s="7"/>
      <c r="C511" s="33"/>
      <c r="D511" s="7"/>
      <c r="E511" s="7"/>
      <c r="F511" s="7"/>
      <c r="G511" s="7"/>
      <c r="H511" s="7"/>
      <c r="I511" s="7"/>
      <c r="J511" s="7"/>
      <c r="K511" s="7"/>
      <c r="L511" s="7"/>
      <c r="M511" s="7"/>
      <c r="N511" s="7"/>
      <c r="O511" s="7"/>
      <c r="P511" s="7"/>
      <c r="Q511" s="7"/>
      <c r="R511" s="64"/>
      <c r="S511" s="64"/>
      <c r="T511" s="64"/>
      <c r="U511" s="64"/>
      <c r="V511" s="64"/>
      <c r="W511" s="64"/>
    </row>
    <row r="512" spans="1:23" ht="15.95" customHeight="1">
      <c r="A512" s="8"/>
      <c r="B512" s="7"/>
      <c r="C512" s="33"/>
      <c r="D512" s="7"/>
      <c r="E512" s="7"/>
      <c r="F512" s="7"/>
      <c r="G512" s="7"/>
      <c r="H512" s="7"/>
      <c r="I512" s="7"/>
      <c r="J512" s="7"/>
      <c r="K512" s="7"/>
      <c r="L512" s="7"/>
      <c r="M512" s="7"/>
      <c r="N512" s="7"/>
      <c r="O512" s="7"/>
      <c r="P512" s="7"/>
      <c r="Q512" s="7"/>
      <c r="R512" s="64"/>
      <c r="S512" s="64"/>
      <c r="T512" s="64"/>
      <c r="U512" s="64"/>
      <c r="V512" s="64"/>
      <c r="W512" s="64"/>
    </row>
    <row r="513" spans="1:23" ht="15.95" customHeight="1">
      <c r="A513" s="8"/>
      <c r="B513" s="7"/>
      <c r="C513" s="33"/>
      <c r="D513" s="7"/>
      <c r="E513" s="7"/>
      <c r="F513" s="7"/>
      <c r="G513" s="7"/>
      <c r="H513" s="7"/>
      <c r="I513" s="7"/>
      <c r="J513" s="7"/>
      <c r="K513" s="7"/>
      <c r="L513" s="7"/>
      <c r="M513" s="7"/>
      <c r="N513" s="7"/>
      <c r="O513" s="7"/>
      <c r="P513" s="7"/>
      <c r="Q513" s="7"/>
      <c r="R513" s="64"/>
      <c r="S513" s="64"/>
      <c r="T513" s="64"/>
      <c r="U513" s="64"/>
      <c r="V513" s="64"/>
      <c r="W513" s="64"/>
    </row>
    <row r="514" spans="1:23" ht="15.95" customHeight="1">
      <c r="A514" s="8"/>
      <c r="B514" s="7"/>
      <c r="C514" s="33"/>
      <c r="D514" s="7"/>
      <c r="E514" s="7"/>
      <c r="F514" s="7"/>
      <c r="G514" s="7"/>
      <c r="H514" s="7"/>
      <c r="I514" s="7"/>
      <c r="J514" s="7"/>
      <c r="K514" s="7"/>
      <c r="L514" s="7"/>
      <c r="M514" s="7"/>
      <c r="N514" s="7"/>
      <c r="O514" s="7"/>
      <c r="P514" s="7"/>
      <c r="Q514" s="7"/>
      <c r="R514" s="64"/>
      <c r="S514" s="64"/>
      <c r="T514" s="64"/>
      <c r="U514" s="64"/>
      <c r="V514" s="64"/>
      <c r="W514" s="64"/>
    </row>
    <row r="515" spans="1:23" ht="15.95" customHeight="1">
      <c r="A515" s="8"/>
      <c r="B515" s="7"/>
      <c r="C515" s="33"/>
      <c r="D515" s="7"/>
      <c r="E515" s="7"/>
      <c r="F515" s="7"/>
      <c r="G515" s="7"/>
      <c r="H515" s="7"/>
      <c r="I515" s="7"/>
      <c r="J515" s="7"/>
      <c r="K515" s="7"/>
      <c r="L515" s="7"/>
      <c r="M515" s="7"/>
      <c r="N515" s="7"/>
      <c r="O515" s="7"/>
      <c r="P515" s="7"/>
      <c r="Q515" s="7"/>
      <c r="R515" s="64"/>
      <c r="S515" s="64"/>
      <c r="T515" s="64"/>
      <c r="U515" s="64"/>
      <c r="V515" s="64"/>
      <c r="W515" s="64"/>
    </row>
    <row r="516" spans="1:23" ht="15.95" customHeight="1">
      <c r="A516" s="8"/>
      <c r="B516" s="7"/>
      <c r="C516" s="33"/>
      <c r="D516" s="7"/>
      <c r="E516" s="7"/>
      <c r="F516" s="7"/>
      <c r="G516" s="7"/>
      <c r="H516" s="7"/>
      <c r="I516" s="7"/>
      <c r="J516" s="7"/>
      <c r="K516" s="7"/>
      <c r="L516" s="7"/>
      <c r="M516" s="7"/>
      <c r="N516" s="7"/>
      <c r="O516" s="7"/>
      <c r="P516" s="7"/>
      <c r="Q516" s="7"/>
      <c r="R516" s="64"/>
      <c r="S516" s="64"/>
      <c r="T516" s="64"/>
      <c r="U516" s="64"/>
      <c r="V516" s="64"/>
      <c r="W516" s="64"/>
    </row>
    <row r="517" spans="1:23" ht="15.95" customHeight="1">
      <c r="A517" s="8"/>
      <c r="B517" s="7"/>
      <c r="C517" s="33"/>
      <c r="D517" s="7"/>
      <c r="E517" s="7"/>
      <c r="F517" s="7"/>
      <c r="G517" s="7"/>
      <c r="H517" s="7"/>
      <c r="I517" s="7"/>
      <c r="J517" s="7"/>
      <c r="K517" s="7"/>
      <c r="L517" s="7"/>
      <c r="M517" s="7"/>
      <c r="N517" s="7"/>
      <c r="O517" s="7"/>
      <c r="P517" s="7"/>
      <c r="Q517" s="7"/>
      <c r="R517" s="64"/>
      <c r="S517" s="64"/>
      <c r="T517" s="64"/>
      <c r="U517" s="64"/>
      <c r="V517" s="64"/>
      <c r="W517" s="64"/>
    </row>
    <row r="518" spans="1:23" ht="15.95" customHeight="1">
      <c r="A518" s="8"/>
      <c r="B518" s="7"/>
      <c r="C518" s="33"/>
      <c r="D518" s="7"/>
      <c r="E518" s="7"/>
      <c r="F518" s="7"/>
      <c r="G518" s="7"/>
      <c r="H518" s="7"/>
      <c r="I518" s="7"/>
      <c r="J518" s="7"/>
      <c r="K518" s="7"/>
      <c r="L518" s="7"/>
      <c r="M518" s="7"/>
      <c r="N518" s="7"/>
      <c r="O518" s="7"/>
      <c r="P518" s="7"/>
      <c r="Q518" s="7"/>
      <c r="R518" s="64"/>
      <c r="S518" s="64"/>
      <c r="T518" s="64"/>
      <c r="U518" s="64"/>
      <c r="V518" s="64"/>
      <c r="W518" s="64"/>
    </row>
    <row r="519" spans="1:23" ht="15.95" customHeight="1">
      <c r="A519" s="8"/>
      <c r="B519" s="7"/>
      <c r="C519" s="33"/>
      <c r="D519" s="7"/>
      <c r="E519" s="7"/>
      <c r="F519" s="7"/>
      <c r="G519" s="7"/>
      <c r="H519" s="7"/>
      <c r="I519" s="7"/>
      <c r="J519" s="7"/>
      <c r="K519" s="7"/>
      <c r="L519" s="7"/>
      <c r="M519" s="7"/>
      <c r="N519" s="7"/>
      <c r="O519" s="7"/>
      <c r="P519" s="7"/>
      <c r="Q519" s="7"/>
      <c r="R519" s="64"/>
      <c r="S519" s="64"/>
      <c r="T519" s="64"/>
      <c r="U519" s="64"/>
      <c r="V519" s="64"/>
      <c r="W519" s="64"/>
    </row>
    <row r="520" spans="1:23" ht="15.95" customHeight="1">
      <c r="A520" s="8"/>
      <c r="B520" s="7"/>
      <c r="C520" s="33"/>
      <c r="D520" s="7"/>
      <c r="E520" s="7"/>
      <c r="F520" s="7"/>
      <c r="G520" s="7"/>
      <c r="H520" s="7"/>
      <c r="I520" s="7"/>
      <c r="J520" s="7"/>
      <c r="K520" s="7"/>
      <c r="L520" s="7"/>
      <c r="M520" s="7"/>
      <c r="N520" s="7"/>
      <c r="O520" s="7"/>
      <c r="P520" s="7"/>
      <c r="Q520" s="7"/>
      <c r="R520" s="64"/>
      <c r="S520" s="64"/>
      <c r="T520" s="64"/>
      <c r="U520" s="64"/>
      <c r="V520" s="64"/>
      <c r="W520" s="64"/>
    </row>
    <row r="521" spans="1:23" ht="15.95" customHeight="1">
      <c r="A521" s="8"/>
      <c r="B521" s="7"/>
      <c r="C521" s="33"/>
      <c r="D521" s="7"/>
      <c r="E521" s="7"/>
      <c r="F521" s="7"/>
      <c r="G521" s="7"/>
      <c r="H521" s="7"/>
      <c r="I521" s="7"/>
      <c r="J521" s="7"/>
      <c r="K521" s="7"/>
      <c r="L521" s="7"/>
      <c r="M521" s="7"/>
      <c r="N521" s="7"/>
      <c r="O521" s="7"/>
      <c r="P521" s="7"/>
      <c r="Q521" s="7"/>
      <c r="R521" s="64"/>
      <c r="S521" s="64"/>
      <c r="T521" s="64"/>
      <c r="U521" s="64"/>
      <c r="V521" s="64"/>
      <c r="W521" s="64"/>
    </row>
    <row r="522" spans="1:23" ht="15.95" customHeight="1">
      <c r="A522" s="8"/>
      <c r="B522" s="7"/>
      <c r="C522" s="33"/>
      <c r="D522" s="7"/>
      <c r="E522" s="7"/>
      <c r="F522" s="7"/>
      <c r="G522" s="7"/>
      <c r="H522" s="7"/>
      <c r="I522" s="7"/>
      <c r="J522" s="7"/>
      <c r="K522" s="7"/>
      <c r="L522" s="7"/>
      <c r="M522" s="7"/>
      <c r="N522" s="7"/>
      <c r="O522" s="7"/>
      <c r="P522" s="7"/>
      <c r="Q522" s="7"/>
      <c r="R522" s="64"/>
      <c r="S522" s="64"/>
      <c r="T522" s="64"/>
      <c r="U522" s="64"/>
      <c r="V522" s="64"/>
      <c r="W522" s="64"/>
    </row>
    <row r="523" spans="1:23" ht="15.95" customHeight="1">
      <c r="A523" s="8"/>
      <c r="B523" s="7"/>
      <c r="C523" s="33"/>
      <c r="D523" s="7"/>
      <c r="E523" s="7"/>
      <c r="F523" s="7"/>
      <c r="G523" s="7"/>
      <c r="H523" s="7"/>
      <c r="I523" s="7"/>
      <c r="J523" s="7"/>
      <c r="K523" s="7"/>
      <c r="L523" s="7"/>
      <c r="M523" s="7"/>
      <c r="N523" s="7"/>
      <c r="O523" s="7"/>
      <c r="P523" s="7"/>
      <c r="Q523" s="7"/>
      <c r="R523" s="64"/>
      <c r="S523" s="64"/>
      <c r="T523" s="64"/>
      <c r="U523" s="64"/>
      <c r="V523" s="64"/>
      <c r="W523" s="64"/>
    </row>
    <row r="524" spans="1:23" ht="15.95" customHeight="1">
      <c r="A524" s="8"/>
      <c r="B524" s="7"/>
      <c r="C524" s="33"/>
      <c r="D524" s="7"/>
      <c r="E524" s="7"/>
      <c r="F524" s="7"/>
      <c r="G524" s="7"/>
      <c r="H524" s="7"/>
      <c r="I524" s="7"/>
      <c r="J524" s="7"/>
      <c r="K524" s="7"/>
      <c r="L524" s="7"/>
      <c r="M524" s="7"/>
      <c r="N524" s="7"/>
      <c r="O524" s="7"/>
      <c r="P524" s="7"/>
      <c r="Q524" s="7"/>
      <c r="R524" s="64"/>
      <c r="S524" s="64"/>
      <c r="T524" s="64"/>
      <c r="U524" s="64"/>
      <c r="V524" s="64"/>
      <c r="W524" s="64"/>
    </row>
    <row r="525" spans="1:23" ht="15.95" customHeight="1">
      <c r="A525" s="8"/>
      <c r="B525" s="7"/>
      <c r="C525" s="33"/>
      <c r="D525" s="7"/>
      <c r="E525" s="7"/>
      <c r="F525" s="7"/>
      <c r="G525" s="7"/>
      <c r="H525" s="7"/>
      <c r="I525" s="7"/>
      <c r="J525" s="7"/>
      <c r="K525" s="7"/>
      <c r="L525" s="7"/>
      <c r="M525" s="7"/>
      <c r="N525" s="7"/>
      <c r="O525" s="7"/>
      <c r="P525" s="7"/>
      <c r="Q525" s="7"/>
      <c r="R525" s="64"/>
      <c r="S525" s="64"/>
      <c r="T525" s="64"/>
      <c r="U525" s="64"/>
      <c r="V525" s="64"/>
      <c r="W525" s="64"/>
    </row>
    <row r="526" spans="1:23" ht="15.95" customHeight="1">
      <c r="A526" s="8"/>
      <c r="B526" s="7"/>
      <c r="C526" s="33"/>
      <c r="D526" s="7"/>
      <c r="E526" s="7"/>
      <c r="F526" s="7"/>
      <c r="G526" s="7"/>
      <c r="H526" s="7"/>
      <c r="I526" s="7"/>
      <c r="J526" s="7"/>
      <c r="K526" s="7"/>
      <c r="L526" s="7"/>
      <c r="M526" s="7"/>
      <c r="N526" s="7"/>
      <c r="O526" s="7"/>
      <c r="P526" s="7"/>
      <c r="Q526" s="7"/>
      <c r="R526" s="64"/>
      <c r="S526" s="64"/>
      <c r="T526" s="64"/>
      <c r="U526" s="64"/>
      <c r="V526" s="64"/>
      <c r="W526" s="64"/>
    </row>
    <row r="527" spans="1:23" ht="15.95" customHeight="1">
      <c r="A527" s="8"/>
      <c r="B527" s="7"/>
      <c r="C527" s="33"/>
      <c r="D527" s="7"/>
      <c r="E527" s="7"/>
      <c r="F527" s="7"/>
      <c r="G527" s="7"/>
      <c r="H527" s="7"/>
      <c r="I527" s="7"/>
      <c r="J527" s="7"/>
      <c r="K527" s="7"/>
      <c r="L527" s="7"/>
      <c r="M527" s="7"/>
      <c r="N527" s="7"/>
      <c r="O527" s="7"/>
      <c r="P527" s="7"/>
      <c r="Q527" s="7"/>
      <c r="R527" s="64"/>
      <c r="S527" s="64"/>
      <c r="T527" s="64"/>
      <c r="U527" s="64"/>
      <c r="V527" s="64"/>
      <c r="W527" s="64"/>
    </row>
    <row r="528" spans="1:23" ht="15.95" customHeight="1">
      <c r="A528" s="8"/>
      <c r="B528" s="7"/>
      <c r="C528" s="33"/>
      <c r="D528" s="7"/>
      <c r="E528" s="7"/>
      <c r="F528" s="7"/>
      <c r="G528" s="7"/>
      <c r="H528" s="7"/>
      <c r="I528" s="7"/>
      <c r="J528" s="7"/>
      <c r="K528" s="7"/>
      <c r="L528" s="7"/>
      <c r="M528" s="7"/>
      <c r="N528" s="7"/>
      <c r="O528" s="7"/>
      <c r="P528" s="7"/>
      <c r="Q528" s="7"/>
      <c r="R528" s="64"/>
      <c r="S528" s="64"/>
      <c r="T528" s="64"/>
      <c r="U528" s="64"/>
      <c r="V528" s="64"/>
      <c r="W528" s="64"/>
    </row>
    <row r="529" spans="1:23" ht="15.95" customHeight="1">
      <c r="A529" s="8"/>
      <c r="B529" s="7"/>
      <c r="C529" s="33"/>
      <c r="D529" s="7"/>
      <c r="E529" s="7"/>
      <c r="F529" s="7"/>
      <c r="G529" s="7"/>
      <c r="H529" s="7"/>
      <c r="I529" s="7"/>
      <c r="J529" s="7"/>
      <c r="K529" s="7"/>
      <c r="L529" s="7"/>
      <c r="M529" s="7"/>
      <c r="N529" s="7"/>
      <c r="O529" s="7"/>
      <c r="P529" s="7"/>
      <c r="Q529" s="7"/>
      <c r="R529" s="64"/>
      <c r="S529" s="64"/>
      <c r="T529" s="64"/>
      <c r="U529" s="64"/>
      <c r="V529" s="64"/>
      <c r="W529" s="64"/>
    </row>
    <row r="530" spans="1:23" ht="15.95" customHeight="1">
      <c r="A530" s="8"/>
      <c r="B530" s="7"/>
      <c r="C530" s="33"/>
      <c r="D530" s="7"/>
      <c r="E530" s="7"/>
      <c r="F530" s="7"/>
      <c r="G530" s="7"/>
      <c r="H530" s="7"/>
      <c r="I530" s="7"/>
      <c r="J530" s="7"/>
      <c r="K530" s="7"/>
      <c r="L530" s="7"/>
      <c r="M530" s="7"/>
      <c r="N530" s="7"/>
      <c r="O530" s="7"/>
      <c r="P530" s="7"/>
      <c r="Q530" s="7"/>
      <c r="R530" s="64"/>
      <c r="S530" s="64"/>
      <c r="T530" s="64"/>
      <c r="U530" s="64"/>
      <c r="V530" s="64"/>
      <c r="W530" s="64"/>
    </row>
    <row r="531" spans="1:23" ht="15.95" customHeight="1">
      <c r="A531" s="8"/>
      <c r="B531" s="7"/>
      <c r="C531" s="33"/>
      <c r="D531" s="7"/>
      <c r="E531" s="7"/>
      <c r="F531" s="7"/>
      <c r="G531" s="7"/>
      <c r="H531" s="7"/>
      <c r="I531" s="7"/>
      <c r="J531" s="7"/>
      <c r="K531" s="7"/>
      <c r="L531" s="7"/>
      <c r="M531" s="7"/>
      <c r="N531" s="7"/>
      <c r="O531" s="7"/>
      <c r="P531" s="7"/>
      <c r="Q531" s="7"/>
      <c r="R531" s="64"/>
      <c r="S531" s="64"/>
      <c r="T531" s="64"/>
      <c r="U531" s="64"/>
      <c r="V531" s="64"/>
      <c r="W531" s="64"/>
    </row>
    <row r="532" spans="1:23" ht="15.95" customHeight="1">
      <c r="A532" s="8"/>
      <c r="B532" s="7"/>
      <c r="C532" s="33"/>
      <c r="D532" s="7"/>
      <c r="E532" s="7"/>
      <c r="F532" s="7"/>
      <c r="G532" s="7"/>
      <c r="H532" s="7"/>
      <c r="I532" s="7"/>
      <c r="J532" s="7"/>
      <c r="K532" s="7"/>
      <c r="L532" s="7"/>
      <c r="M532" s="7"/>
      <c r="N532" s="7"/>
      <c r="O532" s="7"/>
      <c r="P532" s="7"/>
      <c r="Q532" s="7"/>
      <c r="R532" s="64"/>
      <c r="S532" s="64"/>
      <c r="T532" s="64"/>
      <c r="U532" s="64"/>
      <c r="V532" s="64"/>
      <c r="W532" s="64"/>
    </row>
    <row r="533" spans="1:23" ht="15.95" customHeight="1">
      <c r="A533" s="8"/>
      <c r="B533" s="7"/>
      <c r="C533" s="33"/>
      <c r="D533" s="7"/>
      <c r="E533" s="7"/>
      <c r="F533" s="7"/>
      <c r="G533" s="7"/>
      <c r="H533" s="7"/>
      <c r="I533" s="7"/>
      <c r="J533" s="7"/>
      <c r="K533" s="7"/>
      <c r="L533" s="7"/>
      <c r="M533" s="7"/>
      <c r="N533" s="7"/>
      <c r="O533" s="7"/>
      <c r="P533" s="7"/>
      <c r="Q533" s="7"/>
      <c r="R533" s="64"/>
      <c r="S533" s="64"/>
      <c r="T533" s="64"/>
      <c r="U533" s="64"/>
      <c r="V533" s="64"/>
      <c r="W533" s="64"/>
    </row>
    <row r="534" spans="1:23" ht="15.95" customHeight="1">
      <c r="A534" s="8"/>
      <c r="B534" s="7"/>
      <c r="C534" s="33"/>
      <c r="D534" s="7"/>
      <c r="E534" s="7"/>
      <c r="F534" s="7"/>
      <c r="G534" s="7"/>
      <c r="H534" s="7"/>
      <c r="I534" s="7"/>
      <c r="J534" s="7"/>
      <c r="K534" s="7"/>
      <c r="L534" s="7"/>
      <c r="M534" s="7"/>
      <c r="N534" s="7"/>
      <c r="O534" s="7"/>
      <c r="P534" s="7"/>
      <c r="Q534" s="7"/>
      <c r="R534" s="64"/>
      <c r="S534" s="64"/>
      <c r="T534" s="64"/>
      <c r="U534" s="64"/>
      <c r="V534" s="64"/>
      <c r="W534" s="64"/>
    </row>
    <row r="535" spans="1:23" ht="15.95" customHeight="1">
      <c r="A535" s="8"/>
      <c r="B535" s="7"/>
      <c r="C535" s="33"/>
      <c r="D535" s="7"/>
      <c r="E535" s="7"/>
      <c r="F535" s="7"/>
      <c r="G535" s="7"/>
      <c r="H535" s="7"/>
      <c r="I535" s="7"/>
      <c r="J535" s="7"/>
      <c r="K535" s="7"/>
      <c r="L535" s="7"/>
      <c r="M535" s="7"/>
      <c r="N535" s="7"/>
      <c r="O535" s="7"/>
      <c r="P535" s="7"/>
      <c r="Q535" s="7"/>
      <c r="R535" s="64"/>
      <c r="S535" s="64"/>
      <c r="T535" s="64"/>
      <c r="U535" s="64"/>
      <c r="V535" s="64"/>
      <c r="W535" s="64"/>
    </row>
    <row r="536" spans="1:23" ht="15.95" customHeight="1">
      <c r="A536" s="8"/>
      <c r="B536" s="7"/>
      <c r="C536" s="33"/>
      <c r="D536" s="7"/>
      <c r="E536" s="7"/>
      <c r="F536" s="7"/>
      <c r="G536" s="7"/>
      <c r="H536" s="7"/>
      <c r="I536" s="7"/>
      <c r="J536" s="7"/>
      <c r="K536" s="7"/>
      <c r="L536" s="7"/>
      <c r="M536" s="7"/>
      <c r="N536" s="7"/>
      <c r="O536" s="7"/>
      <c r="P536" s="7"/>
      <c r="Q536" s="7"/>
      <c r="R536" s="64"/>
      <c r="S536" s="64"/>
      <c r="T536" s="64"/>
      <c r="U536" s="64"/>
      <c r="V536" s="64"/>
      <c r="W536" s="64"/>
    </row>
    <row r="537" spans="1:23" ht="15.95" customHeight="1">
      <c r="A537" s="8"/>
      <c r="B537" s="7"/>
      <c r="C537" s="33"/>
      <c r="D537" s="7"/>
      <c r="E537" s="7"/>
      <c r="F537" s="7"/>
      <c r="G537" s="7"/>
      <c r="H537" s="7"/>
      <c r="I537" s="7"/>
      <c r="J537" s="7"/>
      <c r="K537" s="7"/>
      <c r="L537" s="7"/>
      <c r="M537" s="7"/>
      <c r="N537" s="7"/>
      <c r="O537" s="7"/>
      <c r="P537" s="7"/>
      <c r="Q537" s="7"/>
      <c r="R537" s="64"/>
      <c r="S537" s="64"/>
      <c r="T537" s="64"/>
      <c r="U537" s="64"/>
      <c r="V537" s="64"/>
      <c r="W537" s="64"/>
    </row>
    <row r="538" spans="1:23" ht="15.95" customHeight="1">
      <c r="A538" s="8"/>
      <c r="B538" s="7"/>
      <c r="C538" s="33"/>
      <c r="D538" s="7"/>
      <c r="E538" s="7"/>
      <c r="F538" s="7"/>
      <c r="G538" s="7"/>
      <c r="H538" s="7"/>
      <c r="I538" s="7"/>
      <c r="J538" s="7"/>
      <c r="K538" s="7"/>
      <c r="L538" s="7"/>
      <c r="M538" s="7"/>
      <c r="N538" s="7"/>
      <c r="O538" s="7"/>
      <c r="P538" s="7"/>
      <c r="Q538" s="7"/>
      <c r="R538" s="64"/>
      <c r="S538" s="64"/>
      <c r="T538" s="64"/>
      <c r="U538" s="64"/>
      <c r="V538" s="64"/>
      <c r="W538" s="64"/>
    </row>
    <row r="539" spans="1:23" ht="15.95" customHeight="1">
      <c r="A539" s="8"/>
      <c r="B539" s="7"/>
      <c r="C539" s="33"/>
      <c r="D539" s="7"/>
      <c r="E539" s="7"/>
      <c r="F539" s="7"/>
      <c r="G539" s="7"/>
      <c r="H539" s="7"/>
      <c r="I539" s="7"/>
      <c r="J539" s="7"/>
      <c r="K539" s="7"/>
      <c r="L539" s="7"/>
      <c r="M539" s="7"/>
      <c r="N539" s="7"/>
      <c r="O539" s="7"/>
      <c r="P539" s="7"/>
      <c r="Q539" s="7"/>
      <c r="R539" s="64"/>
      <c r="S539" s="64"/>
      <c r="T539" s="64"/>
      <c r="U539" s="64"/>
      <c r="V539" s="64"/>
      <c r="W539" s="64"/>
    </row>
    <row r="540" spans="1:23" ht="15.95" customHeight="1">
      <c r="A540" s="8"/>
      <c r="B540" s="7"/>
      <c r="C540" s="33"/>
      <c r="D540" s="7"/>
      <c r="E540" s="7"/>
      <c r="F540" s="7"/>
      <c r="G540" s="7"/>
      <c r="H540" s="7"/>
      <c r="I540" s="7"/>
      <c r="J540" s="7"/>
      <c r="K540" s="7"/>
      <c r="L540" s="7"/>
      <c r="M540" s="7"/>
      <c r="N540" s="7"/>
      <c r="O540" s="7"/>
      <c r="P540" s="7"/>
      <c r="Q540" s="7"/>
      <c r="R540" s="64"/>
      <c r="S540" s="64"/>
      <c r="T540" s="64"/>
      <c r="U540" s="64"/>
      <c r="V540" s="64"/>
      <c r="W540" s="64"/>
    </row>
    <row r="541" spans="1:23" ht="15.95" customHeight="1">
      <c r="A541" s="8"/>
      <c r="B541" s="7"/>
      <c r="C541" s="33"/>
      <c r="D541" s="7"/>
      <c r="E541" s="7"/>
      <c r="F541" s="7"/>
      <c r="G541" s="7"/>
      <c r="H541" s="7"/>
      <c r="I541" s="7"/>
      <c r="J541" s="7"/>
      <c r="K541" s="7"/>
      <c r="L541" s="7"/>
      <c r="M541" s="7"/>
      <c r="N541" s="7"/>
      <c r="O541" s="7"/>
      <c r="P541" s="7"/>
      <c r="Q541" s="7"/>
      <c r="R541" s="64"/>
      <c r="S541" s="64"/>
      <c r="T541" s="64"/>
      <c r="U541" s="64"/>
      <c r="V541" s="64"/>
      <c r="W541" s="64"/>
    </row>
    <row r="542" spans="1:23" ht="15.95" customHeight="1">
      <c r="A542" s="8"/>
      <c r="B542" s="7"/>
      <c r="C542" s="33"/>
      <c r="D542" s="7"/>
      <c r="E542" s="7"/>
      <c r="F542" s="7"/>
      <c r="G542" s="7"/>
      <c r="H542" s="7"/>
      <c r="I542" s="7"/>
      <c r="J542" s="7"/>
      <c r="K542" s="7"/>
      <c r="L542" s="7"/>
      <c r="M542" s="7"/>
      <c r="N542" s="7"/>
      <c r="O542" s="7"/>
      <c r="P542" s="7"/>
      <c r="Q542" s="7"/>
      <c r="R542" s="64"/>
      <c r="S542" s="64"/>
      <c r="T542" s="64"/>
      <c r="U542" s="64"/>
      <c r="V542" s="64"/>
      <c r="W542" s="64"/>
    </row>
    <row r="543" spans="1:23" ht="15.95" customHeight="1">
      <c r="A543" s="8"/>
      <c r="B543" s="7"/>
      <c r="C543" s="33"/>
      <c r="D543" s="7"/>
      <c r="E543" s="7"/>
      <c r="F543" s="7"/>
      <c r="G543" s="7"/>
      <c r="H543" s="7"/>
      <c r="I543" s="7"/>
      <c r="J543" s="7"/>
      <c r="K543" s="7"/>
      <c r="L543" s="7"/>
      <c r="M543" s="7"/>
      <c r="N543" s="7"/>
      <c r="O543" s="7"/>
      <c r="P543" s="7"/>
      <c r="Q543" s="7"/>
      <c r="R543" s="64"/>
      <c r="S543" s="64"/>
      <c r="T543" s="64"/>
      <c r="U543" s="64"/>
      <c r="V543" s="64"/>
      <c r="W543" s="64"/>
    </row>
    <row r="544" spans="1:23" ht="15.95" customHeight="1">
      <c r="A544" s="8"/>
      <c r="B544" s="7"/>
      <c r="C544" s="33"/>
      <c r="D544" s="7"/>
      <c r="E544" s="7"/>
      <c r="F544" s="7"/>
      <c r="G544" s="7"/>
      <c r="H544" s="7"/>
      <c r="I544" s="7"/>
      <c r="J544" s="7"/>
      <c r="K544" s="7"/>
      <c r="L544" s="7"/>
      <c r="M544" s="7"/>
      <c r="N544" s="7"/>
      <c r="O544" s="7"/>
      <c r="P544" s="7"/>
      <c r="Q544" s="7"/>
      <c r="R544" s="64"/>
      <c r="S544" s="64"/>
      <c r="T544" s="64"/>
      <c r="U544" s="64"/>
      <c r="V544" s="64"/>
      <c r="W544" s="64"/>
    </row>
    <row r="545" spans="1:23" ht="15.95" customHeight="1">
      <c r="A545" s="8"/>
      <c r="B545" s="7"/>
      <c r="C545" s="33"/>
      <c r="D545" s="7"/>
      <c r="E545" s="7"/>
      <c r="F545" s="7"/>
      <c r="G545" s="7"/>
      <c r="H545" s="7"/>
      <c r="I545" s="7"/>
      <c r="J545" s="7"/>
      <c r="K545" s="7"/>
      <c r="L545" s="7"/>
      <c r="M545" s="7"/>
      <c r="N545" s="7"/>
      <c r="O545" s="7"/>
      <c r="P545" s="7"/>
      <c r="Q545" s="7"/>
      <c r="R545" s="64"/>
      <c r="S545" s="64"/>
      <c r="T545" s="64"/>
      <c r="U545" s="64"/>
      <c r="V545" s="64"/>
      <c r="W545" s="64"/>
    </row>
    <row r="546" spans="1:23" ht="15.95" customHeight="1">
      <c r="A546" s="8"/>
      <c r="B546" s="7"/>
      <c r="C546" s="33"/>
      <c r="D546" s="7"/>
      <c r="E546" s="7"/>
      <c r="F546" s="7"/>
      <c r="G546" s="7"/>
      <c r="H546" s="7"/>
      <c r="I546" s="7"/>
      <c r="J546" s="7"/>
      <c r="K546" s="7"/>
      <c r="L546" s="7"/>
      <c r="M546" s="7"/>
      <c r="N546" s="7"/>
      <c r="O546" s="7"/>
      <c r="P546" s="7"/>
      <c r="Q546" s="7"/>
      <c r="R546" s="64"/>
      <c r="S546" s="64"/>
      <c r="T546" s="64"/>
      <c r="U546" s="64"/>
      <c r="V546" s="64"/>
      <c r="W546" s="64"/>
    </row>
    <row r="547" spans="1:23" ht="15.95" customHeight="1">
      <c r="A547" s="8"/>
      <c r="B547" s="7"/>
      <c r="C547" s="33"/>
      <c r="D547" s="7"/>
      <c r="E547" s="7"/>
      <c r="F547" s="7"/>
      <c r="G547" s="7"/>
      <c r="H547" s="7"/>
      <c r="I547" s="7"/>
      <c r="J547" s="7"/>
      <c r="K547" s="7"/>
      <c r="L547" s="7"/>
      <c r="M547" s="7"/>
      <c r="N547" s="7"/>
      <c r="O547" s="7"/>
      <c r="P547" s="7"/>
      <c r="Q547" s="7"/>
      <c r="R547" s="64"/>
      <c r="S547" s="64"/>
      <c r="T547" s="64"/>
      <c r="U547" s="64"/>
      <c r="V547" s="64"/>
      <c r="W547" s="64"/>
    </row>
    <row r="548" spans="1:23" ht="15.95" customHeight="1">
      <c r="A548" s="8"/>
      <c r="B548" s="7"/>
      <c r="C548" s="33"/>
      <c r="D548" s="7"/>
      <c r="E548" s="7"/>
      <c r="F548" s="7"/>
      <c r="G548" s="7"/>
      <c r="H548" s="7"/>
      <c r="I548" s="7"/>
      <c r="J548" s="7"/>
      <c r="K548" s="7"/>
      <c r="L548" s="7"/>
      <c r="M548" s="7"/>
      <c r="N548" s="7"/>
      <c r="O548" s="7"/>
      <c r="P548" s="7"/>
      <c r="Q548" s="7"/>
      <c r="R548" s="64"/>
      <c r="S548" s="64"/>
      <c r="T548" s="64"/>
      <c r="U548" s="64"/>
      <c r="V548" s="64"/>
      <c r="W548" s="64"/>
    </row>
    <row r="549" spans="1:23" ht="15.95" customHeight="1">
      <c r="A549" s="8"/>
      <c r="B549" s="7"/>
      <c r="C549" s="33"/>
      <c r="D549" s="7"/>
      <c r="E549" s="7"/>
      <c r="F549" s="7"/>
      <c r="G549" s="7"/>
      <c r="H549" s="7"/>
      <c r="I549" s="7"/>
      <c r="J549" s="7"/>
      <c r="K549" s="7"/>
      <c r="L549" s="7"/>
      <c r="M549" s="7"/>
      <c r="N549" s="7"/>
      <c r="O549" s="7"/>
      <c r="P549" s="7"/>
      <c r="Q549" s="7"/>
      <c r="R549" s="64"/>
      <c r="S549" s="64"/>
      <c r="T549" s="64"/>
      <c r="U549" s="64"/>
      <c r="V549" s="64"/>
      <c r="W549" s="64"/>
    </row>
    <row r="550" spans="1:23" ht="15.95" customHeight="1">
      <c r="A550" s="8"/>
      <c r="B550" s="7"/>
      <c r="C550" s="33"/>
      <c r="D550" s="7"/>
      <c r="E550" s="7"/>
      <c r="F550" s="7"/>
      <c r="G550" s="7"/>
      <c r="H550" s="7"/>
      <c r="I550" s="7"/>
      <c r="J550" s="7"/>
      <c r="K550" s="7"/>
      <c r="L550" s="7"/>
      <c r="M550" s="7"/>
      <c r="N550" s="7"/>
      <c r="O550" s="7"/>
      <c r="P550" s="7"/>
      <c r="Q550" s="7"/>
      <c r="R550" s="64"/>
      <c r="S550" s="64"/>
      <c r="T550" s="64"/>
      <c r="U550" s="64"/>
      <c r="V550" s="64"/>
      <c r="W550" s="64"/>
    </row>
    <row r="551" spans="1:23" ht="15.95" customHeight="1">
      <c r="A551" s="8"/>
      <c r="B551" s="7"/>
      <c r="C551" s="33"/>
      <c r="D551" s="7"/>
      <c r="E551" s="7"/>
      <c r="F551" s="7"/>
      <c r="G551" s="7"/>
      <c r="H551" s="7"/>
      <c r="I551" s="7"/>
      <c r="J551" s="7"/>
      <c r="K551" s="7"/>
      <c r="L551" s="7"/>
      <c r="M551" s="7"/>
      <c r="N551" s="7"/>
      <c r="O551" s="7"/>
      <c r="P551" s="7"/>
      <c r="Q551" s="7"/>
      <c r="R551" s="64"/>
      <c r="S551" s="64"/>
      <c r="T551" s="64"/>
      <c r="U551" s="64"/>
      <c r="V551" s="64"/>
      <c r="W551" s="64"/>
    </row>
    <row r="552" spans="1:23" ht="15.95" customHeight="1">
      <c r="A552" s="8"/>
      <c r="B552" s="7"/>
      <c r="C552" s="33"/>
      <c r="D552" s="7"/>
      <c r="E552" s="7"/>
      <c r="F552" s="7"/>
      <c r="G552" s="7"/>
      <c r="H552" s="7"/>
      <c r="I552" s="7"/>
      <c r="J552" s="7"/>
      <c r="K552" s="7"/>
      <c r="L552" s="7"/>
      <c r="M552" s="7"/>
      <c r="N552" s="7"/>
      <c r="O552" s="7"/>
      <c r="P552" s="7"/>
      <c r="Q552" s="7"/>
      <c r="R552" s="64"/>
      <c r="S552" s="64"/>
      <c r="T552" s="64"/>
      <c r="U552" s="64"/>
      <c r="V552" s="64"/>
      <c r="W552" s="64"/>
    </row>
    <row r="553" spans="1:23" ht="15.95" customHeight="1">
      <c r="A553" s="8"/>
      <c r="B553" s="7"/>
      <c r="C553" s="33"/>
      <c r="D553" s="7"/>
      <c r="E553" s="7"/>
      <c r="F553" s="7"/>
      <c r="G553" s="7"/>
      <c r="H553" s="7"/>
      <c r="I553" s="7"/>
      <c r="J553" s="7"/>
      <c r="K553" s="7"/>
      <c r="L553" s="7"/>
      <c r="M553" s="7"/>
      <c r="N553" s="7"/>
      <c r="O553" s="7"/>
      <c r="P553" s="7"/>
      <c r="Q553" s="7"/>
      <c r="R553" s="64"/>
      <c r="S553" s="64"/>
      <c r="T553" s="64"/>
      <c r="U553" s="64"/>
      <c r="V553" s="64"/>
      <c r="W553" s="64"/>
    </row>
    <row r="554" spans="1:23" ht="15.95" customHeight="1">
      <c r="A554" s="8"/>
      <c r="B554" s="7"/>
      <c r="C554" s="33"/>
      <c r="D554" s="7"/>
      <c r="E554" s="7"/>
      <c r="F554" s="7"/>
      <c r="G554" s="7"/>
      <c r="H554" s="7"/>
      <c r="I554" s="7"/>
      <c r="J554" s="7"/>
      <c r="K554" s="7"/>
      <c r="L554" s="7"/>
      <c r="M554" s="7"/>
      <c r="N554" s="7"/>
      <c r="O554" s="7"/>
      <c r="P554" s="7"/>
      <c r="Q554" s="7"/>
      <c r="R554" s="64"/>
      <c r="S554" s="64"/>
      <c r="T554" s="64"/>
      <c r="U554" s="64"/>
      <c r="V554" s="64"/>
      <c r="W554" s="64"/>
    </row>
    <row r="555" spans="1:23" ht="15.95" customHeight="1">
      <c r="A555" s="8"/>
      <c r="B555" s="7"/>
      <c r="C555" s="33"/>
      <c r="D555" s="7"/>
      <c r="E555" s="7"/>
      <c r="F555" s="7"/>
      <c r="G555" s="7"/>
      <c r="H555" s="7"/>
      <c r="I555" s="7"/>
      <c r="J555" s="7"/>
      <c r="K555" s="7"/>
      <c r="L555" s="7"/>
      <c r="M555" s="7"/>
      <c r="N555" s="7"/>
      <c r="O555" s="7"/>
      <c r="P555" s="7"/>
      <c r="Q555" s="7"/>
      <c r="R555" s="64"/>
      <c r="S555" s="64"/>
      <c r="T555" s="64"/>
      <c r="U555" s="64"/>
      <c r="V555" s="64"/>
      <c r="W555" s="64"/>
    </row>
    <row r="556" spans="1:23" ht="15.95" customHeight="1">
      <c r="A556" s="8"/>
      <c r="B556" s="7"/>
      <c r="C556" s="33"/>
      <c r="D556" s="7"/>
      <c r="E556" s="7"/>
      <c r="F556" s="7"/>
      <c r="G556" s="7"/>
      <c r="H556" s="7"/>
      <c r="I556" s="7"/>
      <c r="J556" s="7"/>
      <c r="K556" s="7"/>
      <c r="L556" s="7"/>
      <c r="M556" s="7"/>
      <c r="N556" s="7"/>
      <c r="O556" s="7"/>
      <c r="P556" s="7"/>
      <c r="Q556" s="7"/>
      <c r="R556" s="64"/>
      <c r="S556" s="64"/>
      <c r="T556" s="64"/>
      <c r="U556" s="64"/>
      <c r="V556" s="64"/>
      <c r="W556" s="64"/>
    </row>
    <row r="557" spans="1:23" ht="15.95" customHeight="1">
      <c r="A557" s="8"/>
      <c r="B557" s="7"/>
      <c r="C557" s="33"/>
      <c r="D557" s="7"/>
      <c r="E557" s="7"/>
      <c r="F557" s="7"/>
      <c r="G557" s="7"/>
      <c r="H557" s="7"/>
      <c r="I557" s="7"/>
      <c r="J557" s="7"/>
      <c r="K557" s="7"/>
      <c r="L557" s="7"/>
      <c r="M557" s="7"/>
      <c r="N557" s="7"/>
      <c r="O557" s="7"/>
      <c r="P557" s="7"/>
      <c r="Q557" s="7"/>
      <c r="R557" s="64"/>
      <c r="S557" s="64"/>
      <c r="T557" s="64"/>
      <c r="U557" s="64"/>
      <c r="V557" s="64"/>
      <c r="W557" s="64"/>
    </row>
    <row r="558" spans="1:23" ht="15.95" customHeight="1">
      <c r="A558" s="8"/>
      <c r="B558" s="7"/>
      <c r="C558" s="33"/>
      <c r="D558" s="7"/>
      <c r="E558" s="7"/>
      <c r="F558" s="7"/>
      <c r="G558" s="7"/>
      <c r="H558" s="7"/>
      <c r="I558" s="7"/>
      <c r="J558" s="7"/>
      <c r="K558" s="7"/>
      <c r="L558" s="7"/>
      <c r="M558" s="7"/>
      <c r="N558" s="7"/>
      <c r="O558" s="7"/>
      <c r="P558" s="7"/>
      <c r="Q558" s="7"/>
      <c r="R558" s="64"/>
      <c r="S558" s="64"/>
      <c r="T558" s="64"/>
      <c r="U558" s="64"/>
      <c r="V558" s="64"/>
      <c r="W558" s="64"/>
    </row>
    <row r="559" spans="1:23" ht="15.95" customHeight="1">
      <c r="A559" s="8"/>
      <c r="B559" s="7"/>
      <c r="C559" s="33"/>
      <c r="D559" s="7"/>
      <c r="E559" s="7"/>
      <c r="F559" s="7"/>
      <c r="G559" s="7"/>
      <c r="H559" s="7"/>
      <c r="I559" s="7"/>
      <c r="J559" s="7"/>
      <c r="K559" s="7"/>
      <c r="L559" s="7"/>
      <c r="M559" s="7"/>
      <c r="N559" s="7"/>
      <c r="O559" s="7"/>
      <c r="P559" s="7"/>
      <c r="Q559" s="7"/>
      <c r="R559" s="64"/>
      <c r="S559" s="64"/>
      <c r="T559" s="64"/>
      <c r="U559" s="64"/>
      <c r="V559" s="64"/>
      <c r="W559" s="64"/>
    </row>
    <row r="560" spans="1:23" ht="15.95" customHeight="1">
      <c r="A560" s="8"/>
      <c r="B560" s="7"/>
      <c r="C560" s="33"/>
      <c r="D560" s="7"/>
      <c r="E560" s="7"/>
      <c r="F560" s="7"/>
      <c r="G560" s="7"/>
      <c r="H560" s="7"/>
      <c r="I560" s="7"/>
      <c r="J560" s="7"/>
      <c r="K560" s="7"/>
      <c r="L560" s="7"/>
      <c r="M560" s="7"/>
      <c r="N560" s="7"/>
      <c r="O560" s="7"/>
      <c r="P560" s="7"/>
      <c r="Q560" s="7"/>
      <c r="R560" s="64"/>
      <c r="S560" s="64"/>
      <c r="T560" s="64"/>
      <c r="U560" s="64"/>
      <c r="V560" s="64"/>
      <c r="W560" s="64"/>
    </row>
    <row r="561" spans="1:23" ht="15.95" customHeight="1">
      <c r="A561" s="8"/>
      <c r="B561" s="7"/>
      <c r="C561" s="33"/>
      <c r="D561" s="7"/>
      <c r="E561" s="7"/>
      <c r="F561" s="7"/>
      <c r="G561" s="7"/>
      <c r="H561" s="7"/>
      <c r="I561" s="7"/>
      <c r="J561" s="7"/>
      <c r="K561" s="7"/>
      <c r="L561" s="7"/>
      <c r="M561" s="7"/>
      <c r="N561" s="7"/>
      <c r="O561" s="7"/>
      <c r="P561" s="7"/>
      <c r="Q561" s="7"/>
      <c r="R561" s="64"/>
      <c r="S561" s="64"/>
      <c r="T561" s="64"/>
      <c r="U561" s="64"/>
      <c r="V561" s="64"/>
      <c r="W561" s="64"/>
    </row>
    <row r="562" spans="1:23" ht="15.95" customHeight="1">
      <c r="A562" s="8"/>
      <c r="B562" s="7"/>
      <c r="C562" s="33"/>
      <c r="D562" s="7"/>
      <c r="E562" s="7"/>
      <c r="F562" s="7"/>
      <c r="G562" s="7"/>
      <c r="H562" s="7"/>
      <c r="I562" s="7"/>
      <c r="J562" s="7"/>
      <c r="K562" s="7"/>
      <c r="L562" s="7"/>
      <c r="M562" s="7"/>
      <c r="N562" s="7"/>
      <c r="O562" s="7"/>
      <c r="P562" s="7"/>
      <c r="Q562" s="7"/>
      <c r="R562" s="64"/>
      <c r="S562" s="64"/>
      <c r="T562" s="64"/>
      <c r="U562" s="64"/>
      <c r="V562" s="64"/>
      <c r="W562" s="64"/>
    </row>
    <row r="563" spans="1:23" ht="15.95" customHeight="1">
      <c r="A563" s="8"/>
      <c r="B563" s="7"/>
      <c r="C563" s="33"/>
      <c r="D563" s="7"/>
      <c r="E563" s="7"/>
      <c r="F563" s="7"/>
      <c r="G563" s="7"/>
      <c r="H563" s="7"/>
      <c r="I563" s="7"/>
      <c r="J563" s="7"/>
      <c r="K563" s="7"/>
      <c r="L563" s="7"/>
      <c r="M563" s="7"/>
      <c r="N563" s="7"/>
      <c r="O563" s="7"/>
      <c r="P563" s="7"/>
      <c r="Q563" s="7"/>
      <c r="R563" s="64"/>
      <c r="S563" s="64"/>
      <c r="T563" s="64"/>
      <c r="U563" s="64"/>
      <c r="V563" s="64"/>
      <c r="W563" s="64"/>
    </row>
    <row r="564" spans="1:23" ht="15.95" customHeight="1">
      <c r="A564" s="8"/>
      <c r="B564" s="7"/>
      <c r="C564" s="33"/>
      <c r="D564" s="7"/>
      <c r="E564" s="7"/>
      <c r="F564" s="7"/>
      <c r="G564" s="7"/>
      <c r="H564" s="7"/>
      <c r="I564" s="7"/>
      <c r="J564" s="7"/>
      <c r="K564" s="7"/>
      <c r="L564" s="7"/>
      <c r="M564" s="7"/>
      <c r="N564" s="7"/>
      <c r="O564" s="7"/>
      <c r="P564" s="7"/>
      <c r="Q564" s="7"/>
      <c r="R564" s="64"/>
      <c r="S564" s="64"/>
      <c r="T564" s="64"/>
      <c r="U564" s="64"/>
      <c r="V564" s="64"/>
      <c r="W564" s="64"/>
    </row>
    <row r="565" spans="1:23" ht="15.95" customHeight="1">
      <c r="A565" s="8"/>
      <c r="B565" s="7"/>
      <c r="C565" s="33"/>
      <c r="D565" s="7"/>
      <c r="E565" s="7"/>
      <c r="F565" s="7"/>
      <c r="G565" s="7"/>
      <c r="H565" s="7"/>
      <c r="I565" s="7"/>
      <c r="J565" s="7"/>
      <c r="K565" s="7"/>
      <c r="L565" s="7"/>
      <c r="M565" s="7"/>
      <c r="N565" s="7"/>
      <c r="O565" s="7"/>
      <c r="P565" s="7"/>
      <c r="Q565" s="7"/>
      <c r="R565" s="64"/>
      <c r="S565" s="64"/>
      <c r="T565" s="64"/>
      <c r="U565" s="64"/>
      <c r="V565" s="64"/>
      <c r="W565" s="64"/>
    </row>
    <row r="566" spans="1:23" ht="15.95" customHeight="1">
      <c r="A566" s="8"/>
      <c r="B566" s="7"/>
      <c r="C566" s="33"/>
      <c r="D566" s="7"/>
      <c r="E566" s="7"/>
      <c r="F566" s="7"/>
      <c r="G566" s="7"/>
      <c r="H566" s="7"/>
      <c r="I566" s="7"/>
      <c r="J566" s="7"/>
      <c r="K566" s="7"/>
      <c r="L566" s="7"/>
      <c r="M566" s="7"/>
      <c r="N566" s="7"/>
      <c r="O566" s="7"/>
      <c r="P566" s="7"/>
      <c r="Q566" s="7"/>
      <c r="R566" s="64"/>
      <c r="S566" s="64"/>
      <c r="T566" s="64"/>
      <c r="U566" s="64"/>
      <c r="V566" s="64"/>
      <c r="W566" s="64"/>
    </row>
    <row r="567" spans="1:23" ht="15.95" customHeight="1">
      <c r="A567" s="8"/>
      <c r="B567" s="7"/>
      <c r="C567" s="33"/>
      <c r="D567" s="7"/>
      <c r="E567" s="7"/>
      <c r="F567" s="7"/>
      <c r="G567" s="7"/>
      <c r="H567" s="7"/>
      <c r="I567" s="7"/>
      <c r="J567" s="7"/>
      <c r="K567" s="7"/>
      <c r="L567" s="7"/>
      <c r="M567" s="7"/>
      <c r="N567" s="7"/>
      <c r="O567" s="7"/>
      <c r="P567" s="7"/>
      <c r="Q567" s="7"/>
      <c r="R567" s="64"/>
      <c r="S567" s="64"/>
      <c r="T567" s="64"/>
      <c r="U567" s="64"/>
      <c r="V567" s="64"/>
      <c r="W567" s="64"/>
    </row>
    <row r="568" spans="1:23" ht="15.95" customHeight="1">
      <c r="A568" s="8"/>
      <c r="B568" s="7"/>
      <c r="C568" s="33"/>
      <c r="D568" s="7"/>
      <c r="E568" s="7"/>
      <c r="F568" s="7"/>
      <c r="G568" s="7"/>
      <c r="H568" s="7"/>
      <c r="I568" s="7"/>
      <c r="J568" s="7"/>
      <c r="K568" s="7"/>
      <c r="L568" s="7"/>
      <c r="M568" s="7"/>
      <c r="N568" s="7"/>
      <c r="O568" s="7"/>
      <c r="P568" s="7"/>
      <c r="Q568" s="7"/>
      <c r="R568" s="64"/>
      <c r="S568" s="64"/>
      <c r="T568" s="64"/>
      <c r="U568" s="64"/>
      <c r="V568" s="64"/>
      <c r="W568" s="64"/>
    </row>
    <row r="569" spans="1:23" ht="15.95" customHeight="1">
      <c r="A569" s="8"/>
      <c r="B569" s="7"/>
      <c r="C569" s="33"/>
      <c r="D569" s="7"/>
      <c r="E569" s="7"/>
      <c r="F569" s="7"/>
      <c r="G569" s="7"/>
      <c r="H569" s="7"/>
      <c r="I569" s="7"/>
      <c r="J569" s="7"/>
      <c r="K569" s="7"/>
      <c r="L569" s="7"/>
      <c r="M569" s="7"/>
      <c r="N569" s="7"/>
      <c r="O569" s="7"/>
      <c r="P569" s="7"/>
      <c r="Q569" s="7"/>
      <c r="R569" s="64"/>
      <c r="S569" s="64"/>
      <c r="T569" s="64"/>
      <c r="U569" s="64"/>
      <c r="V569" s="64"/>
      <c r="W569" s="64"/>
    </row>
    <row r="570" spans="1:23" ht="15.95" customHeight="1">
      <c r="A570" s="8"/>
      <c r="B570" s="7"/>
      <c r="C570" s="33"/>
      <c r="D570" s="7"/>
      <c r="E570" s="7"/>
      <c r="F570" s="7"/>
      <c r="G570" s="7"/>
      <c r="H570" s="7"/>
      <c r="I570" s="7"/>
      <c r="J570" s="7"/>
      <c r="K570" s="7"/>
      <c r="L570" s="7"/>
      <c r="M570" s="7"/>
      <c r="N570" s="7"/>
      <c r="O570" s="7"/>
      <c r="P570" s="7"/>
      <c r="Q570" s="7"/>
      <c r="R570" s="64"/>
      <c r="S570" s="64"/>
      <c r="T570" s="64"/>
      <c r="U570" s="64"/>
      <c r="V570" s="64"/>
      <c r="W570" s="64"/>
    </row>
    <row r="571" spans="1:23" ht="15.95" customHeight="1">
      <c r="A571" s="8"/>
      <c r="B571" s="7"/>
      <c r="C571" s="33"/>
      <c r="D571" s="7"/>
      <c r="E571" s="7"/>
      <c r="F571" s="7"/>
      <c r="G571" s="7"/>
      <c r="H571" s="7"/>
      <c r="I571" s="7"/>
      <c r="J571" s="7"/>
      <c r="K571" s="7"/>
      <c r="L571" s="7"/>
      <c r="M571" s="7"/>
      <c r="N571" s="7"/>
      <c r="O571" s="7"/>
      <c r="P571" s="7"/>
      <c r="Q571" s="7"/>
      <c r="R571" s="64"/>
      <c r="S571" s="64"/>
      <c r="T571" s="64"/>
      <c r="U571" s="64"/>
      <c r="V571" s="64"/>
      <c r="W571" s="64"/>
    </row>
    <row r="572" spans="1:23" ht="15.95" customHeight="1">
      <c r="A572" s="8"/>
      <c r="B572" s="7"/>
      <c r="C572" s="33"/>
      <c r="D572" s="7"/>
      <c r="E572" s="7"/>
      <c r="F572" s="7"/>
      <c r="G572" s="7"/>
      <c r="H572" s="7"/>
      <c r="I572" s="7"/>
      <c r="J572" s="7"/>
      <c r="K572" s="7"/>
      <c r="L572" s="7"/>
      <c r="M572" s="7"/>
      <c r="N572" s="7"/>
      <c r="O572" s="7"/>
      <c r="P572" s="7"/>
      <c r="Q572" s="7"/>
      <c r="R572" s="64"/>
      <c r="S572" s="64"/>
      <c r="T572" s="64"/>
      <c r="U572" s="64"/>
      <c r="V572" s="64"/>
      <c r="W572" s="64"/>
    </row>
    <row r="573" spans="1:23" ht="15.95" customHeight="1">
      <c r="A573" s="8"/>
      <c r="B573" s="7"/>
      <c r="C573" s="33"/>
      <c r="D573" s="7"/>
      <c r="E573" s="7"/>
      <c r="F573" s="7"/>
      <c r="G573" s="7"/>
      <c r="H573" s="7"/>
      <c r="I573" s="7"/>
      <c r="J573" s="7"/>
      <c r="K573" s="7"/>
      <c r="L573" s="7"/>
      <c r="M573" s="7"/>
      <c r="N573" s="7"/>
      <c r="O573" s="7"/>
      <c r="P573" s="7"/>
      <c r="Q573" s="7"/>
      <c r="R573" s="64"/>
      <c r="S573" s="64"/>
      <c r="T573" s="64"/>
      <c r="U573" s="64"/>
      <c r="V573" s="64"/>
      <c r="W573" s="64"/>
    </row>
    <row r="574" spans="1:23" ht="15.95" customHeight="1">
      <c r="A574" s="8"/>
      <c r="B574" s="7"/>
      <c r="C574" s="33"/>
      <c r="D574" s="7"/>
      <c r="E574" s="7"/>
      <c r="F574" s="7"/>
      <c r="G574" s="7"/>
      <c r="H574" s="7"/>
      <c r="I574" s="7"/>
      <c r="J574" s="7"/>
      <c r="K574" s="7"/>
      <c r="L574" s="7"/>
      <c r="M574" s="7"/>
      <c r="N574" s="7"/>
      <c r="O574" s="7"/>
      <c r="P574" s="7"/>
      <c r="Q574" s="7"/>
      <c r="R574" s="64"/>
      <c r="S574" s="64"/>
      <c r="T574" s="64"/>
      <c r="U574" s="64"/>
      <c r="V574" s="64"/>
      <c r="W574" s="64"/>
    </row>
    <row r="575" spans="1:23" ht="15.95" customHeight="1">
      <c r="A575" s="8"/>
      <c r="B575" s="7"/>
      <c r="C575" s="33"/>
      <c r="D575" s="7"/>
      <c r="E575" s="7"/>
      <c r="F575" s="7"/>
      <c r="G575" s="7"/>
      <c r="H575" s="7"/>
      <c r="I575" s="7"/>
      <c r="J575" s="7"/>
      <c r="K575" s="7"/>
      <c r="L575" s="7"/>
      <c r="M575" s="7"/>
      <c r="N575" s="7"/>
      <c r="O575" s="7"/>
      <c r="P575" s="7"/>
      <c r="Q575" s="7"/>
      <c r="R575" s="64"/>
      <c r="S575" s="64"/>
      <c r="T575" s="64"/>
      <c r="U575" s="64"/>
      <c r="V575" s="64"/>
      <c r="W575" s="64"/>
    </row>
    <row r="576" spans="1:23" ht="15.95" customHeight="1">
      <c r="A576" s="8"/>
      <c r="B576" s="7"/>
      <c r="C576" s="33"/>
      <c r="D576" s="7"/>
      <c r="E576" s="7"/>
      <c r="F576" s="7"/>
      <c r="G576" s="7"/>
      <c r="H576" s="7"/>
      <c r="I576" s="7"/>
      <c r="J576" s="7"/>
      <c r="K576" s="7"/>
      <c r="L576" s="7"/>
      <c r="M576" s="7"/>
      <c r="N576" s="7"/>
      <c r="O576" s="7"/>
      <c r="P576" s="7"/>
      <c r="Q576" s="7"/>
      <c r="R576" s="64"/>
      <c r="S576" s="64"/>
      <c r="T576" s="64"/>
      <c r="U576" s="64"/>
      <c r="V576" s="64"/>
      <c r="W576" s="64"/>
    </row>
    <row r="577" spans="1:23" ht="15.95" customHeight="1">
      <c r="A577" s="8"/>
      <c r="B577" s="7"/>
      <c r="C577" s="33"/>
      <c r="D577" s="7"/>
      <c r="E577" s="7"/>
      <c r="F577" s="7"/>
      <c r="G577" s="7"/>
      <c r="H577" s="7"/>
      <c r="I577" s="7"/>
      <c r="J577" s="7"/>
      <c r="K577" s="7"/>
      <c r="L577" s="7"/>
      <c r="M577" s="7"/>
      <c r="N577" s="7"/>
      <c r="O577" s="7"/>
      <c r="P577" s="7"/>
      <c r="Q577" s="7"/>
      <c r="R577" s="64"/>
      <c r="S577" s="64"/>
      <c r="T577" s="64"/>
      <c r="U577" s="64"/>
      <c r="V577" s="64"/>
      <c r="W577" s="64"/>
    </row>
    <row r="578" spans="1:23" ht="15.95" customHeight="1">
      <c r="A578" s="8"/>
      <c r="B578" s="7"/>
      <c r="C578" s="33"/>
      <c r="D578" s="7"/>
      <c r="E578" s="7"/>
      <c r="F578" s="7"/>
      <c r="G578" s="7"/>
      <c r="H578" s="7"/>
      <c r="I578" s="7"/>
      <c r="J578" s="7"/>
      <c r="K578" s="7"/>
      <c r="L578" s="7"/>
      <c r="M578" s="7"/>
      <c r="N578" s="7"/>
      <c r="O578" s="7"/>
      <c r="P578" s="7"/>
      <c r="Q578" s="7"/>
      <c r="R578" s="64"/>
      <c r="S578" s="64"/>
      <c r="T578" s="64"/>
      <c r="U578" s="64"/>
      <c r="V578" s="64"/>
      <c r="W578" s="64"/>
    </row>
    <row r="579" spans="1:23" ht="15.95" customHeight="1">
      <c r="A579" s="8"/>
      <c r="B579" s="7"/>
      <c r="C579" s="33"/>
      <c r="D579" s="7"/>
      <c r="E579" s="7"/>
      <c r="F579" s="7"/>
      <c r="G579" s="7"/>
      <c r="H579" s="7"/>
      <c r="I579" s="7"/>
      <c r="J579" s="7"/>
      <c r="K579" s="7"/>
      <c r="L579" s="7"/>
      <c r="M579" s="7"/>
      <c r="N579" s="7"/>
      <c r="O579" s="7"/>
      <c r="P579" s="7"/>
      <c r="Q579" s="7"/>
      <c r="R579" s="64"/>
      <c r="S579" s="64"/>
      <c r="T579" s="64"/>
      <c r="U579" s="64"/>
      <c r="V579" s="64"/>
      <c r="W579" s="64"/>
    </row>
    <row r="580" spans="1:23" ht="15.95" customHeight="1">
      <c r="A580" s="8"/>
      <c r="B580" s="7"/>
      <c r="C580" s="33"/>
      <c r="D580" s="7"/>
      <c r="E580" s="7"/>
      <c r="F580" s="7"/>
      <c r="G580" s="7"/>
      <c r="H580" s="7"/>
      <c r="I580" s="7"/>
      <c r="J580" s="7"/>
      <c r="K580" s="7"/>
      <c r="L580" s="7"/>
      <c r="M580" s="7"/>
      <c r="N580" s="7"/>
      <c r="O580" s="7"/>
      <c r="P580" s="7"/>
      <c r="Q580" s="7"/>
      <c r="R580" s="64"/>
      <c r="S580" s="64"/>
      <c r="T580" s="64"/>
      <c r="U580" s="64"/>
      <c r="V580" s="64"/>
      <c r="W580" s="64"/>
    </row>
    <row r="581" spans="1:23" ht="15.95" customHeight="1">
      <c r="A581" s="8"/>
      <c r="B581" s="7"/>
      <c r="C581" s="33"/>
      <c r="D581" s="7"/>
      <c r="E581" s="7"/>
      <c r="F581" s="7"/>
      <c r="G581" s="7"/>
      <c r="H581" s="7"/>
      <c r="I581" s="7"/>
      <c r="J581" s="7"/>
      <c r="K581" s="7"/>
      <c r="L581" s="7"/>
      <c r="M581" s="7"/>
      <c r="N581" s="7"/>
      <c r="O581" s="7"/>
      <c r="P581" s="7"/>
      <c r="Q581" s="7"/>
      <c r="R581" s="64"/>
      <c r="S581" s="64"/>
      <c r="T581" s="64"/>
      <c r="U581" s="64"/>
      <c r="V581" s="64"/>
      <c r="W581" s="64"/>
    </row>
    <row r="582" spans="1:23" ht="15.95" customHeight="1">
      <c r="A582" s="8"/>
      <c r="B582" s="7"/>
      <c r="C582" s="33"/>
      <c r="D582" s="7"/>
      <c r="E582" s="7"/>
      <c r="F582" s="7"/>
      <c r="G582" s="7"/>
      <c r="H582" s="7"/>
      <c r="I582" s="7"/>
      <c r="J582" s="7"/>
      <c r="K582" s="7"/>
      <c r="L582" s="7"/>
      <c r="M582" s="7"/>
      <c r="N582" s="7"/>
      <c r="O582" s="7"/>
      <c r="P582" s="7"/>
      <c r="Q582" s="7"/>
      <c r="R582" s="64"/>
      <c r="S582" s="64"/>
      <c r="T582" s="64"/>
      <c r="U582" s="64"/>
      <c r="V582" s="64"/>
      <c r="W582" s="64"/>
    </row>
    <row r="583" spans="1:23" ht="15.95" customHeight="1">
      <c r="A583" s="8"/>
      <c r="B583" s="7"/>
      <c r="C583" s="33"/>
      <c r="D583" s="7"/>
      <c r="E583" s="7"/>
      <c r="F583" s="7"/>
      <c r="G583" s="7"/>
      <c r="H583" s="7"/>
      <c r="I583" s="7"/>
      <c r="J583" s="7"/>
      <c r="K583" s="7"/>
      <c r="L583" s="7"/>
      <c r="M583" s="7"/>
      <c r="N583" s="7"/>
      <c r="O583" s="7"/>
      <c r="P583" s="7"/>
      <c r="Q583" s="7"/>
      <c r="R583" s="64"/>
      <c r="S583" s="64"/>
      <c r="T583" s="64"/>
      <c r="U583" s="64"/>
      <c r="V583" s="64"/>
      <c r="W583" s="64"/>
    </row>
    <row r="584" spans="1:23" ht="15.95" customHeight="1">
      <c r="A584" s="8"/>
      <c r="B584" s="7"/>
      <c r="C584" s="33"/>
      <c r="D584" s="7"/>
      <c r="E584" s="7"/>
      <c r="F584" s="7"/>
      <c r="G584" s="7"/>
      <c r="H584" s="7"/>
      <c r="I584" s="7"/>
      <c r="J584" s="7"/>
      <c r="K584" s="7"/>
      <c r="L584" s="7"/>
      <c r="M584" s="7"/>
      <c r="N584" s="7"/>
      <c r="O584" s="7"/>
      <c r="P584" s="7"/>
      <c r="Q584" s="7"/>
      <c r="R584" s="64"/>
      <c r="S584" s="64"/>
      <c r="T584" s="64"/>
      <c r="U584" s="64"/>
      <c r="V584" s="64"/>
      <c r="W584" s="64"/>
    </row>
    <row r="585" spans="1:23" ht="15.95" customHeight="1">
      <c r="A585" s="8"/>
      <c r="B585" s="7"/>
      <c r="C585" s="33"/>
      <c r="D585" s="7"/>
      <c r="E585" s="7"/>
      <c r="F585" s="7"/>
      <c r="G585" s="7"/>
      <c r="H585" s="7"/>
      <c r="I585" s="7"/>
      <c r="J585" s="7"/>
      <c r="K585" s="7"/>
      <c r="L585" s="7"/>
      <c r="M585" s="7"/>
      <c r="N585" s="7"/>
      <c r="O585" s="7"/>
      <c r="P585" s="7"/>
      <c r="Q585" s="7"/>
      <c r="R585" s="64"/>
      <c r="S585" s="64"/>
      <c r="T585" s="64"/>
      <c r="U585" s="64"/>
      <c r="V585" s="64"/>
      <c r="W585" s="64"/>
    </row>
    <row r="586" spans="1:23" ht="15.95" customHeight="1">
      <c r="A586" s="8"/>
      <c r="B586" s="7"/>
      <c r="C586" s="33"/>
      <c r="D586" s="7"/>
      <c r="E586" s="7"/>
      <c r="F586" s="7"/>
      <c r="G586" s="7"/>
      <c r="H586" s="7"/>
      <c r="I586" s="7"/>
      <c r="J586" s="7"/>
      <c r="K586" s="7"/>
      <c r="L586" s="7"/>
      <c r="M586" s="7"/>
      <c r="N586" s="7"/>
      <c r="O586" s="7"/>
      <c r="P586" s="7"/>
      <c r="Q586" s="7"/>
      <c r="R586" s="64"/>
      <c r="S586" s="64"/>
      <c r="T586" s="64"/>
      <c r="U586" s="64"/>
      <c r="V586" s="64"/>
      <c r="W586" s="64"/>
    </row>
    <row r="587" spans="1:23" ht="15.95" customHeight="1">
      <c r="A587" s="8"/>
      <c r="B587" s="7"/>
      <c r="C587" s="33"/>
      <c r="D587" s="7"/>
      <c r="E587" s="7"/>
      <c r="F587" s="7"/>
      <c r="G587" s="7"/>
      <c r="H587" s="7"/>
      <c r="I587" s="7"/>
      <c r="J587" s="7"/>
      <c r="K587" s="7"/>
      <c r="L587" s="7"/>
      <c r="M587" s="7"/>
      <c r="N587" s="7"/>
      <c r="O587" s="7"/>
      <c r="P587" s="7"/>
      <c r="Q587" s="7"/>
      <c r="R587" s="64"/>
      <c r="S587" s="64"/>
      <c r="T587" s="64"/>
      <c r="U587" s="64"/>
      <c r="V587" s="64"/>
      <c r="W587" s="64"/>
    </row>
    <row r="588" spans="1:23" ht="15.95" customHeight="1">
      <c r="A588" s="8"/>
      <c r="B588" s="7"/>
      <c r="C588" s="33"/>
      <c r="D588" s="7"/>
      <c r="E588" s="7"/>
      <c r="F588" s="7"/>
      <c r="G588" s="7"/>
      <c r="H588" s="7"/>
      <c r="I588" s="7"/>
      <c r="J588" s="7"/>
      <c r="K588" s="7"/>
      <c r="L588" s="7"/>
      <c r="M588" s="7"/>
      <c r="N588" s="7"/>
      <c r="O588" s="7"/>
      <c r="P588" s="7"/>
      <c r="Q588" s="7"/>
      <c r="R588" s="64"/>
      <c r="S588" s="64"/>
      <c r="T588" s="64"/>
      <c r="U588" s="64"/>
      <c r="V588" s="64"/>
      <c r="W588" s="64"/>
    </row>
    <row r="589" spans="1:23" ht="15.95" customHeight="1">
      <c r="A589" s="8"/>
      <c r="B589" s="7"/>
      <c r="C589" s="33"/>
      <c r="D589" s="7"/>
      <c r="E589" s="7"/>
      <c r="F589" s="7"/>
      <c r="G589" s="7"/>
      <c r="H589" s="7"/>
      <c r="I589" s="7"/>
      <c r="J589" s="7"/>
      <c r="K589" s="7"/>
      <c r="L589" s="7"/>
      <c r="M589" s="7"/>
      <c r="N589" s="7"/>
      <c r="O589" s="7"/>
      <c r="P589" s="7"/>
      <c r="Q589" s="7"/>
      <c r="R589" s="64"/>
      <c r="S589" s="64"/>
      <c r="T589" s="64"/>
      <c r="U589" s="64"/>
      <c r="V589" s="64"/>
      <c r="W589" s="64"/>
    </row>
    <row r="590" spans="1:23" ht="15.95" customHeight="1">
      <c r="A590" s="8"/>
      <c r="B590" s="7"/>
      <c r="C590" s="33"/>
      <c r="D590" s="7"/>
      <c r="E590" s="7"/>
      <c r="F590" s="7"/>
      <c r="G590" s="7"/>
      <c r="H590" s="7"/>
      <c r="I590" s="7"/>
      <c r="J590" s="7"/>
      <c r="K590" s="7"/>
      <c r="L590" s="7"/>
      <c r="M590" s="7"/>
      <c r="N590" s="7"/>
      <c r="O590" s="7"/>
      <c r="P590" s="7"/>
      <c r="Q590" s="7"/>
      <c r="R590" s="64"/>
      <c r="S590" s="64"/>
      <c r="T590" s="64"/>
      <c r="U590" s="64"/>
      <c r="V590" s="64"/>
      <c r="W590" s="64"/>
    </row>
    <row r="591" spans="1:23" ht="15.95" customHeight="1">
      <c r="A591" s="8"/>
      <c r="B591" s="7"/>
      <c r="C591" s="33"/>
      <c r="D591" s="7"/>
      <c r="E591" s="7"/>
      <c r="F591" s="7"/>
      <c r="G591" s="7"/>
      <c r="H591" s="7"/>
      <c r="I591" s="7"/>
      <c r="J591" s="7"/>
      <c r="K591" s="7"/>
      <c r="L591" s="7"/>
      <c r="M591" s="7"/>
      <c r="N591" s="7"/>
      <c r="O591" s="7"/>
      <c r="P591" s="7"/>
      <c r="Q591" s="7"/>
      <c r="R591" s="64"/>
      <c r="S591" s="64"/>
      <c r="T591" s="64"/>
      <c r="U591" s="64"/>
      <c r="V591" s="64"/>
      <c r="W591" s="64"/>
    </row>
    <row r="592" spans="1:23" ht="15.95" customHeight="1">
      <c r="A592" s="8"/>
      <c r="B592" s="7"/>
      <c r="C592" s="33"/>
      <c r="D592" s="7"/>
      <c r="E592" s="7"/>
      <c r="F592" s="7"/>
      <c r="G592" s="7"/>
      <c r="H592" s="7"/>
      <c r="I592" s="7"/>
      <c r="J592" s="7"/>
      <c r="K592" s="7"/>
      <c r="L592" s="7"/>
      <c r="M592" s="7"/>
      <c r="N592" s="7"/>
      <c r="O592" s="7"/>
      <c r="P592" s="7"/>
      <c r="Q592" s="7"/>
      <c r="R592" s="64"/>
      <c r="S592" s="64"/>
      <c r="T592" s="64"/>
      <c r="U592" s="64"/>
      <c r="V592" s="64"/>
      <c r="W592" s="64"/>
    </row>
    <row r="593" spans="1:23" ht="15.95" customHeight="1">
      <c r="A593" s="8"/>
      <c r="B593" s="7"/>
      <c r="C593" s="33"/>
      <c r="D593" s="7"/>
      <c r="E593" s="7"/>
      <c r="F593" s="7"/>
      <c r="G593" s="7"/>
      <c r="H593" s="7"/>
      <c r="I593" s="7"/>
      <c r="J593" s="7"/>
      <c r="K593" s="7"/>
      <c r="L593" s="7"/>
      <c r="M593" s="7"/>
      <c r="N593" s="7"/>
      <c r="O593" s="7"/>
      <c r="P593" s="7"/>
      <c r="Q593" s="7"/>
      <c r="R593" s="64"/>
      <c r="S593" s="64"/>
      <c r="T593" s="64"/>
      <c r="U593" s="64"/>
      <c r="V593" s="64"/>
      <c r="W593" s="64"/>
    </row>
    <row r="594" spans="1:23" ht="15.95" customHeight="1">
      <c r="A594" s="8"/>
      <c r="B594" s="7"/>
      <c r="C594" s="33"/>
      <c r="D594" s="7"/>
      <c r="E594" s="7"/>
      <c r="F594" s="7"/>
      <c r="G594" s="7"/>
      <c r="H594" s="7"/>
      <c r="I594" s="7"/>
      <c r="J594" s="7"/>
      <c r="K594" s="7"/>
      <c r="L594" s="7"/>
      <c r="M594" s="7"/>
      <c r="N594" s="7"/>
      <c r="O594" s="7"/>
      <c r="P594" s="7"/>
      <c r="Q594" s="7"/>
      <c r="R594" s="64"/>
      <c r="S594" s="64"/>
      <c r="T594" s="64"/>
      <c r="U594" s="64"/>
      <c r="V594" s="64"/>
      <c r="W594" s="64"/>
    </row>
    <row r="595" spans="1:23" ht="15.95" customHeight="1">
      <c r="A595" s="8"/>
      <c r="B595" s="7"/>
      <c r="C595" s="33"/>
      <c r="D595" s="7"/>
      <c r="E595" s="7"/>
      <c r="F595" s="7"/>
      <c r="G595" s="7"/>
      <c r="H595" s="7"/>
      <c r="I595" s="7"/>
      <c r="J595" s="7"/>
      <c r="K595" s="7"/>
      <c r="L595" s="7"/>
      <c r="M595" s="7"/>
      <c r="N595" s="7"/>
      <c r="O595" s="7"/>
      <c r="P595" s="7"/>
      <c r="Q595" s="7"/>
      <c r="R595" s="64"/>
      <c r="S595" s="64"/>
      <c r="T595" s="64"/>
      <c r="U595" s="64"/>
      <c r="V595" s="64"/>
      <c r="W595" s="64"/>
    </row>
    <row r="596" spans="1:23" ht="15.95" customHeight="1">
      <c r="A596" s="8"/>
      <c r="B596" s="7"/>
      <c r="C596" s="33"/>
      <c r="D596" s="7"/>
      <c r="E596" s="7"/>
      <c r="F596" s="7"/>
      <c r="G596" s="7"/>
      <c r="H596" s="7"/>
      <c r="I596" s="7"/>
      <c r="J596" s="7"/>
      <c r="K596" s="7"/>
      <c r="L596" s="7"/>
      <c r="M596" s="7"/>
      <c r="N596" s="7"/>
      <c r="O596" s="7"/>
      <c r="P596" s="7"/>
      <c r="Q596" s="7"/>
      <c r="R596" s="64"/>
      <c r="S596" s="64"/>
      <c r="T596" s="64"/>
      <c r="U596" s="64"/>
      <c r="V596" s="64"/>
      <c r="W596" s="64"/>
    </row>
    <row r="597" spans="1:23" ht="15.95" customHeight="1">
      <c r="A597" s="8"/>
      <c r="B597" s="7"/>
      <c r="C597" s="33"/>
      <c r="D597" s="7"/>
      <c r="E597" s="7"/>
      <c r="F597" s="7"/>
      <c r="G597" s="7"/>
      <c r="H597" s="7"/>
      <c r="I597" s="7"/>
      <c r="J597" s="7"/>
      <c r="K597" s="7"/>
      <c r="L597" s="7"/>
      <c r="M597" s="7"/>
      <c r="N597" s="7"/>
      <c r="O597" s="7"/>
      <c r="P597" s="7"/>
      <c r="Q597" s="7"/>
      <c r="R597" s="64"/>
      <c r="S597" s="64"/>
      <c r="T597" s="64"/>
      <c r="U597" s="64"/>
      <c r="V597" s="64"/>
      <c r="W597" s="64"/>
    </row>
    <row r="598" spans="1:23" ht="15.95" customHeight="1">
      <c r="A598" s="8"/>
      <c r="B598" s="7"/>
      <c r="C598" s="33"/>
      <c r="D598" s="7"/>
      <c r="E598" s="7"/>
      <c r="F598" s="7"/>
      <c r="G598" s="7"/>
      <c r="H598" s="7"/>
      <c r="I598" s="7"/>
      <c r="J598" s="7"/>
      <c r="K598" s="7"/>
      <c r="L598" s="7"/>
      <c r="M598" s="7"/>
      <c r="N598" s="7"/>
      <c r="O598" s="7"/>
      <c r="P598" s="7"/>
      <c r="Q598" s="7"/>
      <c r="R598" s="64"/>
      <c r="S598" s="64"/>
      <c r="T598" s="64"/>
      <c r="U598" s="64"/>
      <c r="V598" s="64"/>
      <c r="W598" s="64"/>
    </row>
    <row r="599" spans="1:23" ht="15.95" customHeight="1">
      <c r="A599" s="8"/>
      <c r="B599" s="7"/>
      <c r="C599" s="33"/>
      <c r="D599" s="7"/>
      <c r="E599" s="7"/>
      <c r="F599" s="7"/>
      <c r="G599" s="7"/>
      <c r="H599" s="7"/>
      <c r="I599" s="7"/>
      <c r="J599" s="7"/>
      <c r="K599" s="7"/>
      <c r="L599" s="7"/>
      <c r="M599" s="7"/>
      <c r="N599" s="7"/>
      <c r="O599" s="7"/>
      <c r="P599" s="7"/>
      <c r="Q599" s="7"/>
      <c r="R599" s="64"/>
      <c r="S599" s="64"/>
      <c r="T599" s="64"/>
      <c r="U599" s="64"/>
      <c r="V599" s="64"/>
      <c r="W599" s="64"/>
    </row>
    <row r="600" spans="1:23" ht="15.95" customHeight="1">
      <c r="A600" s="8"/>
      <c r="B600" s="7"/>
      <c r="C600" s="33"/>
      <c r="D600" s="7"/>
      <c r="E600" s="7"/>
      <c r="F600" s="7"/>
      <c r="G600" s="7"/>
      <c r="H600" s="7"/>
      <c r="I600" s="7"/>
      <c r="J600" s="7"/>
      <c r="K600" s="7"/>
      <c r="L600" s="7"/>
      <c r="M600" s="7"/>
      <c r="N600" s="7"/>
      <c r="O600" s="7"/>
      <c r="P600" s="7"/>
      <c r="Q600" s="7"/>
      <c r="R600" s="64"/>
      <c r="S600" s="64"/>
      <c r="T600" s="64"/>
      <c r="U600" s="64"/>
      <c r="V600" s="64"/>
      <c r="W600" s="64"/>
    </row>
    <row r="601" spans="1:23" ht="15.95" customHeight="1">
      <c r="A601" s="8"/>
      <c r="B601" s="7"/>
      <c r="C601" s="33"/>
      <c r="D601" s="7"/>
      <c r="E601" s="7"/>
      <c r="F601" s="7"/>
      <c r="G601" s="7"/>
      <c r="H601" s="7"/>
      <c r="I601" s="7"/>
      <c r="J601" s="7"/>
      <c r="K601" s="7"/>
      <c r="L601" s="7"/>
      <c r="M601" s="7"/>
      <c r="N601" s="7"/>
      <c r="O601" s="7"/>
      <c r="P601" s="7"/>
      <c r="Q601" s="7"/>
      <c r="R601" s="64"/>
      <c r="S601" s="64"/>
      <c r="T601" s="64"/>
      <c r="U601" s="64"/>
      <c r="V601" s="64"/>
      <c r="W601" s="64"/>
    </row>
    <row r="602" spans="1:23" ht="15.95" customHeight="1">
      <c r="A602" s="8"/>
      <c r="B602" s="7"/>
      <c r="C602" s="33"/>
      <c r="D602" s="7"/>
      <c r="E602" s="7"/>
      <c r="F602" s="7"/>
      <c r="G602" s="7"/>
      <c r="H602" s="7"/>
      <c r="I602" s="7"/>
      <c r="J602" s="7"/>
      <c r="K602" s="7"/>
      <c r="L602" s="7"/>
      <c r="M602" s="7"/>
      <c r="N602" s="7"/>
      <c r="O602" s="7"/>
      <c r="P602" s="7"/>
      <c r="Q602" s="7"/>
      <c r="R602" s="64"/>
      <c r="S602" s="64"/>
      <c r="T602" s="64"/>
      <c r="U602" s="64"/>
      <c r="V602" s="64"/>
      <c r="W602" s="64"/>
    </row>
    <row r="603" spans="1:23" ht="15.95" customHeight="1">
      <c r="A603" s="8"/>
      <c r="B603" s="7"/>
      <c r="C603" s="33"/>
      <c r="D603" s="7"/>
      <c r="E603" s="7"/>
      <c r="F603" s="7"/>
      <c r="G603" s="7"/>
      <c r="H603" s="7"/>
      <c r="I603" s="7"/>
      <c r="J603" s="7"/>
      <c r="K603" s="7"/>
      <c r="L603" s="7"/>
      <c r="M603" s="7"/>
      <c r="N603" s="7"/>
      <c r="O603" s="7"/>
      <c r="P603" s="7"/>
      <c r="Q603" s="7"/>
      <c r="R603" s="64"/>
      <c r="S603" s="64"/>
      <c r="T603" s="64"/>
      <c r="U603" s="64"/>
      <c r="V603" s="64"/>
      <c r="W603" s="64"/>
    </row>
    <row r="604" spans="1:23" ht="15.95" customHeight="1">
      <c r="A604" s="8"/>
      <c r="B604" s="7"/>
      <c r="C604" s="33"/>
      <c r="D604" s="7"/>
      <c r="E604" s="7"/>
      <c r="F604" s="7"/>
      <c r="G604" s="7"/>
      <c r="H604" s="7"/>
      <c r="I604" s="7"/>
      <c r="J604" s="7"/>
      <c r="K604" s="7"/>
      <c r="L604" s="7"/>
      <c r="M604" s="7"/>
      <c r="N604" s="7"/>
      <c r="O604" s="7"/>
      <c r="P604" s="7"/>
      <c r="Q604" s="7"/>
      <c r="R604" s="64"/>
      <c r="S604" s="64"/>
      <c r="T604" s="64"/>
      <c r="U604" s="64"/>
      <c r="V604" s="64"/>
      <c r="W604" s="64"/>
    </row>
    <row r="605" spans="1:23" ht="15.95" customHeight="1">
      <c r="A605" s="8"/>
      <c r="B605" s="7"/>
      <c r="C605" s="33"/>
      <c r="D605" s="7"/>
      <c r="E605" s="7"/>
      <c r="F605" s="7"/>
      <c r="G605" s="7"/>
      <c r="H605" s="7"/>
      <c r="I605" s="7"/>
      <c r="J605" s="7"/>
      <c r="K605" s="7"/>
      <c r="L605" s="7"/>
      <c r="M605" s="7"/>
      <c r="N605" s="7"/>
      <c r="O605" s="7"/>
      <c r="P605" s="7"/>
      <c r="Q605" s="7"/>
      <c r="R605" s="64"/>
      <c r="S605" s="64"/>
      <c r="T605" s="64"/>
      <c r="U605" s="64"/>
      <c r="V605" s="64"/>
      <c r="W605" s="64"/>
    </row>
    <row r="606" spans="1:23" ht="15.95" customHeight="1">
      <c r="A606" s="8"/>
      <c r="B606" s="7"/>
      <c r="C606" s="33"/>
      <c r="D606" s="7"/>
      <c r="E606" s="7"/>
      <c r="F606" s="7"/>
      <c r="G606" s="7"/>
      <c r="H606" s="7"/>
      <c r="I606" s="7"/>
      <c r="J606" s="7"/>
      <c r="K606" s="7"/>
      <c r="L606" s="7"/>
      <c r="M606" s="7"/>
      <c r="N606" s="7"/>
      <c r="O606" s="7"/>
      <c r="P606" s="7"/>
      <c r="Q606" s="7"/>
      <c r="R606" s="64"/>
      <c r="S606" s="64"/>
      <c r="T606" s="64"/>
      <c r="U606" s="64"/>
      <c r="V606" s="64"/>
      <c r="W606" s="64"/>
    </row>
    <row r="607" spans="1:23" ht="15.95" customHeight="1">
      <c r="A607" s="8"/>
      <c r="B607" s="7"/>
      <c r="C607" s="33"/>
      <c r="D607" s="7"/>
      <c r="E607" s="7"/>
      <c r="F607" s="7"/>
      <c r="G607" s="7"/>
      <c r="H607" s="7"/>
      <c r="I607" s="7"/>
      <c r="J607" s="7"/>
      <c r="K607" s="7"/>
      <c r="L607" s="7"/>
      <c r="M607" s="7"/>
      <c r="N607" s="7"/>
      <c r="O607" s="7"/>
      <c r="P607" s="7"/>
      <c r="Q607" s="7"/>
      <c r="R607" s="64"/>
      <c r="S607" s="64"/>
      <c r="T607" s="64"/>
      <c r="U607" s="64"/>
      <c r="V607" s="64"/>
      <c r="W607" s="64"/>
    </row>
    <row r="608" spans="1:23" ht="15.95" customHeight="1">
      <c r="A608" s="8"/>
      <c r="B608" s="7"/>
      <c r="C608" s="33"/>
      <c r="D608" s="7"/>
      <c r="E608" s="7"/>
      <c r="F608" s="7"/>
      <c r="G608" s="7"/>
      <c r="H608" s="7"/>
      <c r="I608" s="7"/>
      <c r="J608" s="7"/>
      <c r="K608" s="7"/>
      <c r="L608" s="7"/>
      <c r="M608" s="7"/>
      <c r="N608" s="7"/>
      <c r="O608" s="7"/>
      <c r="P608" s="7"/>
      <c r="Q608" s="7"/>
      <c r="R608" s="64"/>
      <c r="S608" s="64"/>
      <c r="T608" s="64"/>
      <c r="U608" s="64"/>
      <c r="V608" s="64"/>
      <c r="W608" s="64"/>
    </row>
    <row r="609" spans="1:23" ht="15.95" customHeight="1">
      <c r="A609" s="8"/>
      <c r="B609" s="7"/>
      <c r="C609" s="33"/>
      <c r="D609" s="7"/>
      <c r="E609" s="7"/>
      <c r="F609" s="7"/>
      <c r="G609" s="7"/>
      <c r="H609" s="7"/>
      <c r="I609" s="7"/>
      <c r="J609" s="7"/>
      <c r="K609" s="7"/>
      <c r="L609" s="7"/>
      <c r="M609" s="7"/>
      <c r="N609" s="7"/>
      <c r="O609" s="7"/>
      <c r="P609" s="7"/>
      <c r="Q609" s="7"/>
      <c r="R609" s="64"/>
      <c r="S609" s="64"/>
      <c r="T609" s="64"/>
      <c r="U609" s="64"/>
      <c r="V609" s="64"/>
      <c r="W609" s="64"/>
    </row>
    <row r="610" spans="1:23" ht="15.95" customHeight="1">
      <c r="A610" s="8"/>
      <c r="B610" s="7"/>
      <c r="C610" s="33"/>
      <c r="D610" s="7"/>
      <c r="E610" s="7"/>
      <c r="F610" s="7"/>
      <c r="G610" s="7"/>
      <c r="H610" s="7"/>
      <c r="I610" s="7"/>
      <c r="J610" s="7"/>
      <c r="K610" s="7"/>
      <c r="L610" s="7"/>
      <c r="M610" s="7"/>
      <c r="N610" s="7"/>
      <c r="O610" s="7"/>
      <c r="P610" s="7"/>
      <c r="Q610" s="7"/>
      <c r="R610" s="64"/>
      <c r="S610" s="64"/>
      <c r="T610" s="64"/>
      <c r="U610" s="64"/>
      <c r="V610" s="64"/>
      <c r="W610" s="64"/>
    </row>
    <row r="611" spans="1:23" ht="15.95" customHeight="1">
      <c r="A611" s="8"/>
      <c r="B611" s="7"/>
      <c r="C611" s="33"/>
      <c r="D611" s="7"/>
      <c r="E611" s="7"/>
      <c r="F611" s="7"/>
      <c r="G611" s="7"/>
      <c r="H611" s="7"/>
      <c r="I611" s="7"/>
      <c r="J611" s="7"/>
      <c r="K611" s="7"/>
      <c r="L611" s="7"/>
      <c r="M611" s="7"/>
      <c r="N611" s="7"/>
      <c r="O611" s="7"/>
      <c r="P611" s="7"/>
      <c r="Q611" s="7"/>
      <c r="R611" s="64"/>
      <c r="S611" s="64"/>
      <c r="T611" s="64"/>
      <c r="U611" s="64"/>
      <c r="V611" s="64"/>
      <c r="W611" s="64"/>
    </row>
    <row r="612" spans="1:23" ht="15.95" customHeight="1">
      <c r="A612" s="8"/>
      <c r="B612" s="7"/>
      <c r="C612" s="33"/>
      <c r="D612" s="7"/>
      <c r="E612" s="7"/>
      <c r="F612" s="7"/>
      <c r="G612" s="7"/>
      <c r="H612" s="7"/>
      <c r="I612" s="7"/>
      <c r="J612" s="7"/>
      <c r="K612" s="7"/>
      <c r="L612" s="7"/>
      <c r="M612" s="7"/>
      <c r="N612" s="7"/>
      <c r="O612" s="7"/>
      <c r="P612" s="7"/>
      <c r="Q612" s="7"/>
      <c r="R612" s="64"/>
      <c r="S612" s="64"/>
      <c r="T612" s="64"/>
      <c r="U612" s="64"/>
      <c r="V612" s="64"/>
      <c r="W612" s="64"/>
    </row>
    <row r="613" spans="1:23" ht="15.95" customHeight="1">
      <c r="A613" s="8"/>
      <c r="B613" s="7"/>
      <c r="C613" s="33"/>
      <c r="D613" s="7"/>
      <c r="E613" s="7"/>
      <c r="F613" s="7"/>
      <c r="G613" s="7"/>
      <c r="H613" s="7"/>
      <c r="I613" s="7"/>
      <c r="J613" s="7"/>
      <c r="K613" s="7"/>
      <c r="L613" s="7"/>
      <c r="M613" s="7"/>
      <c r="N613" s="7"/>
      <c r="O613" s="7"/>
      <c r="P613" s="7"/>
      <c r="Q613" s="7"/>
      <c r="R613" s="64"/>
      <c r="S613" s="64"/>
      <c r="T613" s="64"/>
      <c r="U613" s="64"/>
      <c r="V613" s="64"/>
      <c r="W613" s="64"/>
    </row>
    <row r="614" spans="1:23" ht="15.95" customHeight="1">
      <c r="A614" s="8"/>
      <c r="B614" s="7"/>
      <c r="C614" s="33"/>
      <c r="D614" s="7"/>
      <c r="E614" s="7"/>
      <c r="F614" s="7"/>
      <c r="G614" s="7"/>
      <c r="H614" s="7"/>
      <c r="I614" s="7"/>
      <c r="J614" s="7"/>
      <c r="K614" s="7"/>
      <c r="L614" s="7"/>
      <c r="M614" s="7"/>
      <c r="N614" s="7"/>
      <c r="O614" s="7"/>
      <c r="P614" s="7"/>
      <c r="Q614" s="7"/>
      <c r="R614" s="64"/>
      <c r="S614" s="64"/>
      <c r="T614" s="64"/>
      <c r="U614" s="64"/>
      <c r="V614" s="64"/>
      <c r="W614" s="64"/>
    </row>
    <row r="615" spans="1:23" ht="15.95" customHeight="1">
      <c r="A615" s="8"/>
      <c r="B615" s="7"/>
      <c r="C615" s="33"/>
      <c r="D615" s="7"/>
      <c r="E615" s="7"/>
      <c r="F615" s="7"/>
      <c r="G615" s="7"/>
      <c r="H615" s="7"/>
      <c r="I615" s="7"/>
      <c r="J615" s="7"/>
      <c r="K615" s="7"/>
      <c r="L615" s="7"/>
      <c r="M615" s="7"/>
      <c r="N615" s="7"/>
      <c r="O615" s="7"/>
      <c r="P615" s="7"/>
      <c r="Q615" s="7"/>
      <c r="R615" s="64"/>
      <c r="S615" s="64"/>
      <c r="T615" s="64"/>
      <c r="U615" s="64"/>
      <c r="V615" s="64"/>
      <c r="W615" s="64"/>
    </row>
    <row r="616" spans="1:23" ht="15.95" customHeight="1">
      <c r="A616" s="8"/>
      <c r="B616" s="7"/>
      <c r="C616" s="33"/>
      <c r="D616" s="7"/>
      <c r="E616" s="7"/>
      <c r="F616" s="7"/>
      <c r="G616" s="7"/>
      <c r="H616" s="7"/>
      <c r="I616" s="7"/>
      <c r="J616" s="7"/>
      <c r="K616" s="7"/>
      <c r="L616" s="7"/>
      <c r="M616" s="7"/>
      <c r="N616" s="7"/>
      <c r="O616" s="7"/>
      <c r="P616" s="7"/>
      <c r="Q616" s="7"/>
      <c r="R616" s="64"/>
      <c r="S616" s="64"/>
      <c r="T616" s="64"/>
      <c r="U616" s="64"/>
      <c r="V616" s="64"/>
      <c r="W616" s="64"/>
    </row>
    <row r="617" spans="1:23" ht="15.95" customHeight="1">
      <c r="A617" s="8"/>
      <c r="B617" s="7"/>
      <c r="C617" s="33"/>
      <c r="D617" s="7"/>
      <c r="E617" s="7"/>
      <c r="F617" s="7"/>
      <c r="G617" s="7"/>
      <c r="H617" s="7"/>
      <c r="I617" s="7"/>
      <c r="J617" s="7"/>
      <c r="K617" s="7"/>
      <c r="L617" s="7"/>
      <c r="M617" s="7"/>
      <c r="N617" s="7"/>
      <c r="O617" s="7"/>
      <c r="P617" s="7"/>
      <c r="Q617" s="7"/>
      <c r="R617" s="64"/>
      <c r="S617" s="64"/>
      <c r="T617" s="64"/>
      <c r="U617" s="64"/>
      <c r="V617" s="64"/>
      <c r="W617" s="64"/>
    </row>
    <row r="618" spans="1:23" ht="15.95" customHeight="1">
      <c r="A618" s="8"/>
      <c r="B618" s="7"/>
      <c r="C618" s="33"/>
      <c r="D618" s="7"/>
      <c r="E618" s="7"/>
      <c r="F618" s="7"/>
      <c r="G618" s="7"/>
      <c r="H618" s="7"/>
      <c r="I618" s="7"/>
      <c r="J618" s="7"/>
      <c r="K618" s="7"/>
      <c r="L618" s="7"/>
      <c r="M618" s="7"/>
      <c r="N618" s="7"/>
      <c r="O618" s="7"/>
      <c r="P618" s="7"/>
      <c r="Q618" s="7"/>
      <c r="R618" s="64"/>
      <c r="S618" s="64"/>
      <c r="T618" s="64"/>
      <c r="U618" s="64"/>
      <c r="V618" s="64"/>
      <c r="W618" s="64"/>
    </row>
    <row r="619" spans="1:23" ht="15.95" customHeight="1">
      <c r="A619" s="8"/>
      <c r="B619" s="7"/>
      <c r="C619" s="33"/>
      <c r="D619" s="7"/>
      <c r="E619" s="7"/>
      <c r="F619" s="7"/>
      <c r="G619" s="7"/>
      <c r="H619" s="7"/>
      <c r="I619" s="7"/>
      <c r="J619" s="7"/>
      <c r="K619" s="7"/>
      <c r="L619" s="7"/>
      <c r="M619" s="7"/>
      <c r="N619" s="7"/>
      <c r="O619" s="7"/>
      <c r="P619" s="7"/>
      <c r="Q619" s="7"/>
      <c r="R619" s="64"/>
      <c r="S619" s="64"/>
      <c r="T619" s="64"/>
      <c r="U619" s="64"/>
      <c r="V619" s="64"/>
      <c r="W619" s="64"/>
    </row>
    <row r="620" spans="1:23" ht="15.95" customHeight="1">
      <c r="A620" s="8"/>
      <c r="B620" s="7"/>
      <c r="C620" s="33"/>
      <c r="D620" s="7"/>
      <c r="E620" s="7"/>
      <c r="F620" s="7"/>
      <c r="G620" s="7"/>
      <c r="H620" s="7"/>
      <c r="I620" s="7"/>
      <c r="J620" s="7"/>
      <c r="K620" s="7"/>
      <c r="L620" s="7"/>
      <c r="M620" s="7"/>
      <c r="N620" s="7"/>
      <c r="O620" s="7"/>
      <c r="P620" s="7"/>
      <c r="Q620" s="7"/>
      <c r="R620" s="64"/>
      <c r="S620" s="64"/>
      <c r="T620" s="64"/>
      <c r="U620" s="64"/>
      <c r="V620" s="64"/>
      <c r="W620" s="64"/>
    </row>
    <row r="621" spans="1:23" ht="15.95" customHeight="1">
      <c r="A621" s="8"/>
      <c r="B621" s="7"/>
      <c r="C621" s="33"/>
      <c r="D621" s="7"/>
      <c r="E621" s="7"/>
      <c r="F621" s="7"/>
      <c r="G621" s="7"/>
      <c r="H621" s="7"/>
      <c r="I621" s="7"/>
      <c r="J621" s="7"/>
      <c r="K621" s="7"/>
      <c r="L621" s="7"/>
      <c r="M621" s="7"/>
      <c r="N621" s="7"/>
      <c r="O621" s="7"/>
      <c r="P621" s="7"/>
      <c r="Q621" s="7"/>
      <c r="R621" s="64"/>
      <c r="S621" s="64"/>
      <c r="T621" s="64"/>
      <c r="U621" s="64"/>
      <c r="V621" s="64"/>
      <c r="W621" s="64"/>
    </row>
    <row r="622" spans="1:23" ht="15.95" customHeight="1">
      <c r="A622" s="8"/>
      <c r="B622" s="7"/>
      <c r="C622" s="33"/>
      <c r="D622" s="7"/>
      <c r="E622" s="7"/>
      <c r="F622" s="7"/>
      <c r="G622" s="7"/>
      <c r="H622" s="7"/>
      <c r="I622" s="7"/>
      <c r="J622" s="7"/>
      <c r="K622" s="7"/>
      <c r="L622" s="7"/>
      <c r="M622" s="7"/>
      <c r="N622" s="7"/>
      <c r="O622" s="7"/>
      <c r="P622" s="7"/>
      <c r="Q622" s="7"/>
      <c r="R622" s="64"/>
      <c r="S622" s="64"/>
      <c r="T622" s="64"/>
      <c r="U622" s="64"/>
      <c r="V622" s="64"/>
      <c r="W622" s="64"/>
    </row>
    <row r="623" spans="1:23" ht="15.95" customHeight="1">
      <c r="A623" s="8"/>
      <c r="B623" s="7"/>
      <c r="C623" s="33"/>
      <c r="D623" s="7"/>
      <c r="E623" s="7"/>
      <c r="F623" s="7"/>
      <c r="G623" s="7"/>
      <c r="H623" s="7"/>
      <c r="I623" s="7"/>
      <c r="J623" s="7"/>
      <c r="K623" s="7"/>
      <c r="L623" s="7"/>
      <c r="M623" s="7"/>
      <c r="N623" s="7"/>
      <c r="O623" s="7"/>
      <c r="P623" s="7"/>
      <c r="Q623" s="7"/>
      <c r="R623" s="64"/>
      <c r="S623" s="64"/>
      <c r="T623" s="64"/>
      <c r="U623" s="64"/>
      <c r="V623" s="64"/>
      <c r="W623" s="64"/>
    </row>
    <row r="624" spans="1:23" ht="15.95" customHeight="1">
      <c r="A624" s="8"/>
      <c r="B624" s="7"/>
      <c r="C624" s="33"/>
      <c r="D624" s="7"/>
      <c r="E624" s="7"/>
      <c r="F624" s="7"/>
      <c r="G624" s="7"/>
      <c r="H624" s="7"/>
      <c r="I624" s="7"/>
      <c r="J624" s="7"/>
      <c r="K624" s="7"/>
      <c r="L624" s="7"/>
      <c r="M624" s="7"/>
      <c r="N624" s="7"/>
      <c r="O624" s="7"/>
      <c r="P624" s="7"/>
      <c r="Q624" s="7"/>
      <c r="R624" s="64"/>
      <c r="S624" s="64"/>
      <c r="T624" s="64"/>
      <c r="U624" s="64"/>
      <c r="V624" s="64"/>
      <c r="W624" s="64"/>
    </row>
    <row r="625" spans="1:23" ht="15.95" customHeight="1">
      <c r="A625" s="8"/>
      <c r="B625" s="7"/>
      <c r="C625" s="33"/>
      <c r="D625" s="7"/>
      <c r="E625" s="7"/>
      <c r="F625" s="7"/>
      <c r="G625" s="7"/>
      <c r="H625" s="7"/>
      <c r="I625" s="7"/>
      <c r="J625" s="7"/>
      <c r="K625" s="7"/>
      <c r="L625" s="7"/>
      <c r="M625" s="7"/>
      <c r="N625" s="7"/>
      <c r="O625" s="7"/>
      <c r="P625" s="7"/>
      <c r="Q625" s="7"/>
      <c r="R625" s="64"/>
      <c r="S625" s="64"/>
      <c r="T625" s="64"/>
      <c r="U625" s="64"/>
      <c r="V625" s="64"/>
      <c r="W625" s="64"/>
    </row>
    <row r="626" spans="1:23" ht="15.95" customHeight="1">
      <c r="A626" s="8"/>
      <c r="B626" s="7"/>
      <c r="C626" s="33"/>
      <c r="D626" s="7"/>
      <c r="E626" s="7"/>
      <c r="F626" s="7"/>
      <c r="G626" s="7"/>
      <c r="H626" s="7"/>
      <c r="I626" s="7"/>
      <c r="J626" s="7"/>
      <c r="K626" s="7"/>
      <c r="L626" s="7"/>
      <c r="M626" s="7"/>
      <c r="N626" s="7"/>
      <c r="O626" s="7"/>
      <c r="P626" s="7"/>
      <c r="Q626" s="7"/>
      <c r="R626" s="64"/>
      <c r="S626" s="64"/>
      <c r="T626" s="64"/>
      <c r="U626" s="64"/>
      <c r="V626" s="64"/>
      <c r="W626" s="64"/>
    </row>
    <row r="627" spans="1:23" ht="15.95" customHeight="1">
      <c r="A627" s="8"/>
      <c r="B627" s="7"/>
      <c r="C627" s="33"/>
      <c r="D627" s="7"/>
      <c r="E627" s="7"/>
      <c r="F627" s="7"/>
      <c r="G627" s="7"/>
      <c r="H627" s="7"/>
      <c r="I627" s="7"/>
      <c r="J627" s="7"/>
      <c r="K627" s="7"/>
      <c r="L627" s="7"/>
      <c r="M627" s="7"/>
      <c r="N627" s="7"/>
      <c r="O627" s="7"/>
      <c r="P627" s="7"/>
      <c r="Q627" s="7"/>
      <c r="R627" s="64"/>
      <c r="S627" s="64"/>
      <c r="T627" s="64"/>
      <c r="U627" s="64"/>
      <c r="V627" s="64"/>
      <c r="W627" s="64"/>
    </row>
    <row r="628" spans="1:23" ht="15.95" customHeight="1">
      <c r="A628" s="8"/>
      <c r="B628" s="7"/>
      <c r="C628" s="33"/>
      <c r="D628" s="7"/>
      <c r="E628" s="7"/>
      <c r="F628" s="7"/>
      <c r="G628" s="7"/>
      <c r="H628" s="7"/>
      <c r="I628" s="7"/>
      <c r="J628" s="7"/>
      <c r="K628" s="7"/>
      <c r="L628" s="7"/>
      <c r="M628" s="7"/>
      <c r="N628" s="7"/>
      <c r="O628" s="7"/>
      <c r="P628" s="7"/>
      <c r="Q628" s="7"/>
      <c r="R628" s="64"/>
      <c r="S628" s="64"/>
      <c r="T628" s="64"/>
      <c r="U628" s="64"/>
      <c r="V628" s="64"/>
      <c r="W628" s="64"/>
    </row>
    <row r="629" spans="1:23" ht="15.95" customHeight="1">
      <c r="A629" s="8"/>
      <c r="B629" s="7"/>
      <c r="C629" s="33"/>
      <c r="D629" s="7"/>
      <c r="E629" s="7"/>
      <c r="F629" s="7"/>
      <c r="G629" s="7"/>
      <c r="H629" s="7"/>
      <c r="I629" s="7"/>
      <c r="J629" s="7"/>
      <c r="K629" s="7"/>
      <c r="L629" s="7"/>
      <c r="M629" s="7"/>
      <c r="N629" s="7"/>
      <c r="O629" s="7"/>
      <c r="P629" s="7"/>
      <c r="Q629" s="7"/>
      <c r="R629" s="64"/>
      <c r="S629" s="64"/>
      <c r="T629" s="64"/>
      <c r="U629" s="64"/>
      <c r="V629" s="64"/>
      <c r="W629" s="64"/>
    </row>
    <row r="630" spans="1:23" ht="15.95" customHeight="1">
      <c r="A630" s="8"/>
      <c r="B630" s="7"/>
      <c r="C630" s="33"/>
      <c r="D630" s="7"/>
      <c r="E630" s="7"/>
      <c r="F630" s="7"/>
      <c r="G630" s="7"/>
      <c r="H630" s="7"/>
      <c r="I630" s="7"/>
      <c r="J630" s="7"/>
      <c r="K630" s="7"/>
      <c r="L630" s="7"/>
      <c r="M630" s="7"/>
      <c r="N630" s="7"/>
      <c r="O630" s="7"/>
      <c r="P630" s="7"/>
      <c r="Q630" s="7"/>
      <c r="R630" s="64"/>
      <c r="S630" s="64"/>
      <c r="T630" s="64"/>
      <c r="U630" s="64"/>
      <c r="V630" s="64"/>
      <c r="W630" s="64"/>
    </row>
    <row r="631" spans="1:23" ht="15.95" customHeight="1">
      <c r="A631" s="8"/>
      <c r="B631" s="7"/>
      <c r="C631" s="33"/>
      <c r="D631" s="7"/>
      <c r="E631" s="7"/>
      <c r="F631" s="7"/>
      <c r="G631" s="7"/>
      <c r="H631" s="7"/>
      <c r="I631" s="7"/>
      <c r="J631" s="7"/>
      <c r="K631" s="7"/>
      <c r="L631" s="7"/>
      <c r="M631" s="7"/>
      <c r="N631" s="7"/>
      <c r="O631" s="7"/>
      <c r="P631" s="7"/>
      <c r="Q631" s="7"/>
      <c r="R631" s="64"/>
      <c r="S631" s="64"/>
      <c r="T631" s="64"/>
      <c r="U631" s="64"/>
      <c r="V631" s="64"/>
      <c r="W631" s="64"/>
    </row>
    <row r="632" spans="1:23" ht="15.95" customHeight="1">
      <c r="A632" s="8"/>
      <c r="B632" s="7"/>
      <c r="C632" s="33"/>
      <c r="D632" s="7"/>
      <c r="E632" s="7"/>
      <c r="F632" s="7"/>
      <c r="G632" s="7"/>
      <c r="H632" s="7"/>
      <c r="I632" s="7"/>
      <c r="J632" s="7"/>
      <c r="K632" s="7"/>
      <c r="L632" s="7"/>
      <c r="M632" s="7"/>
      <c r="N632" s="7"/>
      <c r="O632" s="7"/>
      <c r="P632" s="7"/>
      <c r="Q632" s="7"/>
      <c r="R632" s="64"/>
      <c r="S632" s="64"/>
      <c r="T632" s="64"/>
      <c r="U632" s="64"/>
      <c r="V632" s="64"/>
      <c r="W632" s="64"/>
    </row>
    <row r="633" spans="1:23" ht="15.95" customHeight="1">
      <c r="A633" s="8"/>
      <c r="B633" s="7"/>
      <c r="C633" s="33"/>
      <c r="D633" s="7"/>
      <c r="E633" s="7"/>
      <c r="F633" s="7"/>
      <c r="G633" s="7"/>
      <c r="H633" s="7"/>
      <c r="I633" s="7"/>
      <c r="J633" s="7"/>
      <c r="K633" s="7"/>
      <c r="L633" s="7"/>
      <c r="M633" s="7"/>
      <c r="N633" s="7"/>
      <c r="O633" s="7"/>
      <c r="P633" s="7"/>
      <c r="Q633" s="7"/>
      <c r="R633" s="64"/>
      <c r="S633" s="64"/>
      <c r="T633" s="64"/>
      <c r="U633" s="64"/>
      <c r="V633" s="64"/>
      <c r="W633" s="64"/>
    </row>
    <row r="634" spans="1:23" ht="15.95" customHeight="1">
      <c r="A634" s="8"/>
      <c r="B634" s="7"/>
      <c r="C634" s="33"/>
      <c r="D634" s="7"/>
      <c r="E634" s="7"/>
      <c r="F634" s="7"/>
      <c r="G634" s="7"/>
      <c r="H634" s="7"/>
      <c r="I634" s="7"/>
      <c r="J634" s="7"/>
      <c r="K634" s="7"/>
      <c r="L634" s="7"/>
      <c r="M634" s="7"/>
      <c r="N634" s="7"/>
      <c r="O634" s="7"/>
      <c r="P634" s="7"/>
      <c r="Q634" s="7"/>
      <c r="R634" s="64"/>
      <c r="S634" s="64"/>
      <c r="T634" s="64"/>
      <c r="U634" s="64"/>
      <c r="V634" s="64"/>
      <c r="W634" s="64"/>
    </row>
    <row r="635" spans="1:23" ht="15.95" customHeight="1">
      <c r="A635" s="8"/>
      <c r="B635" s="7"/>
      <c r="C635" s="33"/>
      <c r="D635" s="7"/>
      <c r="E635" s="7"/>
      <c r="F635" s="7"/>
      <c r="G635" s="7"/>
      <c r="H635" s="7"/>
      <c r="I635" s="7"/>
      <c r="J635" s="7"/>
      <c r="K635" s="7"/>
      <c r="L635" s="7"/>
      <c r="M635" s="7"/>
      <c r="N635" s="7"/>
      <c r="O635" s="7"/>
      <c r="P635" s="7"/>
      <c r="Q635" s="7"/>
      <c r="R635" s="64"/>
      <c r="S635" s="64"/>
      <c r="T635" s="64"/>
      <c r="U635" s="64"/>
      <c r="V635" s="64"/>
      <c r="W635" s="64"/>
    </row>
    <row r="636" spans="1:23" ht="15.95" customHeight="1">
      <c r="A636" s="8"/>
      <c r="B636" s="7"/>
      <c r="C636" s="33"/>
      <c r="D636" s="7"/>
      <c r="E636" s="7"/>
      <c r="F636" s="7"/>
      <c r="G636" s="7"/>
      <c r="H636" s="7"/>
      <c r="I636" s="7"/>
      <c r="J636" s="7"/>
      <c r="K636" s="7"/>
      <c r="L636" s="7"/>
      <c r="M636" s="7"/>
      <c r="N636" s="7"/>
      <c r="O636" s="7"/>
      <c r="P636" s="7"/>
      <c r="Q636" s="7"/>
      <c r="R636" s="64"/>
      <c r="S636" s="64"/>
      <c r="T636" s="64"/>
      <c r="U636" s="64"/>
      <c r="V636" s="64"/>
      <c r="W636" s="64"/>
    </row>
    <row r="637" spans="1:23" ht="15.95" customHeight="1">
      <c r="A637" s="8"/>
      <c r="B637" s="7"/>
      <c r="C637" s="33"/>
      <c r="D637" s="7"/>
      <c r="E637" s="7"/>
      <c r="F637" s="7"/>
      <c r="G637" s="7"/>
      <c r="H637" s="7"/>
      <c r="I637" s="7"/>
      <c r="J637" s="7"/>
      <c r="K637" s="7"/>
      <c r="L637" s="7"/>
      <c r="M637" s="7"/>
      <c r="N637" s="7"/>
      <c r="O637" s="7"/>
      <c r="P637" s="7"/>
      <c r="Q637" s="7"/>
      <c r="R637" s="64"/>
      <c r="S637" s="64"/>
      <c r="T637" s="64"/>
      <c r="U637" s="64"/>
      <c r="V637" s="64"/>
      <c r="W637" s="64"/>
    </row>
    <row r="638" spans="1:23" ht="15.95" customHeight="1">
      <c r="A638" s="8"/>
      <c r="B638" s="7"/>
      <c r="C638" s="33"/>
      <c r="D638" s="7"/>
      <c r="E638" s="7"/>
      <c r="F638" s="7"/>
      <c r="G638" s="7"/>
      <c r="H638" s="7"/>
      <c r="I638" s="7"/>
      <c r="J638" s="7"/>
      <c r="K638" s="7"/>
      <c r="L638" s="7"/>
      <c r="M638" s="7"/>
      <c r="N638" s="7"/>
      <c r="O638" s="7"/>
      <c r="P638" s="7"/>
      <c r="Q638" s="7"/>
      <c r="R638" s="64"/>
      <c r="S638" s="64"/>
      <c r="T638" s="64"/>
      <c r="U638" s="64"/>
      <c r="V638" s="64"/>
      <c r="W638" s="64"/>
    </row>
    <row r="639" spans="1:23" ht="15.95" customHeight="1">
      <c r="A639" s="8"/>
      <c r="B639" s="7"/>
      <c r="C639" s="33"/>
      <c r="D639" s="7"/>
      <c r="E639" s="7"/>
      <c r="F639" s="7"/>
      <c r="G639" s="7"/>
      <c r="H639" s="7"/>
      <c r="I639" s="7"/>
      <c r="J639" s="7"/>
      <c r="K639" s="7"/>
      <c r="L639" s="7"/>
      <c r="M639" s="7"/>
      <c r="N639" s="7"/>
      <c r="O639" s="7"/>
      <c r="P639" s="7"/>
      <c r="Q639" s="7"/>
      <c r="R639" s="64"/>
      <c r="S639" s="64"/>
      <c r="T639" s="64"/>
      <c r="U639" s="64"/>
      <c r="V639" s="64"/>
      <c r="W639" s="64"/>
    </row>
    <row r="640" spans="1:23" ht="15.95" customHeight="1">
      <c r="A640" s="8"/>
      <c r="B640" s="7"/>
      <c r="C640" s="33"/>
      <c r="D640" s="7"/>
      <c r="E640" s="7"/>
      <c r="F640" s="7"/>
      <c r="G640" s="7"/>
      <c r="H640" s="7"/>
      <c r="I640" s="7"/>
      <c r="J640" s="7"/>
      <c r="K640" s="7"/>
      <c r="L640" s="7"/>
      <c r="M640" s="7"/>
      <c r="N640" s="7"/>
      <c r="O640" s="7"/>
      <c r="P640" s="7"/>
      <c r="Q640" s="7"/>
      <c r="R640" s="64"/>
      <c r="S640" s="64"/>
      <c r="T640" s="64"/>
      <c r="U640" s="64"/>
      <c r="V640" s="64"/>
      <c r="W640" s="64"/>
    </row>
    <row r="641" spans="1:23" ht="15.95" customHeight="1">
      <c r="A641" s="8"/>
      <c r="B641" s="7"/>
      <c r="C641" s="33"/>
      <c r="D641" s="7"/>
      <c r="E641" s="7"/>
      <c r="F641" s="7"/>
      <c r="G641" s="7"/>
      <c r="H641" s="7"/>
      <c r="I641" s="7"/>
      <c r="J641" s="7"/>
      <c r="K641" s="7"/>
      <c r="L641" s="7"/>
      <c r="M641" s="7"/>
      <c r="N641" s="7"/>
      <c r="O641" s="7"/>
      <c r="P641" s="7"/>
      <c r="Q641" s="7"/>
      <c r="R641" s="64"/>
      <c r="S641" s="64"/>
      <c r="T641" s="64"/>
      <c r="U641" s="64"/>
      <c r="V641" s="64"/>
      <c r="W641" s="64"/>
    </row>
    <row r="642" spans="1:23" ht="15.95" customHeight="1">
      <c r="A642" s="8"/>
      <c r="B642" s="7"/>
      <c r="C642" s="33"/>
      <c r="D642" s="7"/>
      <c r="E642" s="7"/>
      <c r="F642" s="7"/>
      <c r="G642" s="7"/>
      <c r="H642" s="7"/>
      <c r="I642" s="7"/>
      <c r="J642" s="7"/>
      <c r="K642" s="7"/>
      <c r="L642" s="7"/>
      <c r="M642" s="7"/>
      <c r="N642" s="7"/>
      <c r="O642" s="7"/>
      <c r="P642" s="7"/>
      <c r="Q642" s="7"/>
      <c r="R642" s="64"/>
      <c r="S642" s="64"/>
      <c r="T642" s="64"/>
      <c r="U642" s="64"/>
      <c r="V642" s="64"/>
      <c r="W642" s="64"/>
    </row>
    <row r="643" spans="1:23" ht="15.95" customHeight="1">
      <c r="A643" s="8"/>
      <c r="B643" s="7"/>
      <c r="C643" s="33"/>
      <c r="D643" s="7"/>
      <c r="E643" s="7"/>
      <c r="F643" s="7"/>
      <c r="G643" s="7"/>
      <c r="H643" s="7"/>
      <c r="I643" s="7"/>
      <c r="J643" s="7"/>
      <c r="K643" s="7"/>
      <c r="L643" s="7"/>
      <c r="M643" s="7"/>
      <c r="N643" s="7"/>
      <c r="O643" s="7"/>
      <c r="P643" s="7"/>
      <c r="Q643" s="7"/>
      <c r="R643" s="64"/>
      <c r="S643" s="64"/>
      <c r="T643" s="64"/>
      <c r="U643" s="64"/>
      <c r="V643" s="64"/>
      <c r="W643" s="64"/>
    </row>
    <row r="644" spans="1:23" ht="15.95" customHeight="1">
      <c r="A644" s="8"/>
      <c r="B644" s="7"/>
      <c r="C644" s="33"/>
      <c r="D644" s="7"/>
      <c r="E644" s="7"/>
      <c r="F644" s="7"/>
      <c r="G644" s="7"/>
      <c r="H644" s="7"/>
      <c r="I644" s="7"/>
      <c r="J644" s="7"/>
      <c r="K644" s="7"/>
      <c r="L644" s="7"/>
      <c r="M644" s="7"/>
      <c r="N644" s="7"/>
      <c r="O644" s="7"/>
      <c r="P644" s="7"/>
      <c r="Q644" s="7"/>
      <c r="R644" s="64"/>
      <c r="S644" s="64"/>
      <c r="T644" s="64"/>
      <c r="U644" s="64"/>
      <c r="V644" s="64"/>
      <c r="W644" s="64"/>
    </row>
    <row r="645" spans="1:23" ht="15.95" customHeight="1">
      <c r="A645" s="8"/>
      <c r="B645" s="7"/>
      <c r="C645" s="33"/>
      <c r="D645" s="7"/>
      <c r="E645" s="7"/>
      <c r="F645" s="7"/>
      <c r="G645" s="7"/>
      <c r="H645" s="7"/>
      <c r="I645" s="7"/>
      <c r="J645" s="7"/>
      <c r="K645" s="7"/>
      <c r="L645" s="7"/>
      <c r="M645" s="7"/>
      <c r="N645" s="7"/>
      <c r="O645" s="7"/>
      <c r="P645" s="7"/>
      <c r="Q645" s="7"/>
      <c r="R645" s="64"/>
      <c r="S645" s="64"/>
      <c r="T645" s="64"/>
      <c r="U645" s="64"/>
      <c r="V645" s="64"/>
      <c r="W645" s="64"/>
    </row>
    <row r="646" spans="1:23" ht="15.95" customHeight="1">
      <c r="A646" s="8"/>
      <c r="B646" s="7"/>
      <c r="C646" s="33"/>
      <c r="D646" s="7"/>
      <c r="E646" s="7"/>
      <c r="F646" s="7"/>
      <c r="G646" s="7"/>
      <c r="H646" s="7"/>
      <c r="I646" s="7"/>
      <c r="J646" s="7"/>
      <c r="K646" s="7"/>
      <c r="L646" s="7"/>
      <c r="M646" s="7"/>
      <c r="N646" s="7"/>
      <c r="O646" s="7"/>
      <c r="P646" s="7"/>
      <c r="Q646" s="7"/>
      <c r="R646" s="64"/>
      <c r="S646" s="64"/>
      <c r="T646" s="64"/>
      <c r="U646" s="64"/>
      <c r="V646" s="64"/>
      <c r="W646" s="64"/>
    </row>
    <row r="647" spans="1:23" ht="15.95" customHeight="1">
      <c r="A647" s="8"/>
      <c r="B647" s="7"/>
      <c r="C647" s="33"/>
      <c r="D647" s="7"/>
      <c r="E647" s="7"/>
      <c r="F647" s="7"/>
      <c r="G647" s="7"/>
      <c r="H647" s="7"/>
      <c r="I647" s="7"/>
      <c r="J647" s="7"/>
      <c r="K647" s="7"/>
      <c r="L647" s="7"/>
      <c r="M647" s="7"/>
      <c r="N647" s="7"/>
      <c r="O647" s="7"/>
      <c r="P647" s="7"/>
      <c r="Q647" s="7"/>
      <c r="R647" s="64"/>
      <c r="S647" s="64"/>
      <c r="T647" s="64"/>
      <c r="U647" s="64"/>
      <c r="V647" s="64"/>
      <c r="W647" s="64"/>
    </row>
    <row r="648" spans="1:23" ht="15.95" customHeight="1">
      <c r="A648" s="8"/>
      <c r="B648" s="7"/>
      <c r="C648" s="33"/>
      <c r="D648" s="7"/>
      <c r="E648" s="7"/>
      <c r="F648" s="7"/>
      <c r="G648" s="7"/>
      <c r="H648" s="7"/>
      <c r="I648" s="7"/>
      <c r="J648" s="7"/>
      <c r="K648" s="7"/>
      <c r="L648" s="7"/>
      <c r="M648" s="7"/>
      <c r="N648" s="7"/>
      <c r="O648" s="7"/>
      <c r="P648" s="7"/>
      <c r="Q648" s="7"/>
      <c r="R648" s="64"/>
      <c r="S648" s="64"/>
      <c r="T648" s="64"/>
      <c r="U648" s="64"/>
      <c r="V648" s="64"/>
      <c r="W648" s="64"/>
    </row>
    <row r="649" spans="1:23" ht="15.95" customHeight="1">
      <c r="A649" s="8"/>
      <c r="B649" s="7"/>
      <c r="C649" s="33"/>
      <c r="D649" s="7"/>
      <c r="E649" s="7"/>
      <c r="F649" s="7"/>
      <c r="G649" s="7"/>
      <c r="H649" s="7"/>
      <c r="I649" s="7"/>
      <c r="J649" s="7"/>
      <c r="K649" s="7"/>
      <c r="L649" s="7"/>
      <c r="M649" s="7"/>
      <c r="N649" s="7"/>
      <c r="O649" s="7"/>
      <c r="P649" s="7"/>
      <c r="Q649" s="7"/>
      <c r="R649" s="64"/>
      <c r="S649" s="64"/>
      <c r="T649" s="64"/>
      <c r="U649" s="64"/>
      <c r="V649" s="64"/>
      <c r="W649" s="64"/>
    </row>
    <row r="650" spans="1:23" ht="15.95" customHeight="1">
      <c r="A650" s="8"/>
      <c r="B650" s="7"/>
      <c r="C650" s="33"/>
      <c r="D650" s="7"/>
      <c r="E650" s="7"/>
      <c r="F650" s="7"/>
      <c r="G650" s="7"/>
      <c r="H650" s="7"/>
      <c r="I650" s="7"/>
      <c r="J650" s="7"/>
      <c r="K650" s="7"/>
      <c r="L650" s="7"/>
      <c r="M650" s="7"/>
      <c r="N650" s="7"/>
      <c r="O650" s="7"/>
      <c r="P650" s="7"/>
      <c r="Q650" s="7"/>
      <c r="R650" s="64"/>
      <c r="S650" s="64"/>
      <c r="T650" s="64"/>
      <c r="U650" s="64"/>
      <c r="V650" s="64"/>
      <c r="W650" s="64"/>
    </row>
    <row r="651" spans="1:23" ht="15.95" customHeight="1">
      <c r="A651" s="8"/>
      <c r="B651" s="7"/>
      <c r="C651" s="33"/>
      <c r="D651" s="7"/>
      <c r="E651" s="7"/>
      <c r="F651" s="7"/>
      <c r="G651" s="7"/>
      <c r="H651" s="7"/>
      <c r="I651" s="7"/>
      <c r="J651" s="7"/>
      <c r="K651" s="7"/>
      <c r="L651" s="7"/>
      <c r="M651" s="7"/>
      <c r="N651" s="7"/>
      <c r="O651" s="7"/>
      <c r="P651" s="7"/>
      <c r="Q651" s="7"/>
      <c r="R651" s="64"/>
      <c r="S651" s="64"/>
      <c r="T651" s="64"/>
      <c r="U651" s="64"/>
      <c r="V651" s="64"/>
      <c r="W651" s="64"/>
    </row>
    <row r="652" spans="1:23" ht="15.95" customHeight="1">
      <c r="A652" s="8"/>
      <c r="B652" s="7"/>
      <c r="C652" s="33"/>
      <c r="D652" s="7"/>
      <c r="E652" s="7"/>
      <c r="F652" s="7"/>
      <c r="G652" s="7"/>
      <c r="H652" s="7"/>
      <c r="I652" s="7"/>
      <c r="J652" s="7"/>
      <c r="K652" s="7"/>
      <c r="L652" s="7"/>
      <c r="M652" s="7"/>
      <c r="N652" s="7"/>
      <c r="O652" s="7"/>
      <c r="P652" s="7"/>
      <c r="Q652" s="7"/>
      <c r="R652" s="64"/>
      <c r="S652" s="64"/>
      <c r="T652" s="64"/>
      <c r="U652" s="64"/>
      <c r="V652" s="64"/>
      <c r="W652" s="64"/>
    </row>
    <row r="653" spans="1:23" ht="15.95" customHeight="1">
      <c r="A653" s="8"/>
      <c r="B653" s="7"/>
      <c r="C653" s="33"/>
      <c r="D653" s="7"/>
      <c r="E653" s="7"/>
      <c r="F653" s="7"/>
      <c r="G653" s="7"/>
      <c r="H653" s="7"/>
      <c r="I653" s="7"/>
      <c r="J653" s="7"/>
      <c r="K653" s="7"/>
      <c r="L653" s="7"/>
      <c r="M653" s="7"/>
      <c r="N653" s="7"/>
      <c r="O653" s="7"/>
      <c r="P653" s="7"/>
      <c r="Q653" s="7"/>
      <c r="R653" s="64"/>
      <c r="S653" s="64"/>
      <c r="T653" s="64"/>
      <c r="U653" s="64"/>
      <c r="V653" s="64"/>
      <c r="W653" s="64"/>
    </row>
    <row r="654" spans="1:23" ht="15.95" customHeight="1">
      <c r="A654" s="8"/>
      <c r="B654" s="7"/>
      <c r="C654" s="33"/>
      <c r="D654" s="7"/>
      <c r="E654" s="7"/>
      <c r="F654" s="7"/>
      <c r="G654" s="7"/>
      <c r="H654" s="7"/>
      <c r="I654" s="7"/>
      <c r="J654" s="7"/>
      <c r="K654" s="7"/>
      <c r="L654" s="7"/>
      <c r="M654" s="7"/>
      <c r="N654" s="7"/>
      <c r="O654" s="7"/>
      <c r="P654" s="7"/>
      <c r="Q654" s="7"/>
      <c r="R654" s="64"/>
      <c r="S654" s="64"/>
      <c r="T654" s="64"/>
      <c r="U654" s="64"/>
      <c r="V654" s="64"/>
      <c r="W654" s="64"/>
    </row>
    <row r="655" spans="1:23" ht="15.95" customHeight="1">
      <c r="A655" s="8"/>
      <c r="B655" s="7"/>
      <c r="C655" s="33"/>
      <c r="D655" s="7"/>
      <c r="E655" s="7"/>
      <c r="F655" s="7"/>
      <c r="G655" s="7"/>
      <c r="H655" s="7"/>
      <c r="I655" s="7"/>
      <c r="J655" s="7"/>
      <c r="K655" s="7"/>
      <c r="L655" s="7"/>
      <c r="M655" s="7"/>
      <c r="N655" s="7"/>
      <c r="O655" s="7"/>
      <c r="P655" s="7"/>
      <c r="Q655" s="7"/>
      <c r="R655" s="64"/>
      <c r="S655" s="64"/>
      <c r="T655" s="64"/>
      <c r="U655" s="64"/>
      <c r="V655" s="64"/>
      <c r="W655" s="64"/>
    </row>
    <row r="656" spans="1:23" ht="15.95" customHeight="1">
      <c r="A656" s="8"/>
      <c r="B656" s="7"/>
      <c r="C656" s="33"/>
      <c r="D656" s="7"/>
      <c r="E656" s="7"/>
      <c r="F656" s="7"/>
      <c r="G656" s="7"/>
      <c r="H656" s="7"/>
      <c r="I656" s="7"/>
      <c r="J656" s="7"/>
      <c r="K656" s="7"/>
      <c r="L656" s="7"/>
      <c r="M656" s="7"/>
      <c r="N656" s="7"/>
      <c r="O656" s="7"/>
      <c r="P656" s="7"/>
      <c r="Q656" s="7"/>
      <c r="R656" s="64"/>
      <c r="S656" s="64"/>
      <c r="T656" s="64"/>
      <c r="U656" s="64"/>
      <c r="V656" s="64"/>
      <c r="W656" s="64"/>
    </row>
    <row r="657" spans="1:23" ht="15.95" customHeight="1">
      <c r="A657" s="8"/>
      <c r="B657" s="7"/>
      <c r="C657" s="33"/>
      <c r="D657" s="7"/>
      <c r="E657" s="7"/>
      <c r="F657" s="7"/>
      <c r="G657" s="7"/>
      <c r="H657" s="7"/>
      <c r="I657" s="7"/>
      <c r="J657" s="7"/>
      <c r="K657" s="7"/>
      <c r="L657" s="7"/>
      <c r="M657" s="7"/>
      <c r="N657" s="7"/>
      <c r="O657" s="7"/>
      <c r="P657" s="7"/>
      <c r="Q657" s="7"/>
      <c r="R657" s="64"/>
      <c r="S657" s="64"/>
      <c r="T657" s="64"/>
      <c r="U657" s="64"/>
      <c r="V657" s="64"/>
      <c r="W657" s="64"/>
    </row>
    <row r="658" spans="1:23" ht="15.95" customHeight="1">
      <c r="A658" s="8"/>
      <c r="B658" s="7"/>
      <c r="C658" s="33"/>
      <c r="D658" s="7"/>
      <c r="E658" s="7"/>
      <c r="F658" s="7"/>
      <c r="G658" s="7"/>
      <c r="H658" s="7"/>
      <c r="I658" s="7"/>
      <c r="J658" s="7"/>
      <c r="K658" s="7"/>
      <c r="L658" s="7"/>
      <c r="M658" s="7"/>
      <c r="N658" s="7"/>
      <c r="O658" s="7"/>
      <c r="P658" s="7"/>
      <c r="Q658" s="7"/>
      <c r="R658" s="64"/>
      <c r="S658" s="64"/>
      <c r="T658" s="64"/>
      <c r="U658" s="64"/>
      <c r="V658" s="64"/>
      <c r="W658" s="64"/>
    </row>
    <row r="659" spans="1:23" ht="15.95" customHeight="1">
      <c r="A659" s="8"/>
      <c r="B659" s="7"/>
      <c r="C659" s="33"/>
      <c r="D659" s="7"/>
      <c r="E659" s="7"/>
      <c r="F659" s="7"/>
      <c r="G659" s="7"/>
      <c r="H659" s="7"/>
      <c r="I659" s="7"/>
      <c r="J659" s="7"/>
      <c r="K659" s="7"/>
      <c r="L659" s="7"/>
      <c r="M659" s="7"/>
      <c r="N659" s="7"/>
      <c r="O659" s="7"/>
      <c r="P659" s="7"/>
      <c r="Q659" s="7"/>
      <c r="R659" s="64"/>
      <c r="S659" s="64"/>
      <c r="T659" s="64"/>
      <c r="U659" s="64"/>
      <c r="V659" s="64"/>
      <c r="W659" s="64"/>
    </row>
    <row r="660" spans="1:23" ht="15.95" customHeight="1">
      <c r="A660" s="8"/>
      <c r="B660" s="7"/>
      <c r="C660" s="33"/>
      <c r="D660" s="7"/>
      <c r="E660" s="7"/>
      <c r="F660" s="7"/>
      <c r="G660" s="7"/>
      <c r="H660" s="7"/>
      <c r="I660" s="7"/>
      <c r="J660" s="7"/>
      <c r="K660" s="7"/>
      <c r="L660" s="7"/>
      <c r="M660" s="7"/>
      <c r="N660" s="7"/>
      <c r="O660" s="7"/>
      <c r="P660" s="7"/>
      <c r="Q660" s="7"/>
      <c r="R660" s="64"/>
      <c r="S660" s="64"/>
      <c r="T660" s="64"/>
      <c r="U660" s="64"/>
      <c r="V660" s="64"/>
      <c r="W660" s="64"/>
    </row>
    <row r="661" spans="1:23" ht="15.95" customHeight="1">
      <c r="A661" s="8"/>
      <c r="B661" s="7"/>
      <c r="C661" s="33"/>
      <c r="D661" s="7"/>
      <c r="E661" s="7"/>
      <c r="F661" s="7"/>
      <c r="G661" s="7"/>
      <c r="H661" s="7"/>
      <c r="I661" s="7"/>
      <c r="J661" s="7"/>
      <c r="K661" s="7"/>
      <c r="L661" s="7"/>
      <c r="M661" s="7"/>
      <c r="N661" s="7"/>
      <c r="O661" s="7"/>
      <c r="P661" s="7"/>
      <c r="Q661" s="7"/>
      <c r="R661" s="64"/>
      <c r="S661" s="64"/>
      <c r="T661" s="64"/>
      <c r="U661" s="64"/>
      <c r="V661" s="64"/>
      <c r="W661" s="64"/>
    </row>
    <row r="662" spans="1:23" ht="15.95" customHeight="1">
      <c r="A662" s="8"/>
      <c r="B662" s="7"/>
      <c r="C662" s="33"/>
      <c r="D662" s="7"/>
      <c r="E662" s="7"/>
      <c r="F662" s="7"/>
      <c r="G662" s="7"/>
      <c r="H662" s="7"/>
      <c r="I662" s="7"/>
      <c r="J662" s="7"/>
      <c r="K662" s="7"/>
      <c r="L662" s="7"/>
      <c r="M662" s="7"/>
      <c r="N662" s="7"/>
      <c r="O662" s="7"/>
      <c r="P662" s="7"/>
      <c r="Q662" s="7"/>
      <c r="R662" s="64"/>
      <c r="S662" s="64"/>
      <c r="T662" s="64"/>
      <c r="U662" s="64"/>
      <c r="V662" s="64"/>
      <c r="W662" s="64"/>
    </row>
    <row r="663" spans="1:23" ht="15.95" customHeight="1">
      <c r="A663" s="8"/>
      <c r="B663" s="7"/>
      <c r="C663" s="33"/>
      <c r="D663" s="7"/>
      <c r="E663" s="7"/>
      <c r="F663" s="7"/>
      <c r="G663" s="7"/>
      <c r="H663" s="7"/>
      <c r="I663" s="7"/>
      <c r="J663" s="7"/>
      <c r="K663" s="7"/>
      <c r="L663" s="7"/>
      <c r="M663" s="7"/>
      <c r="N663" s="7"/>
      <c r="O663" s="7"/>
      <c r="P663" s="7"/>
      <c r="Q663" s="7"/>
      <c r="R663" s="64"/>
      <c r="S663" s="64"/>
      <c r="T663" s="64"/>
      <c r="U663" s="64"/>
      <c r="V663" s="64"/>
      <c r="W663" s="64"/>
    </row>
    <row r="664" spans="1:23" ht="15.95" customHeight="1">
      <c r="A664" s="8"/>
      <c r="B664" s="7"/>
      <c r="C664" s="33"/>
      <c r="D664" s="7"/>
      <c r="E664" s="7"/>
      <c r="F664" s="7"/>
      <c r="G664" s="7"/>
      <c r="H664" s="7"/>
      <c r="I664" s="7"/>
      <c r="J664" s="7"/>
      <c r="K664" s="7"/>
      <c r="L664" s="7"/>
      <c r="M664" s="7"/>
      <c r="N664" s="7"/>
      <c r="O664" s="7"/>
      <c r="P664" s="7"/>
      <c r="Q664" s="7"/>
      <c r="R664" s="64"/>
      <c r="S664" s="64"/>
      <c r="T664" s="64"/>
      <c r="U664" s="64"/>
      <c r="V664" s="64"/>
      <c r="W664" s="64"/>
    </row>
    <row r="665" spans="1:23" ht="15.95" customHeight="1">
      <c r="A665" s="8"/>
      <c r="B665" s="7"/>
      <c r="C665" s="33"/>
      <c r="D665" s="7"/>
      <c r="E665" s="7"/>
      <c r="F665" s="7"/>
      <c r="G665" s="7"/>
      <c r="H665" s="7"/>
      <c r="I665" s="7"/>
      <c r="J665" s="7"/>
      <c r="K665" s="7"/>
      <c r="L665" s="7"/>
      <c r="M665" s="7"/>
      <c r="N665" s="7"/>
      <c r="O665" s="7"/>
      <c r="P665" s="7"/>
      <c r="Q665" s="7"/>
      <c r="R665" s="64"/>
      <c r="S665" s="64"/>
      <c r="T665" s="64"/>
      <c r="U665" s="64"/>
      <c r="V665" s="64"/>
      <c r="W665" s="64"/>
    </row>
    <row r="666" spans="1:23" ht="15.95" customHeight="1">
      <c r="A666" s="8"/>
      <c r="B666" s="7"/>
      <c r="C666" s="33"/>
      <c r="D666" s="7"/>
      <c r="E666" s="7"/>
      <c r="F666" s="7"/>
      <c r="G666" s="7"/>
      <c r="H666" s="7"/>
      <c r="I666" s="7"/>
      <c r="J666" s="7"/>
      <c r="K666" s="7"/>
      <c r="L666" s="7"/>
      <c r="M666" s="7"/>
      <c r="N666" s="7"/>
      <c r="O666" s="7"/>
      <c r="P666" s="7"/>
      <c r="Q666" s="7"/>
      <c r="R666" s="64"/>
      <c r="S666" s="64"/>
      <c r="T666" s="64"/>
      <c r="U666" s="64"/>
      <c r="V666" s="64"/>
      <c r="W666" s="64"/>
    </row>
    <row r="667" spans="1:23" ht="15.95" customHeight="1">
      <c r="A667" s="8"/>
      <c r="B667" s="7"/>
      <c r="C667" s="33"/>
      <c r="D667" s="7"/>
      <c r="E667" s="7"/>
      <c r="F667" s="7"/>
      <c r="G667" s="7"/>
      <c r="H667" s="7"/>
      <c r="I667" s="7"/>
      <c r="J667" s="7"/>
      <c r="K667" s="7"/>
      <c r="L667" s="7"/>
      <c r="M667" s="7"/>
      <c r="N667" s="7"/>
      <c r="O667" s="7"/>
      <c r="P667" s="7"/>
      <c r="Q667" s="7"/>
      <c r="R667" s="64"/>
      <c r="S667" s="64"/>
      <c r="T667" s="64"/>
      <c r="U667" s="64"/>
      <c r="V667" s="64"/>
      <c r="W667" s="64"/>
    </row>
    <row r="668" spans="1:23" ht="15.95" customHeight="1">
      <c r="A668" s="8"/>
      <c r="B668" s="7"/>
      <c r="C668" s="33"/>
      <c r="D668" s="7"/>
      <c r="E668" s="7"/>
      <c r="F668" s="7"/>
      <c r="G668" s="7"/>
      <c r="H668" s="7"/>
      <c r="I668" s="7"/>
      <c r="J668" s="7"/>
      <c r="K668" s="7"/>
      <c r="L668" s="7"/>
      <c r="M668" s="7"/>
      <c r="N668" s="7"/>
      <c r="O668" s="7"/>
      <c r="P668" s="7"/>
      <c r="Q668" s="7"/>
      <c r="R668" s="64"/>
      <c r="S668" s="64"/>
      <c r="T668" s="64"/>
      <c r="U668" s="64"/>
      <c r="V668" s="64"/>
      <c r="W668" s="64"/>
    </row>
    <row r="669" spans="1:23" ht="15.95" customHeight="1">
      <c r="A669" s="8"/>
      <c r="B669" s="7"/>
      <c r="C669" s="33"/>
      <c r="D669" s="7"/>
      <c r="E669" s="7"/>
      <c r="F669" s="7"/>
      <c r="G669" s="7"/>
      <c r="H669" s="7"/>
      <c r="I669" s="7"/>
      <c r="J669" s="7"/>
      <c r="K669" s="7"/>
      <c r="L669" s="7"/>
      <c r="M669" s="7"/>
      <c r="N669" s="7"/>
      <c r="O669" s="7"/>
      <c r="P669" s="7"/>
      <c r="Q669" s="7"/>
      <c r="R669" s="64"/>
      <c r="S669" s="64"/>
      <c r="T669" s="64"/>
      <c r="U669" s="64"/>
      <c r="V669" s="64"/>
      <c r="W669" s="64"/>
    </row>
    <row r="670" spans="1:23" ht="15.95" customHeight="1">
      <c r="A670" s="8"/>
      <c r="B670" s="7"/>
      <c r="C670" s="33"/>
      <c r="D670" s="7"/>
      <c r="E670" s="7"/>
      <c r="F670" s="7"/>
      <c r="G670" s="7"/>
      <c r="H670" s="7"/>
      <c r="I670" s="7"/>
      <c r="J670" s="7"/>
      <c r="K670" s="7"/>
      <c r="L670" s="7"/>
      <c r="M670" s="7"/>
      <c r="N670" s="7"/>
      <c r="O670" s="7"/>
      <c r="P670" s="7"/>
      <c r="Q670" s="7"/>
      <c r="R670" s="64"/>
      <c r="S670" s="64"/>
      <c r="T670" s="64"/>
      <c r="U670" s="64"/>
      <c r="V670" s="64"/>
      <c r="W670" s="64"/>
    </row>
    <row r="671" spans="1:23" ht="15.95" customHeight="1">
      <c r="A671" s="8"/>
      <c r="B671" s="7"/>
      <c r="C671" s="33"/>
      <c r="D671" s="7"/>
      <c r="E671" s="7"/>
      <c r="F671" s="7"/>
      <c r="G671" s="7"/>
      <c r="H671" s="7"/>
      <c r="I671" s="7"/>
      <c r="J671" s="7"/>
      <c r="K671" s="7"/>
      <c r="L671" s="7"/>
      <c r="M671" s="7"/>
      <c r="N671" s="7"/>
      <c r="O671" s="7"/>
      <c r="P671" s="7"/>
      <c r="Q671" s="7"/>
      <c r="R671" s="64"/>
      <c r="S671" s="64"/>
      <c r="T671" s="64"/>
      <c r="U671" s="64"/>
      <c r="V671" s="64"/>
      <c r="W671" s="64"/>
    </row>
    <row r="672" spans="1:23" ht="15.95" customHeight="1">
      <c r="A672" s="8"/>
      <c r="B672" s="7"/>
      <c r="C672" s="33"/>
      <c r="D672" s="7"/>
      <c r="E672" s="7"/>
      <c r="F672" s="7"/>
      <c r="G672" s="7"/>
      <c r="H672" s="7"/>
      <c r="I672" s="7"/>
      <c r="J672" s="7"/>
      <c r="K672" s="7"/>
      <c r="L672" s="7"/>
      <c r="M672" s="7"/>
      <c r="N672" s="7"/>
      <c r="O672" s="7"/>
      <c r="P672" s="7"/>
      <c r="Q672" s="7"/>
      <c r="R672" s="64"/>
      <c r="S672" s="64"/>
      <c r="T672" s="64"/>
      <c r="U672" s="64"/>
      <c r="V672" s="64"/>
      <c r="W672" s="64"/>
    </row>
    <row r="673" spans="1:23" ht="15.95" customHeight="1">
      <c r="A673" s="8"/>
      <c r="B673" s="7"/>
      <c r="C673" s="33"/>
      <c r="D673" s="7"/>
      <c r="E673" s="7"/>
      <c r="F673" s="7"/>
      <c r="G673" s="7"/>
      <c r="H673" s="7"/>
      <c r="I673" s="7"/>
      <c r="J673" s="7"/>
      <c r="K673" s="7"/>
      <c r="L673" s="7"/>
      <c r="M673" s="7"/>
      <c r="N673" s="7"/>
      <c r="O673" s="7"/>
      <c r="P673" s="7"/>
      <c r="Q673" s="7"/>
      <c r="R673" s="64"/>
      <c r="S673" s="64"/>
      <c r="T673" s="64"/>
      <c r="U673" s="64"/>
      <c r="V673" s="64"/>
      <c r="W673" s="64"/>
    </row>
    <row r="674" spans="1:23" ht="15.95" customHeight="1">
      <c r="A674" s="8"/>
      <c r="B674" s="7"/>
      <c r="C674" s="33"/>
      <c r="D674" s="7"/>
      <c r="E674" s="7"/>
      <c r="F674" s="7"/>
      <c r="G674" s="7"/>
      <c r="H674" s="7"/>
      <c r="I674" s="7"/>
      <c r="J674" s="7"/>
      <c r="K674" s="7"/>
      <c r="L674" s="7"/>
      <c r="M674" s="7"/>
      <c r="N674" s="7"/>
      <c r="O674" s="7"/>
      <c r="P674" s="7"/>
      <c r="Q674" s="7"/>
      <c r="R674" s="64"/>
      <c r="S674" s="64"/>
      <c r="T674" s="64"/>
      <c r="U674" s="64"/>
      <c r="V674" s="64"/>
      <c r="W674" s="64"/>
    </row>
    <row r="675" spans="1:23" ht="15.95" customHeight="1">
      <c r="A675" s="8"/>
      <c r="B675" s="7"/>
      <c r="C675" s="33"/>
      <c r="D675" s="7"/>
      <c r="E675" s="7"/>
      <c r="F675" s="7"/>
      <c r="G675" s="7"/>
      <c r="H675" s="7"/>
      <c r="I675" s="7"/>
      <c r="J675" s="7"/>
      <c r="K675" s="7"/>
      <c r="L675" s="7"/>
      <c r="M675" s="7"/>
      <c r="N675" s="7"/>
      <c r="O675" s="7"/>
      <c r="P675" s="7"/>
      <c r="Q675" s="7"/>
      <c r="R675" s="64"/>
      <c r="S675" s="64"/>
      <c r="T675" s="64"/>
      <c r="U675" s="64"/>
      <c r="V675" s="64"/>
      <c r="W675" s="64"/>
    </row>
    <row r="676" spans="1:23" ht="15.95" customHeight="1">
      <c r="A676" s="8"/>
      <c r="B676" s="7"/>
      <c r="C676" s="33"/>
      <c r="D676" s="7"/>
      <c r="E676" s="7"/>
      <c r="F676" s="7"/>
      <c r="G676" s="7"/>
      <c r="H676" s="7"/>
      <c r="I676" s="7"/>
      <c r="J676" s="7"/>
      <c r="K676" s="7"/>
      <c r="L676" s="7"/>
      <c r="M676" s="7"/>
      <c r="N676" s="7"/>
      <c r="O676" s="7"/>
      <c r="P676" s="7"/>
      <c r="Q676" s="7"/>
      <c r="R676" s="64"/>
      <c r="S676" s="64"/>
      <c r="T676" s="64"/>
      <c r="U676" s="64"/>
      <c r="V676" s="64"/>
      <c r="W676" s="64"/>
    </row>
    <row r="677" spans="1:23" ht="15.95" customHeight="1">
      <c r="A677" s="8"/>
      <c r="B677" s="7"/>
      <c r="C677" s="33"/>
      <c r="D677" s="7"/>
      <c r="E677" s="7"/>
      <c r="F677" s="7"/>
      <c r="G677" s="7"/>
      <c r="H677" s="7"/>
      <c r="I677" s="7"/>
      <c r="J677" s="7"/>
      <c r="K677" s="7"/>
      <c r="L677" s="7"/>
      <c r="M677" s="7"/>
      <c r="N677" s="7"/>
      <c r="O677" s="7"/>
      <c r="P677" s="7"/>
      <c r="Q677" s="7"/>
      <c r="R677" s="64"/>
      <c r="S677" s="64"/>
      <c r="T677" s="64"/>
      <c r="U677" s="64"/>
      <c r="V677" s="64"/>
      <c r="W677" s="64"/>
    </row>
    <row r="678" spans="1:23" ht="15.95" customHeight="1">
      <c r="A678" s="8"/>
      <c r="B678" s="7"/>
      <c r="C678" s="33"/>
      <c r="D678" s="7"/>
      <c r="E678" s="7"/>
      <c r="F678" s="7"/>
      <c r="G678" s="7"/>
      <c r="H678" s="7"/>
      <c r="I678" s="7"/>
      <c r="J678" s="7"/>
      <c r="K678" s="7"/>
      <c r="L678" s="7"/>
      <c r="M678" s="7"/>
      <c r="N678" s="7"/>
      <c r="O678" s="7"/>
      <c r="P678" s="7"/>
      <c r="Q678" s="7"/>
      <c r="R678" s="64"/>
      <c r="S678" s="64"/>
      <c r="T678" s="64"/>
      <c r="U678" s="64"/>
      <c r="V678" s="64"/>
      <c r="W678" s="64"/>
    </row>
    <row r="679" spans="1:23" ht="15.95" customHeight="1">
      <c r="A679" s="8"/>
      <c r="B679" s="7"/>
      <c r="C679" s="33"/>
      <c r="D679" s="7"/>
      <c r="E679" s="7"/>
      <c r="F679" s="7"/>
      <c r="G679" s="7"/>
      <c r="H679" s="7"/>
      <c r="I679" s="7"/>
      <c r="J679" s="7"/>
      <c r="K679" s="7"/>
      <c r="L679" s="7"/>
      <c r="M679" s="7"/>
      <c r="N679" s="7"/>
      <c r="O679" s="7"/>
      <c r="P679" s="7"/>
      <c r="Q679" s="7"/>
      <c r="R679" s="64"/>
      <c r="S679" s="64"/>
      <c r="T679" s="64"/>
      <c r="U679" s="64"/>
      <c r="V679" s="64"/>
      <c r="W679" s="64"/>
    </row>
    <row r="680" spans="1:23" ht="15.95" customHeight="1">
      <c r="A680" s="8"/>
      <c r="B680" s="7"/>
      <c r="C680" s="33"/>
      <c r="D680" s="7"/>
      <c r="E680" s="7"/>
      <c r="F680" s="7"/>
      <c r="G680" s="7"/>
      <c r="H680" s="7"/>
      <c r="I680" s="7"/>
      <c r="J680" s="7"/>
      <c r="K680" s="7"/>
      <c r="L680" s="7"/>
      <c r="M680" s="7"/>
      <c r="N680" s="7"/>
      <c r="O680" s="7"/>
      <c r="P680" s="7"/>
      <c r="Q680" s="7"/>
      <c r="R680" s="64"/>
      <c r="S680" s="64"/>
      <c r="T680" s="64"/>
      <c r="U680" s="64"/>
      <c r="V680" s="64"/>
      <c r="W680" s="64"/>
    </row>
    <row r="681" spans="1:23" ht="15.95" customHeight="1">
      <c r="A681" s="8"/>
      <c r="B681" s="7"/>
      <c r="C681" s="33"/>
      <c r="D681" s="7"/>
      <c r="E681" s="7"/>
      <c r="F681" s="7"/>
      <c r="G681" s="7"/>
      <c r="H681" s="7"/>
      <c r="I681" s="7"/>
      <c r="J681" s="7"/>
      <c r="K681" s="7"/>
      <c r="L681" s="7"/>
      <c r="M681" s="7"/>
      <c r="N681" s="7"/>
      <c r="O681" s="7"/>
      <c r="P681" s="7"/>
      <c r="Q681" s="7"/>
      <c r="R681" s="64"/>
      <c r="S681" s="64"/>
      <c r="T681" s="64"/>
      <c r="U681" s="64"/>
      <c r="V681" s="64"/>
      <c r="W681" s="64"/>
    </row>
    <row r="682" spans="1:23" ht="15.95" customHeight="1">
      <c r="A682" s="8"/>
      <c r="B682" s="7"/>
      <c r="C682" s="33"/>
      <c r="D682" s="7"/>
      <c r="E682" s="7"/>
      <c r="F682" s="7"/>
      <c r="G682" s="7"/>
      <c r="H682" s="7"/>
      <c r="I682" s="7"/>
      <c r="J682" s="7"/>
      <c r="K682" s="7"/>
      <c r="L682" s="7"/>
      <c r="M682" s="7"/>
      <c r="N682" s="7"/>
      <c r="O682" s="7"/>
      <c r="P682" s="7"/>
      <c r="Q682" s="7"/>
      <c r="R682" s="64"/>
      <c r="S682" s="64"/>
      <c r="T682" s="64"/>
      <c r="U682" s="64"/>
      <c r="V682" s="64"/>
      <c r="W682" s="64"/>
    </row>
    <row r="683" spans="1:23" ht="15.95" customHeight="1">
      <c r="A683" s="8"/>
      <c r="B683" s="7"/>
      <c r="C683" s="33"/>
      <c r="D683" s="7"/>
      <c r="E683" s="7"/>
      <c r="F683" s="7"/>
      <c r="G683" s="7"/>
      <c r="H683" s="7"/>
      <c r="I683" s="7"/>
      <c r="J683" s="7"/>
      <c r="K683" s="7"/>
      <c r="L683" s="7"/>
      <c r="M683" s="7"/>
      <c r="N683" s="7"/>
      <c r="O683" s="7"/>
      <c r="P683" s="7"/>
      <c r="Q683" s="7"/>
      <c r="R683" s="64"/>
      <c r="S683" s="64"/>
      <c r="T683" s="64"/>
      <c r="U683" s="64"/>
      <c r="V683" s="64"/>
      <c r="W683" s="64"/>
    </row>
    <row r="684" spans="1:23" ht="15.95" customHeight="1">
      <c r="A684" s="8"/>
      <c r="B684" s="7"/>
      <c r="C684" s="33"/>
      <c r="D684" s="7"/>
      <c r="E684" s="7"/>
      <c r="F684" s="7"/>
      <c r="G684" s="7"/>
      <c r="H684" s="7"/>
      <c r="I684" s="7"/>
      <c r="J684" s="7"/>
      <c r="K684" s="7"/>
      <c r="L684" s="7"/>
      <c r="M684" s="7"/>
      <c r="N684" s="7"/>
      <c r="O684" s="7"/>
      <c r="P684" s="7"/>
      <c r="Q684" s="7"/>
      <c r="R684" s="64"/>
      <c r="S684" s="64"/>
      <c r="T684" s="64"/>
      <c r="U684" s="64"/>
      <c r="V684" s="64"/>
      <c r="W684" s="64"/>
    </row>
    <row r="685" spans="1:23" ht="15.95" customHeight="1">
      <c r="A685" s="8"/>
      <c r="B685" s="7"/>
      <c r="C685" s="33"/>
      <c r="D685" s="7"/>
      <c r="E685" s="7"/>
      <c r="F685" s="7"/>
      <c r="G685" s="7"/>
      <c r="H685" s="7"/>
      <c r="I685" s="7"/>
      <c r="J685" s="7"/>
      <c r="K685" s="7"/>
      <c r="L685" s="7"/>
      <c r="M685" s="7"/>
      <c r="N685" s="7"/>
      <c r="O685" s="7"/>
      <c r="P685" s="7"/>
      <c r="Q685" s="7"/>
      <c r="R685" s="64"/>
      <c r="S685" s="64"/>
      <c r="T685" s="64"/>
      <c r="U685" s="64"/>
      <c r="V685" s="64"/>
      <c r="W685" s="64"/>
    </row>
    <row r="686" spans="1:23" ht="15.95" customHeight="1">
      <c r="A686" s="8"/>
      <c r="B686" s="7"/>
      <c r="C686" s="33"/>
      <c r="D686" s="7"/>
      <c r="E686" s="7"/>
      <c r="F686" s="7"/>
      <c r="G686" s="7"/>
      <c r="H686" s="7"/>
      <c r="I686" s="7"/>
      <c r="J686" s="7"/>
      <c r="K686" s="7"/>
      <c r="L686" s="7"/>
      <c r="M686" s="7"/>
      <c r="N686" s="7"/>
      <c r="O686" s="7"/>
      <c r="P686" s="7"/>
      <c r="Q686" s="7"/>
      <c r="R686" s="64"/>
      <c r="S686" s="64"/>
      <c r="T686" s="64"/>
      <c r="U686" s="64"/>
      <c r="V686" s="64"/>
      <c r="W686" s="64"/>
    </row>
    <row r="687" spans="1:23" ht="15.95" customHeight="1">
      <c r="A687" s="8"/>
      <c r="B687" s="7"/>
      <c r="C687" s="33"/>
      <c r="D687" s="7"/>
      <c r="E687" s="7"/>
      <c r="F687" s="7"/>
      <c r="G687" s="7"/>
      <c r="H687" s="7"/>
      <c r="I687" s="7"/>
      <c r="J687" s="7"/>
      <c r="K687" s="7"/>
      <c r="L687" s="7"/>
      <c r="M687" s="7"/>
      <c r="N687" s="7"/>
      <c r="O687" s="7"/>
      <c r="P687" s="7"/>
      <c r="Q687" s="7"/>
      <c r="R687" s="64"/>
      <c r="S687" s="64"/>
      <c r="T687" s="64"/>
      <c r="U687" s="64"/>
      <c r="V687" s="64"/>
      <c r="W687" s="64"/>
    </row>
    <row r="688" spans="1:23" ht="15.95" customHeight="1">
      <c r="A688" s="8"/>
      <c r="B688" s="7"/>
      <c r="C688" s="33"/>
      <c r="D688" s="7"/>
      <c r="E688" s="7"/>
      <c r="F688" s="7"/>
      <c r="G688" s="7"/>
      <c r="H688" s="7"/>
      <c r="I688" s="7"/>
      <c r="J688" s="7"/>
      <c r="K688" s="7"/>
      <c r="L688" s="7"/>
      <c r="M688" s="7"/>
      <c r="N688" s="7"/>
      <c r="O688" s="7"/>
      <c r="P688" s="7"/>
      <c r="Q688" s="7"/>
      <c r="R688" s="64"/>
      <c r="S688" s="64"/>
      <c r="T688" s="64"/>
      <c r="U688" s="64"/>
      <c r="V688" s="64"/>
      <c r="W688" s="64"/>
    </row>
    <row r="689" spans="1:23" ht="15.95" customHeight="1">
      <c r="A689" s="8"/>
      <c r="B689" s="7"/>
      <c r="C689" s="33"/>
      <c r="D689" s="7"/>
      <c r="E689" s="7"/>
      <c r="F689" s="7"/>
      <c r="G689" s="7"/>
      <c r="H689" s="7"/>
      <c r="I689" s="7"/>
      <c r="J689" s="7"/>
      <c r="K689" s="7"/>
      <c r="L689" s="7"/>
      <c r="M689" s="7"/>
      <c r="N689" s="7"/>
      <c r="O689" s="7"/>
      <c r="P689" s="7"/>
      <c r="Q689" s="7"/>
      <c r="R689" s="64"/>
      <c r="S689" s="64"/>
      <c r="T689" s="64"/>
      <c r="U689" s="64"/>
      <c r="V689" s="64"/>
      <c r="W689" s="64"/>
    </row>
    <row r="690" spans="1:23" ht="15.95" customHeight="1">
      <c r="A690" s="8"/>
      <c r="B690" s="7"/>
      <c r="C690" s="33"/>
      <c r="D690" s="7"/>
      <c r="E690" s="7"/>
      <c r="F690" s="7"/>
      <c r="G690" s="7"/>
      <c r="H690" s="7"/>
      <c r="I690" s="7"/>
      <c r="J690" s="7"/>
      <c r="K690" s="7"/>
      <c r="L690" s="7"/>
      <c r="M690" s="7"/>
      <c r="N690" s="7"/>
      <c r="O690" s="7"/>
      <c r="P690" s="7"/>
      <c r="Q690" s="7"/>
      <c r="R690" s="64"/>
      <c r="S690" s="64"/>
      <c r="T690" s="64"/>
      <c r="U690" s="64"/>
      <c r="V690" s="64"/>
      <c r="W690" s="64"/>
    </row>
    <row r="691" spans="1:23" ht="15.95" customHeight="1">
      <c r="A691" s="8"/>
      <c r="B691" s="7"/>
      <c r="C691" s="33"/>
      <c r="D691" s="7"/>
      <c r="E691" s="7"/>
      <c r="F691" s="7"/>
      <c r="G691" s="7"/>
      <c r="H691" s="7"/>
      <c r="I691" s="7"/>
      <c r="J691" s="7"/>
      <c r="K691" s="7"/>
      <c r="L691" s="7"/>
      <c r="M691" s="7"/>
      <c r="N691" s="7"/>
      <c r="O691" s="7"/>
      <c r="P691" s="7"/>
      <c r="Q691" s="7"/>
      <c r="R691" s="64"/>
      <c r="S691" s="64"/>
      <c r="T691" s="64"/>
      <c r="U691" s="64"/>
      <c r="V691" s="64"/>
      <c r="W691" s="64"/>
    </row>
    <row r="692" spans="1:23" ht="15.95" customHeight="1">
      <c r="A692" s="8"/>
      <c r="B692" s="7"/>
      <c r="C692" s="33"/>
      <c r="D692" s="7"/>
      <c r="E692" s="7"/>
      <c r="F692" s="7"/>
      <c r="G692" s="7"/>
      <c r="H692" s="7"/>
      <c r="I692" s="7"/>
      <c r="J692" s="7"/>
      <c r="K692" s="7"/>
      <c r="L692" s="7"/>
      <c r="M692" s="7"/>
      <c r="N692" s="7"/>
      <c r="O692" s="7"/>
      <c r="P692" s="7"/>
      <c r="Q692" s="7"/>
      <c r="R692" s="64"/>
      <c r="S692" s="64"/>
      <c r="T692" s="64"/>
      <c r="U692" s="64"/>
      <c r="V692" s="64"/>
      <c r="W692" s="64"/>
    </row>
    <row r="693" spans="1:23" ht="15.95" customHeight="1">
      <c r="A693" s="8"/>
      <c r="B693" s="7"/>
      <c r="C693" s="33"/>
      <c r="D693" s="7"/>
      <c r="E693" s="7"/>
      <c r="F693" s="7"/>
      <c r="G693" s="7"/>
      <c r="H693" s="7"/>
      <c r="I693" s="7"/>
      <c r="J693" s="7"/>
      <c r="K693" s="7"/>
      <c r="L693" s="7"/>
      <c r="M693" s="7"/>
      <c r="N693" s="7"/>
      <c r="O693" s="7"/>
      <c r="P693" s="7"/>
      <c r="Q693" s="7"/>
      <c r="R693" s="64"/>
      <c r="S693" s="64"/>
      <c r="T693" s="64"/>
      <c r="U693" s="64"/>
      <c r="V693" s="64"/>
      <c r="W693" s="64"/>
    </row>
    <row r="694" spans="1:23" ht="15.95" customHeight="1">
      <c r="A694" s="8"/>
      <c r="B694" s="7"/>
      <c r="C694" s="33"/>
      <c r="D694" s="7"/>
      <c r="E694" s="7"/>
      <c r="F694" s="7"/>
      <c r="G694" s="7"/>
      <c r="H694" s="7"/>
      <c r="I694" s="7"/>
      <c r="J694" s="7"/>
      <c r="K694" s="7"/>
      <c r="L694" s="7"/>
      <c r="M694" s="7"/>
      <c r="N694" s="7"/>
      <c r="O694" s="7"/>
      <c r="P694" s="7"/>
      <c r="Q694" s="7"/>
      <c r="R694" s="64"/>
      <c r="S694" s="64"/>
      <c r="T694" s="64"/>
      <c r="U694" s="64"/>
      <c r="V694" s="64"/>
      <c r="W694" s="64"/>
    </row>
    <row r="695" spans="1:23" ht="15.95" customHeight="1">
      <c r="A695" s="8"/>
      <c r="B695" s="7"/>
      <c r="C695" s="33"/>
      <c r="D695" s="7"/>
      <c r="E695" s="7"/>
      <c r="F695" s="7"/>
      <c r="G695" s="7"/>
      <c r="H695" s="7"/>
      <c r="I695" s="7"/>
      <c r="J695" s="7"/>
      <c r="K695" s="7"/>
      <c r="L695" s="7"/>
      <c r="M695" s="7"/>
      <c r="N695" s="7"/>
      <c r="O695" s="7"/>
      <c r="P695" s="7"/>
      <c r="Q695" s="7"/>
      <c r="R695" s="64"/>
      <c r="S695" s="64"/>
      <c r="T695" s="64"/>
      <c r="U695" s="64"/>
      <c r="V695" s="64"/>
      <c r="W695" s="64"/>
    </row>
    <row r="696" spans="1:23" ht="15.95" customHeight="1">
      <c r="A696" s="8"/>
      <c r="B696" s="7"/>
      <c r="C696" s="33"/>
      <c r="D696" s="7"/>
      <c r="E696" s="7"/>
      <c r="F696" s="7"/>
      <c r="G696" s="7"/>
      <c r="H696" s="7"/>
      <c r="I696" s="7"/>
      <c r="J696" s="7"/>
      <c r="K696" s="7"/>
      <c r="L696" s="7"/>
      <c r="M696" s="7"/>
      <c r="N696" s="7"/>
      <c r="O696" s="7"/>
      <c r="P696" s="7"/>
      <c r="Q696" s="7"/>
      <c r="R696" s="64"/>
      <c r="S696" s="64"/>
      <c r="T696" s="64"/>
      <c r="U696" s="64"/>
      <c r="V696" s="64"/>
      <c r="W696" s="64"/>
    </row>
    <row r="697" spans="1:23" ht="15.95" customHeight="1">
      <c r="A697" s="8"/>
      <c r="B697" s="7"/>
      <c r="C697" s="33"/>
      <c r="D697" s="7"/>
      <c r="E697" s="7"/>
      <c r="F697" s="7"/>
      <c r="G697" s="7"/>
      <c r="H697" s="7"/>
      <c r="I697" s="7"/>
      <c r="J697" s="7"/>
      <c r="K697" s="7"/>
      <c r="L697" s="7"/>
      <c r="M697" s="7"/>
      <c r="N697" s="7"/>
      <c r="O697" s="7"/>
      <c r="P697" s="7"/>
      <c r="Q697" s="7"/>
      <c r="R697" s="64"/>
      <c r="S697" s="64"/>
      <c r="T697" s="64"/>
      <c r="U697" s="64"/>
      <c r="V697" s="64"/>
      <c r="W697" s="64"/>
    </row>
    <row r="698" spans="1:23" ht="15.95" customHeight="1">
      <c r="A698" s="8"/>
      <c r="B698" s="7"/>
      <c r="C698" s="33"/>
      <c r="D698" s="7"/>
      <c r="E698" s="7"/>
      <c r="F698" s="7"/>
      <c r="G698" s="7"/>
      <c r="H698" s="7"/>
      <c r="I698" s="7"/>
      <c r="J698" s="7"/>
      <c r="K698" s="7"/>
      <c r="L698" s="7"/>
      <c r="M698" s="7"/>
      <c r="N698" s="7"/>
      <c r="O698" s="7"/>
      <c r="P698" s="7"/>
      <c r="Q698" s="7"/>
      <c r="R698" s="64"/>
      <c r="S698" s="64"/>
      <c r="T698" s="64"/>
      <c r="U698" s="64"/>
      <c r="V698" s="64"/>
      <c r="W698" s="64"/>
    </row>
    <row r="699" spans="1:23" ht="15.95" customHeight="1">
      <c r="A699" s="8"/>
      <c r="B699" s="7"/>
      <c r="C699" s="33"/>
      <c r="D699" s="7"/>
      <c r="E699" s="7"/>
      <c r="F699" s="7"/>
      <c r="G699" s="7"/>
      <c r="H699" s="7"/>
      <c r="I699" s="7"/>
      <c r="J699" s="7"/>
      <c r="K699" s="7"/>
      <c r="L699" s="7"/>
      <c r="M699" s="7"/>
      <c r="N699" s="7"/>
      <c r="O699" s="7"/>
      <c r="P699" s="7"/>
      <c r="Q699" s="7"/>
      <c r="R699" s="64"/>
      <c r="S699" s="64"/>
      <c r="T699" s="64"/>
      <c r="U699" s="64"/>
      <c r="V699" s="64"/>
      <c r="W699" s="64"/>
    </row>
    <row r="700" spans="1:23" ht="15.95" customHeight="1">
      <c r="A700" s="8"/>
      <c r="B700" s="7"/>
      <c r="C700" s="33"/>
      <c r="D700" s="7"/>
      <c r="E700" s="7"/>
      <c r="F700" s="7"/>
      <c r="G700" s="7"/>
      <c r="H700" s="7"/>
      <c r="I700" s="7"/>
      <c r="J700" s="7"/>
      <c r="K700" s="7"/>
      <c r="L700" s="7"/>
      <c r="M700" s="7"/>
      <c r="N700" s="7"/>
      <c r="O700" s="7"/>
      <c r="P700" s="7"/>
      <c r="Q700" s="7"/>
      <c r="R700" s="64"/>
      <c r="S700" s="64"/>
      <c r="T700" s="64"/>
      <c r="U700" s="64"/>
      <c r="V700" s="64"/>
      <c r="W700" s="64"/>
    </row>
    <row r="701" spans="1:23" ht="15.95" customHeight="1">
      <c r="A701" s="8"/>
      <c r="B701" s="7"/>
      <c r="C701" s="33"/>
      <c r="D701" s="7"/>
      <c r="E701" s="7"/>
      <c r="F701" s="7"/>
      <c r="G701" s="7"/>
      <c r="H701" s="7"/>
      <c r="I701" s="7"/>
      <c r="J701" s="7"/>
      <c r="K701" s="7"/>
      <c r="L701" s="7"/>
      <c r="M701" s="7"/>
      <c r="N701" s="7"/>
      <c r="O701" s="7"/>
      <c r="P701" s="7"/>
      <c r="Q701" s="7"/>
      <c r="R701" s="64"/>
      <c r="S701" s="64"/>
      <c r="T701" s="64"/>
      <c r="U701" s="64"/>
      <c r="V701" s="64"/>
      <c r="W701" s="64"/>
    </row>
    <row r="702" spans="1:23" ht="15.95" customHeight="1">
      <c r="A702" s="8"/>
      <c r="B702" s="7"/>
      <c r="C702" s="33"/>
      <c r="D702" s="7"/>
      <c r="E702" s="7"/>
      <c r="F702" s="7"/>
      <c r="G702" s="7"/>
      <c r="H702" s="7"/>
      <c r="I702" s="7"/>
      <c r="J702" s="7"/>
      <c r="K702" s="7"/>
      <c r="L702" s="7"/>
      <c r="M702" s="7"/>
      <c r="N702" s="7"/>
      <c r="O702" s="7"/>
      <c r="P702" s="7"/>
      <c r="Q702" s="7"/>
      <c r="R702" s="64"/>
      <c r="S702" s="64"/>
      <c r="T702" s="64"/>
      <c r="U702" s="64"/>
      <c r="V702" s="64"/>
      <c r="W702" s="64"/>
    </row>
    <row r="703" spans="1:23" ht="15.95" customHeight="1">
      <c r="A703" s="8"/>
      <c r="B703" s="7"/>
      <c r="C703" s="33"/>
      <c r="D703" s="7"/>
      <c r="E703" s="7"/>
      <c r="F703" s="7"/>
      <c r="G703" s="7"/>
      <c r="H703" s="7"/>
      <c r="I703" s="7"/>
      <c r="J703" s="7"/>
      <c r="K703" s="7"/>
      <c r="L703" s="7"/>
      <c r="M703" s="7"/>
      <c r="N703" s="7"/>
      <c r="O703" s="7"/>
      <c r="P703" s="7"/>
      <c r="Q703" s="7"/>
      <c r="R703" s="64"/>
      <c r="S703" s="64"/>
      <c r="T703" s="64"/>
      <c r="U703" s="64"/>
      <c r="V703" s="64"/>
      <c r="W703" s="64"/>
    </row>
    <row r="704" spans="1:23" ht="15.95" customHeight="1">
      <c r="A704" s="8"/>
      <c r="B704" s="7"/>
      <c r="C704" s="33"/>
      <c r="D704" s="7"/>
      <c r="E704" s="7"/>
      <c r="F704" s="7"/>
      <c r="G704" s="7"/>
      <c r="H704" s="7"/>
      <c r="I704" s="7"/>
      <c r="J704" s="7"/>
      <c r="K704" s="7"/>
      <c r="L704" s="7"/>
      <c r="M704" s="7"/>
      <c r="N704" s="7"/>
      <c r="O704" s="7"/>
      <c r="P704" s="7"/>
      <c r="Q704" s="7"/>
      <c r="R704" s="64"/>
      <c r="S704" s="64"/>
      <c r="T704" s="64"/>
      <c r="U704" s="64"/>
      <c r="V704" s="64"/>
      <c r="W704" s="64"/>
    </row>
    <row r="705" spans="1:23" ht="15.95" customHeight="1">
      <c r="A705" s="8"/>
      <c r="B705" s="7"/>
      <c r="C705" s="33"/>
      <c r="D705" s="7"/>
      <c r="E705" s="7"/>
      <c r="F705" s="7"/>
      <c r="G705" s="7"/>
      <c r="H705" s="7"/>
      <c r="I705" s="7"/>
      <c r="J705" s="7"/>
      <c r="K705" s="7"/>
      <c r="L705" s="7"/>
      <c r="M705" s="7"/>
      <c r="N705" s="7"/>
      <c r="O705" s="7"/>
      <c r="P705" s="7"/>
      <c r="Q705" s="7"/>
      <c r="R705" s="64"/>
      <c r="S705" s="64"/>
      <c r="T705" s="64"/>
      <c r="U705" s="64"/>
      <c r="V705" s="64"/>
      <c r="W705" s="64"/>
    </row>
    <row r="706" spans="1:23" ht="15.95" customHeight="1">
      <c r="A706" s="8"/>
      <c r="B706" s="7"/>
      <c r="C706" s="33"/>
      <c r="D706" s="7"/>
      <c r="E706" s="7"/>
      <c r="F706" s="7"/>
      <c r="G706" s="7"/>
      <c r="H706" s="7"/>
      <c r="I706" s="7"/>
      <c r="J706" s="7"/>
      <c r="K706" s="7"/>
      <c r="L706" s="7"/>
      <c r="M706" s="7"/>
      <c r="N706" s="7"/>
      <c r="O706" s="7"/>
      <c r="P706" s="7"/>
      <c r="Q706" s="7"/>
      <c r="R706" s="64"/>
      <c r="S706" s="64"/>
      <c r="T706" s="64"/>
      <c r="U706" s="64"/>
      <c r="V706" s="64"/>
      <c r="W706" s="64"/>
    </row>
    <row r="707" spans="1:23" ht="15.95" customHeight="1">
      <c r="A707" s="8"/>
      <c r="B707" s="7"/>
      <c r="C707" s="33"/>
      <c r="D707" s="7"/>
      <c r="E707" s="7"/>
      <c r="F707" s="7"/>
      <c r="G707" s="7"/>
      <c r="H707" s="7"/>
      <c r="I707" s="7"/>
      <c r="J707" s="7"/>
      <c r="K707" s="7"/>
      <c r="L707" s="7"/>
      <c r="M707" s="7"/>
      <c r="N707" s="7"/>
      <c r="O707" s="7"/>
      <c r="P707" s="7"/>
      <c r="Q707" s="7"/>
      <c r="R707" s="64"/>
      <c r="S707" s="64"/>
      <c r="T707" s="64"/>
      <c r="U707" s="64"/>
      <c r="V707" s="64"/>
      <c r="W707" s="64"/>
    </row>
    <row r="708" spans="1:23" ht="15.95" customHeight="1">
      <c r="A708" s="8"/>
      <c r="B708" s="7"/>
      <c r="C708" s="33"/>
      <c r="D708" s="7"/>
      <c r="E708" s="7"/>
      <c r="F708" s="7"/>
      <c r="G708" s="7"/>
      <c r="H708" s="7"/>
      <c r="I708" s="7"/>
      <c r="J708" s="7"/>
      <c r="K708" s="7"/>
      <c r="L708" s="7"/>
      <c r="M708" s="7"/>
      <c r="N708" s="7"/>
      <c r="O708" s="7"/>
      <c r="P708" s="7"/>
      <c r="Q708" s="7"/>
      <c r="R708" s="64"/>
      <c r="S708" s="64"/>
      <c r="T708" s="64"/>
      <c r="U708" s="64"/>
      <c r="V708" s="64"/>
      <c r="W708" s="64"/>
    </row>
    <row r="709" spans="1:23" ht="15.95" customHeight="1">
      <c r="A709" s="8"/>
      <c r="B709" s="7"/>
      <c r="C709" s="33"/>
      <c r="D709" s="7"/>
      <c r="E709" s="7"/>
      <c r="F709" s="7"/>
      <c r="G709" s="7"/>
      <c r="H709" s="7"/>
      <c r="I709" s="7"/>
      <c r="J709" s="7"/>
      <c r="K709" s="7"/>
      <c r="L709" s="7"/>
      <c r="M709" s="7"/>
      <c r="N709" s="7"/>
      <c r="O709" s="7"/>
      <c r="P709" s="7"/>
      <c r="Q709" s="7"/>
      <c r="R709" s="64"/>
      <c r="S709" s="64"/>
      <c r="T709" s="64"/>
      <c r="U709" s="64"/>
      <c r="V709" s="64"/>
      <c r="W709" s="64"/>
    </row>
    <row r="710" spans="1:23" ht="15.95" customHeight="1">
      <c r="A710" s="8"/>
      <c r="B710" s="7"/>
      <c r="C710" s="33"/>
      <c r="D710" s="7"/>
      <c r="E710" s="7"/>
      <c r="F710" s="7"/>
      <c r="G710" s="7"/>
      <c r="H710" s="7"/>
      <c r="I710" s="7"/>
      <c r="J710" s="7"/>
      <c r="K710" s="7"/>
      <c r="L710" s="7"/>
      <c r="M710" s="7"/>
      <c r="N710" s="7"/>
      <c r="O710" s="7"/>
      <c r="P710" s="7"/>
      <c r="Q710" s="7"/>
      <c r="R710" s="64"/>
      <c r="S710" s="64"/>
      <c r="T710" s="64"/>
      <c r="U710" s="64"/>
      <c r="V710" s="64"/>
      <c r="W710" s="64"/>
    </row>
    <row r="711" spans="1:23" ht="15.95" customHeight="1">
      <c r="A711" s="8"/>
      <c r="B711" s="7"/>
      <c r="C711" s="33"/>
      <c r="D711" s="7"/>
      <c r="E711" s="7"/>
      <c r="F711" s="7"/>
      <c r="G711" s="7"/>
      <c r="H711" s="7"/>
      <c r="I711" s="7"/>
      <c r="J711" s="7"/>
      <c r="K711" s="7"/>
      <c r="L711" s="7"/>
      <c r="M711" s="7"/>
      <c r="N711" s="7"/>
      <c r="O711" s="7"/>
      <c r="P711" s="7"/>
      <c r="Q711" s="7"/>
      <c r="R711" s="64"/>
      <c r="S711" s="64"/>
      <c r="T711" s="64"/>
      <c r="U711" s="64"/>
      <c r="V711" s="64"/>
      <c r="W711" s="64"/>
    </row>
    <row r="712" spans="1:23" ht="15.95" customHeight="1">
      <c r="A712" s="8"/>
      <c r="B712" s="7"/>
      <c r="C712" s="33"/>
      <c r="D712" s="7"/>
      <c r="E712" s="7"/>
      <c r="F712" s="7"/>
      <c r="G712" s="7"/>
      <c r="H712" s="7"/>
      <c r="I712" s="7"/>
      <c r="J712" s="7"/>
      <c r="K712" s="7"/>
      <c r="L712" s="7"/>
      <c r="M712" s="7"/>
      <c r="N712" s="7"/>
      <c r="O712" s="7"/>
      <c r="P712" s="7"/>
      <c r="Q712" s="7"/>
      <c r="R712" s="64"/>
      <c r="S712" s="64"/>
      <c r="T712" s="64"/>
      <c r="U712" s="64"/>
      <c r="V712" s="64"/>
      <c r="W712" s="64"/>
    </row>
    <row r="713" spans="1:23" ht="15.95" customHeight="1">
      <c r="A713" s="8"/>
      <c r="B713" s="7"/>
      <c r="C713" s="33"/>
      <c r="D713" s="7"/>
      <c r="E713" s="7"/>
      <c r="F713" s="7"/>
      <c r="G713" s="7"/>
      <c r="H713" s="7"/>
      <c r="I713" s="7"/>
      <c r="J713" s="7"/>
      <c r="K713" s="7"/>
      <c r="L713" s="7"/>
      <c r="M713" s="7"/>
      <c r="N713" s="7"/>
      <c r="O713" s="7"/>
      <c r="P713" s="7"/>
      <c r="Q713" s="7"/>
      <c r="R713" s="64"/>
      <c r="S713" s="64"/>
      <c r="T713" s="64"/>
      <c r="U713" s="64"/>
      <c r="V713" s="64"/>
      <c r="W713" s="64"/>
    </row>
    <row r="714" spans="1:23" ht="15.95" customHeight="1">
      <c r="A714" s="8"/>
      <c r="B714" s="7"/>
      <c r="C714" s="33"/>
      <c r="D714" s="7"/>
      <c r="E714" s="7"/>
      <c r="F714" s="7"/>
      <c r="G714" s="7"/>
      <c r="H714" s="7"/>
      <c r="I714" s="7"/>
      <c r="J714" s="7"/>
      <c r="K714" s="7"/>
      <c r="L714" s="7"/>
      <c r="M714" s="7"/>
      <c r="N714" s="7"/>
      <c r="O714" s="7"/>
      <c r="P714" s="7"/>
      <c r="Q714" s="7"/>
      <c r="R714" s="64"/>
      <c r="S714" s="64"/>
      <c r="T714" s="64"/>
      <c r="U714" s="64"/>
      <c r="V714" s="64"/>
      <c r="W714" s="64"/>
    </row>
    <row r="715" spans="1:23" ht="15.95" customHeight="1">
      <c r="A715" s="8"/>
      <c r="B715" s="7"/>
      <c r="C715" s="33"/>
      <c r="D715" s="7"/>
      <c r="E715" s="7"/>
      <c r="F715" s="7"/>
      <c r="G715" s="7"/>
      <c r="H715" s="7"/>
      <c r="I715" s="7"/>
      <c r="J715" s="7"/>
      <c r="K715" s="7"/>
      <c r="L715" s="7"/>
      <c r="M715" s="7"/>
      <c r="N715" s="7"/>
      <c r="O715" s="7"/>
      <c r="P715" s="7"/>
      <c r="Q715" s="7"/>
      <c r="R715" s="64"/>
      <c r="S715" s="64"/>
      <c r="T715" s="64"/>
      <c r="U715" s="64"/>
      <c r="V715" s="64"/>
      <c r="W715" s="64"/>
    </row>
    <row r="716" spans="1:23" ht="15.95" customHeight="1">
      <c r="A716" s="8"/>
      <c r="B716" s="7"/>
      <c r="C716" s="33"/>
      <c r="D716" s="7"/>
      <c r="E716" s="7"/>
      <c r="F716" s="7"/>
      <c r="G716" s="7"/>
      <c r="H716" s="7"/>
      <c r="I716" s="7"/>
      <c r="J716" s="7"/>
      <c r="K716" s="7"/>
      <c r="L716" s="7"/>
      <c r="M716" s="7"/>
      <c r="N716" s="7"/>
      <c r="O716" s="7"/>
      <c r="P716" s="7"/>
      <c r="Q716" s="7"/>
      <c r="R716" s="64"/>
      <c r="S716" s="64"/>
      <c r="T716" s="64"/>
      <c r="U716" s="64"/>
      <c r="V716" s="64"/>
      <c r="W716" s="64"/>
    </row>
    <row r="717" spans="1:23" ht="15.95" customHeight="1">
      <c r="A717" s="8"/>
      <c r="B717" s="7"/>
      <c r="C717" s="33"/>
      <c r="D717" s="7"/>
      <c r="E717" s="7"/>
      <c r="F717" s="7"/>
      <c r="G717" s="7"/>
      <c r="H717" s="7"/>
      <c r="I717" s="7"/>
      <c r="J717" s="7"/>
      <c r="K717" s="7"/>
      <c r="L717" s="7"/>
      <c r="M717" s="7"/>
      <c r="N717" s="7"/>
      <c r="O717" s="7"/>
      <c r="P717" s="7"/>
      <c r="Q717" s="7"/>
      <c r="R717" s="64"/>
      <c r="S717" s="64"/>
      <c r="T717" s="64"/>
      <c r="U717" s="64"/>
      <c r="V717" s="64"/>
      <c r="W717" s="64"/>
    </row>
    <row r="718" spans="1:23" ht="15.95" customHeight="1">
      <c r="A718" s="8"/>
      <c r="B718" s="7"/>
      <c r="C718" s="33"/>
      <c r="D718" s="7"/>
      <c r="E718" s="7"/>
      <c r="F718" s="7"/>
      <c r="G718" s="7"/>
      <c r="H718" s="7"/>
      <c r="I718" s="7"/>
      <c r="J718" s="7"/>
      <c r="K718" s="7"/>
      <c r="L718" s="7"/>
      <c r="M718" s="7"/>
      <c r="N718" s="7"/>
      <c r="O718" s="7"/>
      <c r="P718" s="7"/>
      <c r="Q718" s="7"/>
      <c r="R718" s="64"/>
      <c r="S718" s="64"/>
      <c r="T718" s="64"/>
      <c r="U718" s="64"/>
      <c r="V718" s="64"/>
      <c r="W718" s="64"/>
    </row>
    <row r="719" spans="1:23" ht="15.95" customHeight="1">
      <c r="A719" s="8"/>
      <c r="B719" s="7"/>
      <c r="C719" s="33"/>
      <c r="D719" s="7"/>
      <c r="E719" s="7"/>
      <c r="F719" s="7"/>
      <c r="G719" s="7"/>
      <c r="H719" s="7"/>
      <c r="I719" s="7"/>
      <c r="J719" s="7"/>
      <c r="K719" s="7"/>
      <c r="L719" s="7"/>
      <c r="M719" s="7"/>
      <c r="N719" s="7"/>
      <c r="O719" s="7"/>
      <c r="P719" s="7"/>
      <c r="Q719" s="7"/>
      <c r="R719" s="64"/>
      <c r="S719" s="64"/>
      <c r="T719" s="64"/>
      <c r="U719" s="64"/>
      <c r="V719" s="64"/>
      <c r="W719" s="64"/>
    </row>
    <row r="720" spans="1:23" ht="15.95" customHeight="1">
      <c r="A720" s="8"/>
      <c r="B720" s="7"/>
      <c r="C720" s="33"/>
      <c r="D720" s="7"/>
      <c r="E720" s="7"/>
      <c r="F720" s="7"/>
      <c r="G720" s="7"/>
      <c r="H720" s="7"/>
      <c r="I720" s="7"/>
      <c r="J720" s="7"/>
      <c r="K720" s="7"/>
      <c r="L720" s="7"/>
      <c r="M720" s="7"/>
      <c r="N720" s="7"/>
      <c r="O720" s="7"/>
      <c r="P720" s="7"/>
      <c r="Q720" s="7"/>
      <c r="R720" s="64"/>
      <c r="S720" s="64"/>
      <c r="T720" s="64"/>
      <c r="U720" s="64"/>
      <c r="V720" s="64"/>
      <c r="W720" s="64"/>
    </row>
    <row r="721" spans="1:23" ht="15.95" customHeight="1">
      <c r="A721" s="8"/>
      <c r="B721" s="7"/>
      <c r="C721" s="33"/>
      <c r="D721" s="7"/>
      <c r="E721" s="7"/>
      <c r="F721" s="7"/>
      <c r="G721" s="7"/>
      <c r="H721" s="7"/>
      <c r="I721" s="7"/>
      <c r="J721" s="7"/>
      <c r="K721" s="7"/>
      <c r="L721" s="7"/>
      <c r="M721" s="7"/>
      <c r="N721" s="7"/>
      <c r="O721" s="7"/>
      <c r="P721" s="7"/>
      <c r="Q721" s="7"/>
      <c r="R721" s="64"/>
      <c r="S721" s="64"/>
      <c r="T721" s="64"/>
      <c r="U721" s="64"/>
      <c r="V721" s="64"/>
      <c r="W721" s="64"/>
    </row>
    <row r="722" spans="1:23" ht="15.95" customHeight="1">
      <c r="A722" s="8"/>
      <c r="B722" s="7"/>
      <c r="C722" s="33"/>
      <c r="D722" s="7"/>
      <c r="E722" s="7"/>
      <c r="F722" s="7"/>
      <c r="G722" s="7"/>
      <c r="H722" s="7"/>
      <c r="I722" s="7"/>
      <c r="J722" s="7"/>
      <c r="K722" s="7"/>
      <c r="L722" s="7"/>
      <c r="M722" s="7"/>
      <c r="N722" s="7"/>
      <c r="O722" s="7"/>
      <c r="P722" s="7"/>
      <c r="Q722" s="7"/>
      <c r="R722" s="64"/>
      <c r="S722" s="64"/>
      <c r="T722" s="64"/>
      <c r="U722" s="64"/>
      <c r="V722" s="64"/>
      <c r="W722" s="64"/>
    </row>
    <row r="723" spans="1:23" ht="15.95" customHeight="1">
      <c r="A723" s="8"/>
      <c r="B723" s="7"/>
      <c r="C723" s="33"/>
      <c r="D723" s="7"/>
      <c r="E723" s="7"/>
      <c r="F723" s="7"/>
      <c r="G723" s="7"/>
      <c r="H723" s="7"/>
      <c r="I723" s="7"/>
      <c r="J723" s="7"/>
      <c r="K723" s="7"/>
      <c r="L723" s="7"/>
      <c r="M723" s="7"/>
      <c r="N723" s="7"/>
      <c r="O723" s="7"/>
      <c r="P723" s="7"/>
      <c r="Q723" s="7"/>
      <c r="R723" s="64"/>
      <c r="S723" s="64"/>
      <c r="T723" s="64"/>
      <c r="U723" s="64"/>
      <c r="V723" s="64"/>
      <c r="W723" s="64"/>
    </row>
    <row r="724" spans="1:23" ht="15.95" customHeight="1">
      <c r="A724" s="8"/>
      <c r="B724" s="7"/>
      <c r="C724" s="33"/>
      <c r="D724" s="7"/>
      <c r="E724" s="7"/>
      <c r="F724" s="7"/>
      <c r="G724" s="7"/>
      <c r="H724" s="7"/>
      <c r="I724" s="7"/>
      <c r="J724" s="7"/>
      <c r="K724" s="7"/>
      <c r="L724" s="7"/>
      <c r="M724" s="7"/>
      <c r="N724" s="7"/>
      <c r="O724" s="7"/>
      <c r="P724" s="7"/>
      <c r="Q724" s="7"/>
      <c r="R724" s="64"/>
      <c r="S724" s="64"/>
      <c r="T724" s="64"/>
      <c r="U724" s="64"/>
      <c r="V724" s="64"/>
      <c r="W724" s="64"/>
    </row>
    <row r="725" spans="1:23" ht="15.95" customHeight="1">
      <c r="A725" s="8"/>
      <c r="B725" s="7"/>
      <c r="C725" s="33"/>
      <c r="D725" s="7"/>
      <c r="E725" s="7"/>
      <c r="F725" s="7"/>
      <c r="G725" s="7"/>
      <c r="H725" s="7"/>
      <c r="I725" s="7"/>
      <c r="J725" s="7"/>
      <c r="K725" s="7"/>
      <c r="L725" s="7"/>
      <c r="M725" s="7"/>
      <c r="N725" s="7"/>
      <c r="O725" s="7"/>
      <c r="P725" s="7"/>
      <c r="Q725" s="7"/>
      <c r="R725" s="64"/>
      <c r="S725" s="64"/>
      <c r="T725" s="64"/>
      <c r="U725" s="64"/>
      <c r="V725" s="64"/>
      <c r="W725" s="64"/>
    </row>
    <row r="726" spans="1:23" ht="15.95" customHeight="1">
      <c r="A726" s="8"/>
      <c r="B726" s="7"/>
      <c r="C726" s="33"/>
      <c r="D726" s="7"/>
      <c r="E726" s="7"/>
      <c r="F726" s="7"/>
      <c r="G726" s="7"/>
      <c r="H726" s="7"/>
      <c r="I726" s="7"/>
      <c r="J726" s="7"/>
      <c r="K726" s="7"/>
      <c r="L726" s="7"/>
      <c r="M726" s="7"/>
      <c r="N726" s="7"/>
      <c r="O726" s="7"/>
      <c r="P726" s="7"/>
      <c r="Q726" s="7"/>
      <c r="R726" s="64"/>
      <c r="S726" s="64"/>
      <c r="T726" s="64"/>
      <c r="U726" s="64"/>
      <c r="V726" s="64"/>
      <c r="W726" s="64"/>
    </row>
    <row r="727" spans="1:23" ht="15.95" customHeight="1">
      <c r="A727" s="8"/>
      <c r="B727" s="7"/>
      <c r="C727" s="33"/>
      <c r="D727" s="7"/>
      <c r="E727" s="7"/>
      <c r="F727" s="7"/>
      <c r="G727" s="7"/>
      <c r="H727" s="7"/>
      <c r="I727" s="7"/>
      <c r="J727" s="7"/>
      <c r="K727" s="7"/>
      <c r="L727" s="7"/>
      <c r="M727" s="7"/>
      <c r="N727" s="7"/>
      <c r="O727" s="7"/>
      <c r="P727" s="7"/>
      <c r="Q727" s="7"/>
      <c r="R727" s="64"/>
      <c r="S727" s="64"/>
      <c r="T727" s="64"/>
      <c r="U727" s="64"/>
      <c r="V727" s="64"/>
      <c r="W727" s="64"/>
    </row>
    <row r="728" spans="1:23" ht="15.95" customHeight="1">
      <c r="A728" s="8"/>
      <c r="B728" s="7"/>
      <c r="C728" s="33"/>
      <c r="D728" s="7"/>
      <c r="E728" s="7"/>
      <c r="F728" s="7"/>
      <c r="G728" s="7"/>
      <c r="H728" s="7"/>
      <c r="I728" s="7"/>
      <c r="J728" s="7"/>
      <c r="K728" s="7"/>
      <c r="L728" s="7"/>
      <c r="M728" s="7"/>
      <c r="N728" s="7"/>
      <c r="O728" s="7"/>
      <c r="P728" s="7"/>
      <c r="Q728" s="7"/>
      <c r="R728" s="64"/>
      <c r="S728" s="64"/>
      <c r="T728" s="64"/>
      <c r="U728" s="64"/>
      <c r="V728" s="64"/>
      <c r="W728" s="64"/>
    </row>
    <row r="729" spans="1:23" ht="15.95" customHeight="1">
      <c r="A729" s="8"/>
      <c r="B729" s="7"/>
      <c r="C729" s="33"/>
      <c r="D729" s="7"/>
      <c r="E729" s="7"/>
      <c r="F729" s="7"/>
      <c r="G729" s="7"/>
      <c r="H729" s="7"/>
      <c r="I729" s="7"/>
      <c r="J729" s="7"/>
      <c r="K729" s="7"/>
      <c r="L729" s="7"/>
      <c r="M729" s="7"/>
      <c r="N729" s="7"/>
      <c r="O729" s="7"/>
      <c r="P729" s="7"/>
      <c r="Q729" s="7"/>
      <c r="R729" s="64"/>
      <c r="S729" s="64"/>
      <c r="T729" s="64"/>
      <c r="U729" s="64"/>
      <c r="V729" s="64"/>
      <c r="W729" s="64"/>
    </row>
    <row r="730" spans="1:23" ht="15.95" customHeight="1">
      <c r="A730" s="8"/>
      <c r="B730" s="7"/>
      <c r="C730" s="33"/>
      <c r="D730" s="7"/>
      <c r="E730" s="7"/>
      <c r="F730" s="7"/>
      <c r="G730" s="7"/>
      <c r="H730" s="7"/>
      <c r="I730" s="7"/>
      <c r="J730" s="7"/>
      <c r="K730" s="7"/>
      <c r="L730" s="7"/>
      <c r="M730" s="7"/>
      <c r="N730" s="7"/>
      <c r="O730" s="7"/>
      <c r="P730" s="7"/>
      <c r="Q730" s="7"/>
      <c r="R730" s="64"/>
      <c r="S730" s="64"/>
      <c r="T730" s="64"/>
      <c r="U730" s="64"/>
      <c r="V730" s="64"/>
      <c r="W730" s="64"/>
    </row>
    <row r="731" spans="1:23" ht="15.95" customHeight="1">
      <c r="A731" s="8"/>
      <c r="B731" s="7"/>
      <c r="C731" s="33"/>
      <c r="D731" s="7"/>
      <c r="E731" s="7"/>
      <c r="F731" s="7"/>
      <c r="G731" s="7"/>
      <c r="H731" s="7"/>
      <c r="I731" s="7"/>
      <c r="J731" s="7"/>
      <c r="K731" s="7"/>
      <c r="L731" s="7"/>
      <c r="M731" s="7"/>
      <c r="N731" s="7"/>
      <c r="O731" s="7"/>
      <c r="P731" s="7"/>
      <c r="Q731" s="7"/>
      <c r="R731" s="64"/>
      <c r="S731" s="64"/>
      <c r="T731" s="64"/>
      <c r="U731" s="64"/>
      <c r="V731" s="64"/>
      <c r="W731" s="64"/>
    </row>
    <row r="732" spans="1:23" ht="15.95" customHeight="1">
      <c r="A732" s="8"/>
      <c r="B732" s="7"/>
      <c r="C732" s="33"/>
      <c r="D732" s="7"/>
      <c r="E732" s="7"/>
      <c r="F732" s="7"/>
      <c r="G732" s="7"/>
      <c r="H732" s="7"/>
      <c r="I732" s="7"/>
      <c r="J732" s="7"/>
      <c r="K732" s="7"/>
      <c r="L732" s="7"/>
      <c r="M732" s="7"/>
      <c r="N732" s="7"/>
      <c r="O732" s="7"/>
      <c r="P732" s="7"/>
      <c r="Q732" s="7"/>
      <c r="R732" s="64"/>
      <c r="S732" s="64"/>
      <c r="T732" s="64"/>
      <c r="U732" s="64"/>
      <c r="V732" s="64"/>
      <c r="W732" s="64"/>
    </row>
    <row r="733" spans="1:23" ht="15.95" customHeight="1">
      <c r="A733" s="8"/>
      <c r="B733" s="7"/>
      <c r="C733" s="33"/>
      <c r="D733" s="7"/>
      <c r="E733" s="7"/>
      <c r="F733" s="7"/>
      <c r="G733" s="7"/>
      <c r="H733" s="7"/>
      <c r="I733" s="7"/>
      <c r="J733" s="7"/>
      <c r="K733" s="7"/>
      <c r="L733" s="7"/>
      <c r="M733" s="7"/>
      <c r="N733" s="7"/>
      <c r="O733" s="7"/>
      <c r="P733" s="7"/>
      <c r="Q733" s="7"/>
      <c r="R733" s="64"/>
      <c r="S733" s="64"/>
      <c r="T733" s="64"/>
      <c r="U733" s="64"/>
      <c r="V733" s="64"/>
      <c r="W733" s="64"/>
    </row>
    <row r="734" spans="1:23" ht="15.95" customHeight="1">
      <c r="A734" s="8"/>
      <c r="B734" s="7"/>
      <c r="C734" s="33"/>
      <c r="D734" s="7"/>
      <c r="E734" s="7"/>
      <c r="F734" s="7"/>
      <c r="G734" s="7"/>
      <c r="H734" s="7"/>
      <c r="I734" s="7"/>
      <c r="J734" s="7"/>
      <c r="K734" s="7"/>
      <c r="L734" s="7"/>
      <c r="M734" s="7"/>
      <c r="N734" s="7"/>
      <c r="O734" s="7"/>
      <c r="P734" s="7"/>
      <c r="Q734" s="7"/>
      <c r="R734" s="64"/>
      <c r="S734" s="64"/>
      <c r="T734" s="64"/>
      <c r="U734" s="64"/>
      <c r="V734" s="64"/>
      <c r="W734" s="64"/>
    </row>
    <row r="735" spans="1:23" ht="15.95" customHeight="1">
      <c r="A735" s="8"/>
      <c r="B735" s="7"/>
      <c r="C735" s="33"/>
      <c r="D735" s="7"/>
      <c r="E735" s="7"/>
      <c r="F735" s="7"/>
      <c r="G735" s="7"/>
      <c r="H735" s="7"/>
      <c r="I735" s="7"/>
      <c r="J735" s="7"/>
      <c r="K735" s="7"/>
      <c r="L735" s="7"/>
      <c r="M735" s="7"/>
      <c r="N735" s="7"/>
      <c r="O735" s="7"/>
      <c r="P735" s="7"/>
      <c r="Q735" s="7"/>
      <c r="R735" s="64"/>
      <c r="S735" s="64"/>
      <c r="T735" s="64"/>
      <c r="U735" s="64"/>
      <c r="V735" s="64"/>
      <c r="W735" s="64"/>
    </row>
    <row r="736" spans="1:23" ht="15.95" customHeight="1">
      <c r="A736" s="8"/>
      <c r="B736" s="7"/>
      <c r="C736" s="33"/>
      <c r="D736" s="7"/>
      <c r="E736" s="7"/>
      <c r="F736" s="7"/>
      <c r="G736" s="7"/>
      <c r="H736" s="7"/>
      <c r="I736" s="7"/>
      <c r="J736" s="7"/>
      <c r="K736" s="7"/>
      <c r="L736" s="7"/>
      <c r="M736" s="7"/>
      <c r="N736" s="7"/>
      <c r="O736" s="7"/>
      <c r="P736" s="7"/>
      <c r="Q736" s="7"/>
      <c r="R736" s="64"/>
      <c r="S736" s="64"/>
      <c r="T736" s="64"/>
      <c r="U736" s="64"/>
      <c r="V736" s="64"/>
      <c r="W736" s="64"/>
    </row>
    <row r="737" spans="1:23" ht="15.95" customHeight="1">
      <c r="A737" s="8"/>
      <c r="B737" s="7"/>
      <c r="C737" s="33"/>
      <c r="D737" s="7"/>
      <c r="E737" s="7"/>
      <c r="F737" s="7"/>
      <c r="G737" s="7"/>
      <c r="H737" s="7"/>
      <c r="I737" s="7"/>
      <c r="J737" s="7"/>
      <c r="K737" s="7"/>
      <c r="L737" s="7"/>
      <c r="M737" s="7"/>
      <c r="N737" s="7"/>
      <c r="O737" s="7"/>
      <c r="P737" s="7"/>
      <c r="Q737" s="7"/>
      <c r="R737" s="64"/>
      <c r="S737" s="64"/>
      <c r="T737" s="64"/>
      <c r="U737" s="64"/>
      <c r="V737" s="64"/>
      <c r="W737" s="64"/>
    </row>
    <row r="738" spans="1:23" ht="15.95" customHeight="1">
      <c r="A738" s="8"/>
      <c r="B738" s="7"/>
      <c r="C738" s="33"/>
      <c r="D738" s="7"/>
      <c r="E738" s="7"/>
      <c r="F738" s="7"/>
      <c r="G738" s="7"/>
      <c r="H738" s="7"/>
      <c r="I738" s="7"/>
      <c r="J738" s="7"/>
      <c r="K738" s="7"/>
      <c r="L738" s="7"/>
      <c r="M738" s="7"/>
      <c r="N738" s="7"/>
      <c r="O738" s="7"/>
      <c r="P738" s="7"/>
      <c r="Q738" s="7"/>
      <c r="R738" s="64"/>
      <c r="S738" s="64"/>
      <c r="T738" s="64"/>
      <c r="U738" s="64"/>
      <c r="V738" s="64"/>
      <c r="W738" s="64"/>
    </row>
    <row r="739" spans="1:23" ht="15.95" customHeight="1">
      <c r="A739" s="8"/>
      <c r="B739" s="7"/>
      <c r="C739" s="33"/>
      <c r="D739" s="7"/>
      <c r="E739" s="7"/>
      <c r="F739" s="7"/>
      <c r="G739" s="7"/>
      <c r="H739" s="7"/>
      <c r="I739" s="7"/>
      <c r="J739" s="7"/>
      <c r="K739" s="7"/>
      <c r="L739" s="7"/>
      <c r="M739" s="7"/>
      <c r="N739" s="7"/>
      <c r="O739" s="7"/>
      <c r="P739" s="7"/>
      <c r="Q739" s="7"/>
      <c r="R739" s="64"/>
      <c r="S739" s="64"/>
      <c r="T739" s="64"/>
      <c r="U739" s="64"/>
      <c r="V739" s="64"/>
      <c r="W739" s="64"/>
    </row>
    <row r="740" spans="1:23" ht="15.95" customHeight="1">
      <c r="A740" s="8"/>
      <c r="B740" s="7"/>
      <c r="C740" s="33"/>
      <c r="D740" s="7"/>
      <c r="E740" s="7"/>
      <c r="F740" s="7"/>
      <c r="G740" s="7"/>
      <c r="H740" s="7"/>
      <c r="I740" s="7"/>
      <c r="J740" s="7"/>
      <c r="K740" s="7"/>
      <c r="L740" s="7"/>
      <c r="M740" s="7"/>
      <c r="N740" s="7"/>
      <c r="O740" s="7"/>
      <c r="P740" s="7"/>
      <c r="Q740" s="7"/>
      <c r="R740" s="64"/>
      <c r="S740" s="64"/>
      <c r="T740" s="64"/>
      <c r="U740" s="64"/>
      <c r="V740" s="64"/>
      <c r="W740" s="64"/>
    </row>
    <row r="741" spans="1:23" ht="15.95" customHeight="1">
      <c r="A741" s="8"/>
      <c r="B741" s="7"/>
      <c r="C741" s="33"/>
      <c r="D741" s="7"/>
      <c r="E741" s="7"/>
      <c r="F741" s="7"/>
      <c r="G741" s="7"/>
      <c r="H741" s="7"/>
      <c r="I741" s="7"/>
      <c r="J741" s="7"/>
      <c r="K741" s="7"/>
      <c r="L741" s="7"/>
      <c r="M741" s="7"/>
      <c r="N741" s="7"/>
      <c r="O741" s="7"/>
      <c r="P741" s="7"/>
      <c r="Q741" s="7"/>
      <c r="R741" s="64"/>
      <c r="S741" s="64"/>
      <c r="T741" s="64"/>
      <c r="U741" s="64"/>
      <c r="V741" s="64"/>
      <c r="W741" s="64"/>
    </row>
    <row r="742" spans="1:23" ht="15.95" customHeight="1">
      <c r="A742" s="8"/>
      <c r="B742" s="7"/>
      <c r="C742" s="33"/>
      <c r="D742" s="7"/>
      <c r="E742" s="7"/>
      <c r="F742" s="7"/>
      <c r="G742" s="7"/>
      <c r="H742" s="7"/>
      <c r="I742" s="7"/>
      <c r="J742" s="7"/>
      <c r="K742" s="7"/>
      <c r="L742" s="7"/>
      <c r="M742" s="7"/>
      <c r="N742" s="7"/>
      <c r="O742" s="7"/>
      <c r="P742" s="7"/>
      <c r="Q742" s="7"/>
      <c r="R742" s="64"/>
      <c r="S742" s="64"/>
      <c r="T742" s="64"/>
      <c r="U742" s="64"/>
      <c r="V742" s="64"/>
      <c r="W742" s="64"/>
    </row>
    <row r="743" spans="1:23" ht="15.95" customHeight="1">
      <c r="A743" s="8"/>
      <c r="B743" s="7"/>
      <c r="C743" s="33"/>
      <c r="D743" s="7"/>
      <c r="E743" s="7"/>
      <c r="F743" s="7"/>
      <c r="G743" s="7"/>
      <c r="H743" s="7"/>
      <c r="I743" s="7"/>
      <c r="J743" s="7"/>
      <c r="K743" s="7"/>
      <c r="L743" s="7"/>
      <c r="M743" s="7"/>
      <c r="N743" s="7"/>
      <c r="O743" s="7"/>
      <c r="P743" s="7"/>
      <c r="Q743" s="7"/>
      <c r="R743" s="64"/>
      <c r="S743" s="64"/>
      <c r="T743" s="64"/>
      <c r="U743" s="64"/>
      <c r="V743" s="64"/>
      <c r="W743" s="64"/>
    </row>
    <row r="744" spans="1:23" ht="15.95" customHeight="1">
      <c r="A744" s="8"/>
      <c r="B744" s="7"/>
      <c r="C744" s="33"/>
      <c r="D744" s="7"/>
      <c r="E744" s="7"/>
      <c r="F744" s="7"/>
      <c r="G744" s="7"/>
      <c r="H744" s="7"/>
      <c r="I744" s="7"/>
      <c r="J744" s="7"/>
      <c r="K744" s="7"/>
      <c r="L744" s="7"/>
      <c r="M744" s="7"/>
      <c r="N744" s="7"/>
      <c r="O744" s="7"/>
      <c r="P744" s="7"/>
      <c r="Q744" s="7"/>
      <c r="R744" s="64"/>
      <c r="S744" s="64"/>
      <c r="T744" s="64"/>
      <c r="U744" s="64"/>
      <c r="V744" s="64"/>
      <c r="W744" s="64"/>
    </row>
    <row r="745" spans="1:23" ht="15.95" customHeight="1">
      <c r="A745" s="8"/>
      <c r="B745" s="7"/>
      <c r="C745" s="33"/>
      <c r="D745" s="7"/>
      <c r="E745" s="7"/>
      <c r="F745" s="7"/>
      <c r="G745" s="7"/>
      <c r="H745" s="7"/>
      <c r="I745" s="7"/>
      <c r="J745" s="7"/>
      <c r="K745" s="7"/>
      <c r="L745" s="7"/>
      <c r="M745" s="7"/>
      <c r="N745" s="7"/>
      <c r="O745" s="7"/>
      <c r="P745" s="7"/>
      <c r="Q745" s="7"/>
      <c r="R745" s="64"/>
      <c r="S745" s="64"/>
      <c r="T745" s="64"/>
      <c r="U745" s="64"/>
      <c r="V745" s="64"/>
      <c r="W745" s="64"/>
    </row>
    <row r="746" spans="1:23" ht="15.95" customHeight="1">
      <c r="A746" s="8"/>
      <c r="B746" s="7"/>
      <c r="C746" s="33"/>
      <c r="D746" s="7"/>
      <c r="E746" s="7"/>
      <c r="F746" s="7"/>
      <c r="G746" s="7"/>
      <c r="H746" s="7"/>
      <c r="I746" s="7"/>
      <c r="J746" s="7"/>
      <c r="K746" s="7"/>
      <c r="L746" s="7"/>
      <c r="M746" s="7"/>
      <c r="N746" s="7"/>
      <c r="O746" s="7"/>
      <c r="P746" s="7"/>
      <c r="Q746" s="7"/>
      <c r="R746" s="64"/>
      <c r="S746" s="64"/>
      <c r="T746" s="64"/>
      <c r="U746" s="64"/>
      <c r="V746" s="64"/>
      <c r="W746" s="64"/>
    </row>
    <row r="747" spans="1:23" ht="15.95" customHeight="1">
      <c r="A747" s="8"/>
      <c r="B747" s="7"/>
      <c r="C747" s="33"/>
      <c r="D747" s="7"/>
      <c r="E747" s="7"/>
      <c r="F747" s="7"/>
      <c r="G747" s="7"/>
      <c r="H747" s="7"/>
      <c r="I747" s="7"/>
      <c r="J747" s="7"/>
      <c r="K747" s="7"/>
      <c r="L747" s="7"/>
      <c r="M747" s="7"/>
      <c r="N747" s="7"/>
      <c r="O747" s="7"/>
      <c r="P747" s="7"/>
      <c r="Q747" s="7"/>
      <c r="R747" s="64"/>
      <c r="S747" s="64"/>
      <c r="T747" s="64"/>
      <c r="U747" s="64"/>
      <c r="V747" s="64"/>
      <c r="W747" s="64"/>
    </row>
    <row r="748" spans="1:23" ht="15.95" customHeight="1">
      <c r="A748" s="8"/>
      <c r="B748" s="7"/>
      <c r="C748" s="33"/>
      <c r="D748" s="7"/>
      <c r="E748" s="7"/>
      <c r="F748" s="7"/>
      <c r="G748" s="7"/>
      <c r="H748" s="7"/>
      <c r="I748" s="7"/>
      <c r="J748" s="7"/>
      <c r="K748" s="7"/>
      <c r="L748" s="7"/>
      <c r="M748" s="7"/>
      <c r="N748" s="7"/>
      <c r="O748" s="7"/>
      <c r="P748" s="7"/>
      <c r="Q748" s="7"/>
      <c r="R748" s="64"/>
      <c r="S748" s="64"/>
      <c r="T748" s="64"/>
      <c r="U748" s="64"/>
      <c r="V748" s="64"/>
      <c r="W748" s="64"/>
    </row>
    <row r="749" spans="1:23" ht="15.95" customHeight="1">
      <c r="A749" s="8"/>
      <c r="B749" s="7"/>
      <c r="C749" s="33"/>
      <c r="D749" s="7"/>
      <c r="E749" s="7"/>
      <c r="F749" s="7"/>
      <c r="G749" s="7"/>
      <c r="H749" s="7"/>
      <c r="I749" s="7"/>
      <c r="J749" s="7"/>
      <c r="K749" s="7"/>
      <c r="L749" s="7"/>
      <c r="M749" s="7"/>
      <c r="N749" s="7"/>
      <c r="O749" s="7"/>
      <c r="P749" s="7"/>
      <c r="Q749" s="7"/>
      <c r="R749" s="64"/>
      <c r="S749" s="64"/>
      <c r="T749" s="64"/>
      <c r="U749" s="64"/>
      <c r="V749" s="64"/>
      <c r="W749" s="64"/>
    </row>
    <row r="750" spans="1:23" ht="15.95" customHeight="1">
      <c r="A750" s="8"/>
      <c r="B750" s="7"/>
      <c r="C750" s="33"/>
      <c r="D750" s="7"/>
      <c r="E750" s="7"/>
      <c r="F750" s="7"/>
      <c r="G750" s="7"/>
      <c r="H750" s="7"/>
      <c r="I750" s="7"/>
      <c r="J750" s="7"/>
      <c r="K750" s="7"/>
      <c r="L750" s="7"/>
      <c r="M750" s="7"/>
      <c r="N750" s="7"/>
      <c r="O750" s="7"/>
      <c r="P750" s="7"/>
      <c r="Q750" s="7"/>
      <c r="R750" s="64"/>
      <c r="S750" s="64"/>
      <c r="T750" s="64"/>
      <c r="U750" s="64"/>
      <c r="V750" s="64"/>
      <c r="W750" s="64"/>
    </row>
    <row r="751" spans="1:23" ht="15.95" customHeight="1">
      <c r="A751" s="8"/>
      <c r="B751" s="7"/>
      <c r="C751" s="33"/>
      <c r="D751" s="7"/>
      <c r="E751" s="7"/>
      <c r="F751" s="7"/>
      <c r="G751" s="7"/>
      <c r="H751" s="7"/>
      <c r="I751" s="7"/>
      <c r="J751" s="7"/>
      <c r="K751" s="7"/>
      <c r="L751" s="7"/>
      <c r="M751" s="7"/>
      <c r="N751" s="7"/>
      <c r="O751" s="7"/>
      <c r="P751" s="7"/>
      <c r="Q751" s="7"/>
      <c r="R751" s="64"/>
      <c r="S751" s="64"/>
      <c r="T751" s="64"/>
      <c r="U751" s="64"/>
      <c r="V751" s="64"/>
      <c r="W751" s="64"/>
    </row>
    <row r="752" spans="1:23" ht="15.95" customHeight="1">
      <c r="A752" s="8"/>
      <c r="B752" s="7"/>
      <c r="C752" s="33"/>
      <c r="D752" s="7"/>
      <c r="E752" s="7"/>
      <c r="F752" s="7"/>
      <c r="G752" s="7"/>
      <c r="H752" s="7"/>
      <c r="I752" s="7"/>
      <c r="J752" s="7"/>
      <c r="K752" s="7"/>
      <c r="L752" s="7"/>
      <c r="M752" s="7"/>
      <c r="N752" s="7"/>
      <c r="O752" s="7"/>
      <c r="P752" s="7"/>
      <c r="Q752" s="7"/>
      <c r="R752" s="64"/>
      <c r="S752" s="64"/>
      <c r="T752" s="64"/>
      <c r="U752" s="64"/>
      <c r="V752" s="64"/>
      <c r="W752" s="64"/>
    </row>
    <row r="753" spans="1:23" ht="15.95" customHeight="1">
      <c r="A753" s="8"/>
      <c r="B753" s="7"/>
      <c r="C753" s="33"/>
      <c r="D753" s="7"/>
      <c r="E753" s="7"/>
      <c r="F753" s="7"/>
      <c r="G753" s="7"/>
      <c r="H753" s="7"/>
      <c r="I753" s="7"/>
      <c r="J753" s="7"/>
      <c r="K753" s="7"/>
      <c r="L753" s="7"/>
      <c r="M753" s="7"/>
      <c r="N753" s="7"/>
      <c r="O753" s="7"/>
      <c r="P753" s="7"/>
      <c r="Q753" s="7"/>
      <c r="R753" s="64"/>
      <c r="S753" s="64"/>
      <c r="T753" s="64"/>
      <c r="U753" s="64"/>
      <c r="V753" s="64"/>
      <c r="W753" s="64"/>
    </row>
    <row r="754" spans="1:23" ht="15.95" customHeight="1">
      <c r="A754" s="8"/>
      <c r="B754" s="7"/>
      <c r="C754" s="33"/>
      <c r="D754" s="7"/>
      <c r="E754" s="7"/>
      <c r="F754" s="7"/>
      <c r="G754" s="7"/>
      <c r="H754" s="7"/>
      <c r="I754" s="7"/>
      <c r="J754" s="7"/>
      <c r="K754" s="7"/>
      <c r="L754" s="7"/>
      <c r="M754" s="7"/>
      <c r="N754" s="7"/>
      <c r="O754" s="7"/>
      <c r="P754" s="7"/>
      <c r="Q754" s="7"/>
      <c r="R754" s="64"/>
      <c r="S754" s="64"/>
      <c r="T754" s="64"/>
      <c r="U754" s="64"/>
      <c r="V754" s="64"/>
      <c r="W754" s="64"/>
    </row>
    <row r="755" spans="1:23" ht="15.95" customHeight="1">
      <c r="A755" s="8"/>
      <c r="B755" s="7"/>
      <c r="C755" s="33"/>
      <c r="D755" s="7"/>
      <c r="E755" s="7"/>
      <c r="F755" s="7"/>
      <c r="G755" s="7"/>
      <c r="H755" s="7"/>
      <c r="I755" s="7"/>
      <c r="J755" s="7"/>
      <c r="K755" s="7"/>
      <c r="L755" s="7"/>
      <c r="M755" s="7"/>
      <c r="N755" s="7"/>
      <c r="O755" s="7"/>
      <c r="P755" s="7"/>
      <c r="Q755" s="7"/>
      <c r="R755" s="64"/>
      <c r="S755" s="64"/>
      <c r="T755" s="64"/>
      <c r="U755" s="64"/>
      <c r="V755" s="64"/>
      <c r="W755" s="64"/>
    </row>
    <row r="756" spans="1:23" ht="15.95" customHeight="1">
      <c r="A756" s="8"/>
      <c r="B756" s="7"/>
      <c r="C756" s="33"/>
      <c r="D756" s="7"/>
      <c r="E756" s="7"/>
      <c r="F756" s="7"/>
      <c r="G756" s="7"/>
      <c r="H756" s="7"/>
      <c r="I756" s="7"/>
      <c r="J756" s="7"/>
      <c r="K756" s="7"/>
      <c r="L756" s="7"/>
      <c r="M756" s="7"/>
      <c r="N756" s="7"/>
      <c r="O756" s="7"/>
      <c r="P756" s="7"/>
      <c r="Q756" s="7"/>
      <c r="R756" s="64"/>
      <c r="S756" s="64"/>
      <c r="T756" s="64"/>
      <c r="U756" s="64"/>
      <c r="V756" s="64"/>
      <c r="W756" s="64"/>
    </row>
    <row r="757" spans="1:23" ht="15.95" customHeight="1">
      <c r="A757" s="8"/>
      <c r="B757" s="7"/>
      <c r="C757" s="33"/>
      <c r="D757" s="7"/>
      <c r="E757" s="7"/>
      <c r="F757" s="7"/>
      <c r="G757" s="7"/>
      <c r="H757" s="7"/>
      <c r="I757" s="7"/>
      <c r="J757" s="7"/>
      <c r="K757" s="7"/>
      <c r="L757" s="7"/>
      <c r="M757" s="7"/>
      <c r="N757" s="7"/>
      <c r="O757" s="7"/>
      <c r="P757" s="7"/>
      <c r="Q757" s="7"/>
      <c r="R757" s="64"/>
      <c r="S757" s="64"/>
      <c r="T757" s="64"/>
      <c r="U757" s="64"/>
      <c r="V757" s="64"/>
      <c r="W757" s="64"/>
    </row>
    <row r="758" spans="1:23" ht="15.95" customHeight="1">
      <c r="A758" s="8"/>
      <c r="B758" s="7"/>
      <c r="C758" s="33"/>
      <c r="D758" s="7"/>
      <c r="E758" s="7"/>
      <c r="F758" s="7"/>
      <c r="G758" s="7"/>
      <c r="H758" s="7"/>
      <c r="I758" s="7"/>
      <c r="J758" s="7"/>
      <c r="K758" s="7"/>
      <c r="L758" s="7"/>
      <c r="M758" s="7"/>
      <c r="N758" s="7"/>
      <c r="O758" s="7"/>
      <c r="P758" s="7"/>
      <c r="Q758" s="7"/>
      <c r="R758" s="64"/>
      <c r="S758" s="64"/>
      <c r="T758" s="64"/>
      <c r="U758" s="64"/>
      <c r="V758" s="64"/>
      <c r="W758" s="64"/>
    </row>
    <row r="759" spans="1:23" ht="15.95" customHeight="1">
      <c r="A759" s="8"/>
      <c r="B759" s="7"/>
      <c r="C759" s="33"/>
      <c r="D759" s="7"/>
      <c r="E759" s="7"/>
      <c r="F759" s="7"/>
      <c r="G759" s="7"/>
      <c r="H759" s="7"/>
      <c r="I759" s="7"/>
      <c r="J759" s="7"/>
      <c r="K759" s="7"/>
      <c r="L759" s="7"/>
      <c r="M759" s="7"/>
      <c r="N759" s="7"/>
      <c r="O759" s="7"/>
      <c r="P759" s="7"/>
      <c r="Q759" s="7"/>
      <c r="R759" s="64"/>
      <c r="S759" s="64"/>
      <c r="T759" s="64"/>
      <c r="U759" s="64"/>
      <c r="V759" s="64"/>
      <c r="W759" s="64"/>
    </row>
    <row r="760" spans="1:23" ht="15.95" customHeight="1">
      <c r="A760" s="8"/>
      <c r="B760" s="7"/>
      <c r="C760" s="33"/>
      <c r="D760" s="7"/>
      <c r="E760" s="7"/>
      <c r="F760" s="7"/>
      <c r="G760" s="7"/>
      <c r="H760" s="7"/>
      <c r="I760" s="7"/>
      <c r="J760" s="7"/>
      <c r="K760" s="7"/>
      <c r="L760" s="7"/>
      <c r="M760" s="7"/>
      <c r="N760" s="7"/>
      <c r="O760" s="7"/>
      <c r="P760" s="7"/>
      <c r="Q760" s="7"/>
      <c r="R760" s="64"/>
      <c r="S760" s="64"/>
      <c r="T760" s="64"/>
      <c r="U760" s="64"/>
      <c r="V760" s="64"/>
      <c r="W760" s="64"/>
    </row>
    <row r="761" spans="1:23" ht="15.95" customHeight="1">
      <c r="A761" s="8"/>
      <c r="B761" s="7"/>
      <c r="C761" s="33"/>
      <c r="D761" s="7"/>
      <c r="E761" s="7"/>
      <c r="F761" s="7"/>
      <c r="G761" s="7"/>
      <c r="H761" s="7"/>
      <c r="I761" s="7"/>
      <c r="J761" s="7"/>
      <c r="K761" s="7"/>
      <c r="L761" s="7"/>
      <c r="M761" s="7"/>
      <c r="N761" s="7"/>
      <c r="O761" s="7"/>
      <c r="P761" s="7"/>
      <c r="Q761" s="7"/>
      <c r="R761" s="64"/>
      <c r="S761" s="64"/>
      <c r="T761" s="64"/>
      <c r="U761" s="64"/>
      <c r="V761" s="64"/>
      <c r="W761" s="64"/>
    </row>
    <row r="762" spans="1:23" ht="15.95" customHeight="1">
      <c r="A762" s="8"/>
      <c r="B762" s="7"/>
      <c r="C762" s="33"/>
      <c r="D762" s="7"/>
      <c r="E762" s="7"/>
      <c r="F762" s="7"/>
      <c r="G762" s="7"/>
      <c r="H762" s="7"/>
      <c r="I762" s="7"/>
      <c r="J762" s="7"/>
      <c r="K762" s="7"/>
      <c r="L762" s="7"/>
      <c r="M762" s="7"/>
      <c r="N762" s="7"/>
      <c r="O762" s="7"/>
      <c r="P762" s="7"/>
      <c r="Q762" s="7"/>
      <c r="R762" s="64"/>
      <c r="S762" s="64"/>
      <c r="T762" s="64"/>
      <c r="U762" s="64"/>
      <c r="V762" s="64"/>
      <c r="W762" s="64"/>
    </row>
    <row r="763" spans="1:23" ht="15.95" customHeight="1">
      <c r="A763" s="8"/>
      <c r="B763" s="7"/>
      <c r="C763" s="33"/>
      <c r="D763" s="7"/>
      <c r="E763" s="7"/>
      <c r="F763" s="7"/>
      <c r="G763" s="7"/>
      <c r="H763" s="7"/>
      <c r="I763" s="7"/>
      <c r="J763" s="7"/>
      <c r="K763" s="7"/>
      <c r="L763" s="7"/>
      <c r="M763" s="7"/>
      <c r="N763" s="7"/>
      <c r="O763" s="7"/>
      <c r="P763" s="7"/>
      <c r="Q763" s="7"/>
      <c r="R763" s="64"/>
      <c r="S763" s="64"/>
      <c r="T763" s="64"/>
      <c r="U763" s="64"/>
      <c r="V763" s="64"/>
      <c r="W763" s="64"/>
    </row>
    <row r="764" spans="1:23" ht="15.95" customHeight="1">
      <c r="A764" s="8"/>
      <c r="B764" s="7"/>
      <c r="C764" s="33"/>
      <c r="D764" s="7"/>
      <c r="E764" s="7"/>
      <c r="F764" s="7"/>
      <c r="G764" s="7"/>
      <c r="H764" s="7"/>
      <c r="I764" s="7"/>
      <c r="J764" s="7"/>
      <c r="K764" s="7"/>
      <c r="L764" s="7"/>
      <c r="M764" s="7"/>
      <c r="N764" s="7"/>
      <c r="O764" s="7"/>
      <c r="P764" s="7"/>
      <c r="Q764" s="7"/>
      <c r="R764" s="64"/>
      <c r="S764" s="64"/>
      <c r="T764" s="64"/>
      <c r="U764" s="64"/>
      <c r="V764" s="64"/>
      <c r="W764" s="64"/>
    </row>
    <row r="765" spans="1:23" ht="15.95" customHeight="1">
      <c r="A765" s="8"/>
      <c r="B765" s="7"/>
      <c r="C765" s="33"/>
      <c r="D765" s="7"/>
      <c r="E765" s="7"/>
      <c r="F765" s="7"/>
      <c r="G765" s="7"/>
      <c r="H765" s="7"/>
      <c r="I765" s="7"/>
      <c r="J765" s="7"/>
      <c r="K765" s="7"/>
      <c r="L765" s="7"/>
      <c r="M765" s="7"/>
      <c r="N765" s="7"/>
      <c r="O765" s="7"/>
      <c r="P765" s="7"/>
      <c r="Q765" s="7"/>
      <c r="R765" s="64"/>
      <c r="S765" s="64"/>
      <c r="T765" s="64"/>
      <c r="U765" s="64"/>
      <c r="V765" s="64"/>
      <c r="W765" s="64"/>
    </row>
    <row r="766" spans="1:23" ht="15.95" customHeight="1">
      <c r="A766" s="8"/>
      <c r="B766" s="7"/>
      <c r="C766" s="33"/>
      <c r="D766" s="7"/>
      <c r="E766" s="7"/>
      <c r="F766" s="7"/>
      <c r="G766" s="7"/>
      <c r="H766" s="7"/>
      <c r="I766" s="7"/>
      <c r="J766" s="7"/>
      <c r="K766" s="7"/>
      <c r="L766" s="7"/>
      <c r="M766" s="7"/>
      <c r="N766" s="7"/>
      <c r="O766" s="7"/>
      <c r="P766" s="7"/>
      <c r="Q766" s="7"/>
      <c r="R766" s="64"/>
      <c r="S766" s="64"/>
      <c r="T766" s="64"/>
      <c r="U766" s="64"/>
      <c r="V766" s="64"/>
      <c r="W766" s="64"/>
    </row>
    <row r="767" spans="1:23" ht="15.95" customHeight="1">
      <c r="A767" s="8"/>
      <c r="B767" s="7"/>
      <c r="C767" s="33"/>
      <c r="D767" s="7"/>
      <c r="E767" s="7"/>
      <c r="F767" s="7"/>
      <c r="G767" s="7"/>
      <c r="H767" s="7"/>
      <c r="I767" s="7"/>
      <c r="J767" s="7"/>
      <c r="K767" s="7"/>
      <c r="L767" s="7"/>
      <c r="M767" s="7"/>
      <c r="N767" s="7"/>
      <c r="O767" s="7"/>
      <c r="P767" s="7"/>
      <c r="Q767" s="7"/>
      <c r="R767" s="64"/>
      <c r="S767" s="64"/>
      <c r="T767" s="64"/>
      <c r="U767" s="64"/>
      <c r="V767" s="64"/>
      <c r="W767" s="64"/>
    </row>
    <row r="768" spans="1:23" ht="15.95" customHeight="1">
      <c r="A768" s="8"/>
      <c r="B768" s="7"/>
      <c r="C768" s="33"/>
      <c r="D768" s="7"/>
      <c r="E768" s="7"/>
      <c r="F768" s="7"/>
      <c r="G768" s="7"/>
      <c r="H768" s="7"/>
      <c r="I768" s="7"/>
      <c r="J768" s="7"/>
      <c r="K768" s="7"/>
      <c r="L768" s="7"/>
      <c r="M768" s="7"/>
      <c r="N768" s="7"/>
      <c r="O768" s="7"/>
      <c r="P768" s="7"/>
      <c r="Q768" s="7"/>
      <c r="R768" s="64"/>
      <c r="S768" s="64"/>
      <c r="T768" s="64"/>
      <c r="U768" s="64"/>
      <c r="V768" s="64"/>
      <c r="W768" s="64"/>
    </row>
    <row r="769" spans="1:23" ht="15.95" customHeight="1">
      <c r="A769" s="8"/>
      <c r="B769" s="7"/>
      <c r="C769" s="33"/>
      <c r="D769" s="7"/>
      <c r="E769" s="7"/>
      <c r="F769" s="7"/>
      <c r="G769" s="7"/>
      <c r="H769" s="7"/>
      <c r="I769" s="7"/>
      <c r="J769" s="7"/>
      <c r="K769" s="7"/>
      <c r="L769" s="7"/>
      <c r="M769" s="7"/>
      <c r="N769" s="7"/>
      <c r="O769" s="7"/>
      <c r="P769" s="7"/>
      <c r="Q769" s="7"/>
      <c r="R769" s="64"/>
      <c r="S769" s="64"/>
      <c r="T769" s="64"/>
      <c r="U769" s="64"/>
      <c r="V769" s="64"/>
      <c r="W769" s="64"/>
    </row>
    <row r="770" spans="1:23" ht="15.95" customHeight="1">
      <c r="A770" s="8"/>
      <c r="B770" s="7"/>
      <c r="C770" s="33"/>
      <c r="D770" s="7"/>
      <c r="E770" s="7"/>
      <c r="F770" s="7"/>
      <c r="G770" s="7"/>
      <c r="H770" s="7"/>
      <c r="I770" s="7"/>
      <c r="J770" s="7"/>
      <c r="K770" s="7"/>
      <c r="L770" s="7"/>
      <c r="M770" s="7"/>
      <c r="N770" s="7"/>
      <c r="O770" s="7"/>
      <c r="P770" s="7"/>
      <c r="Q770" s="7"/>
      <c r="R770" s="64"/>
      <c r="S770" s="64"/>
      <c r="T770" s="64"/>
      <c r="U770" s="64"/>
      <c r="V770" s="64"/>
      <c r="W770" s="64"/>
    </row>
    <row r="771" spans="1:23" ht="15.95" customHeight="1">
      <c r="A771" s="8"/>
      <c r="B771" s="7"/>
      <c r="C771" s="33"/>
      <c r="D771" s="7"/>
      <c r="E771" s="7"/>
      <c r="F771" s="7"/>
      <c r="G771" s="7"/>
      <c r="H771" s="7"/>
      <c r="I771" s="7"/>
      <c r="J771" s="7"/>
      <c r="K771" s="7"/>
      <c r="L771" s="7"/>
      <c r="M771" s="7"/>
      <c r="N771" s="7"/>
      <c r="O771" s="7"/>
      <c r="P771" s="7"/>
      <c r="Q771" s="7"/>
      <c r="R771" s="64"/>
      <c r="S771" s="64"/>
      <c r="T771" s="64"/>
      <c r="U771" s="64"/>
      <c r="V771" s="64"/>
      <c r="W771" s="64"/>
    </row>
    <row r="772" spans="1:23" ht="15.95" customHeight="1">
      <c r="A772" s="8"/>
      <c r="B772" s="7"/>
      <c r="C772" s="33"/>
      <c r="D772" s="7"/>
      <c r="E772" s="7"/>
      <c r="F772" s="7"/>
      <c r="G772" s="7"/>
      <c r="H772" s="7"/>
      <c r="I772" s="7"/>
      <c r="J772" s="7"/>
      <c r="K772" s="7"/>
      <c r="L772" s="7"/>
      <c r="M772" s="7"/>
      <c r="N772" s="7"/>
      <c r="O772" s="7"/>
      <c r="P772" s="7"/>
      <c r="Q772" s="7"/>
      <c r="R772" s="64"/>
      <c r="S772" s="64"/>
      <c r="T772" s="64"/>
      <c r="U772" s="64"/>
      <c r="V772" s="64"/>
      <c r="W772" s="64"/>
    </row>
    <row r="773" spans="1:23" ht="15.95" customHeight="1">
      <c r="A773" s="8"/>
      <c r="B773" s="7"/>
      <c r="C773" s="33"/>
      <c r="D773" s="7"/>
      <c r="E773" s="7"/>
      <c r="F773" s="7"/>
      <c r="G773" s="7"/>
      <c r="H773" s="7"/>
      <c r="I773" s="7"/>
      <c r="J773" s="7"/>
      <c r="K773" s="7"/>
      <c r="L773" s="7"/>
      <c r="M773" s="7"/>
      <c r="N773" s="7"/>
      <c r="O773" s="7"/>
      <c r="P773" s="7"/>
      <c r="Q773" s="7"/>
      <c r="R773" s="64"/>
      <c r="S773" s="64"/>
      <c r="T773" s="64"/>
      <c r="U773" s="64"/>
      <c r="V773" s="64"/>
      <c r="W773" s="64"/>
    </row>
    <row r="774" spans="1:23" ht="15.95" customHeight="1">
      <c r="A774" s="8"/>
      <c r="B774" s="7"/>
      <c r="C774" s="33"/>
      <c r="D774" s="7"/>
      <c r="E774" s="7"/>
      <c r="F774" s="7"/>
      <c r="G774" s="7"/>
      <c r="H774" s="7"/>
      <c r="I774" s="7"/>
      <c r="J774" s="7"/>
      <c r="K774" s="7"/>
      <c r="L774" s="7"/>
      <c r="M774" s="7"/>
      <c r="N774" s="7"/>
      <c r="O774" s="7"/>
      <c r="P774" s="7"/>
      <c r="Q774" s="7"/>
      <c r="R774" s="64"/>
      <c r="S774" s="64"/>
      <c r="T774" s="64"/>
      <c r="U774" s="64"/>
      <c r="V774" s="64"/>
      <c r="W774" s="64"/>
    </row>
    <row r="775" spans="1:23" ht="15.95" customHeight="1">
      <c r="A775" s="8"/>
      <c r="B775" s="7"/>
      <c r="C775" s="33"/>
      <c r="D775" s="7"/>
      <c r="E775" s="7"/>
      <c r="F775" s="7"/>
      <c r="G775" s="7"/>
      <c r="H775" s="7"/>
      <c r="I775" s="7"/>
      <c r="J775" s="7"/>
      <c r="K775" s="7"/>
      <c r="L775" s="7"/>
      <c r="M775" s="7"/>
      <c r="N775" s="7"/>
      <c r="O775" s="7"/>
      <c r="P775" s="7"/>
      <c r="Q775" s="7"/>
      <c r="R775" s="64"/>
      <c r="S775" s="64"/>
      <c r="T775" s="64"/>
      <c r="U775" s="64"/>
      <c r="V775" s="64"/>
      <c r="W775" s="64"/>
    </row>
    <row r="776" spans="1:23" ht="15.95" customHeight="1">
      <c r="A776" s="8"/>
      <c r="B776" s="7"/>
      <c r="C776" s="33"/>
      <c r="D776" s="7"/>
      <c r="E776" s="7"/>
      <c r="F776" s="7"/>
      <c r="G776" s="7"/>
      <c r="H776" s="7"/>
      <c r="I776" s="7"/>
      <c r="J776" s="7"/>
      <c r="K776" s="7"/>
      <c r="L776" s="7"/>
      <c r="M776" s="7"/>
      <c r="N776" s="7"/>
      <c r="O776" s="7"/>
      <c r="P776" s="7"/>
      <c r="Q776" s="7"/>
      <c r="R776" s="64"/>
      <c r="S776" s="64"/>
      <c r="T776" s="64"/>
      <c r="U776" s="64"/>
      <c r="V776" s="64"/>
      <c r="W776" s="64"/>
    </row>
    <row r="777" spans="1:23" ht="15.95" customHeight="1">
      <c r="A777" s="8"/>
      <c r="B777" s="7"/>
      <c r="C777" s="33"/>
      <c r="D777" s="7"/>
      <c r="E777" s="7"/>
      <c r="F777" s="7"/>
      <c r="G777" s="7"/>
      <c r="H777" s="7"/>
      <c r="I777" s="7"/>
      <c r="J777" s="7"/>
      <c r="K777" s="7"/>
      <c r="L777" s="7"/>
      <c r="M777" s="7"/>
      <c r="N777" s="7"/>
      <c r="O777" s="7"/>
      <c r="P777" s="7"/>
      <c r="Q777" s="7"/>
      <c r="R777" s="64"/>
      <c r="S777" s="64"/>
      <c r="T777" s="64"/>
      <c r="U777" s="64"/>
      <c r="V777" s="64"/>
      <c r="W777" s="64"/>
    </row>
    <row r="778" spans="1:23" ht="15.95" customHeight="1">
      <c r="A778" s="8"/>
      <c r="B778" s="7"/>
      <c r="C778" s="33"/>
      <c r="D778" s="7"/>
      <c r="E778" s="7"/>
      <c r="F778" s="7"/>
      <c r="G778" s="7"/>
      <c r="H778" s="7"/>
      <c r="I778" s="7"/>
      <c r="J778" s="7"/>
      <c r="K778" s="7"/>
      <c r="L778" s="7"/>
      <c r="M778" s="7"/>
      <c r="N778" s="7"/>
      <c r="O778" s="7"/>
      <c r="P778" s="7"/>
      <c r="Q778" s="7"/>
      <c r="R778" s="64"/>
      <c r="S778" s="64"/>
      <c r="T778" s="64"/>
      <c r="U778" s="64"/>
      <c r="V778" s="64"/>
      <c r="W778" s="64"/>
    </row>
    <row r="779" spans="1:23" ht="15.95" customHeight="1">
      <c r="A779" s="8"/>
      <c r="B779" s="7"/>
      <c r="C779" s="33"/>
      <c r="D779" s="7"/>
      <c r="E779" s="7"/>
      <c r="F779" s="7"/>
      <c r="G779" s="7"/>
      <c r="H779" s="7"/>
      <c r="I779" s="7"/>
      <c r="J779" s="7"/>
      <c r="K779" s="7"/>
      <c r="L779" s="7"/>
      <c r="M779" s="7"/>
      <c r="N779" s="7"/>
      <c r="O779" s="7"/>
      <c r="P779" s="7"/>
      <c r="Q779" s="7"/>
      <c r="R779" s="64"/>
      <c r="S779" s="64"/>
      <c r="T779" s="64"/>
      <c r="U779" s="64"/>
      <c r="V779" s="64"/>
      <c r="W779" s="64"/>
    </row>
    <row r="780" spans="1:23" ht="15.95" customHeight="1">
      <c r="A780" s="8"/>
      <c r="B780" s="7"/>
      <c r="C780" s="33"/>
      <c r="D780" s="7"/>
      <c r="E780" s="7"/>
      <c r="F780" s="7"/>
      <c r="G780" s="7"/>
      <c r="H780" s="7"/>
      <c r="I780" s="7"/>
      <c r="J780" s="7"/>
      <c r="K780" s="7"/>
      <c r="L780" s="7"/>
      <c r="M780" s="7"/>
      <c r="N780" s="7"/>
      <c r="O780" s="7"/>
      <c r="P780" s="7"/>
      <c r="Q780" s="7"/>
      <c r="R780" s="64"/>
      <c r="S780" s="64"/>
      <c r="T780" s="64"/>
      <c r="U780" s="64"/>
      <c r="V780" s="64"/>
      <c r="W780" s="64"/>
    </row>
    <row r="781" spans="1:23" ht="15.95" customHeight="1">
      <c r="A781" s="8"/>
      <c r="B781" s="7"/>
      <c r="C781" s="33"/>
      <c r="D781" s="7"/>
      <c r="E781" s="7"/>
      <c r="F781" s="7"/>
      <c r="G781" s="7"/>
      <c r="H781" s="7"/>
      <c r="I781" s="7"/>
      <c r="J781" s="7"/>
      <c r="K781" s="7"/>
      <c r="L781" s="7"/>
      <c r="M781" s="7"/>
      <c r="N781" s="7"/>
      <c r="O781" s="7"/>
      <c r="P781" s="7"/>
      <c r="Q781" s="7"/>
      <c r="R781" s="64"/>
      <c r="S781" s="64"/>
      <c r="T781" s="64"/>
      <c r="U781" s="64"/>
      <c r="V781" s="64"/>
      <c r="W781" s="64"/>
    </row>
    <row r="782" spans="1:23" ht="15.95" customHeight="1">
      <c r="A782" s="8"/>
      <c r="B782" s="7"/>
      <c r="C782" s="33"/>
      <c r="D782" s="7"/>
      <c r="E782" s="7"/>
      <c r="F782" s="7"/>
      <c r="G782" s="7"/>
      <c r="H782" s="7"/>
      <c r="I782" s="7"/>
      <c r="J782" s="7"/>
      <c r="K782" s="7"/>
      <c r="L782" s="7"/>
      <c r="M782" s="7"/>
      <c r="N782" s="7"/>
      <c r="O782" s="7"/>
      <c r="P782" s="7"/>
      <c r="Q782" s="7"/>
      <c r="R782" s="64"/>
      <c r="S782" s="64"/>
      <c r="T782" s="64"/>
      <c r="U782" s="64"/>
      <c r="V782" s="64"/>
      <c r="W782" s="64"/>
    </row>
    <row r="783" spans="1:23" ht="15.95" customHeight="1">
      <c r="A783" s="8"/>
      <c r="B783" s="7"/>
      <c r="C783" s="33"/>
      <c r="D783" s="7"/>
      <c r="E783" s="7"/>
      <c r="F783" s="7"/>
      <c r="G783" s="7"/>
      <c r="H783" s="7"/>
      <c r="I783" s="7"/>
      <c r="J783" s="7"/>
      <c r="K783" s="7"/>
      <c r="L783" s="7"/>
      <c r="M783" s="7"/>
      <c r="N783" s="7"/>
      <c r="O783" s="7"/>
      <c r="P783" s="7"/>
      <c r="Q783" s="7"/>
      <c r="R783" s="64"/>
      <c r="S783" s="64"/>
      <c r="T783" s="64"/>
      <c r="U783" s="64"/>
      <c r="V783" s="64"/>
      <c r="W783" s="64"/>
    </row>
    <row r="784" spans="1:23" ht="15.95" customHeight="1">
      <c r="A784" s="8"/>
      <c r="B784" s="7"/>
      <c r="C784" s="33"/>
      <c r="D784" s="7"/>
      <c r="E784" s="7"/>
      <c r="F784" s="7"/>
      <c r="G784" s="7"/>
      <c r="H784" s="7"/>
      <c r="I784" s="7"/>
      <c r="J784" s="7"/>
      <c r="K784" s="7"/>
      <c r="L784" s="7"/>
      <c r="M784" s="7"/>
      <c r="N784" s="7"/>
      <c r="O784" s="7"/>
      <c r="P784" s="7"/>
      <c r="Q784" s="7"/>
      <c r="R784" s="64"/>
      <c r="S784" s="64"/>
      <c r="T784" s="64"/>
      <c r="U784" s="64"/>
      <c r="V784" s="64"/>
      <c r="W784" s="64"/>
    </row>
    <row r="785" spans="1:23" ht="15.95" customHeight="1">
      <c r="A785" s="8"/>
      <c r="B785" s="7"/>
      <c r="C785" s="33"/>
      <c r="D785" s="7"/>
      <c r="E785" s="7"/>
      <c r="F785" s="7"/>
      <c r="G785" s="7"/>
      <c r="H785" s="7"/>
      <c r="I785" s="7"/>
      <c r="J785" s="7"/>
      <c r="K785" s="7"/>
      <c r="L785" s="7"/>
      <c r="M785" s="7"/>
      <c r="N785" s="7"/>
      <c r="O785" s="7"/>
      <c r="P785" s="7"/>
      <c r="Q785" s="7"/>
      <c r="R785" s="64"/>
      <c r="S785" s="64"/>
      <c r="T785" s="64"/>
      <c r="U785" s="64"/>
      <c r="V785" s="64"/>
      <c r="W785" s="64"/>
    </row>
    <row r="786" spans="1:23" ht="15.95" customHeight="1">
      <c r="A786" s="8"/>
      <c r="B786" s="7"/>
      <c r="C786" s="33"/>
      <c r="D786" s="7"/>
      <c r="E786" s="7"/>
      <c r="F786" s="7"/>
      <c r="G786" s="7"/>
      <c r="H786" s="7"/>
      <c r="I786" s="7"/>
      <c r="J786" s="7"/>
      <c r="K786" s="7"/>
      <c r="L786" s="7"/>
      <c r="M786" s="7"/>
      <c r="N786" s="7"/>
      <c r="O786" s="7"/>
      <c r="P786" s="7"/>
      <c r="Q786" s="7"/>
      <c r="R786" s="64"/>
      <c r="S786" s="64"/>
      <c r="T786" s="64"/>
      <c r="U786" s="64"/>
      <c r="V786" s="64"/>
      <c r="W786" s="64"/>
    </row>
    <row r="787" spans="1:23" ht="15.95" customHeight="1">
      <c r="A787" s="8"/>
      <c r="B787" s="7"/>
      <c r="C787" s="33"/>
      <c r="D787" s="7"/>
      <c r="E787" s="7"/>
      <c r="F787" s="7"/>
      <c r="G787" s="7"/>
      <c r="H787" s="7"/>
      <c r="I787" s="7"/>
      <c r="J787" s="7"/>
      <c r="K787" s="7"/>
      <c r="L787" s="7"/>
      <c r="M787" s="7"/>
      <c r="N787" s="7"/>
      <c r="O787" s="7"/>
      <c r="P787" s="7"/>
      <c r="Q787" s="7"/>
      <c r="R787" s="64"/>
      <c r="S787" s="64"/>
      <c r="T787" s="64"/>
      <c r="U787" s="64"/>
      <c r="V787" s="64"/>
      <c r="W787" s="64"/>
    </row>
    <row r="788" spans="1:23" ht="15.95" customHeight="1">
      <c r="A788" s="8"/>
      <c r="B788" s="7"/>
      <c r="C788" s="33"/>
      <c r="D788" s="7"/>
      <c r="E788" s="7"/>
      <c r="F788" s="7"/>
      <c r="G788" s="7"/>
      <c r="H788" s="7"/>
      <c r="I788" s="7"/>
      <c r="J788" s="7"/>
      <c r="K788" s="7"/>
      <c r="L788" s="7"/>
      <c r="M788" s="7"/>
      <c r="N788" s="7"/>
      <c r="O788" s="7"/>
      <c r="P788" s="7"/>
      <c r="Q788" s="7"/>
      <c r="R788" s="64"/>
      <c r="S788" s="64"/>
      <c r="T788" s="64"/>
      <c r="U788" s="64"/>
      <c r="V788" s="64"/>
      <c r="W788" s="64"/>
    </row>
    <row r="789" spans="1:23" ht="15.95" customHeight="1">
      <c r="A789" s="8"/>
      <c r="B789" s="7"/>
      <c r="C789" s="33"/>
      <c r="D789" s="7"/>
      <c r="E789" s="7"/>
      <c r="F789" s="7"/>
      <c r="G789" s="7"/>
      <c r="H789" s="7"/>
      <c r="I789" s="7"/>
      <c r="J789" s="7"/>
      <c r="K789" s="7"/>
      <c r="L789" s="7"/>
      <c r="M789" s="7"/>
      <c r="N789" s="7"/>
      <c r="O789" s="7"/>
      <c r="P789" s="7"/>
      <c r="Q789" s="7"/>
      <c r="R789" s="64"/>
      <c r="S789" s="64"/>
      <c r="T789" s="64"/>
      <c r="U789" s="64"/>
      <c r="V789" s="64"/>
      <c r="W789" s="64"/>
    </row>
    <row r="790" spans="1:23" ht="15.95" customHeight="1">
      <c r="A790" s="8"/>
      <c r="B790" s="7"/>
      <c r="C790" s="33"/>
      <c r="D790" s="7"/>
      <c r="E790" s="7"/>
      <c r="F790" s="7"/>
      <c r="G790" s="7"/>
      <c r="H790" s="7"/>
      <c r="I790" s="7"/>
      <c r="J790" s="7"/>
      <c r="K790" s="7"/>
      <c r="L790" s="7"/>
      <c r="M790" s="7"/>
      <c r="N790" s="7"/>
      <c r="O790" s="7"/>
      <c r="P790" s="7"/>
      <c r="Q790" s="7"/>
      <c r="R790" s="64"/>
      <c r="S790" s="64"/>
      <c r="T790" s="64"/>
      <c r="U790" s="64"/>
      <c r="V790" s="64"/>
      <c r="W790" s="64"/>
    </row>
    <row r="791" spans="1:23" ht="15.95" customHeight="1">
      <c r="A791" s="8"/>
      <c r="B791" s="7"/>
      <c r="C791" s="33"/>
      <c r="D791" s="7"/>
      <c r="E791" s="7"/>
      <c r="F791" s="7"/>
      <c r="G791" s="7"/>
      <c r="H791" s="7"/>
      <c r="I791" s="7"/>
      <c r="J791" s="7"/>
      <c r="K791" s="7"/>
      <c r="L791" s="7"/>
      <c r="M791" s="7"/>
      <c r="N791" s="7"/>
      <c r="O791" s="7"/>
      <c r="P791" s="7"/>
      <c r="Q791" s="7"/>
      <c r="R791" s="64"/>
      <c r="S791" s="64"/>
      <c r="T791" s="64"/>
      <c r="U791" s="64"/>
      <c r="V791" s="64"/>
      <c r="W791" s="64"/>
    </row>
    <row r="792" spans="1:23" ht="15.95" customHeight="1">
      <c r="A792" s="8"/>
      <c r="B792" s="7"/>
      <c r="C792" s="33"/>
      <c r="D792" s="7"/>
      <c r="E792" s="7"/>
      <c r="F792" s="7"/>
      <c r="G792" s="7"/>
      <c r="H792" s="7"/>
      <c r="I792" s="7"/>
      <c r="J792" s="7"/>
      <c r="K792" s="7"/>
      <c r="L792" s="7"/>
      <c r="M792" s="7"/>
      <c r="N792" s="7"/>
      <c r="O792" s="7"/>
      <c r="P792" s="7"/>
      <c r="Q792" s="7"/>
      <c r="R792" s="64"/>
      <c r="S792" s="64"/>
      <c r="T792" s="64"/>
      <c r="U792" s="64"/>
      <c r="V792" s="64"/>
      <c r="W792" s="64"/>
    </row>
    <row r="793" spans="1:23" ht="15.95" customHeight="1">
      <c r="A793" s="8"/>
      <c r="B793" s="7"/>
      <c r="C793" s="33"/>
      <c r="D793" s="7"/>
      <c r="E793" s="7"/>
      <c r="F793" s="7"/>
      <c r="G793" s="7"/>
      <c r="H793" s="7"/>
      <c r="I793" s="7"/>
      <c r="J793" s="7"/>
      <c r="K793" s="7"/>
      <c r="L793" s="7"/>
      <c r="M793" s="7"/>
      <c r="N793" s="7"/>
      <c r="O793" s="7"/>
      <c r="P793" s="7"/>
      <c r="Q793" s="7"/>
      <c r="R793" s="64"/>
      <c r="S793" s="64"/>
      <c r="T793" s="64"/>
      <c r="U793" s="64"/>
      <c r="V793" s="64"/>
      <c r="W793" s="64"/>
    </row>
    <row r="794" spans="1:23" ht="15.95" customHeight="1">
      <c r="A794" s="8"/>
      <c r="B794" s="7"/>
      <c r="C794" s="33"/>
      <c r="D794" s="7"/>
      <c r="E794" s="7"/>
      <c r="F794" s="7"/>
      <c r="G794" s="7"/>
      <c r="H794" s="7"/>
      <c r="I794" s="7"/>
      <c r="J794" s="7"/>
      <c r="K794" s="7"/>
      <c r="L794" s="7"/>
      <c r="M794" s="7"/>
      <c r="N794" s="7"/>
      <c r="O794" s="7"/>
      <c r="P794" s="7"/>
      <c r="Q794" s="7"/>
      <c r="R794" s="64"/>
      <c r="S794" s="64"/>
      <c r="T794" s="64"/>
      <c r="U794" s="64"/>
      <c r="V794" s="64"/>
      <c r="W794" s="64"/>
    </row>
    <row r="795" spans="1:23" ht="15.95" customHeight="1">
      <c r="A795" s="8"/>
      <c r="B795" s="7"/>
      <c r="C795" s="33"/>
      <c r="D795" s="7"/>
      <c r="E795" s="7"/>
      <c r="F795" s="7"/>
      <c r="G795" s="7"/>
      <c r="H795" s="7"/>
      <c r="I795" s="7"/>
      <c r="J795" s="7"/>
      <c r="K795" s="7"/>
      <c r="L795" s="7"/>
      <c r="M795" s="7"/>
      <c r="N795" s="7"/>
      <c r="O795" s="7"/>
      <c r="P795" s="7"/>
      <c r="Q795" s="7"/>
      <c r="R795" s="64"/>
      <c r="S795" s="64"/>
      <c r="T795" s="64"/>
      <c r="U795" s="64"/>
      <c r="V795" s="64"/>
      <c r="W795" s="64"/>
    </row>
    <row r="796" spans="1:23" ht="15.95" customHeight="1">
      <c r="A796" s="8"/>
      <c r="B796" s="7"/>
      <c r="C796" s="33"/>
      <c r="D796" s="7"/>
      <c r="E796" s="7"/>
      <c r="F796" s="7"/>
      <c r="G796" s="7"/>
      <c r="H796" s="7"/>
      <c r="I796" s="7"/>
      <c r="J796" s="7"/>
      <c r="K796" s="7"/>
      <c r="L796" s="7"/>
      <c r="M796" s="7"/>
      <c r="N796" s="7"/>
      <c r="O796" s="7"/>
      <c r="P796" s="7"/>
      <c r="Q796" s="7"/>
      <c r="R796" s="64"/>
      <c r="S796" s="64"/>
      <c r="T796" s="64"/>
      <c r="U796" s="64"/>
      <c r="V796" s="64"/>
      <c r="W796" s="64"/>
    </row>
    <row r="797" spans="1:23" ht="15.95" customHeight="1">
      <c r="A797" s="8"/>
      <c r="B797" s="7"/>
      <c r="C797" s="33"/>
      <c r="D797" s="7"/>
      <c r="E797" s="7"/>
      <c r="F797" s="7"/>
      <c r="G797" s="7"/>
      <c r="H797" s="7"/>
      <c r="I797" s="7"/>
      <c r="J797" s="7"/>
      <c r="K797" s="7"/>
      <c r="L797" s="7"/>
      <c r="M797" s="7"/>
      <c r="N797" s="7"/>
      <c r="O797" s="7"/>
      <c r="P797" s="7"/>
      <c r="Q797" s="7"/>
      <c r="R797" s="64"/>
      <c r="S797" s="64"/>
      <c r="T797" s="64"/>
      <c r="U797" s="64"/>
      <c r="V797" s="64"/>
      <c r="W797" s="64"/>
    </row>
    <row r="798" spans="1:23" ht="15.95" customHeight="1">
      <c r="A798" s="8"/>
      <c r="B798" s="7"/>
      <c r="C798" s="33"/>
      <c r="D798" s="7"/>
      <c r="E798" s="7"/>
      <c r="F798" s="7"/>
      <c r="G798" s="7"/>
      <c r="H798" s="7"/>
      <c r="I798" s="7"/>
      <c r="J798" s="7"/>
      <c r="K798" s="7"/>
      <c r="L798" s="7"/>
      <c r="M798" s="7"/>
      <c r="N798" s="7"/>
      <c r="O798" s="7"/>
      <c r="P798" s="7"/>
      <c r="Q798" s="7"/>
      <c r="R798" s="64"/>
      <c r="S798" s="64"/>
      <c r="T798" s="64"/>
      <c r="U798" s="64"/>
      <c r="V798" s="64"/>
      <c r="W798" s="64"/>
    </row>
    <row r="799" spans="1:23" ht="15.95" customHeight="1">
      <c r="A799" s="8"/>
      <c r="B799" s="7"/>
      <c r="C799" s="33"/>
      <c r="D799" s="7"/>
      <c r="E799" s="7"/>
      <c r="F799" s="7"/>
      <c r="G799" s="7"/>
      <c r="H799" s="7"/>
      <c r="I799" s="7"/>
      <c r="J799" s="7"/>
      <c r="K799" s="7"/>
      <c r="L799" s="7"/>
      <c r="M799" s="7"/>
      <c r="N799" s="7"/>
      <c r="O799" s="7"/>
      <c r="P799" s="7"/>
      <c r="Q799" s="7"/>
      <c r="R799" s="64"/>
      <c r="S799" s="64"/>
      <c r="T799" s="64"/>
      <c r="U799" s="64"/>
      <c r="V799" s="64"/>
      <c r="W799" s="64"/>
    </row>
    <row r="800" spans="1:23" ht="15.95" customHeight="1">
      <c r="A800" s="8"/>
      <c r="B800" s="7"/>
      <c r="C800" s="33"/>
      <c r="D800" s="7"/>
      <c r="E800" s="7"/>
      <c r="F800" s="7"/>
      <c r="G800" s="7"/>
      <c r="H800" s="7"/>
      <c r="I800" s="7"/>
      <c r="J800" s="7"/>
      <c r="K800" s="7"/>
      <c r="L800" s="7"/>
      <c r="M800" s="7"/>
      <c r="N800" s="7"/>
      <c r="O800" s="7"/>
      <c r="P800" s="7"/>
      <c r="Q800" s="7"/>
      <c r="R800" s="64"/>
      <c r="S800" s="64"/>
      <c r="T800" s="64"/>
      <c r="U800" s="64"/>
      <c r="V800" s="64"/>
      <c r="W800" s="64"/>
    </row>
    <row r="801" spans="1:23" ht="15.95" customHeight="1">
      <c r="A801" s="8"/>
      <c r="B801" s="7"/>
      <c r="C801" s="33"/>
      <c r="D801" s="7"/>
      <c r="E801" s="7"/>
      <c r="F801" s="7"/>
      <c r="G801" s="7"/>
      <c r="H801" s="7"/>
      <c r="I801" s="7"/>
      <c r="J801" s="7"/>
      <c r="K801" s="7"/>
      <c r="L801" s="7"/>
      <c r="M801" s="7"/>
      <c r="N801" s="7"/>
      <c r="O801" s="7"/>
      <c r="P801" s="7"/>
      <c r="Q801" s="7"/>
      <c r="R801" s="64"/>
      <c r="S801" s="64"/>
      <c r="T801" s="64"/>
      <c r="U801" s="64"/>
      <c r="V801" s="64"/>
      <c r="W801" s="64"/>
    </row>
    <row r="802" spans="1:23" ht="15.95" customHeight="1">
      <c r="A802" s="8"/>
      <c r="B802" s="7"/>
      <c r="C802" s="33"/>
      <c r="D802" s="7"/>
      <c r="E802" s="7"/>
      <c r="F802" s="7"/>
      <c r="G802" s="7"/>
      <c r="H802" s="7"/>
      <c r="I802" s="7"/>
      <c r="J802" s="7"/>
      <c r="K802" s="7"/>
      <c r="L802" s="7"/>
      <c r="M802" s="7"/>
      <c r="N802" s="7"/>
      <c r="O802" s="7"/>
      <c r="P802" s="7"/>
      <c r="Q802" s="7"/>
      <c r="R802" s="64"/>
      <c r="S802" s="64"/>
      <c r="T802" s="64"/>
      <c r="U802" s="64"/>
      <c r="V802" s="64"/>
      <c r="W802" s="64"/>
    </row>
    <row r="803" spans="1:23" ht="15.95" customHeight="1">
      <c r="A803" s="8"/>
      <c r="B803" s="7"/>
      <c r="C803" s="33"/>
      <c r="D803" s="7"/>
      <c r="E803" s="7"/>
      <c r="F803" s="7"/>
      <c r="G803" s="7"/>
      <c r="H803" s="7"/>
      <c r="I803" s="7"/>
      <c r="J803" s="7"/>
      <c r="K803" s="7"/>
      <c r="L803" s="7"/>
      <c r="M803" s="7"/>
      <c r="N803" s="7"/>
      <c r="O803" s="7"/>
      <c r="P803" s="7"/>
      <c r="Q803" s="7"/>
      <c r="R803" s="64"/>
      <c r="S803" s="64"/>
      <c r="T803" s="64"/>
      <c r="U803" s="64"/>
      <c r="V803" s="64"/>
      <c r="W803" s="64"/>
    </row>
    <row r="804" spans="1:23" ht="15.95" customHeight="1">
      <c r="A804" s="8"/>
      <c r="B804" s="7"/>
      <c r="C804" s="33"/>
      <c r="D804" s="7"/>
      <c r="E804" s="7"/>
      <c r="F804" s="7"/>
      <c r="G804" s="7"/>
      <c r="H804" s="7"/>
      <c r="I804" s="7"/>
      <c r="J804" s="7"/>
      <c r="K804" s="7"/>
      <c r="L804" s="7"/>
      <c r="M804" s="7"/>
      <c r="N804" s="7"/>
      <c r="O804" s="7"/>
      <c r="P804" s="7"/>
      <c r="Q804" s="7"/>
      <c r="R804" s="64"/>
      <c r="S804" s="64"/>
      <c r="T804" s="64"/>
      <c r="U804" s="64"/>
      <c r="V804" s="64"/>
      <c r="W804" s="64"/>
    </row>
    <row r="805" spans="1:23" ht="15.95" customHeight="1">
      <c r="A805" s="8"/>
      <c r="B805" s="7"/>
      <c r="C805" s="33"/>
      <c r="D805" s="7"/>
      <c r="E805" s="7"/>
      <c r="F805" s="7"/>
      <c r="G805" s="7"/>
      <c r="H805" s="7"/>
      <c r="I805" s="7"/>
      <c r="J805" s="7"/>
      <c r="K805" s="7"/>
      <c r="L805" s="7"/>
      <c r="M805" s="7"/>
      <c r="N805" s="7"/>
      <c r="O805" s="7"/>
      <c r="P805" s="7"/>
      <c r="Q805" s="7"/>
      <c r="R805" s="64"/>
      <c r="S805" s="64"/>
      <c r="T805" s="64"/>
      <c r="U805" s="64"/>
      <c r="V805" s="64"/>
      <c r="W805" s="64"/>
    </row>
    <row r="806" spans="1:23" ht="15.95" customHeight="1">
      <c r="A806" s="8"/>
      <c r="B806" s="7"/>
      <c r="C806" s="33"/>
      <c r="D806" s="7"/>
      <c r="E806" s="7"/>
      <c r="F806" s="7"/>
      <c r="G806" s="7"/>
      <c r="H806" s="7"/>
      <c r="I806" s="7"/>
      <c r="J806" s="7"/>
      <c r="K806" s="7"/>
      <c r="L806" s="7"/>
      <c r="M806" s="7"/>
      <c r="N806" s="7"/>
      <c r="O806" s="7"/>
      <c r="P806" s="7"/>
      <c r="Q806" s="7"/>
      <c r="R806" s="64"/>
      <c r="S806" s="64"/>
      <c r="T806" s="64"/>
      <c r="U806" s="64"/>
      <c r="V806" s="64"/>
      <c r="W806" s="64"/>
    </row>
    <row r="807" spans="1:23" ht="15.95" customHeight="1">
      <c r="A807" s="8"/>
      <c r="B807" s="7"/>
      <c r="C807" s="33"/>
      <c r="D807" s="7"/>
      <c r="E807" s="7"/>
      <c r="F807" s="7"/>
      <c r="G807" s="7"/>
      <c r="H807" s="7"/>
      <c r="I807" s="7"/>
      <c r="J807" s="7"/>
      <c r="K807" s="7"/>
      <c r="L807" s="7"/>
      <c r="M807" s="7"/>
      <c r="N807" s="7"/>
      <c r="O807" s="7"/>
      <c r="P807" s="7"/>
      <c r="Q807" s="7"/>
      <c r="R807" s="64"/>
      <c r="S807" s="64"/>
      <c r="T807" s="64"/>
      <c r="U807" s="64"/>
      <c r="V807" s="64"/>
      <c r="W807" s="64"/>
    </row>
    <row r="808" spans="1:23" ht="15.95" customHeight="1">
      <c r="A808" s="8"/>
      <c r="B808" s="7"/>
      <c r="C808" s="33"/>
      <c r="D808" s="7"/>
      <c r="E808" s="7"/>
      <c r="F808" s="7"/>
      <c r="G808" s="7"/>
      <c r="H808" s="7"/>
      <c r="I808" s="7"/>
      <c r="J808" s="7"/>
      <c r="K808" s="7"/>
      <c r="L808" s="7"/>
      <c r="M808" s="7"/>
      <c r="N808" s="7"/>
      <c r="O808" s="7"/>
      <c r="P808" s="7"/>
      <c r="Q808" s="7"/>
      <c r="R808" s="64"/>
      <c r="S808" s="64"/>
      <c r="T808" s="64"/>
      <c r="U808" s="64"/>
      <c r="V808" s="64"/>
      <c r="W808" s="64"/>
    </row>
    <row r="809" spans="1:23" ht="15.95" customHeight="1">
      <c r="A809" s="8"/>
      <c r="B809" s="7"/>
      <c r="C809" s="33"/>
      <c r="D809" s="7"/>
      <c r="E809" s="7"/>
      <c r="F809" s="7"/>
      <c r="G809" s="7"/>
      <c r="H809" s="7"/>
      <c r="I809" s="7"/>
      <c r="J809" s="7"/>
      <c r="K809" s="7"/>
      <c r="L809" s="7"/>
      <c r="M809" s="7"/>
      <c r="N809" s="7"/>
      <c r="O809" s="7"/>
      <c r="P809" s="7"/>
      <c r="Q809" s="7"/>
      <c r="R809" s="64"/>
      <c r="S809" s="64"/>
      <c r="T809" s="64"/>
      <c r="U809" s="64"/>
      <c r="V809" s="64"/>
      <c r="W809" s="64"/>
    </row>
    <row r="810" spans="1:23" ht="15.95" customHeight="1">
      <c r="A810" s="8"/>
      <c r="B810" s="7"/>
      <c r="C810" s="33"/>
      <c r="D810" s="7"/>
      <c r="E810" s="7"/>
      <c r="F810" s="7"/>
      <c r="G810" s="7"/>
      <c r="H810" s="7"/>
      <c r="I810" s="7"/>
      <c r="J810" s="7"/>
      <c r="K810" s="7"/>
      <c r="L810" s="7"/>
      <c r="M810" s="7"/>
      <c r="N810" s="7"/>
      <c r="O810" s="7"/>
      <c r="P810" s="7"/>
      <c r="Q810" s="7"/>
      <c r="R810" s="64"/>
      <c r="S810" s="64"/>
      <c r="T810" s="64"/>
      <c r="U810" s="64"/>
      <c r="V810" s="64"/>
      <c r="W810" s="64"/>
    </row>
    <row r="811" spans="1:23" ht="15.95" customHeight="1">
      <c r="A811" s="8"/>
      <c r="B811" s="7"/>
      <c r="C811" s="33"/>
      <c r="D811" s="7"/>
      <c r="E811" s="7"/>
      <c r="F811" s="7"/>
      <c r="G811" s="7"/>
      <c r="H811" s="7"/>
      <c r="I811" s="7"/>
      <c r="J811" s="7"/>
      <c r="K811" s="7"/>
      <c r="L811" s="7"/>
      <c r="M811" s="7"/>
      <c r="N811" s="7"/>
      <c r="O811" s="7"/>
      <c r="P811" s="7"/>
      <c r="Q811" s="7"/>
      <c r="R811" s="64"/>
      <c r="S811" s="64"/>
      <c r="T811" s="64"/>
      <c r="U811" s="64"/>
      <c r="V811" s="64"/>
      <c r="W811" s="64"/>
    </row>
    <row r="812" spans="1:23" ht="15.95" customHeight="1">
      <c r="A812" s="8"/>
      <c r="B812" s="7"/>
      <c r="C812" s="33"/>
      <c r="D812" s="7"/>
      <c r="E812" s="7"/>
      <c r="F812" s="7"/>
      <c r="G812" s="7"/>
      <c r="H812" s="7"/>
      <c r="I812" s="7"/>
      <c r="J812" s="7"/>
      <c r="K812" s="7"/>
      <c r="L812" s="7"/>
      <c r="M812" s="7"/>
      <c r="N812" s="7"/>
      <c r="O812" s="7"/>
      <c r="P812" s="7"/>
      <c r="Q812" s="7"/>
      <c r="R812" s="64"/>
      <c r="S812" s="64"/>
      <c r="T812" s="64"/>
      <c r="U812" s="64"/>
      <c r="V812" s="64"/>
      <c r="W812" s="64"/>
    </row>
    <row r="813" spans="1:23" ht="15.95" customHeight="1">
      <c r="A813" s="8"/>
      <c r="B813" s="7"/>
      <c r="C813" s="33"/>
      <c r="D813" s="7"/>
      <c r="E813" s="7"/>
      <c r="F813" s="7"/>
      <c r="G813" s="7"/>
      <c r="H813" s="7"/>
      <c r="I813" s="7"/>
      <c r="J813" s="7"/>
      <c r="K813" s="7"/>
      <c r="L813" s="7"/>
      <c r="M813" s="7"/>
      <c r="N813" s="7"/>
      <c r="O813" s="7"/>
      <c r="P813" s="7"/>
      <c r="Q813" s="7"/>
      <c r="R813" s="64"/>
      <c r="S813" s="64"/>
      <c r="T813" s="64"/>
      <c r="U813" s="64"/>
      <c r="V813" s="64"/>
      <c r="W813" s="64"/>
    </row>
    <row r="814" spans="1:23" ht="15.95" customHeight="1">
      <c r="A814" s="8"/>
      <c r="B814" s="7"/>
      <c r="C814" s="33"/>
      <c r="D814" s="7"/>
      <c r="E814" s="7"/>
      <c r="F814" s="7"/>
      <c r="G814" s="7"/>
      <c r="H814" s="7"/>
      <c r="I814" s="7"/>
      <c r="J814" s="7"/>
      <c r="K814" s="7"/>
      <c r="L814" s="7"/>
      <c r="M814" s="7"/>
      <c r="N814" s="7"/>
      <c r="O814" s="7"/>
      <c r="P814" s="7"/>
      <c r="Q814" s="7"/>
      <c r="R814" s="64"/>
      <c r="S814" s="64"/>
      <c r="T814" s="64"/>
      <c r="U814" s="64"/>
      <c r="V814" s="64"/>
      <c r="W814" s="64"/>
    </row>
    <row r="815" spans="1:23" ht="15.95" customHeight="1">
      <c r="A815" s="8"/>
      <c r="B815" s="7"/>
      <c r="C815" s="33"/>
      <c r="D815" s="7"/>
      <c r="E815" s="7"/>
      <c r="F815" s="7"/>
      <c r="G815" s="7"/>
      <c r="H815" s="7"/>
      <c r="I815" s="7"/>
      <c r="J815" s="7"/>
      <c r="K815" s="7"/>
      <c r="L815" s="7"/>
      <c r="M815" s="7"/>
      <c r="N815" s="7"/>
      <c r="O815" s="7"/>
      <c r="P815" s="7"/>
      <c r="Q815" s="7"/>
      <c r="R815" s="64"/>
      <c r="S815" s="64"/>
      <c r="T815" s="64"/>
      <c r="U815" s="64"/>
      <c r="V815" s="64"/>
      <c r="W815" s="64"/>
    </row>
    <row r="816" spans="1:23" ht="15.95" customHeight="1">
      <c r="A816" s="8"/>
      <c r="B816" s="7"/>
      <c r="C816" s="33"/>
      <c r="D816" s="7"/>
      <c r="E816" s="7"/>
      <c r="F816" s="7"/>
      <c r="G816" s="7"/>
      <c r="H816" s="7"/>
      <c r="I816" s="7"/>
      <c r="J816" s="7"/>
      <c r="K816" s="7"/>
      <c r="L816" s="7"/>
      <c r="M816" s="7"/>
      <c r="N816" s="7"/>
      <c r="O816" s="7"/>
      <c r="P816" s="7"/>
      <c r="Q816" s="7"/>
      <c r="R816" s="64"/>
      <c r="S816" s="64"/>
      <c r="T816" s="64"/>
      <c r="U816" s="64"/>
      <c r="V816" s="64"/>
      <c r="W816" s="64"/>
    </row>
    <row r="817" spans="1:23" ht="15.95" customHeight="1">
      <c r="A817" s="8"/>
      <c r="B817" s="7"/>
      <c r="C817" s="33"/>
      <c r="D817" s="7"/>
      <c r="E817" s="7"/>
      <c r="F817" s="7"/>
      <c r="G817" s="7"/>
      <c r="H817" s="7"/>
      <c r="I817" s="7"/>
      <c r="J817" s="7"/>
      <c r="K817" s="7"/>
      <c r="L817" s="7"/>
      <c r="M817" s="7"/>
      <c r="N817" s="7"/>
      <c r="O817" s="7"/>
      <c r="P817" s="7"/>
      <c r="Q817" s="7"/>
      <c r="R817" s="64"/>
      <c r="S817" s="64"/>
      <c r="T817" s="64"/>
      <c r="U817" s="64"/>
      <c r="V817" s="64"/>
      <c r="W817" s="64"/>
    </row>
    <row r="818" spans="1:23" ht="15.95" customHeight="1">
      <c r="A818" s="8"/>
      <c r="B818" s="7"/>
      <c r="C818" s="33"/>
      <c r="D818" s="7"/>
      <c r="E818" s="7"/>
      <c r="F818" s="7"/>
      <c r="G818" s="7"/>
      <c r="H818" s="7"/>
      <c r="I818" s="7"/>
      <c r="J818" s="7"/>
      <c r="K818" s="7"/>
      <c r="L818" s="7"/>
      <c r="M818" s="7"/>
      <c r="N818" s="7"/>
      <c r="O818" s="7"/>
      <c r="P818" s="7"/>
      <c r="Q818" s="7"/>
      <c r="R818" s="64"/>
      <c r="S818" s="64"/>
      <c r="T818" s="64"/>
      <c r="U818" s="64"/>
      <c r="V818" s="64"/>
      <c r="W818" s="64"/>
    </row>
    <row r="819" spans="1:23" ht="15.95" customHeight="1">
      <c r="A819" s="8"/>
      <c r="B819" s="7"/>
      <c r="C819" s="33"/>
      <c r="D819" s="7"/>
      <c r="E819" s="7"/>
      <c r="F819" s="7"/>
      <c r="G819" s="7"/>
      <c r="H819" s="7"/>
      <c r="I819" s="7"/>
      <c r="J819" s="7"/>
      <c r="K819" s="7"/>
      <c r="L819" s="7"/>
      <c r="M819" s="7"/>
      <c r="N819" s="7"/>
      <c r="O819" s="7"/>
      <c r="P819" s="7"/>
      <c r="Q819" s="7"/>
      <c r="R819" s="64"/>
      <c r="S819" s="64"/>
      <c r="T819" s="64"/>
      <c r="U819" s="64"/>
      <c r="V819" s="64"/>
      <c r="W819" s="64"/>
    </row>
    <row r="820" spans="1:23" ht="15.95" customHeight="1">
      <c r="A820" s="8"/>
      <c r="B820" s="7"/>
      <c r="C820" s="33"/>
      <c r="D820" s="7"/>
      <c r="E820" s="7"/>
      <c r="F820" s="7"/>
      <c r="G820" s="7"/>
      <c r="H820" s="7"/>
      <c r="I820" s="7"/>
      <c r="J820" s="7"/>
      <c r="K820" s="7"/>
      <c r="L820" s="7"/>
      <c r="M820" s="7"/>
      <c r="N820" s="7"/>
      <c r="O820" s="7"/>
      <c r="P820" s="7"/>
      <c r="Q820" s="7"/>
      <c r="R820" s="64"/>
      <c r="S820" s="64"/>
      <c r="T820" s="64"/>
      <c r="U820" s="64"/>
      <c r="V820" s="64"/>
      <c r="W820" s="64"/>
    </row>
    <row r="821" spans="1:23" ht="15.95" customHeight="1">
      <c r="A821" s="8"/>
      <c r="B821" s="7"/>
      <c r="C821" s="33"/>
      <c r="D821" s="7"/>
      <c r="E821" s="7"/>
      <c r="F821" s="7"/>
      <c r="G821" s="7"/>
      <c r="H821" s="7"/>
      <c r="I821" s="7"/>
      <c r="J821" s="7"/>
      <c r="K821" s="7"/>
      <c r="L821" s="7"/>
      <c r="M821" s="7"/>
      <c r="N821" s="7"/>
      <c r="O821" s="7"/>
      <c r="P821" s="7"/>
      <c r="Q821" s="7"/>
      <c r="R821" s="64"/>
      <c r="S821" s="64"/>
      <c r="T821" s="64"/>
      <c r="U821" s="64"/>
      <c r="V821" s="64"/>
      <c r="W821" s="64"/>
    </row>
    <row r="822" spans="1:23" ht="15.95" customHeight="1">
      <c r="A822" s="8"/>
      <c r="B822" s="7"/>
      <c r="C822" s="33"/>
      <c r="D822" s="7"/>
      <c r="E822" s="7"/>
      <c r="F822" s="7"/>
      <c r="G822" s="7"/>
      <c r="H822" s="7"/>
      <c r="I822" s="7"/>
      <c r="J822" s="7"/>
      <c r="K822" s="7"/>
      <c r="L822" s="7"/>
      <c r="M822" s="7"/>
      <c r="N822" s="7"/>
      <c r="O822" s="7"/>
      <c r="P822" s="7"/>
      <c r="Q822" s="7"/>
      <c r="R822" s="64"/>
      <c r="S822" s="64"/>
      <c r="T822" s="64"/>
      <c r="U822" s="64"/>
      <c r="V822" s="64"/>
      <c r="W822" s="64"/>
    </row>
    <row r="823" spans="1:23" ht="15.95" customHeight="1">
      <c r="A823" s="8"/>
      <c r="B823" s="7"/>
      <c r="C823" s="33"/>
      <c r="D823" s="7"/>
      <c r="E823" s="7"/>
      <c r="F823" s="7"/>
      <c r="G823" s="7"/>
      <c r="H823" s="7"/>
      <c r="I823" s="7"/>
      <c r="J823" s="7"/>
      <c r="K823" s="7"/>
      <c r="L823" s="7"/>
      <c r="M823" s="7"/>
      <c r="N823" s="7"/>
      <c r="O823" s="7"/>
      <c r="P823" s="7"/>
      <c r="Q823" s="7"/>
      <c r="R823" s="64"/>
      <c r="S823" s="64"/>
      <c r="T823" s="64"/>
      <c r="U823" s="64"/>
      <c r="V823" s="64"/>
      <c r="W823" s="64"/>
    </row>
    <row r="824" spans="1:23" ht="15.95" customHeight="1">
      <c r="A824" s="8"/>
      <c r="B824" s="7"/>
      <c r="C824" s="33"/>
      <c r="D824" s="7"/>
      <c r="E824" s="7"/>
      <c r="F824" s="7"/>
      <c r="G824" s="7"/>
      <c r="H824" s="7"/>
      <c r="I824" s="7"/>
      <c r="J824" s="7"/>
      <c r="K824" s="7"/>
      <c r="L824" s="7"/>
      <c r="M824" s="7"/>
      <c r="N824" s="7"/>
      <c r="O824" s="7"/>
      <c r="P824" s="7"/>
      <c r="Q824" s="7"/>
      <c r="R824" s="64"/>
      <c r="S824" s="64"/>
      <c r="T824" s="64"/>
      <c r="U824" s="64"/>
      <c r="V824" s="64"/>
      <c r="W824" s="64"/>
    </row>
    <row r="825" spans="1:23" ht="15.95" customHeight="1">
      <c r="A825" s="8"/>
      <c r="B825" s="7"/>
      <c r="C825" s="33"/>
      <c r="D825" s="7"/>
      <c r="E825" s="7"/>
      <c r="F825" s="7"/>
      <c r="G825" s="7"/>
      <c r="H825" s="7"/>
      <c r="I825" s="7"/>
      <c r="J825" s="7"/>
      <c r="K825" s="7"/>
      <c r="L825" s="7"/>
      <c r="M825" s="7"/>
      <c r="N825" s="7"/>
      <c r="O825" s="7"/>
      <c r="P825" s="7"/>
      <c r="Q825" s="7"/>
      <c r="R825" s="64"/>
      <c r="S825" s="64"/>
      <c r="T825" s="64"/>
      <c r="U825" s="64"/>
      <c r="V825" s="64"/>
      <c r="W825" s="64"/>
    </row>
    <row r="826" spans="1:23" ht="15.95" customHeight="1">
      <c r="A826" s="8"/>
      <c r="B826" s="7"/>
      <c r="C826" s="33"/>
      <c r="D826" s="7"/>
      <c r="E826" s="7"/>
      <c r="F826" s="7"/>
      <c r="G826" s="7"/>
      <c r="H826" s="7"/>
      <c r="I826" s="7"/>
      <c r="J826" s="7"/>
      <c r="K826" s="7"/>
      <c r="L826" s="7"/>
      <c r="M826" s="7"/>
      <c r="N826" s="7"/>
      <c r="O826" s="7"/>
      <c r="P826" s="7"/>
      <c r="Q826" s="7"/>
      <c r="R826" s="64"/>
      <c r="S826" s="64"/>
      <c r="T826" s="64"/>
      <c r="U826" s="64"/>
      <c r="V826" s="64"/>
      <c r="W826" s="64"/>
    </row>
    <row r="827" spans="1:23" ht="15.95" customHeight="1">
      <c r="A827" s="8"/>
      <c r="B827" s="7"/>
      <c r="C827" s="33"/>
      <c r="D827" s="7"/>
      <c r="E827" s="7"/>
      <c r="F827" s="7"/>
      <c r="G827" s="7"/>
      <c r="H827" s="7"/>
      <c r="I827" s="7"/>
      <c r="J827" s="7"/>
      <c r="K827" s="7"/>
      <c r="L827" s="7"/>
      <c r="M827" s="7"/>
      <c r="N827" s="7"/>
      <c r="O827" s="7"/>
      <c r="P827" s="7"/>
      <c r="Q827" s="7"/>
      <c r="R827" s="64"/>
      <c r="S827" s="64"/>
      <c r="T827" s="64"/>
      <c r="U827" s="64"/>
      <c r="V827" s="64"/>
      <c r="W827" s="64"/>
    </row>
    <row r="828" spans="1:23" ht="15.95" customHeight="1">
      <c r="A828" s="8"/>
      <c r="B828" s="7"/>
      <c r="C828" s="33"/>
      <c r="D828" s="7"/>
      <c r="E828" s="7"/>
      <c r="F828" s="7"/>
      <c r="G828" s="7"/>
      <c r="H828" s="7"/>
      <c r="I828" s="7"/>
      <c r="J828" s="7"/>
      <c r="K828" s="7"/>
      <c r="L828" s="7"/>
      <c r="M828" s="7"/>
      <c r="N828" s="7"/>
      <c r="O828" s="7"/>
      <c r="P828" s="7"/>
      <c r="Q828" s="7"/>
      <c r="R828" s="64"/>
      <c r="S828" s="64"/>
      <c r="T828" s="64"/>
      <c r="U828" s="64"/>
      <c r="V828" s="64"/>
      <c r="W828" s="64"/>
    </row>
    <row r="829" spans="1:23" ht="15.95" customHeight="1">
      <c r="A829" s="8"/>
      <c r="B829" s="7"/>
      <c r="C829" s="33"/>
      <c r="D829" s="7"/>
      <c r="E829" s="7"/>
      <c r="F829" s="7"/>
      <c r="G829" s="7"/>
      <c r="H829" s="7"/>
      <c r="I829" s="7"/>
      <c r="J829" s="7"/>
      <c r="K829" s="7"/>
      <c r="L829" s="7"/>
      <c r="M829" s="7"/>
      <c r="N829" s="7"/>
      <c r="O829" s="7"/>
      <c r="P829" s="7"/>
      <c r="Q829" s="7"/>
      <c r="R829" s="64"/>
      <c r="S829" s="64"/>
      <c r="T829" s="64"/>
      <c r="U829" s="64"/>
      <c r="V829" s="64"/>
      <c r="W829" s="64"/>
    </row>
    <row r="830" spans="1:23" ht="15.95" customHeight="1">
      <c r="A830" s="8"/>
      <c r="B830" s="7"/>
      <c r="C830" s="33"/>
      <c r="D830" s="7"/>
      <c r="E830" s="7"/>
      <c r="F830" s="7"/>
      <c r="G830" s="7"/>
      <c r="H830" s="7"/>
      <c r="I830" s="7"/>
      <c r="J830" s="7"/>
      <c r="K830" s="7"/>
      <c r="L830" s="7"/>
      <c r="M830" s="7"/>
      <c r="N830" s="7"/>
      <c r="O830" s="7"/>
      <c r="P830" s="7"/>
      <c r="Q830" s="7"/>
      <c r="R830" s="64"/>
      <c r="S830" s="64"/>
      <c r="T830" s="64"/>
      <c r="U830" s="64"/>
      <c r="V830" s="64"/>
      <c r="W830" s="64"/>
    </row>
    <row r="831" spans="1:23" ht="15.95" customHeight="1">
      <c r="A831" s="8"/>
      <c r="B831" s="7"/>
      <c r="C831" s="33"/>
      <c r="D831" s="7"/>
      <c r="E831" s="7"/>
      <c r="F831" s="7"/>
      <c r="G831" s="7"/>
      <c r="H831" s="7"/>
      <c r="I831" s="7"/>
      <c r="J831" s="7"/>
      <c r="K831" s="7"/>
      <c r="L831" s="7"/>
      <c r="M831" s="7"/>
      <c r="N831" s="7"/>
      <c r="O831" s="7"/>
      <c r="P831" s="7"/>
      <c r="Q831" s="7"/>
      <c r="R831" s="64"/>
      <c r="S831" s="64"/>
      <c r="T831" s="64"/>
      <c r="U831" s="64"/>
      <c r="V831" s="64"/>
      <c r="W831" s="64"/>
    </row>
    <row r="832" spans="1:23" ht="15.95" customHeight="1">
      <c r="A832" s="8"/>
      <c r="B832" s="7"/>
      <c r="C832" s="33"/>
      <c r="D832" s="7"/>
      <c r="E832" s="7"/>
      <c r="F832" s="7"/>
      <c r="G832" s="7"/>
      <c r="H832" s="7"/>
      <c r="I832" s="7"/>
      <c r="J832" s="7"/>
      <c r="K832" s="7"/>
      <c r="L832" s="7"/>
      <c r="M832" s="7"/>
      <c r="N832" s="7"/>
      <c r="O832" s="7"/>
      <c r="P832" s="7"/>
      <c r="Q832" s="7"/>
      <c r="R832" s="64"/>
      <c r="S832" s="64"/>
      <c r="T832" s="64"/>
      <c r="U832" s="64"/>
      <c r="V832" s="64"/>
      <c r="W832" s="64"/>
    </row>
    <row r="833" spans="1:23" ht="15.95" customHeight="1">
      <c r="A833" s="8"/>
      <c r="B833" s="7"/>
      <c r="C833" s="33"/>
      <c r="D833" s="7"/>
      <c r="E833" s="7"/>
      <c r="F833" s="7"/>
      <c r="G833" s="7"/>
      <c r="H833" s="7"/>
      <c r="I833" s="7"/>
      <c r="J833" s="7"/>
      <c r="K833" s="7"/>
      <c r="L833" s="7"/>
      <c r="M833" s="7"/>
      <c r="N833" s="7"/>
      <c r="O833" s="7"/>
      <c r="P833" s="7"/>
      <c r="Q833" s="7"/>
      <c r="R833" s="64"/>
      <c r="S833" s="64"/>
      <c r="T833" s="64"/>
      <c r="U833" s="64"/>
      <c r="V833" s="64"/>
      <c r="W833" s="64"/>
    </row>
    <row r="834" spans="1:23" ht="15.95" customHeight="1">
      <c r="A834" s="8"/>
      <c r="B834" s="7"/>
      <c r="C834" s="33"/>
      <c r="D834" s="7"/>
      <c r="E834" s="7"/>
      <c r="F834" s="7"/>
      <c r="G834" s="7"/>
      <c r="H834" s="7"/>
      <c r="I834" s="7"/>
      <c r="J834" s="7"/>
      <c r="K834" s="7"/>
      <c r="L834" s="7"/>
      <c r="M834" s="7"/>
      <c r="N834" s="7"/>
      <c r="O834" s="7"/>
      <c r="P834" s="7"/>
      <c r="Q834" s="7"/>
      <c r="R834" s="64"/>
      <c r="S834" s="64"/>
      <c r="T834" s="64"/>
      <c r="U834" s="64"/>
      <c r="V834" s="64"/>
      <c r="W834" s="64"/>
    </row>
    <row r="835" spans="1:23" ht="15.95" customHeight="1">
      <c r="A835" s="8"/>
      <c r="B835" s="7"/>
      <c r="C835" s="33"/>
      <c r="D835" s="7"/>
      <c r="E835" s="7"/>
      <c r="F835" s="7"/>
      <c r="G835" s="7"/>
      <c r="H835" s="7"/>
      <c r="I835" s="7"/>
      <c r="J835" s="7"/>
      <c r="K835" s="7"/>
      <c r="L835" s="7"/>
      <c r="M835" s="7"/>
      <c r="N835" s="7"/>
      <c r="O835" s="7"/>
      <c r="P835" s="7"/>
      <c r="Q835" s="7"/>
      <c r="R835" s="64"/>
      <c r="S835" s="64"/>
      <c r="T835" s="64"/>
      <c r="U835" s="64"/>
      <c r="V835" s="64"/>
      <c r="W835" s="64"/>
    </row>
    <row r="836" spans="1:23" ht="15.95" customHeight="1">
      <c r="A836" s="8"/>
      <c r="B836" s="7"/>
      <c r="C836" s="33"/>
      <c r="D836" s="7"/>
      <c r="E836" s="7"/>
      <c r="F836" s="7"/>
      <c r="G836" s="7"/>
      <c r="H836" s="7"/>
      <c r="I836" s="7"/>
      <c r="J836" s="7"/>
      <c r="K836" s="7"/>
      <c r="L836" s="7"/>
      <c r="M836" s="7"/>
      <c r="N836" s="7"/>
      <c r="O836" s="7"/>
      <c r="P836" s="7"/>
      <c r="Q836" s="7"/>
      <c r="R836" s="64"/>
      <c r="S836" s="64"/>
      <c r="T836" s="64"/>
      <c r="U836" s="64"/>
      <c r="V836" s="64"/>
      <c r="W836" s="64"/>
    </row>
    <row r="837" spans="1:23" ht="15.95" customHeight="1">
      <c r="A837" s="8"/>
      <c r="B837" s="7"/>
      <c r="C837" s="33"/>
      <c r="D837" s="7"/>
      <c r="E837" s="7"/>
      <c r="F837" s="7"/>
      <c r="G837" s="7"/>
      <c r="H837" s="7"/>
      <c r="I837" s="7"/>
      <c r="J837" s="7"/>
      <c r="K837" s="7"/>
      <c r="L837" s="7"/>
      <c r="M837" s="7"/>
      <c r="N837" s="7"/>
      <c r="O837" s="7"/>
      <c r="P837" s="7"/>
      <c r="Q837" s="7"/>
      <c r="R837" s="64"/>
      <c r="S837" s="64"/>
      <c r="T837" s="64"/>
      <c r="U837" s="64"/>
      <c r="V837" s="64"/>
      <c r="W837" s="64"/>
    </row>
    <row r="838" spans="1:23" ht="15.95" customHeight="1">
      <c r="A838" s="8"/>
      <c r="B838" s="7"/>
      <c r="C838" s="33"/>
      <c r="D838" s="7"/>
      <c r="E838" s="7"/>
      <c r="F838" s="7"/>
      <c r="G838" s="7"/>
      <c r="H838" s="7"/>
      <c r="I838" s="7"/>
      <c r="J838" s="7"/>
      <c r="K838" s="7"/>
      <c r="L838" s="7"/>
      <c r="M838" s="7"/>
      <c r="N838" s="7"/>
      <c r="O838" s="7"/>
      <c r="P838" s="7"/>
      <c r="Q838" s="7"/>
      <c r="R838" s="64"/>
      <c r="S838" s="64"/>
      <c r="T838" s="64"/>
      <c r="U838" s="64"/>
      <c r="V838" s="64"/>
      <c r="W838" s="64"/>
    </row>
    <row r="839" spans="1:23" ht="15.95" customHeight="1">
      <c r="A839" s="8"/>
      <c r="B839" s="7"/>
      <c r="C839" s="33"/>
      <c r="D839" s="7"/>
      <c r="E839" s="7"/>
      <c r="F839" s="7"/>
      <c r="G839" s="7"/>
      <c r="H839" s="7"/>
      <c r="I839" s="7"/>
      <c r="J839" s="7"/>
      <c r="K839" s="7"/>
      <c r="L839" s="7"/>
      <c r="M839" s="7"/>
      <c r="N839" s="7"/>
      <c r="O839" s="7"/>
      <c r="P839" s="7"/>
      <c r="Q839" s="7"/>
      <c r="R839" s="64"/>
      <c r="S839" s="64"/>
      <c r="T839" s="64"/>
      <c r="U839" s="64"/>
      <c r="V839" s="64"/>
      <c r="W839" s="64"/>
    </row>
    <row r="840" spans="1:23" ht="15.95" customHeight="1">
      <c r="A840" s="8"/>
      <c r="B840" s="7"/>
      <c r="C840" s="33"/>
      <c r="D840" s="7"/>
      <c r="E840" s="7"/>
      <c r="F840" s="7"/>
      <c r="G840" s="7"/>
      <c r="H840" s="7"/>
      <c r="I840" s="7"/>
      <c r="J840" s="7"/>
      <c r="K840" s="7"/>
      <c r="L840" s="7"/>
      <c r="M840" s="7"/>
      <c r="N840" s="7"/>
      <c r="O840" s="7"/>
      <c r="P840" s="7"/>
      <c r="Q840" s="7"/>
      <c r="R840" s="64"/>
      <c r="S840" s="64"/>
      <c r="T840" s="64"/>
      <c r="U840" s="64"/>
      <c r="V840" s="64"/>
      <c r="W840" s="64"/>
    </row>
    <row r="841" spans="1:23" ht="15.95" customHeight="1">
      <c r="A841" s="8"/>
      <c r="B841" s="7"/>
      <c r="C841" s="33"/>
      <c r="D841" s="7"/>
      <c r="E841" s="7"/>
      <c r="F841" s="7"/>
      <c r="G841" s="7"/>
      <c r="H841" s="7"/>
      <c r="I841" s="7"/>
      <c r="J841" s="7"/>
      <c r="K841" s="7"/>
      <c r="L841" s="7"/>
      <c r="M841" s="7"/>
      <c r="N841" s="7"/>
      <c r="O841" s="7"/>
      <c r="P841" s="7"/>
      <c r="Q841" s="7"/>
      <c r="R841" s="64"/>
      <c r="S841" s="64"/>
      <c r="T841" s="64"/>
      <c r="U841" s="64"/>
      <c r="V841" s="64"/>
      <c r="W841" s="64"/>
    </row>
    <row r="842" spans="1:23" ht="15.95" customHeight="1">
      <c r="A842" s="8"/>
      <c r="B842" s="7"/>
      <c r="C842" s="33"/>
      <c r="D842" s="7"/>
      <c r="E842" s="7"/>
      <c r="F842" s="7"/>
      <c r="G842" s="7"/>
      <c r="H842" s="7"/>
      <c r="I842" s="7"/>
      <c r="J842" s="7"/>
      <c r="K842" s="7"/>
      <c r="L842" s="7"/>
      <c r="M842" s="7"/>
      <c r="N842" s="7"/>
      <c r="O842" s="7"/>
      <c r="P842" s="7"/>
      <c r="Q842" s="7"/>
      <c r="R842" s="64"/>
      <c r="S842" s="64"/>
      <c r="T842" s="64"/>
      <c r="U842" s="64"/>
      <c r="V842" s="64"/>
      <c r="W842" s="64"/>
    </row>
    <row r="843" spans="1:23" ht="15.95" customHeight="1">
      <c r="A843" s="8"/>
      <c r="B843" s="7"/>
      <c r="C843" s="33"/>
      <c r="D843" s="7"/>
      <c r="E843" s="7"/>
      <c r="F843" s="7"/>
      <c r="G843" s="7"/>
      <c r="H843" s="7"/>
      <c r="I843" s="7"/>
      <c r="J843" s="7"/>
      <c r="K843" s="7"/>
      <c r="L843" s="7"/>
      <c r="M843" s="7"/>
      <c r="N843" s="7"/>
      <c r="O843" s="7"/>
      <c r="P843" s="7"/>
      <c r="Q843" s="7"/>
      <c r="R843" s="64"/>
      <c r="S843" s="64"/>
      <c r="T843" s="64"/>
      <c r="U843" s="64"/>
      <c r="V843" s="64"/>
      <c r="W843" s="64"/>
    </row>
    <row r="844" spans="1:23" ht="15.95" customHeight="1">
      <c r="A844" s="8"/>
      <c r="B844" s="7"/>
      <c r="C844" s="33"/>
      <c r="D844" s="7"/>
      <c r="E844" s="7"/>
      <c r="F844" s="7"/>
      <c r="G844" s="7"/>
      <c r="H844" s="7"/>
      <c r="I844" s="7"/>
      <c r="J844" s="7"/>
      <c r="K844" s="7"/>
      <c r="L844" s="7"/>
      <c r="M844" s="7"/>
      <c r="N844" s="7"/>
      <c r="O844" s="7"/>
      <c r="P844" s="7"/>
      <c r="Q844" s="7"/>
      <c r="R844" s="64"/>
      <c r="S844" s="64"/>
      <c r="T844" s="64"/>
      <c r="U844" s="64"/>
      <c r="V844" s="64"/>
      <c r="W844" s="64"/>
    </row>
    <row r="845" spans="1:23" ht="15.95" customHeight="1">
      <c r="A845" s="8"/>
      <c r="B845" s="7"/>
      <c r="C845" s="33"/>
      <c r="D845" s="7"/>
      <c r="E845" s="7"/>
      <c r="F845" s="7"/>
      <c r="G845" s="7"/>
      <c r="H845" s="7"/>
      <c r="I845" s="7"/>
      <c r="J845" s="7"/>
      <c r="K845" s="7"/>
      <c r="L845" s="7"/>
      <c r="M845" s="7"/>
      <c r="N845" s="7"/>
      <c r="O845" s="7"/>
      <c r="P845" s="7"/>
      <c r="Q845" s="7"/>
      <c r="R845" s="64"/>
      <c r="S845" s="64"/>
      <c r="T845" s="64"/>
      <c r="U845" s="64"/>
      <c r="V845" s="64"/>
      <c r="W845" s="64"/>
    </row>
    <row r="846" spans="1:23" ht="15.95" customHeight="1">
      <c r="A846" s="8"/>
      <c r="B846" s="7"/>
      <c r="C846" s="33"/>
      <c r="D846" s="7"/>
      <c r="E846" s="7"/>
      <c r="F846" s="7"/>
      <c r="G846" s="7"/>
      <c r="H846" s="7"/>
      <c r="I846" s="7"/>
      <c r="J846" s="7"/>
      <c r="K846" s="7"/>
      <c r="L846" s="7"/>
      <c r="M846" s="7"/>
      <c r="N846" s="7"/>
      <c r="O846" s="7"/>
      <c r="P846" s="7"/>
      <c r="Q846" s="7"/>
      <c r="R846" s="64"/>
      <c r="S846" s="64"/>
      <c r="T846" s="64"/>
      <c r="U846" s="64"/>
      <c r="V846" s="64"/>
      <c r="W846" s="64"/>
    </row>
    <row r="847" spans="1:23" ht="15.95" customHeight="1">
      <c r="A847" s="8"/>
      <c r="B847" s="7"/>
      <c r="C847" s="33"/>
      <c r="D847" s="7"/>
      <c r="E847" s="7"/>
      <c r="F847" s="7"/>
      <c r="G847" s="7"/>
      <c r="H847" s="7"/>
      <c r="I847" s="7"/>
      <c r="J847" s="7"/>
      <c r="K847" s="7"/>
      <c r="L847" s="7"/>
      <c r="M847" s="7"/>
      <c r="N847" s="7"/>
      <c r="O847" s="7"/>
      <c r="P847" s="7"/>
      <c r="Q847" s="7"/>
      <c r="R847" s="64"/>
      <c r="S847" s="64"/>
      <c r="T847" s="64"/>
      <c r="U847" s="64"/>
      <c r="V847" s="64"/>
      <c r="W847" s="64"/>
    </row>
    <row r="848" spans="1:23" ht="15.95" customHeight="1">
      <c r="A848" s="8"/>
      <c r="B848" s="7"/>
      <c r="C848" s="33"/>
      <c r="D848" s="7"/>
      <c r="E848" s="7"/>
      <c r="F848" s="7"/>
      <c r="G848" s="7"/>
      <c r="H848" s="7"/>
      <c r="I848" s="7"/>
      <c r="J848" s="7"/>
      <c r="K848" s="7"/>
      <c r="L848" s="7"/>
      <c r="M848" s="7"/>
      <c r="N848" s="7"/>
      <c r="O848" s="7"/>
      <c r="P848" s="7"/>
      <c r="Q848" s="7"/>
      <c r="R848" s="64"/>
      <c r="S848" s="64"/>
      <c r="T848" s="64"/>
      <c r="U848" s="64"/>
      <c r="V848" s="64"/>
      <c r="W848" s="64"/>
    </row>
    <row r="849" spans="1:23" ht="15.95" customHeight="1">
      <c r="A849" s="8"/>
      <c r="B849" s="7"/>
      <c r="C849" s="33"/>
      <c r="D849" s="7"/>
      <c r="E849" s="7"/>
      <c r="F849" s="7"/>
      <c r="G849" s="7"/>
      <c r="H849" s="7"/>
      <c r="I849" s="7"/>
      <c r="J849" s="7"/>
      <c r="K849" s="7"/>
      <c r="L849" s="7"/>
      <c r="M849" s="7"/>
      <c r="N849" s="7"/>
      <c r="O849" s="7"/>
      <c r="P849" s="7"/>
      <c r="Q849" s="7"/>
      <c r="R849" s="64"/>
      <c r="S849" s="64"/>
      <c r="T849" s="64"/>
      <c r="U849" s="64"/>
      <c r="V849" s="64"/>
      <c r="W849" s="64"/>
    </row>
    <row r="850" spans="1:23" ht="15.95" customHeight="1">
      <c r="A850" s="8"/>
      <c r="B850" s="7"/>
      <c r="C850" s="33"/>
      <c r="D850" s="7"/>
      <c r="E850" s="7"/>
      <c r="F850" s="7"/>
      <c r="G850" s="7"/>
      <c r="H850" s="7"/>
      <c r="I850" s="7"/>
      <c r="J850" s="7"/>
      <c r="K850" s="7"/>
      <c r="L850" s="7"/>
      <c r="M850" s="7"/>
      <c r="N850" s="7"/>
      <c r="O850" s="7"/>
      <c r="P850" s="7"/>
      <c r="Q850" s="7"/>
      <c r="R850" s="64"/>
      <c r="S850" s="64"/>
      <c r="T850" s="64"/>
      <c r="U850" s="64"/>
      <c r="V850" s="64"/>
      <c r="W850" s="64"/>
    </row>
    <row r="851" spans="1:23" ht="15.95" customHeight="1">
      <c r="A851" s="8"/>
      <c r="B851" s="7"/>
      <c r="C851" s="33"/>
      <c r="D851" s="7"/>
      <c r="E851" s="7"/>
      <c r="F851" s="7"/>
      <c r="G851" s="7"/>
      <c r="H851" s="7"/>
      <c r="I851" s="7"/>
      <c r="J851" s="7"/>
      <c r="K851" s="7"/>
      <c r="L851" s="7"/>
      <c r="M851" s="7"/>
      <c r="N851" s="7"/>
      <c r="O851" s="7"/>
      <c r="P851" s="7"/>
      <c r="Q851" s="7"/>
      <c r="R851" s="64"/>
      <c r="S851" s="64"/>
      <c r="T851" s="64"/>
      <c r="U851" s="64"/>
      <c r="V851" s="64"/>
      <c r="W851" s="64"/>
    </row>
    <row r="852" spans="1:23" ht="15.95" customHeight="1">
      <c r="A852" s="8"/>
      <c r="B852" s="7"/>
      <c r="C852" s="33"/>
      <c r="D852" s="7"/>
      <c r="E852" s="7"/>
      <c r="F852" s="7"/>
      <c r="G852" s="7"/>
      <c r="H852" s="7"/>
      <c r="I852" s="7"/>
      <c r="J852" s="7"/>
      <c r="K852" s="7"/>
      <c r="L852" s="7"/>
      <c r="M852" s="7"/>
      <c r="N852" s="7"/>
      <c r="O852" s="7"/>
      <c r="P852" s="7"/>
      <c r="Q852" s="7"/>
      <c r="R852" s="64"/>
      <c r="S852" s="64"/>
      <c r="T852" s="64"/>
      <c r="U852" s="64"/>
      <c r="V852" s="64"/>
      <c r="W852" s="64"/>
    </row>
    <row r="853" spans="1:23" ht="15.95" customHeight="1">
      <c r="A853" s="8"/>
      <c r="B853" s="7"/>
      <c r="C853" s="33"/>
      <c r="D853" s="7"/>
      <c r="E853" s="7"/>
      <c r="F853" s="7"/>
      <c r="G853" s="7"/>
      <c r="H853" s="7"/>
      <c r="I853" s="7"/>
      <c r="J853" s="7"/>
      <c r="K853" s="7"/>
      <c r="L853" s="7"/>
      <c r="M853" s="7"/>
      <c r="N853" s="7"/>
      <c r="O853" s="7"/>
      <c r="P853" s="7"/>
      <c r="Q853" s="7"/>
      <c r="R853" s="64"/>
      <c r="S853" s="64"/>
      <c r="T853" s="64"/>
      <c r="U853" s="64"/>
      <c r="V853" s="64"/>
      <c r="W853" s="64"/>
    </row>
    <row r="854" spans="1:23" ht="15.95" customHeight="1">
      <c r="A854" s="8"/>
      <c r="B854" s="7"/>
      <c r="C854" s="33"/>
      <c r="D854" s="7"/>
      <c r="E854" s="7"/>
      <c r="F854" s="7"/>
      <c r="G854" s="7"/>
      <c r="H854" s="7"/>
      <c r="I854" s="7"/>
      <c r="J854" s="7"/>
      <c r="K854" s="7"/>
      <c r="L854" s="7"/>
      <c r="M854" s="7"/>
      <c r="N854" s="7"/>
      <c r="O854" s="7"/>
      <c r="P854" s="7"/>
      <c r="Q854" s="7"/>
      <c r="R854" s="64"/>
      <c r="S854" s="64"/>
      <c r="T854" s="64"/>
      <c r="U854" s="64"/>
      <c r="V854" s="64"/>
      <c r="W854" s="64"/>
    </row>
    <row r="855" spans="1:23" ht="15.95" customHeight="1">
      <c r="A855" s="8"/>
      <c r="B855" s="7"/>
      <c r="C855" s="33"/>
      <c r="D855" s="7"/>
      <c r="E855" s="7"/>
      <c r="F855" s="7"/>
      <c r="G855" s="7"/>
      <c r="H855" s="7"/>
      <c r="I855" s="7"/>
      <c r="J855" s="7"/>
      <c r="K855" s="7"/>
      <c r="L855" s="7"/>
      <c r="M855" s="7"/>
      <c r="N855" s="7"/>
      <c r="O855" s="7"/>
      <c r="P855" s="7"/>
      <c r="Q855" s="7"/>
      <c r="R855" s="64"/>
      <c r="S855" s="64"/>
      <c r="T855" s="64"/>
      <c r="U855" s="64"/>
      <c r="V855" s="64"/>
      <c r="W855" s="64"/>
    </row>
    <row r="856" spans="1:23" ht="15.95" customHeight="1">
      <c r="A856" s="8"/>
      <c r="B856" s="7"/>
      <c r="C856" s="33"/>
      <c r="D856" s="7"/>
      <c r="E856" s="7"/>
      <c r="F856" s="7"/>
      <c r="G856" s="7"/>
      <c r="H856" s="7"/>
      <c r="I856" s="7"/>
      <c r="J856" s="7"/>
      <c r="K856" s="7"/>
      <c r="L856" s="7"/>
      <c r="M856" s="7"/>
      <c r="N856" s="7"/>
      <c r="O856" s="7"/>
      <c r="P856" s="7"/>
      <c r="Q856" s="7"/>
      <c r="R856" s="64"/>
      <c r="S856" s="64"/>
      <c r="T856" s="64"/>
      <c r="U856" s="64"/>
      <c r="V856" s="64"/>
      <c r="W856" s="64"/>
    </row>
    <row r="857" spans="1:23" ht="15.95" customHeight="1">
      <c r="A857" s="8"/>
      <c r="B857" s="7"/>
      <c r="C857" s="33"/>
      <c r="D857" s="7"/>
      <c r="E857" s="7"/>
      <c r="F857" s="7"/>
      <c r="G857" s="7"/>
      <c r="H857" s="7"/>
      <c r="I857" s="7"/>
      <c r="J857" s="7"/>
      <c r="K857" s="7"/>
      <c r="L857" s="7"/>
      <c r="M857" s="7"/>
      <c r="N857" s="7"/>
      <c r="O857" s="7"/>
      <c r="P857" s="7"/>
      <c r="Q857" s="7"/>
      <c r="R857" s="64"/>
      <c r="S857" s="64"/>
      <c r="T857" s="64"/>
      <c r="U857" s="64"/>
      <c r="V857" s="64"/>
      <c r="W857" s="64"/>
    </row>
    <row r="858" spans="1:23" ht="15.95" customHeight="1">
      <c r="A858" s="8"/>
      <c r="B858" s="7"/>
      <c r="C858" s="33"/>
      <c r="D858" s="7"/>
      <c r="E858" s="7"/>
      <c r="F858" s="7"/>
      <c r="G858" s="7"/>
      <c r="H858" s="7"/>
      <c r="I858" s="7"/>
      <c r="J858" s="7"/>
      <c r="K858" s="7"/>
      <c r="L858" s="7"/>
      <c r="M858" s="7"/>
      <c r="N858" s="7"/>
      <c r="O858" s="7"/>
      <c r="P858" s="7"/>
      <c r="Q858" s="7"/>
      <c r="R858" s="64"/>
      <c r="S858" s="64"/>
      <c r="T858" s="64"/>
      <c r="U858" s="64"/>
      <c r="V858" s="64"/>
      <c r="W858" s="64"/>
    </row>
    <row r="859" spans="1:23" ht="15.95" customHeight="1">
      <c r="A859" s="8"/>
      <c r="B859" s="7"/>
      <c r="C859" s="33"/>
      <c r="D859" s="7"/>
      <c r="E859" s="7"/>
      <c r="F859" s="7"/>
      <c r="G859" s="7"/>
      <c r="H859" s="7"/>
      <c r="I859" s="7"/>
      <c r="J859" s="7"/>
      <c r="K859" s="7"/>
      <c r="L859" s="7"/>
      <c r="M859" s="7"/>
      <c r="N859" s="7"/>
      <c r="O859" s="7"/>
      <c r="P859" s="7"/>
      <c r="Q859" s="7"/>
      <c r="R859" s="64"/>
      <c r="S859" s="64"/>
      <c r="T859" s="64"/>
      <c r="U859" s="64"/>
      <c r="V859" s="64"/>
      <c r="W859" s="64"/>
    </row>
    <row r="860" spans="1:23" ht="15.95" customHeight="1">
      <c r="A860" s="8"/>
      <c r="B860" s="7"/>
      <c r="C860" s="33"/>
      <c r="D860" s="7"/>
      <c r="E860" s="7"/>
      <c r="F860" s="7"/>
      <c r="G860" s="7"/>
      <c r="H860" s="7"/>
      <c r="I860" s="7"/>
      <c r="J860" s="7"/>
      <c r="K860" s="7"/>
      <c r="L860" s="7"/>
      <c r="M860" s="7"/>
      <c r="N860" s="7"/>
      <c r="O860" s="7"/>
      <c r="P860" s="7"/>
      <c r="Q860" s="7"/>
      <c r="R860" s="64"/>
      <c r="S860" s="64"/>
      <c r="T860" s="64"/>
      <c r="U860" s="64"/>
      <c r="V860" s="64"/>
      <c r="W860" s="64"/>
    </row>
    <row r="861" spans="1:23" ht="15.95" customHeight="1">
      <c r="A861" s="8"/>
      <c r="B861" s="7"/>
      <c r="C861" s="33"/>
      <c r="D861" s="7"/>
      <c r="E861" s="7"/>
      <c r="F861" s="7"/>
      <c r="G861" s="7"/>
      <c r="H861" s="7"/>
      <c r="I861" s="7"/>
      <c r="J861" s="7"/>
      <c r="K861" s="7"/>
      <c r="L861" s="7"/>
      <c r="M861" s="7"/>
      <c r="N861" s="7"/>
      <c r="O861" s="7"/>
      <c r="P861" s="7"/>
      <c r="Q861" s="7"/>
      <c r="R861" s="64"/>
      <c r="S861" s="64"/>
      <c r="T861" s="64"/>
      <c r="U861" s="64"/>
      <c r="V861" s="64"/>
      <c r="W861" s="64"/>
    </row>
    <row r="862" spans="1:23" ht="15.95" customHeight="1">
      <c r="A862" s="8"/>
      <c r="B862" s="7"/>
      <c r="C862" s="33"/>
      <c r="D862" s="7"/>
      <c r="E862" s="7"/>
      <c r="F862" s="7"/>
      <c r="G862" s="7"/>
      <c r="H862" s="7"/>
      <c r="I862" s="7"/>
      <c r="J862" s="7"/>
      <c r="K862" s="7"/>
      <c r="L862" s="7"/>
      <c r="M862" s="7"/>
      <c r="N862" s="7"/>
      <c r="O862" s="7"/>
      <c r="P862" s="7"/>
      <c r="Q862" s="7"/>
      <c r="R862" s="64"/>
      <c r="S862" s="64"/>
      <c r="T862" s="64"/>
      <c r="U862" s="64"/>
      <c r="V862" s="64"/>
      <c r="W862" s="64"/>
    </row>
    <row r="863" spans="1:23" ht="15.95" customHeight="1">
      <c r="A863" s="8"/>
      <c r="B863" s="7"/>
      <c r="C863" s="33"/>
      <c r="D863" s="7"/>
      <c r="E863" s="7"/>
      <c r="F863" s="7"/>
      <c r="G863" s="7"/>
      <c r="H863" s="7"/>
      <c r="I863" s="7"/>
      <c r="J863" s="7"/>
      <c r="K863" s="7"/>
      <c r="L863" s="7"/>
      <c r="M863" s="7"/>
      <c r="N863" s="7"/>
      <c r="O863" s="7"/>
      <c r="P863" s="7"/>
      <c r="Q863" s="7"/>
      <c r="R863" s="64"/>
      <c r="S863" s="64"/>
      <c r="T863" s="64"/>
      <c r="U863" s="64"/>
      <c r="V863" s="64"/>
      <c r="W863" s="64"/>
    </row>
    <row r="864" spans="1:23" ht="15.95" customHeight="1">
      <c r="A864" s="8"/>
      <c r="B864" s="7"/>
      <c r="C864" s="33"/>
      <c r="D864" s="7"/>
      <c r="E864" s="7"/>
      <c r="F864" s="7"/>
      <c r="G864" s="7"/>
      <c r="H864" s="7"/>
      <c r="I864" s="7"/>
      <c r="J864" s="7"/>
      <c r="K864" s="7"/>
      <c r="L864" s="7"/>
      <c r="M864" s="7"/>
      <c r="N864" s="7"/>
      <c r="O864" s="7"/>
      <c r="P864" s="7"/>
      <c r="Q864" s="7"/>
      <c r="R864" s="64"/>
      <c r="S864" s="64"/>
      <c r="T864" s="64"/>
      <c r="U864" s="64"/>
      <c r="V864" s="64"/>
      <c r="W864" s="64"/>
    </row>
    <row r="865" spans="1:23" ht="15.95" customHeight="1">
      <c r="A865" s="8"/>
      <c r="B865" s="7"/>
      <c r="C865" s="33"/>
      <c r="D865" s="7"/>
      <c r="E865" s="7"/>
      <c r="F865" s="7"/>
      <c r="G865" s="7"/>
      <c r="H865" s="7"/>
      <c r="I865" s="7"/>
      <c r="J865" s="7"/>
      <c r="K865" s="7"/>
      <c r="L865" s="7"/>
      <c r="M865" s="7"/>
      <c r="N865" s="7"/>
      <c r="O865" s="7"/>
      <c r="P865" s="7"/>
      <c r="Q865" s="7"/>
      <c r="R865" s="64"/>
      <c r="S865" s="64"/>
      <c r="T865" s="64"/>
      <c r="U865" s="64"/>
      <c r="V865" s="64"/>
      <c r="W865" s="64"/>
    </row>
    <row r="866" spans="1:23" ht="15.95" customHeight="1">
      <c r="A866" s="8"/>
      <c r="B866" s="7"/>
      <c r="C866" s="33"/>
      <c r="D866" s="7"/>
      <c r="E866" s="7"/>
      <c r="F866" s="7"/>
      <c r="G866" s="7"/>
      <c r="H866" s="7"/>
      <c r="I866" s="7"/>
      <c r="J866" s="7"/>
      <c r="K866" s="7"/>
      <c r="L866" s="7"/>
      <c r="M866" s="7"/>
      <c r="N866" s="7"/>
      <c r="O866" s="7"/>
      <c r="P866" s="7"/>
      <c r="Q866" s="7"/>
      <c r="R866" s="64"/>
      <c r="S866" s="64"/>
      <c r="T866" s="64"/>
      <c r="U866" s="64"/>
      <c r="V866" s="64"/>
      <c r="W866" s="64"/>
    </row>
    <row r="867" spans="1:23" ht="15.95" customHeight="1">
      <c r="A867" s="8"/>
      <c r="B867" s="7"/>
      <c r="C867" s="33"/>
      <c r="D867" s="7"/>
      <c r="E867" s="7"/>
      <c r="F867" s="7"/>
      <c r="G867" s="7"/>
      <c r="H867" s="7"/>
      <c r="I867" s="7"/>
      <c r="J867" s="7"/>
      <c r="K867" s="7"/>
      <c r="L867" s="7"/>
      <c r="M867" s="7"/>
      <c r="N867" s="7"/>
      <c r="O867" s="7"/>
      <c r="P867" s="7"/>
      <c r="Q867" s="7"/>
      <c r="R867" s="64"/>
      <c r="S867" s="64"/>
      <c r="T867" s="64"/>
      <c r="U867" s="64"/>
      <c r="V867" s="64"/>
      <c r="W867" s="64"/>
    </row>
    <row r="868" spans="1:23" ht="15.95" customHeight="1">
      <c r="A868" s="8"/>
      <c r="B868" s="7"/>
      <c r="C868" s="33"/>
      <c r="D868" s="7"/>
      <c r="E868" s="7"/>
      <c r="F868" s="7"/>
      <c r="G868" s="7"/>
      <c r="H868" s="7"/>
      <c r="I868" s="7"/>
      <c r="J868" s="7"/>
      <c r="K868" s="7"/>
      <c r="L868" s="7"/>
      <c r="M868" s="7"/>
      <c r="N868" s="7"/>
      <c r="O868" s="7"/>
      <c r="P868" s="7"/>
      <c r="Q868" s="7"/>
      <c r="R868" s="64"/>
      <c r="S868" s="64"/>
      <c r="T868" s="64"/>
      <c r="U868" s="64"/>
      <c r="V868" s="64"/>
      <c r="W868" s="64"/>
    </row>
    <row r="869" spans="1:23" ht="15.95" customHeight="1">
      <c r="A869" s="8"/>
      <c r="B869" s="7"/>
      <c r="C869" s="33"/>
      <c r="D869" s="7"/>
      <c r="E869" s="7"/>
      <c r="F869" s="7"/>
      <c r="G869" s="7"/>
      <c r="H869" s="7"/>
      <c r="I869" s="7"/>
      <c r="J869" s="7"/>
      <c r="K869" s="7"/>
      <c r="L869" s="7"/>
      <c r="M869" s="7"/>
      <c r="N869" s="7"/>
      <c r="O869" s="7"/>
      <c r="P869" s="7"/>
      <c r="Q869" s="7"/>
      <c r="R869" s="64"/>
      <c r="S869" s="64"/>
      <c r="T869" s="64"/>
      <c r="U869" s="64"/>
      <c r="V869" s="64"/>
      <c r="W869" s="64"/>
    </row>
    <row r="870" spans="1:23" ht="15.95" customHeight="1">
      <c r="A870" s="8"/>
      <c r="B870" s="7"/>
      <c r="C870" s="33"/>
      <c r="D870" s="7"/>
      <c r="E870" s="7"/>
      <c r="F870" s="7"/>
      <c r="G870" s="7"/>
      <c r="H870" s="7"/>
      <c r="I870" s="7"/>
      <c r="J870" s="7"/>
      <c r="K870" s="7"/>
      <c r="L870" s="7"/>
      <c r="M870" s="7"/>
      <c r="N870" s="7"/>
      <c r="O870" s="7"/>
      <c r="P870" s="7"/>
      <c r="Q870" s="7"/>
      <c r="R870" s="64"/>
      <c r="S870" s="64"/>
      <c r="T870" s="64"/>
      <c r="U870" s="64"/>
      <c r="V870" s="64"/>
      <c r="W870" s="64"/>
    </row>
    <row r="871" spans="1:23" ht="15.95" customHeight="1">
      <c r="A871" s="8"/>
      <c r="B871" s="7"/>
      <c r="C871" s="33"/>
      <c r="D871" s="7"/>
      <c r="E871" s="7"/>
      <c r="F871" s="7"/>
      <c r="G871" s="7"/>
      <c r="H871" s="7"/>
      <c r="I871" s="7"/>
      <c r="J871" s="7"/>
      <c r="K871" s="7"/>
      <c r="L871" s="7"/>
      <c r="M871" s="7"/>
      <c r="N871" s="7"/>
      <c r="O871" s="7"/>
      <c r="P871" s="7"/>
      <c r="Q871" s="7"/>
      <c r="R871" s="64"/>
      <c r="S871" s="64"/>
      <c r="T871" s="64"/>
      <c r="U871" s="64"/>
      <c r="V871" s="64"/>
      <c r="W871" s="64"/>
    </row>
    <row r="872" spans="1:23" ht="15.95" customHeight="1">
      <c r="A872" s="8"/>
      <c r="B872" s="7"/>
      <c r="C872" s="33"/>
      <c r="D872" s="7"/>
      <c r="E872" s="7"/>
      <c r="F872" s="7"/>
      <c r="G872" s="7"/>
      <c r="H872" s="7"/>
      <c r="I872" s="7"/>
      <c r="J872" s="7"/>
      <c r="K872" s="7"/>
      <c r="L872" s="7"/>
      <c r="M872" s="7"/>
      <c r="N872" s="7"/>
      <c r="O872" s="7"/>
      <c r="P872" s="7"/>
      <c r="Q872" s="7"/>
      <c r="R872" s="64"/>
      <c r="S872" s="64"/>
      <c r="T872" s="64"/>
      <c r="U872" s="64"/>
      <c r="V872" s="64"/>
      <c r="W872" s="64"/>
    </row>
    <row r="873" spans="1:23" ht="15.95" customHeight="1">
      <c r="A873" s="8"/>
      <c r="B873" s="7"/>
      <c r="C873" s="33"/>
      <c r="D873" s="7"/>
      <c r="E873" s="7"/>
      <c r="F873" s="7"/>
      <c r="G873" s="7"/>
      <c r="H873" s="7"/>
      <c r="I873" s="7"/>
      <c r="J873" s="7"/>
      <c r="K873" s="7"/>
      <c r="L873" s="7"/>
      <c r="M873" s="7"/>
      <c r="N873" s="7"/>
      <c r="O873" s="7"/>
      <c r="P873" s="7"/>
      <c r="Q873" s="7"/>
      <c r="R873" s="64"/>
      <c r="S873" s="64"/>
      <c r="T873" s="64"/>
      <c r="U873" s="64"/>
      <c r="V873" s="64"/>
      <c r="W873" s="64"/>
    </row>
    <row r="874" spans="1:23" ht="15.95" customHeight="1">
      <c r="A874" s="8"/>
      <c r="B874" s="7"/>
      <c r="C874" s="33"/>
      <c r="D874" s="7"/>
      <c r="E874" s="7"/>
      <c r="F874" s="7"/>
      <c r="G874" s="7"/>
      <c r="H874" s="7"/>
      <c r="I874" s="7"/>
      <c r="J874" s="7"/>
      <c r="K874" s="7"/>
      <c r="L874" s="7"/>
      <c r="M874" s="7"/>
      <c r="N874" s="7"/>
      <c r="O874" s="7"/>
      <c r="P874" s="7"/>
      <c r="Q874" s="7"/>
      <c r="R874" s="64"/>
      <c r="S874" s="64"/>
      <c r="T874" s="64"/>
      <c r="U874" s="64"/>
      <c r="V874" s="64"/>
      <c r="W874" s="64"/>
    </row>
    <row r="875" spans="1:23" ht="15.95" customHeight="1">
      <c r="A875" s="8"/>
      <c r="B875" s="7"/>
      <c r="C875" s="33"/>
      <c r="D875" s="7"/>
      <c r="E875" s="7"/>
      <c r="F875" s="7"/>
      <c r="G875" s="7"/>
      <c r="H875" s="7"/>
      <c r="I875" s="7"/>
      <c r="J875" s="7"/>
      <c r="K875" s="7"/>
      <c r="L875" s="7"/>
      <c r="M875" s="7"/>
      <c r="N875" s="7"/>
      <c r="O875" s="7"/>
      <c r="P875" s="7"/>
      <c r="Q875" s="7"/>
      <c r="R875" s="64"/>
      <c r="S875" s="64"/>
      <c r="T875" s="64"/>
      <c r="U875" s="64"/>
      <c r="V875" s="64"/>
      <c r="W875" s="64"/>
    </row>
    <row r="876" spans="1:23" ht="15.95" customHeight="1">
      <c r="A876" s="8"/>
      <c r="B876" s="7"/>
      <c r="C876" s="33"/>
      <c r="D876" s="7"/>
      <c r="E876" s="7"/>
      <c r="F876" s="7"/>
      <c r="G876" s="7"/>
      <c r="H876" s="7"/>
      <c r="I876" s="7"/>
      <c r="J876" s="7"/>
      <c r="K876" s="7"/>
      <c r="L876" s="7"/>
      <c r="M876" s="7"/>
      <c r="N876" s="7"/>
      <c r="O876" s="7"/>
      <c r="P876" s="7"/>
      <c r="Q876" s="7"/>
      <c r="R876" s="64"/>
      <c r="S876" s="64"/>
      <c r="T876" s="64"/>
      <c r="U876" s="64"/>
      <c r="V876" s="64"/>
      <c r="W876" s="64"/>
    </row>
    <row r="877" spans="1:23" ht="15.95" customHeight="1">
      <c r="A877" s="8"/>
      <c r="B877" s="7"/>
      <c r="C877" s="33"/>
      <c r="D877" s="7"/>
      <c r="E877" s="7"/>
      <c r="F877" s="7"/>
      <c r="G877" s="7"/>
      <c r="H877" s="7"/>
      <c r="I877" s="7"/>
      <c r="J877" s="7"/>
      <c r="K877" s="7"/>
      <c r="L877" s="7"/>
      <c r="M877" s="7"/>
      <c r="N877" s="7"/>
      <c r="O877" s="7"/>
      <c r="P877" s="7"/>
      <c r="Q877" s="7"/>
      <c r="R877" s="64"/>
      <c r="S877" s="64"/>
      <c r="T877" s="64"/>
      <c r="U877" s="64"/>
      <c r="V877" s="64"/>
      <c r="W877" s="64"/>
    </row>
    <row r="878" spans="1:23" ht="15.95" customHeight="1">
      <c r="A878" s="8"/>
      <c r="B878" s="7"/>
      <c r="C878" s="33"/>
      <c r="D878" s="7"/>
      <c r="E878" s="7"/>
      <c r="F878" s="7"/>
      <c r="G878" s="7"/>
      <c r="H878" s="7"/>
      <c r="I878" s="7"/>
      <c r="J878" s="7"/>
      <c r="K878" s="7"/>
      <c r="L878" s="7"/>
      <c r="M878" s="7"/>
      <c r="N878" s="7"/>
      <c r="O878" s="7"/>
      <c r="P878" s="7"/>
      <c r="Q878" s="7"/>
      <c r="R878" s="64"/>
      <c r="S878" s="64"/>
      <c r="T878" s="64"/>
      <c r="U878" s="64"/>
      <c r="V878" s="64"/>
      <c r="W878" s="64"/>
    </row>
    <row r="879" spans="1:23" ht="15.95" customHeight="1">
      <c r="A879" s="8"/>
      <c r="B879" s="7"/>
      <c r="C879" s="33"/>
      <c r="D879" s="7"/>
      <c r="E879" s="7"/>
      <c r="F879" s="7"/>
      <c r="G879" s="7"/>
      <c r="H879" s="7"/>
      <c r="I879" s="7"/>
      <c r="J879" s="7"/>
      <c r="K879" s="7"/>
      <c r="L879" s="7"/>
      <c r="M879" s="7"/>
      <c r="N879" s="7"/>
      <c r="O879" s="7"/>
      <c r="P879" s="7"/>
      <c r="Q879" s="7"/>
      <c r="R879" s="64"/>
      <c r="S879" s="64"/>
      <c r="T879" s="64"/>
      <c r="U879" s="64"/>
      <c r="V879" s="64"/>
      <c r="W879" s="64"/>
    </row>
    <row r="880" spans="1:23" ht="15.95" customHeight="1">
      <c r="A880" s="8"/>
      <c r="B880" s="7"/>
      <c r="C880" s="33"/>
      <c r="D880" s="7"/>
      <c r="E880" s="7"/>
      <c r="F880" s="7"/>
      <c r="G880" s="7"/>
      <c r="H880" s="7"/>
      <c r="I880" s="7"/>
      <c r="J880" s="7"/>
      <c r="K880" s="7"/>
      <c r="L880" s="7"/>
      <c r="M880" s="7"/>
      <c r="N880" s="7"/>
      <c r="O880" s="7"/>
      <c r="P880" s="7"/>
      <c r="Q880" s="7"/>
      <c r="R880" s="64"/>
      <c r="S880" s="64"/>
      <c r="T880" s="64"/>
      <c r="U880" s="64"/>
      <c r="V880" s="64"/>
      <c r="W880" s="64"/>
    </row>
    <row r="881" spans="1:23" ht="15.95" customHeight="1">
      <c r="A881" s="8"/>
      <c r="B881" s="7"/>
      <c r="C881" s="33"/>
      <c r="D881" s="7"/>
      <c r="E881" s="7"/>
      <c r="F881" s="7"/>
      <c r="G881" s="7"/>
      <c r="H881" s="7"/>
      <c r="I881" s="7"/>
      <c r="J881" s="7"/>
      <c r="K881" s="7"/>
      <c r="L881" s="7"/>
      <c r="M881" s="7"/>
      <c r="N881" s="7"/>
      <c r="O881" s="7"/>
      <c r="P881" s="7"/>
      <c r="Q881" s="7"/>
      <c r="R881" s="64"/>
      <c r="S881" s="64"/>
      <c r="T881" s="64"/>
      <c r="U881" s="64"/>
      <c r="V881" s="64"/>
      <c r="W881" s="64"/>
    </row>
    <row r="882" spans="1:23" ht="15.95" customHeight="1">
      <c r="A882" s="8"/>
      <c r="B882" s="7"/>
      <c r="C882" s="33"/>
      <c r="D882" s="7"/>
      <c r="E882" s="7"/>
      <c r="F882" s="7"/>
      <c r="G882" s="7"/>
      <c r="H882" s="7"/>
      <c r="I882" s="7"/>
      <c r="J882" s="7"/>
      <c r="K882" s="7"/>
      <c r="L882" s="7"/>
      <c r="M882" s="7"/>
      <c r="N882" s="7"/>
      <c r="O882" s="7"/>
      <c r="P882" s="7"/>
      <c r="Q882" s="7"/>
      <c r="R882" s="64"/>
      <c r="S882" s="64"/>
      <c r="T882" s="64"/>
      <c r="U882" s="64"/>
      <c r="V882" s="64"/>
      <c r="W882" s="64"/>
    </row>
    <row r="883" spans="1:23" ht="15.95" customHeight="1">
      <c r="A883" s="8"/>
      <c r="B883" s="7"/>
      <c r="C883" s="33"/>
      <c r="D883" s="7"/>
      <c r="E883" s="7"/>
      <c r="F883" s="7"/>
      <c r="G883" s="7"/>
      <c r="H883" s="7"/>
      <c r="I883" s="7"/>
      <c r="J883" s="7"/>
      <c r="K883" s="7"/>
      <c r="L883" s="7"/>
      <c r="M883" s="7"/>
      <c r="N883" s="7"/>
      <c r="O883" s="7"/>
      <c r="P883" s="7"/>
      <c r="Q883" s="7"/>
      <c r="R883" s="64"/>
      <c r="S883" s="64"/>
      <c r="T883" s="64"/>
      <c r="U883" s="64"/>
      <c r="V883" s="64"/>
      <c r="W883" s="64"/>
    </row>
    <row r="884" spans="1:23" ht="15.95" customHeight="1">
      <c r="A884" s="8"/>
      <c r="B884" s="7"/>
      <c r="C884" s="33"/>
      <c r="D884" s="7"/>
      <c r="E884" s="7"/>
      <c r="F884" s="7"/>
      <c r="G884" s="7"/>
      <c r="H884" s="7"/>
      <c r="I884" s="7"/>
      <c r="J884" s="7"/>
      <c r="K884" s="7"/>
      <c r="L884" s="7"/>
      <c r="M884" s="7"/>
      <c r="N884" s="7"/>
      <c r="O884" s="7"/>
      <c r="P884" s="7"/>
      <c r="Q884" s="7"/>
      <c r="R884" s="64"/>
      <c r="S884" s="64"/>
      <c r="T884" s="64"/>
      <c r="U884" s="64"/>
      <c r="V884" s="64"/>
      <c r="W884" s="64"/>
    </row>
    <row r="885" spans="1:23" ht="15.95" customHeight="1">
      <c r="A885" s="8"/>
      <c r="B885" s="7"/>
      <c r="C885" s="33"/>
      <c r="D885" s="7"/>
      <c r="E885" s="7"/>
      <c r="F885" s="7"/>
      <c r="G885" s="7"/>
      <c r="H885" s="7"/>
      <c r="I885" s="7"/>
      <c r="J885" s="7"/>
      <c r="K885" s="7"/>
      <c r="L885" s="7"/>
      <c r="M885" s="7"/>
      <c r="N885" s="7"/>
      <c r="O885" s="7"/>
      <c r="P885" s="7"/>
      <c r="Q885" s="7"/>
      <c r="R885" s="64"/>
      <c r="S885" s="64"/>
      <c r="T885" s="64"/>
      <c r="U885" s="64"/>
      <c r="V885" s="64"/>
      <c r="W885" s="64"/>
    </row>
    <row r="886" spans="1:23" ht="15.95" customHeight="1">
      <c r="A886" s="8"/>
      <c r="B886" s="7"/>
      <c r="C886" s="33"/>
      <c r="D886" s="7"/>
      <c r="E886" s="7"/>
      <c r="F886" s="7"/>
      <c r="G886" s="7"/>
      <c r="H886" s="7"/>
      <c r="I886" s="7"/>
      <c r="J886" s="7"/>
      <c r="K886" s="7"/>
      <c r="L886" s="7"/>
      <c r="M886" s="7"/>
      <c r="N886" s="7"/>
      <c r="O886" s="7"/>
      <c r="P886" s="7"/>
      <c r="Q886" s="7"/>
      <c r="R886" s="64"/>
      <c r="S886" s="64"/>
      <c r="T886" s="64"/>
      <c r="U886" s="64"/>
      <c r="V886" s="64"/>
      <c r="W886" s="64"/>
    </row>
    <row r="887" spans="1:23" ht="15.95" customHeight="1">
      <c r="A887" s="8"/>
      <c r="B887" s="7"/>
      <c r="C887" s="33"/>
      <c r="D887" s="7"/>
      <c r="E887" s="7"/>
      <c r="F887" s="7"/>
      <c r="G887" s="7"/>
      <c r="H887" s="7"/>
      <c r="I887" s="7"/>
      <c r="J887" s="7"/>
      <c r="K887" s="7"/>
      <c r="L887" s="7"/>
      <c r="M887" s="7"/>
      <c r="N887" s="7"/>
      <c r="O887" s="7"/>
      <c r="P887" s="7"/>
      <c r="Q887" s="7"/>
      <c r="R887" s="64"/>
      <c r="S887" s="64"/>
      <c r="T887" s="64"/>
      <c r="U887" s="64"/>
      <c r="V887" s="64"/>
      <c r="W887" s="64"/>
    </row>
    <row r="888" spans="1:23" ht="15.95" customHeight="1">
      <c r="A888" s="8"/>
      <c r="B888" s="7"/>
      <c r="C888" s="33"/>
      <c r="D888" s="7"/>
      <c r="E888" s="7"/>
      <c r="F888" s="7"/>
      <c r="G888" s="7"/>
      <c r="H888" s="7"/>
      <c r="I888" s="7"/>
      <c r="J888" s="7"/>
      <c r="K888" s="7"/>
      <c r="L888" s="7"/>
      <c r="M888" s="7"/>
      <c r="N888" s="7"/>
      <c r="O888" s="7"/>
      <c r="P888" s="7"/>
      <c r="Q888" s="7"/>
      <c r="R888" s="64"/>
      <c r="S888" s="64"/>
      <c r="T888" s="64"/>
      <c r="U888" s="64"/>
      <c r="V888" s="64"/>
      <c r="W888" s="64"/>
    </row>
    <row r="889" spans="1:23" ht="15.95" customHeight="1">
      <c r="A889" s="8"/>
      <c r="B889" s="7"/>
      <c r="C889" s="33"/>
      <c r="D889" s="7"/>
      <c r="E889" s="7"/>
      <c r="F889" s="7"/>
      <c r="G889" s="7"/>
      <c r="H889" s="7"/>
      <c r="I889" s="7"/>
      <c r="J889" s="7"/>
      <c r="K889" s="7"/>
      <c r="L889" s="7"/>
      <c r="M889" s="7"/>
      <c r="N889" s="7"/>
      <c r="O889" s="7"/>
      <c r="P889" s="7"/>
      <c r="Q889" s="7"/>
      <c r="R889" s="64"/>
      <c r="S889" s="64"/>
      <c r="T889" s="64"/>
      <c r="U889" s="64"/>
      <c r="V889" s="64"/>
      <c r="W889" s="64"/>
    </row>
    <row r="890" spans="1:23" ht="15.95" customHeight="1">
      <c r="A890" s="8"/>
      <c r="B890" s="7"/>
      <c r="C890" s="33"/>
      <c r="D890" s="7"/>
      <c r="E890" s="7"/>
      <c r="F890" s="7"/>
      <c r="G890" s="7"/>
      <c r="H890" s="7"/>
      <c r="I890" s="7"/>
      <c r="J890" s="7"/>
      <c r="K890" s="7"/>
      <c r="L890" s="7"/>
      <c r="M890" s="7"/>
      <c r="N890" s="7"/>
      <c r="O890" s="7"/>
      <c r="P890" s="7"/>
      <c r="Q890" s="7"/>
      <c r="R890" s="64"/>
      <c r="S890" s="64"/>
      <c r="T890" s="64"/>
      <c r="U890" s="64"/>
      <c r="V890" s="64"/>
      <c r="W890" s="64"/>
    </row>
    <row r="891" spans="1:23" ht="15.95" customHeight="1">
      <c r="A891" s="8"/>
      <c r="B891" s="7"/>
      <c r="C891" s="33"/>
      <c r="D891" s="7"/>
      <c r="E891" s="7"/>
      <c r="F891" s="7"/>
      <c r="G891" s="7"/>
      <c r="H891" s="7"/>
      <c r="I891" s="7"/>
      <c r="J891" s="7"/>
      <c r="K891" s="7"/>
      <c r="L891" s="7"/>
      <c r="M891" s="7"/>
      <c r="N891" s="7"/>
      <c r="O891" s="7"/>
      <c r="P891" s="7"/>
      <c r="Q891" s="7"/>
      <c r="R891" s="64"/>
      <c r="S891" s="64"/>
      <c r="T891" s="64"/>
      <c r="U891" s="64"/>
      <c r="V891" s="64"/>
      <c r="W891" s="64"/>
    </row>
    <row r="892" spans="1:23" ht="15.95" customHeight="1">
      <c r="A892" s="8"/>
      <c r="B892" s="7"/>
      <c r="C892" s="33"/>
      <c r="D892" s="7"/>
      <c r="E892" s="7"/>
      <c r="F892" s="7"/>
      <c r="G892" s="7"/>
      <c r="H892" s="7"/>
      <c r="I892" s="7"/>
      <c r="J892" s="7"/>
      <c r="K892" s="7"/>
      <c r="L892" s="7"/>
      <c r="M892" s="7"/>
      <c r="N892" s="7"/>
      <c r="O892" s="7"/>
      <c r="P892" s="7"/>
      <c r="Q892" s="7"/>
      <c r="R892" s="64"/>
      <c r="S892" s="64"/>
      <c r="T892" s="64"/>
      <c r="U892" s="64"/>
      <c r="V892" s="64"/>
      <c r="W892" s="64"/>
    </row>
    <row r="893" spans="1:23" ht="15.95" customHeight="1">
      <c r="A893" s="8"/>
      <c r="B893" s="7"/>
      <c r="C893" s="33"/>
      <c r="D893" s="7"/>
      <c r="E893" s="7"/>
      <c r="F893" s="7"/>
      <c r="G893" s="7"/>
      <c r="H893" s="7"/>
      <c r="I893" s="7"/>
      <c r="J893" s="7"/>
      <c r="K893" s="7"/>
      <c r="L893" s="7"/>
      <c r="M893" s="7"/>
      <c r="N893" s="7"/>
      <c r="O893" s="7"/>
      <c r="P893" s="7"/>
      <c r="Q893" s="7"/>
      <c r="R893" s="64"/>
      <c r="S893" s="64"/>
      <c r="T893" s="64"/>
      <c r="U893" s="64"/>
      <c r="V893" s="64"/>
      <c r="W893" s="64"/>
    </row>
    <row r="894" spans="1:23" ht="15.95" customHeight="1">
      <c r="A894" s="8"/>
      <c r="B894" s="7"/>
      <c r="C894" s="33"/>
      <c r="D894" s="7"/>
      <c r="E894" s="7"/>
      <c r="F894" s="7"/>
      <c r="G894" s="7"/>
      <c r="H894" s="7"/>
      <c r="I894" s="7"/>
      <c r="J894" s="7"/>
      <c r="K894" s="7"/>
      <c r="L894" s="7"/>
      <c r="M894" s="7"/>
      <c r="N894" s="7"/>
      <c r="O894" s="7"/>
      <c r="P894" s="7"/>
      <c r="Q894" s="7"/>
      <c r="R894" s="64"/>
      <c r="S894" s="64"/>
      <c r="T894" s="64"/>
      <c r="U894" s="64"/>
      <c r="V894" s="64"/>
      <c r="W894" s="64"/>
    </row>
    <row r="895" spans="1:23" ht="15.95" customHeight="1">
      <c r="A895" s="8"/>
      <c r="B895" s="7"/>
      <c r="C895" s="33"/>
      <c r="D895" s="7"/>
      <c r="E895" s="7"/>
      <c r="F895" s="7"/>
      <c r="G895" s="7"/>
      <c r="H895" s="7"/>
      <c r="I895" s="7"/>
      <c r="J895" s="7"/>
      <c r="K895" s="7"/>
      <c r="L895" s="7"/>
      <c r="M895" s="7"/>
      <c r="N895" s="7"/>
      <c r="O895" s="7"/>
      <c r="P895" s="7"/>
      <c r="Q895" s="7"/>
      <c r="R895" s="64"/>
      <c r="S895" s="64"/>
      <c r="T895" s="64"/>
      <c r="U895" s="64"/>
      <c r="V895" s="64"/>
      <c r="W895" s="64"/>
    </row>
    <row r="896" spans="1:23" ht="15.95" customHeight="1">
      <c r="A896" s="8"/>
      <c r="B896" s="7"/>
      <c r="C896" s="33"/>
      <c r="D896" s="7"/>
      <c r="E896" s="7"/>
      <c r="F896" s="7"/>
      <c r="G896" s="7"/>
      <c r="H896" s="7"/>
      <c r="I896" s="7"/>
      <c r="J896" s="7"/>
      <c r="K896" s="7"/>
      <c r="L896" s="7"/>
      <c r="M896" s="7"/>
      <c r="N896" s="7"/>
      <c r="O896" s="7"/>
      <c r="P896" s="7"/>
      <c r="Q896" s="7"/>
      <c r="R896" s="64"/>
      <c r="S896" s="64"/>
      <c r="T896" s="64"/>
      <c r="U896" s="64"/>
      <c r="V896" s="64"/>
      <c r="W896" s="64"/>
    </row>
    <row r="897" spans="1:23" ht="15.95" customHeight="1">
      <c r="A897" s="8"/>
      <c r="B897" s="7"/>
      <c r="C897" s="33"/>
      <c r="D897" s="7"/>
      <c r="E897" s="7"/>
      <c r="F897" s="7"/>
      <c r="G897" s="7"/>
      <c r="H897" s="7"/>
      <c r="I897" s="7"/>
      <c r="J897" s="7"/>
      <c r="K897" s="7"/>
      <c r="L897" s="7"/>
      <c r="M897" s="7"/>
      <c r="N897" s="7"/>
      <c r="O897" s="7"/>
      <c r="P897" s="7"/>
      <c r="Q897" s="7"/>
      <c r="R897" s="64"/>
      <c r="S897" s="64"/>
      <c r="T897" s="64"/>
      <c r="U897" s="64"/>
      <c r="V897" s="64"/>
      <c r="W897" s="64"/>
    </row>
    <row r="898" spans="1:23" ht="15.95" customHeight="1">
      <c r="A898" s="8"/>
      <c r="B898" s="7"/>
      <c r="C898" s="33"/>
      <c r="D898" s="7"/>
      <c r="E898" s="7"/>
      <c r="F898" s="7"/>
      <c r="G898" s="7"/>
      <c r="H898" s="7"/>
      <c r="I898" s="7"/>
      <c r="J898" s="7"/>
      <c r="K898" s="7"/>
      <c r="L898" s="7"/>
      <c r="M898" s="7"/>
      <c r="N898" s="7"/>
      <c r="O898" s="7"/>
      <c r="P898" s="7"/>
      <c r="Q898" s="7"/>
      <c r="R898" s="64"/>
      <c r="S898" s="64"/>
      <c r="T898" s="64"/>
      <c r="U898" s="64"/>
      <c r="V898" s="64"/>
      <c r="W898" s="64"/>
    </row>
    <row r="899" spans="1:23" ht="15.95" customHeight="1">
      <c r="A899" s="8"/>
      <c r="B899" s="7"/>
      <c r="C899" s="33"/>
      <c r="D899" s="7"/>
      <c r="E899" s="7"/>
      <c r="F899" s="7"/>
      <c r="G899" s="7"/>
      <c r="H899" s="7"/>
      <c r="I899" s="7"/>
      <c r="J899" s="7"/>
      <c r="K899" s="7"/>
      <c r="L899" s="7"/>
      <c r="M899" s="7"/>
      <c r="N899" s="7"/>
      <c r="O899" s="7"/>
      <c r="P899" s="7"/>
      <c r="Q899" s="7"/>
      <c r="R899" s="64"/>
      <c r="S899" s="64"/>
      <c r="T899" s="64"/>
      <c r="U899" s="64"/>
      <c r="V899" s="64"/>
      <c r="W899" s="64"/>
    </row>
    <row r="900" spans="1:23" ht="15.95" customHeight="1">
      <c r="A900" s="8"/>
      <c r="B900" s="7"/>
      <c r="C900" s="33"/>
      <c r="D900" s="7"/>
      <c r="E900" s="7"/>
      <c r="F900" s="7"/>
      <c r="G900" s="7"/>
      <c r="H900" s="7"/>
      <c r="I900" s="7"/>
      <c r="J900" s="7"/>
      <c r="K900" s="7"/>
      <c r="L900" s="7"/>
      <c r="M900" s="7"/>
      <c r="N900" s="7"/>
      <c r="O900" s="7"/>
      <c r="P900" s="7"/>
      <c r="Q900" s="7"/>
      <c r="R900" s="64"/>
      <c r="S900" s="64"/>
      <c r="T900" s="64"/>
      <c r="U900" s="64"/>
      <c r="V900" s="64"/>
      <c r="W900" s="64"/>
    </row>
    <row r="901" spans="1:23" ht="15.95" customHeight="1">
      <c r="A901" s="8"/>
      <c r="B901" s="7"/>
      <c r="C901" s="33"/>
      <c r="D901" s="7"/>
      <c r="E901" s="7"/>
      <c r="F901" s="7"/>
      <c r="G901" s="7"/>
      <c r="H901" s="7"/>
      <c r="I901" s="7"/>
      <c r="J901" s="7"/>
      <c r="K901" s="7"/>
      <c r="L901" s="7"/>
      <c r="M901" s="7"/>
      <c r="N901" s="7"/>
      <c r="O901" s="7"/>
      <c r="P901" s="7"/>
      <c r="Q901" s="7"/>
      <c r="R901" s="64"/>
      <c r="S901" s="64"/>
      <c r="T901" s="64"/>
      <c r="U901" s="64"/>
      <c r="V901" s="64"/>
      <c r="W901" s="64"/>
    </row>
    <row r="902" spans="1:23" ht="15.95" customHeight="1">
      <c r="A902" s="8"/>
      <c r="B902" s="7"/>
      <c r="C902" s="33"/>
      <c r="D902" s="7"/>
      <c r="E902" s="7"/>
      <c r="F902" s="7"/>
      <c r="G902" s="7"/>
      <c r="H902" s="7"/>
      <c r="I902" s="7"/>
      <c r="J902" s="7"/>
      <c r="K902" s="7"/>
      <c r="L902" s="7"/>
      <c r="M902" s="7"/>
      <c r="N902" s="7"/>
      <c r="O902" s="7"/>
      <c r="P902" s="7"/>
      <c r="Q902" s="7"/>
      <c r="R902" s="64"/>
      <c r="S902" s="64"/>
      <c r="T902" s="64"/>
      <c r="U902" s="64"/>
      <c r="V902" s="64"/>
      <c r="W902" s="64"/>
    </row>
    <row r="903" spans="1:23" ht="15.95" customHeight="1">
      <c r="A903" s="8"/>
      <c r="B903" s="7"/>
      <c r="C903" s="33"/>
      <c r="D903" s="7"/>
      <c r="E903" s="7"/>
      <c r="F903" s="7"/>
      <c r="G903" s="7"/>
      <c r="H903" s="7"/>
      <c r="I903" s="7"/>
      <c r="J903" s="7"/>
      <c r="K903" s="7"/>
      <c r="L903" s="7"/>
      <c r="M903" s="7"/>
      <c r="N903" s="7"/>
      <c r="O903" s="7"/>
      <c r="P903" s="7"/>
      <c r="Q903" s="7"/>
      <c r="R903" s="64"/>
      <c r="S903" s="64"/>
      <c r="T903" s="64"/>
      <c r="U903" s="64"/>
      <c r="V903" s="64"/>
      <c r="W903" s="64"/>
    </row>
    <row r="904" spans="1:23" ht="15.95" customHeight="1">
      <c r="A904" s="8"/>
      <c r="B904" s="7"/>
      <c r="C904" s="33"/>
      <c r="D904" s="7"/>
      <c r="E904" s="7"/>
      <c r="F904" s="7"/>
      <c r="G904" s="7"/>
      <c r="H904" s="7"/>
      <c r="I904" s="7"/>
      <c r="J904" s="7"/>
      <c r="K904" s="7"/>
      <c r="L904" s="7"/>
      <c r="M904" s="7"/>
      <c r="N904" s="7"/>
      <c r="O904" s="7"/>
      <c r="P904" s="7"/>
      <c r="Q904" s="7"/>
      <c r="R904" s="64"/>
      <c r="S904" s="64"/>
      <c r="T904" s="64"/>
      <c r="U904" s="64"/>
      <c r="V904" s="64"/>
      <c r="W904" s="64"/>
    </row>
    <row r="905" spans="1:23" ht="15.95" customHeight="1">
      <c r="A905" s="8"/>
      <c r="B905" s="7"/>
      <c r="C905" s="33"/>
      <c r="D905" s="7"/>
      <c r="E905" s="7"/>
      <c r="F905" s="7"/>
      <c r="G905" s="7"/>
      <c r="H905" s="7"/>
      <c r="I905" s="7"/>
      <c r="J905" s="7"/>
      <c r="K905" s="7"/>
      <c r="L905" s="7"/>
      <c r="M905" s="7"/>
      <c r="N905" s="7"/>
      <c r="O905" s="7"/>
      <c r="P905" s="7"/>
      <c r="Q905" s="7"/>
      <c r="R905" s="64"/>
      <c r="S905" s="64"/>
      <c r="T905" s="64"/>
      <c r="U905" s="64"/>
      <c r="V905" s="64"/>
      <c r="W905" s="64"/>
    </row>
    <row r="906" spans="1:23" ht="15.95" customHeight="1">
      <c r="A906" s="8"/>
      <c r="B906" s="7"/>
      <c r="C906" s="33"/>
      <c r="D906" s="7"/>
      <c r="E906" s="7"/>
      <c r="F906" s="7"/>
      <c r="G906" s="7"/>
      <c r="H906" s="7"/>
      <c r="I906" s="7"/>
      <c r="J906" s="7"/>
      <c r="K906" s="7"/>
      <c r="L906" s="7"/>
      <c r="M906" s="7"/>
      <c r="N906" s="7"/>
      <c r="O906" s="7"/>
      <c r="P906" s="7"/>
      <c r="Q906" s="7"/>
      <c r="R906" s="64"/>
      <c r="S906" s="64"/>
      <c r="T906" s="64"/>
      <c r="U906" s="64"/>
      <c r="V906" s="64"/>
      <c r="W906" s="64"/>
    </row>
    <row r="907" spans="1:23" ht="15.95" customHeight="1">
      <c r="A907" s="8"/>
      <c r="B907" s="7"/>
      <c r="C907" s="33"/>
      <c r="D907" s="7"/>
      <c r="E907" s="7"/>
      <c r="F907" s="7"/>
      <c r="G907" s="7"/>
      <c r="H907" s="7"/>
      <c r="I907" s="7"/>
      <c r="J907" s="7"/>
      <c r="K907" s="7"/>
      <c r="L907" s="7"/>
      <c r="M907" s="7"/>
      <c r="N907" s="7"/>
      <c r="O907" s="7"/>
      <c r="P907" s="7"/>
      <c r="Q907" s="7"/>
      <c r="R907" s="64"/>
      <c r="S907" s="64"/>
      <c r="T907" s="64"/>
      <c r="U907" s="64"/>
      <c r="V907" s="64"/>
      <c r="W907" s="64"/>
    </row>
    <row r="908" spans="1:23" ht="15.95" customHeight="1">
      <c r="A908" s="8"/>
      <c r="B908" s="7"/>
      <c r="C908" s="33"/>
      <c r="D908" s="7"/>
      <c r="E908" s="7"/>
      <c r="F908" s="7"/>
      <c r="G908" s="7"/>
      <c r="H908" s="7"/>
      <c r="I908" s="7"/>
      <c r="J908" s="7"/>
      <c r="K908" s="7"/>
      <c r="L908" s="7"/>
      <c r="M908" s="7"/>
      <c r="N908" s="7"/>
      <c r="O908" s="7"/>
      <c r="P908" s="7"/>
      <c r="Q908" s="7"/>
      <c r="R908" s="64"/>
      <c r="S908" s="64"/>
      <c r="T908" s="64"/>
      <c r="U908" s="64"/>
      <c r="V908" s="64"/>
      <c r="W908" s="64"/>
    </row>
    <row r="909" spans="1:23" ht="15.95" customHeight="1">
      <c r="A909" s="8"/>
      <c r="B909" s="7"/>
      <c r="C909" s="33"/>
      <c r="D909" s="7"/>
      <c r="E909" s="7"/>
      <c r="F909" s="7"/>
      <c r="G909" s="7"/>
      <c r="H909" s="7"/>
      <c r="I909" s="7"/>
      <c r="J909" s="7"/>
      <c r="K909" s="7"/>
      <c r="L909" s="7"/>
      <c r="M909" s="7"/>
      <c r="N909" s="7"/>
      <c r="O909" s="7"/>
      <c r="P909" s="7"/>
      <c r="Q909" s="7"/>
      <c r="R909" s="64"/>
      <c r="S909" s="64"/>
      <c r="T909" s="64"/>
      <c r="U909" s="64"/>
      <c r="V909" s="64"/>
      <c r="W909" s="64"/>
    </row>
    <row r="910" spans="1:23" ht="15.95" customHeight="1">
      <c r="A910" s="8"/>
      <c r="B910" s="7"/>
      <c r="C910" s="33"/>
      <c r="D910" s="7"/>
      <c r="E910" s="7"/>
      <c r="F910" s="7"/>
      <c r="G910" s="7"/>
      <c r="H910" s="7"/>
      <c r="I910" s="7"/>
      <c r="J910" s="7"/>
      <c r="K910" s="7"/>
      <c r="L910" s="7"/>
      <c r="M910" s="7"/>
      <c r="N910" s="7"/>
      <c r="O910" s="7"/>
      <c r="P910" s="7"/>
      <c r="Q910" s="7"/>
      <c r="R910" s="64"/>
      <c r="S910" s="64"/>
      <c r="T910" s="64"/>
      <c r="U910" s="64"/>
      <c r="V910" s="64"/>
      <c r="W910" s="64"/>
    </row>
    <row r="911" spans="1:23" ht="15.95" customHeight="1">
      <c r="A911" s="8"/>
      <c r="B911" s="7"/>
      <c r="C911" s="33"/>
      <c r="D911" s="7"/>
      <c r="E911" s="7"/>
      <c r="F911" s="7"/>
      <c r="G911" s="7"/>
      <c r="H911" s="7"/>
      <c r="I911" s="7"/>
      <c r="J911" s="7"/>
      <c r="K911" s="7"/>
      <c r="L911" s="7"/>
      <c r="M911" s="7"/>
      <c r="N911" s="7"/>
      <c r="O911" s="7"/>
      <c r="P911" s="7"/>
      <c r="Q911" s="7"/>
      <c r="R911" s="64"/>
      <c r="S911" s="64"/>
      <c r="T911" s="64"/>
      <c r="U911" s="64"/>
      <c r="V911" s="64"/>
      <c r="W911" s="64"/>
    </row>
    <row r="912" spans="1:23" ht="15.95" customHeight="1">
      <c r="A912" s="8"/>
      <c r="B912" s="7"/>
      <c r="C912" s="33"/>
      <c r="D912" s="7"/>
      <c r="E912" s="7"/>
      <c r="F912" s="7"/>
      <c r="G912" s="7"/>
      <c r="H912" s="7"/>
      <c r="I912" s="7"/>
      <c r="J912" s="7"/>
      <c r="K912" s="7"/>
      <c r="L912" s="7"/>
      <c r="M912" s="7"/>
      <c r="N912" s="7"/>
      <c r="O912" s="7"/>
      <c r="P912" s="7"/>
      <c r="Q912" s="7"/>
      <c r="R912" s="64"/>
      <c r="S912" s="64"/>
      <c r="T912" s="64"/>
      <c r="U912" s="64"/>
      <c r="V912" s="64"/>
      <c r="W912" s="64"/>
    </row>
    <row r="913" spans="1:23" ht="15.95" customHeight="1">
      <c r="A913" s="8"/>
      <c r="B913" s="7"/>
      <c r="C913" s="33"/>
      <c r="D913" s="7"/>
      <c r="E913" s="7"/>
      <c r="F913" s="7"/>
      <c r="G913" s="7"/>
      <c r="H913" s="7"/>
      <c r="I913" s="7"/>
      <c r="J913" s="7"/>
      <c r="K913" s="7"/>
      <c r="L913" s="7"/>
      <c r="M913" s="7"/>
      <c r="N913" s="7"/>
      <c r="O913" s="7"/>
      <c r="P913" s="7"/>
      <c r="Q913" s="7"/>
      <c r="R913" s="64"/>
      <c r="S913" s="64"/>
      <c r="T913" s="64"/>
      <c r="U913" s="64"/>
      <c r="V913" s="64"/>
      <c r="W913" s="64"/>
    </row>
    <row r="914" spans="1:23" ht="15.95" customHeight="1">
      <c r="A914" s="8"/>
      <c r="B914" s="7"/>
      <c r="C914" s="33"/>
      <c r="D914" s="7"/>
      <c r="E914" s="7"/>
      <c r="F914" s="7"/>
      <c r="G914" s="7"/>
      <c r="H914" s="7"/>
      <c r="I914" s="7"/>
      <c r="J914" s="7"/>
      <c r="K914" s="7"/>
      <c r="L914" s="7"/>
      <c r="M914" s="7"/>
      <c r="N914" s="7"/>
      <c r="O914" s="7"/>
      <c r="P914" s="7"/>
      <c r="Q914" s="7"/>
      <c r="R914" s="64"/>
      <c r="S914" s="64"/>
      <c r="T914" s="64"/>
      <c r="U914" s="64"/>
      <c r="V914" s="64"/>
      <c r="W914" s="64"/>
    </row>
    <row r="915" spans="1:23" ht="15.95" customHeight="1">
      <c r="A915" s="8"/>
      <c r="B915" s="7"/>
      <c r="C915" s="33"/>
      <c r="D915" s="7"/>
      <c r="E915" s="7"/>
      <c r="F915" s="7"/>
      <c r="G915" s="7"/>
      <c r="H915" s="7"/>
      <c r="I915" s="7"/>
      <c r="J915" s="7"/>
      <c r="K915" s="7"/>
      <c r="L915" s="7"/>
      <c r="M915" s="7"/>
      <c r="N915" s="7"/>
      <c r="O915" s="7"/>
      <c r="P915" s="7"/>
      <c r="Q915" s="7"/>
      <c r="R915" s="64"/>
      <c r="S915" s="64"/>
      <c r="T915" s="64"/>
      <c r="U915" s="64"/>
      <c r="V915" s="64"/>
      <c r="W915" s="64"/>
    </row>
    <row r="916" spans="1:23" ht="15.95" customHeight="1">
      <c r="A916" s="8"/>
      <c r="B916" s="7"/>
      <c r="C916" s="33"/>
      <c r="D916" s="7"/>
      <c r="E916" s="7"/>
      <c r="F916" s="7"/>
      <c r="G916" s="7"/>
      <c r="H916" s="7"/>
      <c r="I916" s="7"/>
      <c r="J916" s="7"/>
      <c r="K916" s="7"/>
      <c r="L916" s="7"/>
      <c r="M916" s="7"/>
      <c r="N916" s="7"/>
      <c r="O916" s="7"/>
      <c r="P916" s="7"/>
      <c r="Q916" s="7"/>
      <c r="R916" s="64"/>
      <c r="S916" s="64"/>
      <c r="T916" s="64"/>
      <c r="U916" s="64"/>
      <c r="V916" s="64"/>
      <c r="W916" s="64"/>
    </row>
    <row r="917" spans="1:23" ht="15.95" customHeight="1">
      <c r="A917" s="8"/>
      <c r="B917" s="7"/>
      <c r="C917" s="33"/>
      <c r="D917" s="7"/>
      <c r="E917" s="7"/>
      <c r="F917" s="7"/>
      <c r="G917" s="7"/>
      <c r="H917" s="7"/>
      <c r="I917" s="7"/>
      <c r="J917" s="7"/>
      <c r="K917" s="7"/>
      <c r="L917" s="7"/>
      <c r="M917" s="7"/>
      <c r="N917" s="7"/>
      <c r="O917" s="7"/>
      <c r="P917" s="7"/>
      <c r="Q917" s="7"/>
      <c r="R917" s="64"/>
      <c r="S917" s="64"/>
      <c r="T917" s="64"/>
      <c r="U917" s="64"/>
      <c r="V917" s="64"/>
      <c r="W917" s="64"/>
    </row>
    <row r="918" spans="1:23" ht="15.95" customHeight="1">
      <c r="A918" s="8"/>
      <c r="B918" s="7"/>
      <c r="C918" s="33"/>
      <c r="D918" s="7"/>
      <c r="E918" s="7"/>
      <c r="F918" s="7"/>
      <c r="G918" s="7"/>
      <c r="H918" s="7"/>
      <c r="I918" s="7"/>
      <c r="J918" s="7"/>
      <c r="K918" s="7"/>
      <c r="L918" s="7"/>
      <c r="M918" s="7"/>
      <c r="N918" s="7"/>
      <c r="O918" s="7"/>
      <c r="P918" s="7"/>
      <c r="Q918" s="7"/>
      <c r="R918" s="64"/>
      <c r="S918" s="64"/>
      <c r="T918" s="64"/>
      <c r="U918" s="64"/>
      <c r="V918" s="64"/>
      <c r="W918" s="64"/>
    </row>
    <row r="919" spans="1:23" ht="15.95" customHeight="1">
      <c r="A919" s="8"/>
      <c r="B919" s="7"/>
      <c r="C919" s="33"/>
      <c r="D919" s="7"/>
      <c r="E919" s="7"/>
      <c r="F919" s="7"/>
      <c r="G919" s="7"/>
      <c r="H919" s="7"/>
      <c r="I919" s="7"/>
      <c r="J919" s="7"/>
      <c r="K919" s="7"/>
      <c r="L919" s="7"/>
      <c r="M919" s="7"/>
      <c r="N919" s="7"/>
      <c r="O919" s="7"/>
      <c r="P919" s="7"/>
      <c r="Q919" s="7"/>
      <c r="R919" s="64"/>
      <c r="S919" s="64"/>
      <c r="T919" s="64"/>
      <c r="U919" s="64"/>
      <c r="V919" s="64"/>
      <c r="W919" s="64"/>
    </row>
    <row r="920" spans="1:23" ht="15.95" customHeight="1">
      <c r="A920" s="8"/>
      <c r="B920" s="7"/>
      <c r="C920" s="33"/>
      <c r="D920" s="7"/>
      <c r="E920" s="7"/>
      <c r="F920" s="7"/>
      <c r="G920" s="7"/>
      <c r="H920" s="7"/>
      <c r="I920" s="7"/>
      <c r="J920" s="7"/>
      <c r="K920" s="7"/>
      <c r="L920" s="7"/>
      <c r="M920" s="7"/>
      <c r="N920" s="7"/>
      <c r="O920" s="7"/>
      <c r="P920" s="7"/>
      <c r="Q920" s="7"/>
      <c r="R920" s="64"/>
      <c r="S920" s="64"/>
      <c r="T920" s="64"/>
      <c r="U920" s="64"/>
      <c r="V920" s="64"/>
      <c r="W920" s="64"/>
    </row>
    <row r="921" spans="1:23" ht="15.95" customHeight="1">
      <c r="A921" s="8"/>
      <c r="B921" s="7"/>
      <c r="C921" s="33"/>
      <c r="D921" s="7"/>
      <c r="E921" s="7"/>
      <c r="F921" s="7"/>
      <c r="G921" s="7"/>
      <c r="H921" s="7"/>
      <c r="I921" s="7"/>
      <c r="J921" s="7"/>
      <c r="K921" s="7"/>
      <c r="L921" s="7"/>
      <c r="M921" s="7"/>
      <c r="N921" s="7"/>
      <c r="O921" s="7"/>
      <c r="P921" s="7"/>
      <c r="Q921" s="7"/>
      <c r="R921" s="64"/>
      <c r="S921" s="64"/>
      <c r="T921" s="64"/>
      <c r="U921" s="64"/>
      <c r="V921" s="64"/>
      <c r="W921" s="64"/>
    </row>
    <row r="922" spans="1:23" ht="15.95" customHeight="1">
      <c r="A922" s="8"/>
      <c r="B922" s="7"/>
      <c r="C922" s="33"/>
      <c r="D922" s="7"/>
      <c r="E922" s="7"/>
      <c r="F922" s="7"/>
      <c r="G922" s="7"/>
      <c r="H922" s="7"/>
      <c r="I922" s="7"/>
      <c r="J922" s="7"/>
      <c r="K922" s="7"/>
      <c r="L922" s="7"/>
      <c r="M922" s="7"/>
      <c r="N922" s="7"/>
      <c r="O922" s="7"/>
      <c r="P922" s="7"/>
      <c r="Q922" s="7"/>
      <c r="R922" s="64"/>
      <c r="S922" s="64"/>
      <c r="T922" s="64"/>
      <c r="U922" s="64"/>
      <c r="V922" s="64"/>
      <c r="W922" s="64"/>
    </row>
    <row r="923" spans="1:23" ht="15.95" customHeight="1">
      <c r="A923" s="8"/>
      <c r="B923" s="7"/>
      <c r="C923" s="33"/>
      <c r="D923" s="7"/>
      <c r="E923" s="7"/>
      <c r="F923" s="7"/>
      <c r="G923" s="7"/>
      <c r="H923" s="7"/>
      <c r="I923" s="7"/>
      <c r="J923" s="7"/>
      <c r="K923" s="7"/>
      <c r="L923" s="7"/>
      <c r="M923" s="7"/>
      <c r="N923" s="7"/>
      <c r="O923" s="7"/>
      <c r="P923" s="7"/>
      <c r="Q923" s="7"/>
      <c r="R923" s="64"/>
      <c r="S923" s="64"/>
      <c r="T923" s="64"/>
      <c r="U923" s="64"/>
      <c r="V923" s="64"/>
      <c r="W923" s="64"/>
    </row>
    <row r="924" spans="1:23" ht="15.95" customHeight="1">
      <c r="A924" s="8"/>
      <c r="B924" s="7"/>
      <c r="C924" s="33"/>
      <c r="D924" s="7"/>
      <c r="E924" s="7"/>
      <c r="F924" s="7"/>
      <c r="G924" s="7"/>
      <c r="H924" s="7"/>
      <c r="I924" s="7"/>
      <c r="J924" s="7"/>
      <c r="K924" s="7"/>
      <c r="L924" s="7"/>
      <c r="M924" s="7"/>
      <c r="N924" s="7"/>
      <c r="O924" s="7"/>
      <c r="P924" s="7"/>
      <c r="Q924" s="7"/>
      <c r="R924" s="64"/>
      <c r="S924" s="64"/>
      <c r="T924" s="64"/>
      <c r="U924" s="64"/>
      <c r="V924" s="64"/>
      <c r="W924" s="64"/>
    </row>
    <row r="925" spans="1:23" ht="15.95" customHeight="1">
      <c r="A925" s="8"/>
      <c r="B925" s="7"/>
      <c r="C925" s="33"/>
      <c r="D925" s="7"/>
      <c r="E925" s="7"/>
      <c r="F925" s="7"/>
      <c r="G925" s="7"/>
      <c r="H925" s="7"/>
      <c r="I925" s="7"/>
      <c r="J925" s="7"/>
      <c r="K925" s="7"/>
      <c r="L925" s="7"/>
      <c r="M925" s="7"/>
      <c r="N925" s="7"/>
      <c r="O925" s="7"/>
      <c r="P925" s="7"/>
      <c r="Q925" s="7"/>
      <c r="R925" s="64"/>
      <c r="S925" s="64"/>
      <c r="T925" s="64"/>
      <c r="U925" s="64"/>
      <c r="V925" s="64"/>
      <c r="W925" s="64"/>
    </row>
    <row r="926" spans="1:23" ht="15.95" customHeight="1">
      <c r="A926" s="8"/>
      <c r="B926" s="7"/>
      <c r="C926" s="33"/>
      <c r="D926" s="7"/>
      <c r="E926" s="7"/>
      <c r="F926" s="7"/>
      <c r="G926" s="7"/>
      <c r="H926" s="7"/>
      <c r="I926" s="7"/>
      <c r="J926" s="7"/>
      <c r="K926" s="7"/>
      <c r="L926" s="7"/>
      <c r="M926" s="7"/>
      <c r="N926" s="7"/>
      <c r="O926" s="7"/>
      <c r="P926" s="7"/>
      <c r="Q926" s="7"/>
      <c r="R926" s="64"/>
      <c r="S926" s="64"/>
      <c r="T926" s="64"/>
      <c r="U926" s="64"/>
      <c r="V926" s="64"/>
      <c r="W926" s="64"/>
    </row>
    <row r="927" spans="1:23" ht="15.95" customHeight="1">
      <c r="A927" s="8"/>
      <c r="B927" s="7"/>
      <c r="C927" s="33"/>
      <c r="D927" s="7"/>
      <c r="E927" s="7"/>
      <c r="F927" s="7"/>
      <c r="G927" s="7"/>
      <c r="H927" s="7"/>
      <c r="I927" s="7"/>
      <c r="J927" s="7"/>
      <c r="K927" s="7"/>
      <c r="L927" s="7"/>
      <c r="M927" s="7"/>
      <c r="N927" s="7"/>
      <c r="O927" s="7"/>
      <c r="P927" s="7"/>
      <c r="Q927" s="7"/>
      <c r="R927" s="64"/>
      <c r="S927" s="64"/>
      <c r="T927" s="64"/>
      <c r="U927" s="64"/>
      <c r="V927" s="64"/>
      <c r="W927" s="64"/>
    </row>
    <row r="928" spans="1:23" ht="15.95" customHeight="1">
      <c r="A928" s="8"/>
      <c r="B928" s="7"/>
      <c r="C928" s="33"/>
      <c r="D928" s="7"/>
      <c r="E928" s="7"/>
      <c r="F928" s="7"/>
      <c r="G928" s="7"/>
      <c r="H928" s="7"/>
      <c r="I928" s="7"/>
      <c r="J928" s="7"/>
      <c r="K928" s="7"/>
      <c r="L928" s="7"/>
      <c r="M928" s="7"/>
      <c r="N928" s="7"/>
      <c r="O928" s="7"/>
      <c r="P928" s="7"/>
      <c r="Q928" s="7"/>
      <c r="R928" s="64"/>
      <c r="S928" s="64"/>
      <c r="T928" s="64"/>
      <c r="U928" s="64"/>
      <c r="V928" s="64"/>
      <c r="W928" s="64"/>
    </row>
    <row r="929" spans="1:23" ht="15.95" customHeight="1">
      <c r="A929" s="8"/>
      <c r="B929" s="7"/>
      <c r="C929" s="33"/>
      <c r="D929" s="7"/>
      <c r="E929" s="7"/>
      <c r="F929" s="7"/>
      <c r="G929" s="7"/>
      <c r="H929" s="7"/>
      <c r="I929" s="7"/>
      <c r="J929" s="7"/>
      <c r="K929" s="7"/>
      <c r="L929" s="7"/>
      <c r="M929" s="7"/>
      <c r="N929" s="7"/>
      <c r="O929" s="7"/>
      <c r="P929" s="7"/>
      <c r="Q929" s="7"/>
      <c r="R929" s="64"/>
      <c r="S929" s="64"/>
      <c r="T929" s="64"/>
      <c r="U929" s="64"/>
      <c r="V929" s="64"/>
      <c r="W929" s="64"/>
    </row>
    <row r="930" spans="1:23" ht="15.95" customHeight="1">
      <c r="A930" s="8"/>
      <c r="B930" s="7"/>
      <c r="C930" s="33"/>
      <c r="D930" s="7"/>
      <c r="E930" s="7"/>
      <c r="F930" s="7"/>
      <c r="G930" s="7"/>
      <c r="H930" s="7"/>
      <c r="I930" s="7"/>
      <c r="J930" s="7"/>
      <c r="K930" s="7"/>
      <c r="L930" s="7"/>
      <c r="M930" s="7"/>
      <c r="N930" s="7"/>
      <c r="O930" s="7"/>
      <c r="P930" s="7"/>
      <c r="Q930" s="7"/>
      <c r="R930" s="64"/>
      <c r="S930" s="64"/>
      <c r="T930" s="64"/>
      <c r="U930" s="64"/>
      <c r="V930" s="64"/>
      <c r="W930" s="64"/>
    </row>
    <row r="931" spans="1:23" ht="15.95" customHeight="1">
      <c r="A931" s="8"/>
      <c r="B931" s="7"/>
      <c r="C931" s="33"/>
      <c r="D931" s="7"/>
      <c r="E931" s="7"/>
      <c r="F931" s="7"/>
      <c r="G931" s="7"/>
      <c r="H931" s="7"/>
      <c r="I931" s="7"/>
      <c r="J931" s="7"/>
      <c r="K931" s="7"/>
      <c r="L931" s="7"/>
      <c r="M931" s="7"/>
      <c r="N931" s="7"/>
      <c r="O931" s="7"/>
      <c r="P931" s="7"/>
      <c r="Q931" s="7"/>
      <c r="R931" s="64"/>
      <c r="S931" s="64"/>
      <c r="T931" s="64"/>
      <c r="U931" s="64"/>
      <c r="V931" s="64"/>
      <c r="W931" s="64"/>
    </row>
    <row r="932" spans="1:23" ht="15.95" customHeight="1">
      <c r="A932" s="8"/>
      <c r="B932" s="7"/>
      <c r="C932" s="33"/>
      <c r="D932" s="7"/>
      <c r="E932" s="7"/>
      <c r="F932" s="7"/>
      <c r="G932" s="7"/>
      <c r="H932" s="7"/>
      <c r="I932" s="7"/>
      <c r="J932" s="7"/>
      <c r="K932" s="7"/>
      <c r="L932" s="7"/>
      <c r="M932" s="7"/>
      <c r="N932" s="7"/>
      <c r="O932" s="7"/>
      <c r="P932" s="7"/>
      <c r="Q932" s="7"/>
      <c r="R932" s="64"/>
      <c r="S932" s="64"/>
      <c r="T932" s="64"/>
      <c r="U932" s="64"/>
      <c r="V932" s="64"/>
      <c r="W932" s="64"/>
    </row>
    <row r="933" spans="1:23" ht="15.95" customHeight="1">
      <c r="A933" s="8"/>
      <c r="B933" s="7"/>
      <c r="C933" s="33"/>
      <c r="D933" s="7"/>
      <c r="E933" s="7"/>
      <c r="F933" s="7"/>
      <c r="G933" s="7"/>
      <c r="H933" s="7"/>
      <c r="I933" s="7"/>
      <c r="J933" s="7"/>
      <c r="K933" s="7"/>
      <c r="L933" s="7"/>
      <c r="M933" s="7"/>
      <c r="N933" s="7"/>
      <c r="O933" s="7"/>
      <c r="P933" s="7"/>
      <c r="Q933" s="7"/>
      <c r="R933" s="64"/>
      <c r="S933" s="64"/>
      <c r="T933" s="64"/>
      <c r="U933" s="64"/>
      <c r="V933" s="64"/>
      <c r="W933" s="64"/>
    </row>
    <row r="934" spans="1:23" ht="15.95" customHeight="1">
      <c r="A934" s="8"/>
      <c r="B934" s="7"/>
      <c r="C934" s="33"/>
      <c r="D934" s="7"/>
      <c r="E934" s="7"/>
      <c r="F934" s="7"/>
      <c r="G934" s="7"/>
      <c r="H934" s="7"/>
      <c r="I934" s="7"/>
      <c r="J934" s="7"/>
      <c r="K934" s="7"/>
      <c r="L934" s="7"/>
      <c r="M934" s="7"/>
      <c r="N934" s="7"/>
      <c r="O934" s="7"/>
      <c r="P934" s="7"/>
      <c r="Q934" s="7"/>
      <c r="R934" s="64"/>
      <c r="S934" s="64"/>
      <c r="T934" s="64"/>
      <c r="U934" s="64"/>
      <c r="V934" s="64"/>
      <c r="W934" s="64"/>
    </row>
    <row r="935" spans="1:23" ht="15.95" customHeight="1">
      <c r="A935" s="8"/>
      <c r="B935" s="7"/>
      <c r="C935" s="33"/>
      <c r="D935" s="7"/>
      <c r="E935" s="7"/>
      <c r="F935" s="7"/>
      <c r="G935" s="7"/>
      <c r="H935" s="7"/>
      <c r="I935" s="7"/>
      <c r="J935" s="7"/>
      <c r="K935" s="7"/>
      <c r="L935" s="7"/>
      <c r="M935" s="7"/>
      <c r="N935" s="7"/>
      <c r="O935" s="7"/>
      <c r="P935" s="7"/>
      <c r="Q935" s="7"/>
      <c r="R935" s="64"/>
      <c r="S935" s="64"/>
      <c r="T935" s="64"/>
      <c r="U935" s="64"/>
      <c r="V935" s="64"/>
      <c r="W935" s="64"/>
    </row>
    <row r="936" spans="1:23" ht="15.95" customHeight="1">
      <c r="A936" s="8"/>
      <c r="B936" s="7"/>
      <c r="C936" s="33"/>
      <c r="D936" s="7"/>
      <c r="E936" s="7"/>
      <c r="F936" s="7"/>
      <c r="G936" s="7"/>
      <c r="H936" s="7"/>
      <c r="I936" s="7"/>
      <c r="J936" s="7"/>
      <c r="K936" s="7"/>
      <c r="L936" s="7"/>
      <c r="M936" s="7"/>
      <c r="N936" s="7"/>
      <c r="O936" s="7"/>
      <c r="P936" s="7"/>
      <c r="Q936" s="7"/>
      <c r="R936" s="64"/>
      <c r="S936" s="64"/>
      <c r="T936" s="64"/>
      <c r="U936" s="64"/>
      <c r="V936" s="64"/>
      <c r="W936" s="64"/>
    </row>
    <row r="937" spans="1:23" ht="15.95" customHeight="1">
      <c r="A937" s="8"/>
      <c r="B937" s="7"/>
      <c r="C937" s="33"/>
      <c r="D937" s="7"/>
      <c r="E937" s="7"/>
      <c r="F937" s="7"/>
      <c r="G937" s="7"/>
      <c r="H937" s="7"/>
      <c r="I937" s="7"/>
      <c r="J937" s="7"/>
      <c r="K937" s="7"/>
      <c r="L937" s="7"/>
      <c r="M937" s="7"/>
      <c r="N937" s="7"/>
      <c r="O937" s="7"/>
      <c r="P937" s="7"/>
      <c r="Q937" s="7"/>
      <c r="R937" s="64"/>
      <c r="S937" s="64"/>
      <c r="T937" s="64"/>
      <c r="U937" s="64"/>
      <c r="V937" s="64"/>
      <c r="W937" s="64"/>
    </row>
    <row r="938" spans="1:23" ht="15.95" customHeight="1">
      <c r="A938" s="8"/>
      <c r="B938" s="7"/>
      <c r="C938" s="33"/>
      <c r="D938" s="7"/>
      <c r="E938" s="7"/>
      <c r="F938" s="7"/>
      <c r="G938" s="7"/>
      <c r="H938" s="7"/>
      <c r="I938" s="7"/>
      <c r="J938" s="7"/>
      <c r="K938" s="7"/>
      <c r="L938" s="7"/>
      <c r="M938" s="7"/>
      <c r="N938" s="7"/>
      <c r="O938" s="7"/>
      <c r="P938" s="7"/>
      <c r="Q938" s="7"/>
      <c r="R938" s="64"/>
      <c r="S938" s="64"/>
      <c r="T938" s="64"/>
      <c r="U938" s="64"/>
      <c r="V938" s="64"/>
      <c r="W938" s="64"/>
    </row>
    <row r="939" spans="1:23" ht="15.95" customHeight="1">
      <c r="A939" s="8"/>
      <c r="B939" s="7"/>
      <c r="C939" s="33"/>
      <c r="D939" s="7"/>
      <c r="E939" s="7"/>
      <c r="F939" s="7"/>
      <c r="G939" s="7"/>
      <c r="H939" s="7"/>
      <c r="I939" s="7"/>
      <c r="J939" s="7"/>
      <c r="K939" s="7"/>
      <c r="L939" s="7"/>
      <c r="M939" s="7"/>
      <c r="N939" s="7"/>
      <c r="O939" s="7"/>
      <c r="P939" s="7"/>
      <c r="Q939" s="7"/>
      <c r="R939" s="64"/>
      <c r="S939" s="64"/>
      <c r="T939" s="64"/>
      <c r="U939" s="64"/>
      <c r="V939" s="64"/>
      <c r="W939" s="64"/>
    </row>
    <row r="940" spans="1:23" ht="15.95" customHeight="1">
      <c r="A940" s="8"/>
      <c r="B940" s="7"/>
      <c r="C940" s="33"/>
      <c r="D940" s="7"/>
      <c r="E940" s="7"/>
      <c r="F940" s="7"/>
      <c r="G940" s="7"/>
      <c r="H940" s="7"/>
      <c r="I940" s="7"/>
      <c r="J940" s="7"/>
      <c r="K940" s="7"/>
      <c r="L940" s="7"/>
      <c r="M940" s="7"/>
      <c r="N940" s="7"/>
      <c r="O940" s="7"/>
      <c r="P940" s="7"/>
      <c r="Q940" s="7"/>
      <c r="R940" s="64"/>
      <c r="S940" s="64"/>
      <c r="T940" s="64"/>
      <c r="U940" s="64"/>
      <c r="V940" s="64"/>
      <c r="W940" s="64"/>
    </row>
    <row r="941" spans="1:23" ht="15.95" customHeight="1">
      <c r="A941" s="8"/>
      <c r="B941" s="7"/>
      <c r="C941" s="33"/>
      <c r="D941" s="7"/>
      <c r="E941" s="7"/>
      <c r="F941" s="7"/>
      <c r="G941" s="7"/>
      <c r="H941" s="7"/>
      <c r="I941" s="7"/>
      <c r="J941" s="7"/>
      <c r="K941" s="7"/>
      <c r="L941" s="7"/>
      <c r="M941" s="7"/>
      <c r="N941" s="7"/>
      <c r="O941" s="7"/>
      <c r="P941" s="7"/>
      <c r="Q941" s="7"/>
      <c r="R941" s="64"/>
      <c r="S941" s="64"/>
      <c r="T941" s="64"/>
      <c r="U941" s="64"/>
      <c r="V941" s="64"/>
      <c r="W941" s="64"/>
    </row>
    <row r="942" spans="1:23" ht="15.95" customHeight="1">
      <c r="A942" s="8"/>
      <c r="B942" s="7"/>
      <c r="C942" s="33"/>
      <c r="D942" s="7"/>
      <c r="E942" s="7"/>
      <c r="F942" s="7"/>
      <c r="G942" s="7"/>
      <c r="H942" s="7"/>
      <c r="I942" s="7"/>
      <c r="J942" s="7"/>
      <c r="K942" s="7"/>
      <c r="L942" s="7"/>
      <c r="M942" s="7"/>
      <c r="N942" s="7"/>
      <c r="O942" s="7"/>
      <c r="P942" s="7"/>
      <c r="Q942" s="7"/>
      <c r="R942" s="64"/>
      <c r="S942" s="64"/>
      <c r="T942" s="64"/>
      <c r="U942" s="64"/>
      <c r="V942" s="64"/>
      <c r="W942" s="64"/>
    </row>
    <row r="943" spans="1:23" ht="15.95" customHeight="1">
      <c r="A943" s="8"/>
      <c r="B943" s="7"/>
      <c r="C943" s="33"/>
      <c r="D943" s="7"/>
      <c r="E943" s="7"/>
      <c r="F943" s="7"/>
      <c r="G943" s="7"/>
      <c r="H943" s="7"/>
      <c r="I943" s="7"/>
      <c r="J943" s="7"/>
      <c r="K943" s="7"/>
      <c r="L943" s="7"/>
      <c r="M943" s="7"/>
      <c r="N943" s="7"/>
      <c r="O943" s="7"/>
      <c r="P943" s="7"/>
      <c r="Q943" s="7"/>
      <c r="R943" s="64"/>
      <c r="S943" s="64"/>
      <c r="T943" s="64"/>
      <c r="U943" s="64"/>
      <c r="V943" s="64"/>
      <c r="W943" s="64"/>
    </row>
    <row r="944" spans="1:23" ht="15.95" customHeight="1">
      <c r="A944" s="8"/>
      <c r="B944" s="7"/>
      <c r="C944" s="33"/>
      <c r="D944" s="7"/>
      <c r="E944" s="7"/>
      <c r="F944" s="7"/>
      <c r="G944" s="7"/>
      <c r="H944" s="7"/>
      <c r="I944" s="7"/>
      <c r="J944" s="7"/>
      <c r="K944" s="7"/>
      <c r="L944" s="7"/>
      <c r="M944" s="7"/>
      <c r="N944" s="7"/>
      <c r="O944" s="7"/>
      <c r="P944" s="7"/>
      <c r="Q944" s="7"/>
      <c r="R944" s="64"/>
      <c r="S944" s="64"/>
      <c r="T944" s="64"/>
      <c r="U944" s="64"/>
      <c r="V944" s="64"/>
      <c r="W944" s="64"/>
    </row>
    <row r="945" spans="1:23" ht="15.95" customHeight="1">
      <c r="A945" s="8"/>
      <c r="B945" s="7"/>
      <c r="C945" s="33"/>
      <c r="D945" s="7"/>
      <c r="E945" s="7"/>
      <c r="F945" s="7"/>
      <c r="G945" s="7"/>
      <c r="H945" s="7"/>
      <c r="I945" s="7"/>
      <c r="J945" s="7"/>
      <c r="K945" s="7"/>
      <c r="L945" s="7"/>
      <c r="M945" s="7"/>
      <c r="N945" s="7"/>
      <c r="O945" s="7"/>
      <c r="P945" s="7"/>
      <c r="Q945" s="7"/>
      <c r="R945" s="64"/>
      <c r="S945" s="64"/>
      <c r="T945" s="64"/>
      <c r="U945" s="64"/>
      <c r="V945" s="64"/>
      <c r="W945" s="64"/>
    </row>
    <row r="946" spans="1:23" ht="15.95" customHeight="1">
      <c r="A946" s="8"/>
      <c r="B946" s="7"/>
      <c r="C946" s="33"/>
      <c r="D946" s="7"/>
      <c r="E946" s="7"/>
      <c r="F946" s="7"/>
      <c r="G946" s="7"/>
      <c r="H946" s="7"/>
      <c r="I946" s="7"/>
      <c r="J946" s="7"/>
      <c r="K946" s="7"/>
      <c r="L946" s="7"/>
      <c r="M946" s="7"/>
      <c r="N946" s="7"/>
      <c r="O946" s="7"/>
      <c r="P946" s="7"/>
      <c r="Q946" s="7"/>
      <c r="R946" s="64"/>
      <c r="S946" s="64"/>
      <c r="T946" s="64"/>
      <c r="U946" s="64"/>
      <c r="V946" s="64"/>
      <c r="W946" s="64"/>
    </row>
    <row r="947" spans="1:23" ht="15.95" customHeight="1">
      <c r="A947" s="8"/>
      <c r="B947" s="7"/>
      <c r="C947" s="33"/>
      <c r="D947" s="7"/>
      <c r="E947" s="7"/>
      <c r="F947" s="7"/>
      <c r="G947" s="7"/>
      <c r="H947" s="7"/>
      <c r="I947" s="7"/>
      <c r="J947" s="7"/>
      <c r="K947" s="7"/>
      <c r="L947" s="7"/>
      <c r="M947" s="7"/>
      <c r="N947" s="7"/>
      <c r="O947" s="7"/>
      <c r="P947" s="7"/>
      <c r="Q947" s="7"/>
      <c r="R947" s="64"/>
      <c r="S947" s="64"/>
      <c r="T947" s="64"/>
      <c r="U947" s="64"/>
      <c r="V947" s="64"/>
      <c r="W947" s="64"/>
    </row>
    <row r="948" spans="1:23" ht="15.95" customHeight="1">
      <c r="A948" s="8"/>
      <c r="B948" s="7"/>
      <c r="C948" s="33"/>
      <c r="D948" s="7"/>
      <c r="E948" s="7"/>
      <c r="F948" s="7"/>
      <c r="G948" s="7"/>
      <c r="H948" s="7"/>
      <c r="I948" s="7"/>
      <c r="J948" s="7"/>
      <c r="K948" s="7"/>
      <c r="L948" s="7"/>
      <c r="M948" s="7"/>
      <c r="N948" s="7"/>
      <c r="O948" s="7"/>
      <c r="P948" s="7"/>
      <c r="Q948" s="7"/>
      <c r="R948" s="64"/>
      <c r="S948" s="64"/>
      <c r="T948" s="64"/>
      <c r="U948" s="64"/>
      <c r="V948" s="64"/>
      <c r="W948" s="64"/>
    </row>
    <row r="949" spans="1:23" ht="15.95" customHeight="1">
      <c r="A949" s="8"/>
      <c r="B949" s="7"/>
      <c r="C949" s="33"/>
      <c r="D949" s="7"/>
      <c r="E949" s="7"/>
      <c r="F949" s="7"/>
      <c r="G949" s="7"/>
      <c r="H949" s="7"/>
      <c r="I949" s="7"/>
      <c r="J949" s="7"/>
      <c r="K949" s="7"/>
      <c r="L949" s="7"/>
      <c r="M949" s="7"/>
      <c r="N949" s="7"/>
      <c r="O949" s="7"/>
      <c r="P949" s="7"/>
      <c r="Q949" s="7"/>
      <c r="R949" s="64"/>
      <c r="S949" s="64"/>
      <c r="T949" s="64"/>
      <c r="U949" s="64"/>
      <c r="V949" s="64"/>
      <c r="W949" s="64"/>
    </row>
    <row r="950" spans="1:23" ht="15.95" customHeight="1">
      <c r="A950" s="8"/>
      <c r="B950" s="7"/>
      <c r="C950" s="33"/>
      <c r="D950" s="7"/>
      <c r="E950" s="7"/>
      <c r="F950" s="7"/>
      <c r="G950" s="7"/>
      <c r="H950" s="7"/>
      <c r="I950" s="7"/>
      <c r="J950" s="7"/>
      <c r="K950" s="7"/>
      <c r="L950" s="7"/>
      <c r="M950" s="7"/>
      <c r="N950" s="7"/>
      <c r="O950" s="7"/>
      <c r="P950" s="7"/>
      <c r="Q950" s="7"/>
      <c r="R950" s="64"/>
      <c r="S950" s="64"/>
      <c r="T950" s="64"/>
      <c r="U950" s="64"/>
      <c r="V950" s="64"/>
      <c r="W950" s="64"/>
    </row>
    <row r="951" spans="1:23" ht="15.95" customHeight="1">
      <c r="A951" s="8"/>
      <c r="B951" s="7"/>
      <c r="C951" s="33"/>
      <c r="D951" s="7"/>
      <c r="E951" s="7"/>
      <c r="F951" s="7"/>
      <c r="G951" s="7"/>
      <c r="H951" s="7"/>
      <c r="I951" s="7"/>
      <c r="J951" s="7"/>
      <c r="K951" s="7"/>
      <c r="L951" s="7"/>
      <c r="M951" s="7"/>
      <c r="N951" s="7"/>
      <c r="O951" s="7"/>
      <c r="P951" s="7"/>
      <c r="Q951" s="7"/>
      <c r="R951" s="64"/>
      <c r="S951" s="64"/>
      <c r="T951" s="64"/>
      <c r="U951" s="64"/>
      <c r="V951" s="64"/>
      <c r="W951" s="64"/>
    </row>
    <row r="952" spans="1:23" ht="15.95" customHeight="1">
      <c r="A952" s="8"/>
      <c r="B952" s="7"/>
      <c r="C952" s="33"/>
      <c r="D952" s="7"/>
      <c r="E952" s="7"/>
      <c r="F952" s="7"/>
      <c r="G952" s="7"/>
      <c r="H952" s="7"/>
      <c r="I952" s="7"/>
      <c r="J952" s="7"/>
      <c r="K952" s="7"/>
      <c r="L952" s="7"/>
      <c r="M952" s="7"/>
      <c r="N952" s="7"/>
      <c r="O952" s="7"/>
      <c r="P952" s="7"/>
      <c r="Q952" s="7"/>
      <c r="R952" s="64"/>
      <c r="S952" s="64"/>
      <c r="T952" s="64"/>
      <c r="U952" s="64"/>
      <c r="V952" s="64"/>
      <c r="W952" s="64"/>
    </row>
    <row r="953" spans="1:23" ht="15.95" customHeight="1">
      <c r="A953" s="8"/>
      <c r="B953" s="7"/>
      <c r="C953" s="33"/>
      <c r="D953" s="7"/>
      <c r="E953" s="7"/>
      <c r="F953" s="7"/>
      <c r="G953" s="7"/>
      <c r="H953" s="7"/>
      <c r="I953" s="7"/>
      <c r="J953" s="7"/>
      <c r="K953" s="7"/>
      <c r="L953" s="7"/>
      <c r="M953" s="7"/>
      <c r="N953" s="7"/>
      <c r="O953" s="7"/>
      <c r="P953" s="7"/>
      <c r="Q953" s="7"/>
      <c r="R953" s="64"/>
      <c r="S953" s="64"/>
      <c r="T953" s="64"/>
      <c r="U953" s="64"/>
      <c r="V953" s="64"/>
      <c r="W953" s="64"/>
    </row>
    <row r="954" spans="1:23" ht="15.95" customHeight="1">
      <c r="A954" s="8"/>
      <c r="B954" s="7"/>
      <c r="C954" s="33"/>
      <c r="D954" s="7"/>
      <c r="E954" s="7"/>
      <c r="F954" s="7"/>
      <c r="G954" s="7"/>
      <c r="H954" s="7"/>
      <c r="I954" s="7"/>
      <c r="J954" s="7"/>
      <c r="K954" s="7"/>
      <c r="L954" s="7"/>
      <c r="M954" s="7"/>
      <c r="N954" s="7"/>
      <c r="O954" s="7"/>
      <c r="P954" s="7"/>
      <c r="Q954" s="7"/>
      <c r="R954" s="64"/>
      <c r="S954" s="64"/>
      <c r="T954" s="64"/>
      <c r="U954" s="64"/>
      <c r="V954" s="64"/>
      <c r="W954" s="64"/>
    </row>
    <row r="955" spans="1:23" ht="15.95" customHeight="1">
      <c r="A955" s="8"/>
      <c r="B955" s="7"/>
      <c r="C955" s="33"/>
      <c r="D955" s="7"/>
      <c r="E955" s="7"/>
      <c r="F955" s="7"/>
      <c r="G955" s="7"/>
      <c r="H955" s="7"/>
      <c r="I955" s="7"/>
      <c r="J955" s="7"/>
      <c r="K955" s="7"/>
      <c r="L955" s="7"/>
      <c r="M955" s="7"/>
      <c r="N955" s="7"/>
      <c r="O955" s="7"/>
      <c r="P955" s="7"/>
      <c r="Q955" s="7"/>
      <c r="R955" s="64"/>
      <c r="S955" s="64"/>
      <c r="T955" s="64"/>
      <c r="U955" s="64"/>
      <c r="V955" s="64"/>
      <c r="W955" s="64"/>
    </row>
    <row r="956" spans="1:23" ht="15.95" customHeight="1">
      <c r="A956" s="8"/>
      <c r="B956" s="7"/>
      <c r="C956" s="33"/>
      <c r="D956" s="7"/>
      <c r="E956" s="7"/>
      <c r="F956" s="7"/>
      <c r="G956" s="7"/>
      <c r="H956" s="7"/>
      <c r="I956" s="7"/>
      <c r="J956" s="7"/>
      <c r="K956" s="7"/>
      <c r="L956" s="7"/>
      <c r="M956" s="7"/>
      <c r="N956" s="7"/>
      <c r="O956" s="7"/>
      <c r="P956" s="7"/>
      <c r="Q956" s="7"/>
      <c r="R956" s="64"/>
      <c r="S956" s="64"/>
      <c r="T956" s="64"/>
      <c r="U956" s="64"/>
      <c r="V956" s="64"/>
      <c r="W956" s="64"/>
    </row>
    <row r="957" spans="1:23" ht="15.95" customHeight="1">
      <c r="A957" s="8"/>
      <c r="B957" s="7"/>
      <c r="C957" s="33"/>
      <c r="D957" s="7"/>
      <c r="E957" s="7"/>
      <c r="F957" s="7"/>
      <c r="G957" s="7"/>
      <c r="H957" s="7"/>
      <c r="I957" s="7"/>
      <c r="J957" s="7"/>
      <c r="K957" s="7"/>
      <c r="L957" s="7"/>
      <c r="M957" s="7"/>
      <c r="N957" s="7"/>
      <c r="O957" s="7"/>
      <c r="P957" s="7"/>
      <c r="Q957" s="7"/>
      <c r="R957" s="64"/>
      <c r="S957" s="64"/>
      <c r="T957" s="64"/>
      <c r="U957" s="64"/>
      <c r="V957" s="64"/>
      <c r="W957" s="64"/>
    </row>
    <row r="958" spans="1:23" ht="15.95" customHeight="1">
      <c r="A958" s="8"/>
      <c r="B958" s="7"/>
      <c r="C958" s="33"/>
      <c r="D958" s="7"/>
      <c r="E958" s="7"/>
      <c r="F958" s="7"/>
      <c r="G958" s="7"/>
      <c r="H958" s="7"/>
      <c r="I958" s="7"/>
      <c r="J958" s="7"/>
      <c r="K958" s="7"/>
      <c r="L958" s="7"/>
      <c r="M958" s="7"/>
      <c r="N958" s="7"/>
      <c r="O958" s="7"/>
      <c r="P958" s="7"/>
      <c r="Q958" s="7"/>
      <c r="R958" s="64"/>
      <c r="S958" s="64"/>
      <c r="T958" s="64"/>
      <c r="U958" s="64"/>
      <c r="V958" s="64"/>
      <c r="W958" s="64"/>
    </row>
    <row r="959" spans="1:23" ht="15.95" customHeight="1">
      <c r="A959" s="8"/>
      <c r="B959" s="7"/>
      <c r="C959" s="33"/>
      <c r="D959" s="7"/>
      <c r="E959" s="7"/>
      <c r="F959" s="7"/>
      <c r="G959" s="7"/>
      <c r="H959" s="7"/>
      <c r="I959" s="7"/>
      <c r="J959" s="7"/>
      <c r="K959" s="7"/>
      <c r="L959" s="7"/>
      <c r="M959" s="7"/>
      <c r="N959" s="7"/>
      <c r="O959" s="7"/>
      <c r="P959" s="7"/>
      <c r="Q959" s="7"/>
      <c r="R959" s="64"/>
      <c r="S959" s="64"/>
      <c r="T959" s="64"/>
      <c r="U959" s="64"/>
      <c r="V959" s="64"/>
      <c r="W959" s="64"/>
    </row>
    <row r="960" spans="1:23" ht="15.95" customHeight="1">
      <c r="A960" s="8"/>
      <c r="B960" s="7"/>
      <c r="C960" s="33"/>
      <c r="D960" s="7"/>
      <c r="E960" s="7"/>
      <c r="F960" s="7"/>
      <c r="G960" s="7"/>
      <c r="H960" s="7"/>
      <c r="I960" s="7"/>
      <c r="J960" s="7"/>
      <c r="K960" s="7"/>
      <c r="L960" s="7"/>
      <c r="M960" s="7"/>
      <c r="N960" s="7"/>
      <c r="O960" s="7"/>
      <c r="P960" s="7"/>
      <c r="Q960" s="7"/>
      <c r="R960" s="64"/>
      <c r="S960" s="64"/>
      <c r="T960" s="64"/>
      <c r="U960" s="64"/>
      <c r="V960" s="64"/>
      <c r="W960" s="64"/>
    </row>
    <row r="961" spans="1:23" ht="15.95" customHeight="1">
      <c r="A961" s="8"/>
      <c r="B961" s="7"/>
      <c r="C961" s="33"/>
      <c r="D961" s="7"/>
      <c r="E961" s="7"/>
      <c r="F961" s="7"/>
      <c r="G961" s="7"/>
      <c r="H961" s="7"/>
      <c r="I961" s="7"/>
      <c r="J961" s="7"/>
      <c r="K961" s="7"/>
      <c r="L961" s="7"/>
      <c r="M961" s="7"/>
      <c r="N961" s="7"/>
      <c r="O961" s="7"/>
      <c r="P961" s="7"/>
      <c r="Q961" s="7"/>
      <c r="R961" s="64"/>
      <c r="S961" s="64"/>
      <c r="T961" s="64"/>
      <c r="U961" s="64"/>
      <c r="V961" s="64"/>
      <c r="W961" s="64"/>
    </row>
    <row r="962" spans="1:23" ht="15.95" customHeight="1">
      <c r="A962" s="8"/>
      <c r="B962" s="7"/>
      <c r="C962" s="33"/>
      <c r="D962" s="7"/>
      <c r="E962" s="7"/>
      <c r="F962" s="7"/>
      <c r="G962" s="7"/>
      <c r="H962" s="7"/>
      <c r="I962" s="7"/>
      <c r="J962" s="7"/>
      <c r="K962" s="7"/>
      <c r="L962" s="7"/>
      <c r="M962" s="7"/>
      <c r="N962" s="7"/>
      <c r="O962" s="7"/>
      <c r="P962" s="7"/>
      <c r="Q962" s="7"/>
      <c r="R962" s="64"/>
      <c r="S962" s="64"/>
      <c r="T962" s="64"/>
      <c r="U962" s="64"/>
      <c r="V962" s="64"/>
      <c r="W962" s="64"/>
    </row>
    <row r="963" spans="1:23" ht="15.95" customHeight="1">
      <c r="A963" s="8"/>
      <c r="B963" s="7"/>
      <c r="C963" s="33"/>
      <c r="D963" s="7"/>
      <c r="E963" s="7"/>
      <c r="F963" s="7"/>
      <c r="G963" s="7"/>
      <c r="H963" s="7"/>
      <c r="I963" s="7"/>
      <c r="J963" s="7"/>
      <c r="K963" s="7"/>
      <c r="L963" s="7"/>
      <c r="M963" s="7"/>
      <c r="N963" s="7"/>
      <c r="O963" s="7"/>
      <c r="P963" s="7"/>
      <c r="Q963" s="7"/>
      <c r="R963" s="64"/>
      <c r="S963" s="64"/>
      <c r="T963" s="64"/>
      <c r="U963" s="64"/>
      <c r="V963" s="64"/>
      <c r="W963" s="64"/>
    </row>
    <row r="964" spans="1:23" ht="15.95" customHeight="1">
      <c r="A964" s="8"/>
      <c r="B964" s="7"/>
      <c r="C964" s="33"/>
      <c r="D964" s="7"/>
      <c r="E964" s="7"/>
      <c r="F964" s="7"/>
      <c r="G964" s="7"/>
      <c r="H964" s="7"/>
      <c r="I964" s="7"/>
      <c r="J964" s="7"/>
      <c r="K964" s="7"/>
      <c r="L964" s="7"/>
      <c r="M964" s="7"/>
      <c r="N964" s="7"/>
      <c r="O964" s="7"/>
      <c r="P964" s="7"/>
      <c r="Q964" s="7"/>
      <c r="R964" s="64"/>
      <c r="S964" s="64"/>
      <c r="T964" s="64"/>
      <c r="U964" s="64"/>
      <c r="V964" s="64"/>
      <c r="W964" s="64"/>
    </row>
    <row r="965" spans="1:23" ht="15.95" customHeight="1">
      <c r="A965" s="8"/>
      <c r="B965" s="7"/>
      <c r="C965" s="33"/>
      <c r="D965" s="7"/>
      <c r="E965" s="7"/>
      <c r="F965" s="7"/>
      <c r="G965" s="7"/>
      <c r="H965" s="7"/>
      <c r="I965" s="7"/>
      <c r="J965" s="7"/>
      <c r="K965" s="7"/>
      <c r="L965" s="7"/>
      <c r="M965" s="7"/>
      <c r="N965" s="7"/>
      <c r="O965" s="7"/>
      <c r="P965" s="7"/>
      <c r="Q965" s="7"/>
      <c r="R965" s="64"/>
      <c r="S965" s="64"/>
      <c r="T965" s="64"/>
      <c r="U965" s="64"/>
      <c r="V965" s="64"/>
      <c r="W965" s="64"/>
    </row>
    <row r="966" spans="1:23" ht="15.95" customHeight="1">
      <c r="A966" s="8"/>
      <c r="B966" s="7"/>
      <c r="C966" s="33"/>
      <c r="D966" s="7"/>
      <c r="E966" s="7"/>
      <c r="F966" s="7"/>
      <c r="G966" s="7"/>
      <c r="H966" s="7"/>
      <c r="I966" s="7"/>
      <c r="J966" s="7"/>
      <c r="K966" s="7"/>
      <c r="L966" s="7"/>
      <c r="M966" s="7"/>
      <c r="N966" s="7"/>
      <c r="O966" s="7"/>
      <c r="P966" s="7"/>
      <c r="Q966" s="7"/>
      <c r="R966" s="64"/>
      <c r="S966" s="64"/>
      <c r="T966" s="64"/>
      <c r="U966" s="64"/>
      <c r="V966" s="64"/>
      <c r="W966" s="64"/>
    </row>
    <row r="967" spans="1:23" ht="15.95" customHeight="1">
      <c r="A967" s="8"/>
      <c r="B967" s="7"/>
      <c r="C967" s="33"/>
      <c r="D967" s="7"/>
      <c r="E967" s="7"/>
      <c r="F967" s="7"/>
      <c r="G967" s="7"/>
      <c r="H967" s="7"/>
      <c r="I967" s="7"/>
      <c r="J967" s="7"/>
      <c r="K967" s="7"/>
      <c r="L967" s="7"/>
      <c r="M967" s="7"/>
      <c r="N967" s="7"/>
      <c r="O967" s="7"/>
      <c r="P967" s="7"/>
      <c r="Q967" s="7"/>
      <c r="R967" s="64"/>
      <c r="S967" s="64"/>
      <c r="T967" s="64"/>
      <c r="U967" s="64"/>
      <c r="V967" s="64"/>
      <c r="W967" s="64"/>
    </row>
    <row r="968" spans="1:23" ht="15.95" customHeight="1">
      <c r="A968" s="8"/>
      <c r="B968" s="7"/>
      <c r="C968" s="33"/>
      <c r="D968" s="7"/>
      <c r="E968" s="7"/>
      <c r="F968" s="7"/>
      <c r="G968" s="7"/>
      <c r="H968" s="7"/>
      <c r="I968" s="7"/>
      <c r="J968" s="7"/>
      <c r="K968" s="7"/>
      <c r="L968" s="7"/>
      <c r="M968" s="7"/>
      <c r="N968" s="7"/>
      <c r="O968" s="7"/>
      <c r="P968" s="7"/>
      <c r="Q968" s="7"/>
      <c r="R968" s="64"/>
      <c r="S968" s="64"/>
      <c r="T968" s="64"/>
      <c r="U968" s="64"/>
      <c r="V968" s="64"/>
      <c r="W968" s="64"/>
    </row>
    <row r="969" spans="1:23" ht="15.95" customHeight="1">
      <c r="A969" s="8"/>
      <c r="B969" s="7"/>
      <c r="C969" s="33"/>
      <c r="D969" s="7"/>
      <c r="E969" s="7"/>
      <c r="F969" s="7"/>
      <c r="G969" s="7"/>
      <c r="H969" s="7"/>
      <c r="I969" s="7"/>
      <c r="J969" s="7"/>
      <c r="K969" s="7"/>
      <c r="L969" s="7"/>
      <c r="M969" s="7"/>
      <c r="N969" s="7"/>
      <c r="O969" s="7"/>
      <c r="P969" s="7"/>
      <c r="Q969" s="7"/>
      <c r="R969" s="64"/>
      <c r="S969" s="64"/>
      <c r="T969" s="64"/>
      <c r="U969" s="64"/>
      <c r="V969" s="64"/>
      <c r="W969" s="64"/>
    </row>
    <row r="970" spans="1:23" ht="15.95" customHeight="1">
      <c r="A970" s="8"/>
      <c r="B970" s="7"/>
      <c r="C970" s="33"/>
      <c r="D970" s="7"/>
      <c r="E970" s="7"/>
      <c r="F970" s="7"/>
      <c r="G970" s="7"/>
      <c r="H970" s="7"/>
      <c r="I970" s="7"/>
      <c r="J970" s="7"/>
      <c r="K970" s="7"/>
      <c r="L970" s="7"/>
      <c r="M970" s="7"/>
      <c r="N970" s="7"/>
      <c r="O970" s="7"/>
      <c r="P970" s="7"/>
      <c r="Q970" s="7"/>
      <c r="R970" s="64"/>
      <c r="S970" s="64"/>
      <c r="T970" s="64"/>
      <c r="U970" s="64"/>
      <c r="V970" s="64"/>
      <c r="W970" s="64"/>
    </row>
    <row r="971" spans="1:23" ht="15.95" customHeight="1">
      <c r="A971" s="8"/>
      <c r="B971" s="7"/>
      <c r="C971" s="33"/>
      <c r="D971" s="7"/>
      <c r="E971" s="7"/>
      <c r="F971" s="7"/>
      <c r="G971" s="7"/>
      <c r="H971" s="7"/>
      <c r="I971" s="7"/>
      <c r="J971" s="7"/>
      <c r="K971" s="7"/>
      <c r="L971" s="7"/>
      <c r="M971" s="7"/>
      <c r="N971" s="7"/>
      <c r="O971" s="7"/>
      <c r="P971" s="7"/>
      <c r="Q971" s="7"/>
      <c r="R971" s="64"/>
      <c r="S971" s="64"/>
      <c r="T971" s="64"/>
      <c r="U971" s="64"/>
      <c r="V971" s="64"/>
      <c r="W971" s="64"/>
    </row>
    <row r="972" spans="1:23" ht="15.95" customHeight="1">
      <c r="A972" s="8"/>
      <c r="B972" s="7"/>
      <c r="C972" s="33"/>
      <c r="D972" s="7"/>
      <c r="E972" s="7"/>
      <c r="F972" s="7"/>
      <c r="G972" s="7"/>
      <c r="H972" s="7"/>
      <c r="I972" s="7"/>
      <c r="J972" s="7"/>
      <c r="K972" s="7"/>
      <c r="L972" s="7"/>
      <c r="M972" s="7"/>
      <c r="N972" s="7"/>
      <c r="O972" s="7"/>
      <c r="P972" s="7"/>
      <c r="Q972" s="7"/>
      <c r="R972" s="64"/>
      <c r="S972" s="64"/>
      <c r="T972" s="64"/>
      <c r="U972" s="64"/>
      <c r="V972" s="64"/>
      <c r="W972" s="64"/>
    </row>
    <row r="973" spans="1:23" ht="15.95" customHeight="1">
      <c r="A973" s="8"/>
      <c r="B973" s="7"/>
      <c r="C973" s="33"/>
      <c r="D973" s="7"/>
      <c r="E973" s="7"/>
      <c r="F973" s="7"/>
      <c r="G973" s="7"/>
      <c r="H973" s="7"/>
      <c r="I973" s="7"/>
      <c r="J973" s="7"/>
      <c r="K973" s="7"/>
      <c r="L973" s="7"/>
      <c r="M973" s="7"/>
      <c r="N973" s="7"/>
      <c r="O973" s="7"/>
      <c r="P973" s="7"/>
      <c r="Q973" s="7"/>
      <c r="R973" s="64"/>
      <c r="S973" s="64"/>
      <c r="T973" s="64"/>
      <c r="U973" s="64"/>
      <c r="V973" s="64"/>
      <c r="W973" s="64"/>
    </row>
    <row r="974" spans="1:23" ht="15.95" customHeight="1">
      <c r="A974" s="8"/>
      <c r="B974" s="7"/>
      <c r="C974" s="33"/>
      <c r="D974" s="7"/>
      <c r="E974" s="7"/>
      <c r="F974" s="7"/>
      <c r="G974" s="7"/>
      <c r="H974" s="7"/>
      <c r="I974" s="7"/>
      <c r="J974" s="7"/>
      <c r="K974" s="7"/>
      <c r="L974" s="7"/>
      <c r="M974" s="7"/>
      <c r="N974" s="7"/>
      <c r="O974" s="7"/>
      <c r="P974" s="7"/>
      <c r="Q974" s="7"/>
      <c r="R974" s="64"/>
      <c r="S974" s="64"/>
      <c r="T974" s="64"/>
      <c r="U974" s="64"/>
      <c r="V974" s="64"/>
      <c r="W974" s="64"/>
    </row>
    <row r="975" spans="1:23" ht="15.95" customHeight="1">
      <c r="A975" s="8"/>
      <c r="B975" s="7"/>
      <c r="C975" s="33"/>
      <c r="D975" s="7"/>
      <c r="E975" s="7"/>
      <c r="F975" s="7"/>
      <c r="G975" s="7"/>
      <c r="H975" s="7"/>
      <c r="I975" s="7"/>
      <c r="J975" s="7"/>
      <c r="K975" s="7"/>
      <c r="L975" s="7"/>
      <c r="M975" s="7"/>
      <c r="N975" s="7"/>
      <c r="O975" s="7"/>
      <c r="P975" s="7"/>
      <c r="Q975" s="7"/>
      <c r="R975" s="64"/>
      <c r="S975" s="64"/>
      <c r="T975" s="64"/>
      <c r="U975" s="64"/>
      <c r="V975" s="64"/>
      <c r="W975" s="64"/>
    </row>
    <row r="976" spans="1:23" ht="15.95" customHeight="1">
      <c r="A976" s="8"/>
      <c r="B976" s="7"/>
      <c r="C976" s="33"/>
      <c r="D976" s="7"/>
      <c r="E976" s="7"/>
      <c r="F976" s="7"/>
      <c r="G976" s="7"/>
      <c r="H976" s="7"/>
      <c r="I976" s="7"/>
      <c r="J976" s="7"/>
      <c r="K976" s="7"/>
      <c r="L976" s="7"/>
      <c r="M976" s="7"/>
      <c r="N976" s="7"/>
      <c r="O976" s="7"/>
      <c r="P976" s="7"/>
      <c r="Q976" s="7"/>
      <c r="R976" s="64"/>
      <c r="S976" s="64"/>
      <c r="T976" s="64"/>
      <c r="U976" s="64"/>
      <c r="V976" s="64"/>
      <c r="W976" s="64"/>
    </row>
    <row r="977" spans="1:23" ht="15.95" customHeight="1">
      <c r="A977" s="8"/>
      <c r="B977" s="7"/>
      <c r="C977" s="33"/>
      <c r="D977" s="7"/>
      <c r="E977" s="7"/>
      <c r="F977" s="7"/>
      <c r="G977" s="7"/>
      <c r="H977" s="7"/>
      <c r="I977" s="7"/>
      <c r="J977" s="7"/>
      <c r="K977" s="7"/>
      <c r="L977" s="7"/>
      <c r="M977" s="7"/>
      <c r="N977" s="7"/>
      <c r="O977" s="7"/>
      <c r="P977" s="7"/>
      <c r="Q977" s="7"/>
      <c r="R977" s="64"/>
      <c r="S977" s="64"/>
      <c r="T977" s="64"/>
      <c r="U977" s="64"/>
      <c r="V977" s="64"/>
      <c r="W977" s="64"/>
    </row>
    <row r="978" spans="1:23" ht="15.95" customHeight="1">
      <c r="A978" s="8"/>
      <c r="B978" s="7"/>
      <c r="C978" s="33"/>
      <c r="D978" s="7"/>
      <c r="E978" s="7"/>
      <c r="F978" s="7"/>
      <c r="G978" s="7"/>
      <c r="H978" s="7"/>
      <c r="I978" s="7"/>
      <c r="J978" s="7"/>
      <c r="K978" s="7"/>
      <c r="L978" s="7"/>
      <c r="M978" s="7"/>
      <c r="N978" s="7"/>
      <c r="O978" s="7"/>
      <c r="P978" s="7"/>
      <c r="Q978" s="7"/>
      <c r="R978" s="64"/>
      <c r="S978" s="64"/>
      <c r="T978" s="64"/>
      <c r="U978" s="64"/>
      <c r="V978" s="64"/>
      <c r="W978" s="64"/>
    </row>
    <row r="979" spans="1:23" ht="15.95" customHeight="1">
      <c r="A979" s="8"/>
      <c r="B979" s="7"/>
      <c r="C979" s="33"/>
      <c r="D979" s="7"/>
      <c r="E979" s="7"/>
      <c r="F979" s="7"/>
      <c r="G979" s="7"/>
      <c r="H979" s="7"/>
      <c r="I979" s="7"/>
      <c r="J979" s="7"/>
      <c r="K979" s="7"/>
      <c r="L979" s="7"/>
      <c r="M979" s="7"/>
      <c r="N979" s="7"/>
      <c r="O979" s="7"/>
      <c r="P979" s="7"/>
      <c r="Q979" s="7"/>
      <c r="R979" s="64"/>
      <c r="S979" s="64"/>
      <c r="T979" s="64"/>
      <c r="U979" s="64"/>
      <c r="V979" s="64"/>
      <c r="W979" s="64"/>
    </row>
    <row r="980" spans="1:23" ht="15.95" customHeight="1">
      <c r="A980" s="8"/>
      <c r="B980" s="7"/>
      <c r="C980" s="33"/>
      <c r="D980" s="7"/>
      <c r="E980" s="7"/>
      <c r="F980" s="7"/>
      <c r="G980" s="7"/>
      <c r="H980" s="7"/>
      <c r="I980" s="7"/>
      <c r="J980" s="7"/>
      <c r="K980" s="7"/>
      <c r="L980" s="7"/>
      <c r="M980" s="7"/>
      <c r="N980" s="7"/>
      <c r="O980" s="7"/>
      <c r="P980" s="7"/>
      <c r="Q980" s="7"/>
      <c r="R980" s="64"/>
      <c r="S980" s="64"/>
      <c r="T980" s="64"/>
      <c r="U980" s="64"/>
      <c r="V980" s="64"/>
      <c r="W980" s="64"/>
    </row>
    <row r="981" spans="1:23" ht="15.95" customHeight="1">
      <c r="A981" s="8"/>
      <c r="B981" s="7"/>
      <c r="C981" s="33"/>
      <c r="D981" s="7"/>
      <c r="E981" s="7"/>
      <c r="F981" s="7"/>
      <c r="G981" s="7"/>
      <c r="H981" s="7"/>
      <c r="I981" s="7"/>
      <c r="J981" s="7"/>
      <c r="K981" s="7"/>
      <c r="L981" s="7"/>
      <c r="M981" s="7"/>
      <c r="N981" s="7"/>
      <c r="O981" s="7"/>
      <c r="P981" s="7"/>
      <c r="Q981" s="7"/>
      <c r="R981" s="64"/>
      <c r="S981" s="64"/>
      <c r="T981" s="64"/>
      <c r="U981" s="64"/>
      <c r="V981" s="64"/>
      <c r="W981" s="64"/>
    </row>
    <row r="982" spans="1:23" ht="15.95" customHeight="1">
      <c r="A982" s="8"/>
      <c r="B982" s="7"/>
      <c r="C982" s="33"/>
      <c r="D982" s="7"/>
      <c r="E982" s="7"/>
      <c r="F982" s="7"/>
      <c r="G982" s="7"/>
      <c r="H982" s="7"/>
      <c r="I982" s="7"/>
      <c r="J982" s="7"/>
      <c r="K982" s="7"/>
      <c r="L982" s="7"/>
      <c r="M982" s="7"/>
      <c r="N982" s="7"/>
      <c r="O982" s="7"/>
      <c r="P982" s="7"/>
      <c r="Q982" s="7"/>
      <c r="R982" s="64"/>
      <c r="S982" s="64"/>
      <c r="T982" s="64"/>
      <c r="U982" s="64"/>
      <c r="V982" s="64"/>
      <c r="W982" s="64"/>
    </row>
    <row r="983" spans="1:23" ht="15.95" customHeight="1">
      <c r="A983" s="8"/>
      <c r="B983" s="7"/>
      <c r="C983" s="33"/>
      <c r="D983" s="7"/>
      <c r="E983" s="7"/>
      <c r="F983" s="7"/>
      <c r="G983" s="7"/>
      <c r="H983" s="7"/>
      <c r="I983" s="7"/>
      <c r="J983" s="7"/>
      <c r="K983" s="7"/>
      <c r="L983" s="7"/>
      <c r="M983" s="7"/>
      <c r="N983" s="7"/>
      <c r="O983" s="7"/>
      <c r="P983" s="7"/>
      <c r="Q983" s="7"/>
      <c r="R983" s="64"/>
      <c r="S983" s="64"/>
      <c r="T983" s="64"/>
      <c r="U983" s="64"/>
      <c r="V983" s="64"/>
      <c r="W983" s="64"/>
    </row>
    <row r="984" spans="1:23" ht="15.95" customHeight="1">
      <c r="A984" s="8"/>
      <c r="B984" s="7"/>
      <c r="C984" s="33"/>
      <c r="D984" s="7"/>
      <c r="E984" s="7"/>
      <c r="F984" s="7"/>
      <c r="G984" s="7"/>
      <c r="H984" s="7"/>
      <c r="I984" s="7"/>
      <c r="J984" s="7"/>
      <c r="K984" s="7"/>
      <c r="L984" s="7"/>
      <c r="M984" s="7"/>
      <c r="N984" s="7"/>
      <c r="O984" s="7"/>
      <c r="P984" s="7"/>
      <c r="Q984" s="7"/>
      <c r="R984" s="64"/>
      <c r="S984" s="64"/>
      <c r="T984" s="64"/>
      <c r="U984" s="64"/>
      <c r="V984" s="64"/>
      <c r="W984" s="64"/>
    </row>
    <row r="985" spans="1:23" ht="15.95" customHeight="1">
      <c r="A985" s="8"/>
      <c r="B985" s="7"/>
      <c r="C985" s="33"/>
      <c r="D985" s="7"/>
      <c r="E985" s="7"/>
      <c r="F985" s="7"/>
      <c r="G985" s="7"/>
      <c r="H985" s="7"/>
      <c r="I985" s="7"/>
      <c r="J985" s="7"/>
      <c r="K985" s="7"/>
      <c r="L985" s="7"/>
      <c r="M985" s="7"/>
      <c r="N985" s="7"/>
      <c r="O985" s="7"/>
      <c r="P985" s="7"/>
      <c r="Q985" s="7"/>
      <c r="R985" s="64"/>
      <c r="S985" s="64"/>
      <c r="T985" s="64"/>
      <c r="U985" s="64"/>
      <c r="V985" s="64"/>
      <c r="W985" s="64"/>
    </row>
    <row r="986" spans="1:23" ht="15.95" customHeight="1">
      <c r="A986" s="8"/>
      <c r="B986" s="7"/>
      <c r="C986" s="33"/>
      <c r="D986" s="7"/>
      <c r="E986" s="7"/>
      <c r="F986" s="7"/>
      <c r="G986" s="7"/>
      <c r="H986" s="7"/>
      <c r="I986" s="7"/>
      <c r="J986" s="7"/>
      <c r="K986" s="7"/>
      <c r="L986" s="7"/>
      <c r="M986" s="7"/>
      <c r="N986" s="7"/>
      <c r="O986" s="7"/>
      <c r="P986" s="7"/>
      <c r="Q986" s="7"/>
      <c r="R986" s="64"/>
      <c r="S986" s="64"/>
      <c r="T986" s="64"/>
      <c r="U986" s="64"/>
      <c r="V986" s="64"/>
      <c r="W986" s="64"/>
    </row>
    <row r="987" spans="1:23" ht="15.95" customHeight="1">
      <c r="A987" s="8"/>
      <c r="B987" s="7"/>
      <c r="C987" s="33"/>
      <c r="D987" s="7"/>
      <c r="E987" s="7"/>
      <c r="F987" s="7"/>
      <c r="G987" s="7"/>
      <c r="H987" s="7"/>
      <c r="I987" s="7"/>
      <c r="J987" s="7"/>
      <c r="K987" s="7"/>
      <c r="L987" s="7"/>
      <c r="M987" s="7"/>
      <c r="N987" s="7"/>
      <c r="O987" s="7"/>
      <c r="P987" s="7"/>
      <c r="Q987" s="7"/>
      <c r="R987" s="64"/>
      <c r="S987" s="64"/>
      <c r="T987" s="64"/>
      <c r="U987" s="64"/>
      <c r="V987" s="64"/>
      <c r="W987" s="64"/>
    </row>
    <row r="988" spans="1:23" ht="15.95" customHeight="1">
      <c r="A988" s="8"/>
      <c r="B988" s="7"/>
      <c r="C988" s="33"/>
      <c r="D988" s="7"/>
      <c r="E988" s="7"/>
      <c r="F988" s="7"/>
      <c r="G988" s="7"/>
      <c r="H988" s="7"/>
      <c r="I988" s="7"/>
      <c r="J988" s="7"/>
      <c r="K988" s="7"/>
      <c r="L988" s="7"/>
      <c r="M988" s="7"/>
      <c r="N988" s="7"/>
      <c r="O988" s="7"/>
      <c r="P988" s="7"/>
      <c r="Q988" s="7"/>
      <c r="R988" s="64"/>
      <c r="S988" s="64"/>
      <c r="T988" s="64"/>
      <c r="U988" s="64"/>
      <c r="V988" s="64"/>
      <c r="W988" s="64"/>
    </row>
    <row r="989" spans="1:23" ht="15.95" customHeight="1">
      <c r="A989" s="8"/>
      <c r="B989" s="7"/>
      <c r="C989" s="33"/>
      <c r="D989" s="7"/>
      <c r="E989" s="7"/>
      <c r="F989" s="7"/>
      <c r="G989" s="7"/>
      <c r="H989" s="7"/>
      <c r="I989" s="7"/>
      <c r="J989" s="7"/>
      <c r="K989" s="7"/>
      <c r="L989" s="7"/>
      <c r="M989" s="7"/>
      <c r="N989" s="7"/>
      <c r="O989" s="7"/>
      <c r="P989" s="7"/>
      <c r="Q989" s="7"/>
      <c r="R989" s="64"/>
      <c r="S989" s="64"/>
      <c r="T989" s="64"/>
      <c r="U989" s="64"/>
      <c r="V989" s="64"/>
      <c r="W989" s="64"/>
    </row>
    <row r="990" spans="1:23" ht="15.95" customHeight="1">
      <c r="A990" s="8"/>
      <c r="B990" s="7"/>
      <c r="C990" s="33"/>
      <c r="D990" s="7"/>
      <c r="E990" s="7"/>
      <c r="F990" s="7"/>
      <c r="G990" s="7"/>
      <c r="H990" s="7"/>
      <c r="I990" s="7"/>
      <c r="J990" s="7"/>
      <c r="K990" s="7"/>
      <c r="L990" s="7"/>
      <c r="M990" s="7"/>
      <c r="N990" s="7"/>
      <c r="O990" s="7"/>
      <c r="P990" s="7"/>
      <c r="Q990" s="7"/>
      <c r="R990" s="64"/>
      <c r="S990" s="64"/>
      <c r="T990" s="64"/>
      <c r="U990" s="64"/>
      <c r="V990" s="64"/>
      <c r="W990" s="64"/>
    </row>
    <row r="991" spans="1:23" ht="15.95" customHeight="1">
      <c r="A991" s="8"/>
      <c r="B991" s="7"/>
      <c r="C991" s="33"/>
      <c r="D991" s="7"/>
      <c r="E991" s="7"/>
      <c r="F991" s="7"/>
      <c r="G991" s="7"/>
      <c r="H991" s="7"/>
      <c r="I991" s="7"/>
      <c r="J991" s="7"/>
      <c r="K991" s="7"/>
      <c r="L991" s="7"/>
      <c r="M991" s="7"/>
      <c r="N991" s="7"/>
      <c r="O991" s="7"/>
      <c r="P991" s="7"/>
      <c r="Q991" s="7"/>
      <c r="R991" s="64"/>
      <c r="S991" s="64"/>
      <c r="T991" s="64"/>
      <c r="U991" s="64"/>
      <c r="V991" s="64"/>
      <c r="W991" s="64"/>
    </row>
    <row r="992" spans="1:23" ht="15.95" customHeight="1">
      <c r="A992" s="8"/>
      <c r="B992" s="7"/>
      <c r="C992" s="33"/>
      <c r="D992" s="7"/>
      <c r="E992" s="7"/>
      <c r="F992" s="7"/>
      <c r="G992" s="7"/>
      <c r="H992" s="7"/>
      <c r="I992" s="7"/>
      <c r="J992" s="7"/>
      <c r="K992" s="7"/>
      <c r="L992" s="7"/>
      <c r="M992" s="7"/>
      <c r="N992" s="7"/>
      <c r="O992" s="7"/>
      <c r="P992" s="7"/>
      <c r="Q992" s="7"/>
      <c r="R992" s="64"/>
      <c r="S992" s="64"/>
      <c r="T992" s="64"/>
      <c r="U992" s="64"/>
      <c r="V992" s="64"/>
      <c r="W992" s="64"/>
    </row>
    <row r="993" spans="1:23" ht="15.95" customHeight="1">
      <c r="A993" s="8"/>
      <c r="B993" s="7"/>
      <c r="C993" s="33"/>
      <c r="D993" s="7"/>
      <c r="E993" s="7"/>
      <c r="F993" s="7"/>
      <c r="G993" s="7"/>
      <c r="H993" s="7"/>
      <c r="I993" s="7"/>
      <c r="J993" s="7"/>
      <c r="K993" s="7"/>
      <c r="L993" s="7"/>
      <c r="M993" s="7"/>
      <c r="N993" s="7"/>
      <c r="O993" s="7"/>
      <c r="P993" s="7"/>
      <c r="Q993" s="7"/>
      <c r="R993" s="64"/>
      <c r="S993" s="64"/>
      <c r="T993" s="64"/>
      <c r="U993" s="64"/>
      <c r="V993" s="64"/>
      <c r="W993" s="64"/>
    </row>
    <row r="994" spans="1:23" ht="15.95" customHeight="1">
      <c r="A994" s="8"/>
      <c r="B994" s="7"/>
      <c r="C994" s="33"/>
      <c r="D994" s="7"/>
      <c r="E994" s="7"/>
      <c r="F994" s="7"/>
      <c r="G994" s="7"/>
      <c r="H994" s="7"/>
      <c r="I994" s="7"/>
      <c r="J994" s="7"/>
      <c r="K994" s="7"/>
      <c r="L994" s="7"/>
      <c r="M994" s="7"/>
      <c r="N994" s="7"/>
      <c r="O994" s="7"/>
      <c r="P994" s="7"/>
      <c r="Q994" s="7"/>
      <c r="R994" s="64"/>
      <c r="S994" s="64"/>
      <c r="T994" s="64"/>
      <c r="U994" s="64"/>
      <c r="V994" s="64"/>
      <c r="W994" s="64"/>
    </row>
    <row r="995" spans="1:23" ht="15.95" customHeight="1">
      <c r="A995" s="8"/>
      <c r="B995" s="7"/>
      <c r="C995" s="33"/>
      <c r="D995" s="7"/>
      <c r="E995" s="7"/>
      <c r="F995" s="7"/>
      <c r="G995" s="7"/>
      <c r="H995" s="7"/>
      <c r="I995" s="7"/>
      <c r="J995" s="7"/>
      <c r="K995" s="7"/>
      <c r="L995" s="7"/>
      <c r="M995" s="7"/>
      <c r="N995" s="7"/>
      <c r="O995" s="7"/>
      <c r="P995" s="7"/>
      <c r="Q995" s="7"/>
      <c r="R995" s="64"/>
      <c r="S995" s="64"/>
      <c r="T995" s="64"/>
      <c r="U995" s="64"/>
      <c r="V995" s="64"/>
      <c r="W995" s="64"/>
    </row>
    <row r="996" spans="1:23" ht="15.95" customHeight="1">
      <c r="A996" s="8"/>
      <c r="B996" s="7"/>
      <c r="C996" s="33"/>
      <c r="D996" s="7"/>
      <c r="E996" s="7"/>
      <c r="F996" s="7"/>
      <c r="G996" s="7"/>
      <c r="H996" s="7"/>
      <c r="I996" s="7"/>
      <c r="J996" s="7"/>
      <c r="K996" s="7"/>
      <c r="L996" s="7"/>
      <c r="M996" s="7"/>
      <c r="N996" s="7"/>
      <c r="O996" s="7"/>
      <c r="P996" s="7"/>
      <c r="Q996" s="7"/>
      <c r="R996" s="64"/>
      <c r="S996" s="64"/>
      <c r="T996" s="64"/>
      <c r="U996" s="64"/>
      <c r="V996" s="64"/>
      <c r="W996" s="64"/>
    </row>
    <row r="997" spans="1:23" ht="15.95" customHeight="1">
      <c r="A997" s="8"/>
      <c r="B997" s="7"/>
      <c r="C997" s="33"/>
      <c r="D997" s="7"/>
      <c r="E997" s="7"/>
      <c r="F997" s="7"/>
      <c r="G997" s="7"/>
      <c r="H997" s="7"/>
      <c r="I997" s="7"/>
      <c r="J997" s="7"/>
      <c r="K997" s="7"/>
      <c r="L997" s="7"/>
      <c r="M997" s="7"/>
      <c r="N997" s="7"/>
      <c r="O997" s="7"/>
      <c r="P997" s="7"/>
      <c r="Q997" s="7"/>
      <c r="R997" s="64"/>
      <c r="S997" s="64"/>
      <c r="T997" s="64"/>
      <c r="U997" s="64"/>
      <c r="V997" s="64"/>
      <c r="W997" s="64"/>
    </row>
    <row r="998" spans="1:23" ht="15.95" customHeight="1">
      <c r="A998" s="8"/>
      <c r="B998" s="7"/>
      <c r="C998" s="33"/>
      <c r="D998" s="7"/>
      <c r="E998" s="7"/>
      <c r="F998" s="7"/>
      <c r="G998" s="7"/>
      <c r="H998" s="7"/>
      <c r="I998" s="7"/>
      <c r="J998" s="7"/>
      <c r="K998" s="7"/>
      <c r="L998" s="7"/>
      <c r="M998" s="7"/>
      <c r="N998" s="7"/>
      <c r="O998" s="7"/>
      <c r="P998" s="7"/>
      <c r="Q998" s="7"/>
      <c r="R998" s="64"/>
      <c r="S998" s="64"/>
      <c r="T998" s="64"/>
      <c r="U998" s="64"/>
      <c r="V998" s="64"/>
      <c r="W998" s="64"/>
    </row>
    <row r="999" spans="1:23" ht="15.95" customHeight="1">
      <c r="A999" s="8"/>
      <c r="B999" s="7"/>
      <c r="C999" s="33"/>
      <c r="D999" s="7"/>
      <c r="E999" s="7"/>
      <c r="F999" s="7"/>
      <c r="G999" s="7"/>
      <c r="H999" s="7"/>
      <c r="I999" s="7"/>
      <c r="J999" s="7"/>
      <c r="K999" s="7"/>
      <c r="L999" s="7"/>
      <c r="M999" s="7"/>
      <c r="N999" s="7"/>
      <c r="O999" s="7"/>
      <c r="P999" s="7"/>
      <c r="Q999" s="7"/>
      <c r="R999" s="64"/>
      <c r="S999" s="64"/>
      <c r="T999" s="64"/>
      <c r="U999" s="64"/>
      <c r="V999" s="64"/>
      <c r="W999" s="64"/>
    </row>
    <row r="1000" spans="1:23" ht="15.95" customHeight="1">
      <c r="A1000" s="8"/>
      <c r="B1000" s="7"/>
      <c r="C1000" s="33"/>
      <c r="D1000" s="7"/>
      <c r="E1000" s="7"/>
      <c r="F1000" s="7"/>
      <c r="G1000" s="7"/>
      <c r="H1000" s="7"/>
      <c r="I1000" s="7"/>
      <c r="J1000" s="7"/>
      <c r="K1000" s="7"/>
      <c r="L1000" s="7"/>
      <c r="M1000" s="7"/>
      <c r="N1000" s="7"/>
      <c r="O1000" s="7"/>
      <c r="P1000" s="7"/>
      <c r="Q1000" s="7"/>
      <c r="R1000" s="64"/>
      <c r="S1000" s="64"/>
      <c r="T1000" s="64"/>
      <c r="U1000" s="64"/>
      <c r="V1000" s="64"/>
      <c r="W1000" s="64"/>
    </row>
    <row r="1001" spans="1:23" ht="15.95" customHeight="1">
      <c r="A1001" s="8"/>
      <c r="B1001" s="7"/>
      <c r="C1001" s="33"/>
      <c r="D1001" s="7"/>
      <c r="E1001" s="7"/>
      <c r="F1001" s="7"/>
      <c r="G1001" s="7"/>
      <c r="H1001" s="7"/>
      <c r="I1001" s="7"/>
      <c r="J1001" s="7"/>
      <c r="K1001" s="7"/>
      <c r="L1001" s="7"/>
      <c r="M1001" s="7"/>
      <c r="N1001" s="7"/>
      <c r="O1001" s="7"/>
      <c r="P1001" s="7"/>
      <c r="Q1001" s="7"/>
      <c r="R1001" s="64"/>
      <c r="S1001" s="64"/>
      <c r="T1001" s="64"/>
      <c r="U1001" s="64"/>
      <c r="V1001" s="64"/>
      <c r="W1001" s="64"/>
    </row>
    <row r="1002" spans="1:23" ht="15.95" customHeight="1">
      <c r="A1002" s="8"/>
      <c r="B1002" s="7"/>
      <c r="C1002" s="33"/>
      <c r="D1002" s="7"/>
      <c r="E1002" s="7"/>
      <c r="F1002" s="7"/>
      <c r="G1002" s="7"/>
      <c r="H1002" s="7"/>
      <c r="I1002" s="7"/>
      <c r="J1002" s="7"/>
      <c r="K1002" s="7"/>
      <c r="L1002" s="7"/>
      <c r="M1002" s="7"/>
      <c r="N1002" s="7"/>
      <c r="O1002" s="7"/>
      <c r="P1002" s="7"/>
      <c r="Q1002" s="7"/>
      <c r="R1002" s="64"/>
      <c r="S1002" s="64"/>
      <c r="T1002" s="64"/>
      <c r="U1002" s="64"/>
      <c r="V1002" s="64"/>
      <c r="W1002" s="64"/>
    </row>
    <row r="1003" spans="1:23" ht="15.95" customHeight="1">
      <c r="A1003" s="8"/>
      <c r="B1003" s="7"/>
      <c r="C1003" s="33"/>
      <c r="D1003" s="7"/>
      <c r="E1003" s="7"/>
      <c r="F1003" s="7"/>
      <c r="G1003" s="7"/>
      <c r="H1003" s="7"/>
      <c r="I1003" s="7"/>
      <c r="J1003" s="7"/>
      <c r="K1003" s="7"/>
      <c r="L1003" s="7"/>
      <c r="M1003" s="7"/>
      <c r="N1003" s="7"/>
      <c r="O1003" s="7"/>
      <c r="P1003" s="7"/>
      <c r="Q1003" s="7"/>
      <c r="R1003" s="64"/>
      <c r="S1003" s="64"/>
      <c r="T1003" s="64"/>
      <c r="U1003" s="64"/>
      <c r="V1003" s="64"/>
      <c r="W1003" s="64"/>
    </row>
    <row r="1004" spans="1:23" ht="15.95" customHeight="1">
      <c r="A1004" s="8"/>
      <c r="B1004" s="7"/>
      <c r="C1004" s="33"/>
      <c r="D1004" s="7"/>
      <c r="E1004" s="7"/>
      <c r="F1004" s="7"/>
      <c r="G1004" s="7"/>
      <c r="H1004" s="7"/>
      <c r="I1004" s="7"/>
      <c r="J1004" s="7"/>
      <c r="K1004" s="7"/>
      <c r="L1004" s="7"/>
      <c r="M1004" s="7"/>
      <c r="N1004" s="7"/>
      <c r="O1004" s="7"/>
      <c r="P1004" s="7"/>
      <c r="Q1004" s="7"/>
      <c r="R1004" s="64"/>
      <c r="S1004" s="64"/>
      <c r="T1004" s="64"/>
      <c r="U1004" s="64"/>
      <c r="V1004" s="64"/>
      <c r="W1004" s="64"/>
    </row>
    <row r="1005" spans="1:23" ht="15.95" customHeight="1">
      <c r="A1005" s="8"/>
      <c r="B1005" s="7"/>
      <c r="C1005" s="33"/>
      <c r="D1005" s="7"/>
      <c r="E1005" s="7"/>
      <c r="F1005" s="7"/>
      <c r="G1005" s="7"/>
      <c r="H1005" s="7"/>
      <c r="I1005" s="7"/>
      <c r="J1005" s="7"/>
      <c r="K1005" s="7"/>
      <c r="L1005" s="7"/>
      <c r="M1005" s="7"/>
      <c r="N1005" s="7"/>
      <c r="O1005" s="7"/>
      <c r="P1005" s="7"/>
      <c r="Q1005" s="7"/>
      <c r="R1005" s="64"/>
      <c r="S1005" s="64"/>
      <c r="T1005" s="64"/>
      <c r="U1005" s="64"/>
      <c r="V1005" s="64"/>
      <c r="W1005" s="64"/>
    </row>
    <row r="1006" spans="1:23" ht="15.95" customHeight="1">
      <c r="A1006" s="8"/>
      <c r="B1006" s="7"/>
      <c r="C1006" s="33"/>
      <c r="D1006" s="7"/>
      <c r="E1006" s="7"/>
      <c r="F1006" s="7"/>
      <c r="G1006" s="7"/>
      <c r="H1006" s="7"/>
      <c r="I1006" s="7"/>
      <c r="J1006" s="7"/>
      <c r="K1006" s="7"/>
      <c r="L1006" s="7"/>
      <c r="M1006" s="7"/>
      <c r="N1006" s="7"/>
      <c r="O1006" s="7"/>
      <c r="P1006" s="7"/>
      <c r="Q1006" s="7"/>
      <c r="R1006" s="64"/>
      <c r="S1006" s="64"/>
      <c r="T1006" s="64"/>
      <c r="U1006" s="64"/>
      <c r="V1006" s="64"/>
      <c r="W1006" s="64"/>
    </row>
    <row r="1007" spans="1:23" ht="15.95" customHeight="1">
      <c r="A1007" s="8"/>
      <c r="B1007" s="7"/>
      <c r="C1007" s="33"/>
      <c r="D1007" s="7"/>
      <c r="E1007" s="7"/>
      <c r="F1007" s="7"/>
      <c r="G1007" s="7"/>
      <c r="H1007" s="7"/>
      <c r="I1007" s="7"/>
      <c r="J1007" s="7"/>
      <c r="K1007" s="7"/>
      <c r="L1007" s="7"/>
      <c r="M1007" s="7"/>
      <c r="N1007" s="7"/>
      <c r="O1007" s="7"/>
      <c r="P1007" s="7"/>
      <c r="Q1007" s="7"/>
      <c r="R1007" s="64"/>
      <c r="S1007" s="64"/>
      <c r="T1007" s="64"/>
      <c r="U1007" s="64"/>
      <c r="V1007" s="64"/>
      <c r="W1007" s="64"/>
    </row>
    <row r="1008" spans="1:23" ht="15.95" customHeight="1">
      <c r="A1008" s="8"/>
      <c r="B1008" s="7"/>
      <c r="C1008" s="33"/>
      <c r="D1008" s="7"/>
      <c r="E1008" s="7"/>
      <c r="F1008" s="7"/>
      <c r="G1008" s="7"/>
      <c r="H1008" s="7"/>
      <c r="I1008" s="7"/>
      <c r="J1008" s="7"/>
      <c r="K1008" s="7"/>
      <c r="L1008" s="7"/>
      <c r="M1008" s="7"/>
      <c r="N1008" s="7"/>
      <c r="O1008" s="7"/>
      <c r="P1008" s="7"/>
      <c r="Q1008" s="7"/>
      <c r="R1008" s="64"/>
      <c r="S1008" s="64"/>
      <c r="T1008" s="64"/>
      <c r="U1008" s="64"/>
      <c r="V1008" s="64"/>
      <c r="W1008" s="64"/>
    </row>
    <row r="1009" spans="1:23" ht="15.95" customHeight="1">
      <c r="A1009" s="8"/>
      <c r="B1009" s="7"/>
      <c r="C1009" s="33"/>
      <c r="D1009" s="7"/>
      <c r="E1009" s="7"/>
      <c r="F1009" s="7"/>
      <c r="G1009" s="7"/>
      <c r="H1009" s="7"/>
      <c r="I1009" s="7"/>
      <c r="J1009" s="7"/>
      <c r="K1009" s="7"/>
      <c r="L1009" s="7"/>
      <c r="M1009" s="7"/>
      <c r="N1009" s="7"/>
      <c r="O1009" s="7"/>
      <c r="P1009" s="7"/>
      <c r="Q1009" s="7"/>
      <c r="R1009" s="64"/>
      <c r="S1009" s="64"/>
      <c r="T1009" s="64"/>
      <c r="U1009" s="64"/>
      <c r="V1009" s="64"/>
      <c r="W1009" s="64"/>
    </row>
    <row r="1010" spans="1:23" ht="15.95" customHeight="1">
      <c r="A1010" s="8"/>
      <c r="B1010" s="7"/>
      <c r="C1010" s="33"/>
      <c r="D1010" s="7"/>
      <c r="E1010" s="7"/>
      <c r="F1010" s="7"/>
      <c r="G1010" s="7"/>
      <c r="H1010" s="7"/>
      <c r="I1010" s="7"/>
      <c r="J1010" s="7"/>
      <c r="K1010" s="7"/>
      <c r="L1010" s="7"/>
      <c r="M1010" s="7"/>
      <c r="N1010" s="7"/>
      <c r="O1010" s="7"/>
      <c r="P1010" s="7"/>
      <c r="Q1010" s="7"/>
      <c r="R1010" s="64"/>
      <c r="S1010" s="64"/>
      <c r="T1010" s="64"/>
      <c r="U1010" s="64"/>
      <c r="V1010" s="64"/>
      <c r="W1010" s="64"/>
    </row>
    <row r="1011" spans="1:23" ht="15.95" customHeight="1">
      <c r="A1011" s="8"/>
      <c r="B1011" s="7"/>
      <c r="C1011" s="33"/>
      <c r="D1011" s="7"/>
      <c r="E1011" s="7"/>
      <c r="F1011" s="7"/>
      <c r="G1011" s="7"/>
      <c r="H1011" s="7"/>
      <c r="I1011" s="7"/>
      <c r="J1011" s="7"/>
      <c r="K1011" s="7"/>
      <c r="L1011" s="7"/>
      <c r="M1011" s="7"/>
      <c r="N1011" s="7"/>
      <c r="O1011" s="7"/>
      <c r="P1011" s="7"/>
      <c r="Q1011" s="7"/>
      <c r="R1011" s="64"/>
      <c r="S1011" s="64"/>
      <c r="T1011" s="64"/>
      <c r="U1011" s="64"/>
      <c r="V1011" s="64"/>
      <c r="W1011" s="64"/>
    </row>
    <row r="1012" spans="1:23" ht="15.95" customHeight="1">
      <c r="A1012" s="8"/>
      <c r="B1012" s="7"/>
      <c r="C1012" s="33"/>
      <c r="D1012" s="7"/>
      <c r="E1012" s="7"/>
      <c r="F1012" s="7"/>
      <c r="G1012" s="7"/>
      <c r="H1012" s="7"/>
      <c r="I1012" s="7"/>
      <c r="J1012" s="7"/>
      <c r="K1012" s="7"/>
      <c r="L1012" s="7"/>
      <c r="M1012" s="7"/>
      <c r="N1012" s="7"/>
      <c r="O1012" s="7"/>
      <c r="P1012" s="7"/>
      <c r="Q1012" s="7"/>
      <c r="R1012" s="64"/>
      <c r="S1012" s="64"/>
      <c r="T1012" s="64"/>
      <c r="U1012" s="64"/>
      <c r="V1012" s="64"/>
      <c r="W1012" s="64"/>
    </row>
    <row r="1013" spans="1:23" ht="15.95" customHeight="1">
      <c r="A1013" s="8"/>
      <c r="B1013" s="7"/>
      <c r="C1013" s="33"/>
      <c r="D1013" s="7"/>
      <c r="E1013" s="7"/>
      <c r="F1013" s="7"/>
      <c r="G1013" s="7"/>
      <c r="H1013" s="7"/>
      <c r="I1013" s="7"/>
      <c r="J1013" s="7"/>
      <c r="K1013" s="7"/>
      <c r="L1013" s="7"/>
      <c r="M1013" s="7"/>
      <c r="N1013" s="7"/>
      <c r="O1013" s="7"/>
      <c r="P1013" s="7"/>
      <c r="Q1013" s="7"/>
      <c r="R1013" s="64"/>
      <c r="S1013" s="64"/>
      <c r="T1013" s="64"/>
      <c r="U1013" s="64"/>
      <c r="V1013" s="64"/>
      <c r="W1013" s="64"/>
    </row>
    <row r="1014" spans="1:23" ht="15.95" customHeight="1">
      <c r="A1014" s="8"/>
      <c r="B1014" s="7"/>
      <c r="C1014" s="33"/>
      <c r="D1014" s="7"/>
      <c r="E1014" s="7"/>
      <c r="F1014" s="7"/>
      <c r="G1014" s="7"/>
      <c r="H1014" s="7"/>
      <c r="I1014" s="7"/>
      <c r="J1014" s="7"/>
      <c r="K1014" s="7"/>
      <c r="L1014" s="7"/>
      <c r="M1014" s="7"/>
      <c r="N1014" s="7"/>
      <c r="O1014" s="7"/>
      <c r="P1014" s="7"/>
      <c r="Q1014" s="7"/>
      <c r="R1014" s="64"/>
      <c r="S1014" s="64"/>
      <c r="T1014" s="64"/>
      <c r="U1014" s="64"/>
      <c r="V1014" s="64"/>
      <c r="W1014" s="64"/>
    </row>
    <row r="1015" spans="1:23" ht="15.95" customHeight="1">
      <c r="A1015" s="8"/>
      <c r="B1015" s="7"/>
      <c r="C1015" s="33"/>
      <c r="D1015" s="7"/>
      <c r="E1015" s="7"/>
      <c r="F1015" s="7"/>
      <c r="G1015" s="7"/>
      <c r="H1015" s="7"/>
      <c r="I1015" s="7"/>
      <c r="J1015" s="7"/>
      <c r="K1015" s="7"/>
      <c r="L1015" s="7"/>
      <c r="M1015" s="7"/>
      <c r="N1015" s="7"/>
      <c r="O1015" s="7"/>
      <c r="P1015" s="7"/>
      <c r="Q1015" s="7"/>
      <c r="R1015" s="64"/>
      <c r="S1015" s="64"/>
      <c r="T1015" s="64"/>
      <c r="U1015" s="64"/>
      <c r="V1015" s="64"/>
      <c r="W1015" s="64"/>
    </row>
    <row r="1016" spans="1:23" ht="15.95" customHeight="1">
      <c r="A1016" s="8"/>
      <c r="B1016" s="7"/>
      <c r="C1016" s="33"/>
      <c r="D1016" s="7"/>
      <c r="E1016" s="7"/>
      <c r="F1016" s="7"/>
      <c r="G1016" s="7"/>
      <c r="H1016" s="7"/>
      <c r="I1016" s="7"/>
      <c r="J1016" s="7"/>
      <c r="K1016" s="7"/>
      <c r="L1016" s="7"/>
      <c r="M1016" s="7"/>
      <c r="N1016" s="7"/>
      <c r="O1016" s="7"/>
      <c r="P1016" s="7"/>
      <c r="Q1016" s="7"/>
      <c r="R1016" s="64"/>
      <c r="S1016" s="64"/>
      <c r="T1016" s="64"/>
      <c r="U1016" s="64"/>
      <c r="V1016" s="64"/>
      <c r="W1016" s="64"/>
    </row>
    <row r="1017" spans="1:23" ht="15.95" customHeight="1">
      <c r="A1017" s="8"/>
      <c r="B1017" s="7"/>
      <c r="C1017" s="33"/>
      <c r="D1017" s="7"/>
      <c r="E1017" s="7"/>
      <c r="F1017" s="7"/>
      <c r="G1017" s="7"/>
      <c r="H1017" s="7"/>
      <c r="I1017" s="7"/>
      <c r="J1017" s="7"/>
      <c r="K1017" s="7"/>
      <c r="L1017" s="7"/>
      <c r="M1017" s="7"/>
      <c r="N1017" s="7"/>
      <c r="O1017" s="7"/>
      <c r="P1017" s="7"/>
      <c r="Q1017" s="7"/>
      <c r="R1017" s="64"/>
      <c r="S1017" s="64"/>
      <c r="T1017" s="64"/>
      <c r="U1017" s="64"/>
      <c r="V1017" s="64"/>
      <c r="W1017" s="64"/>
    </row>
    <row r="1018" spans="1:23" ht="15.95" customHeight="1">
      <c r="A1018" s="8"/>
      <c r="B1018" s="7"/>
      <c r="C1018" s="33"/>
      <c r="D1018" s="7"/>
      <c r="E1018" s="7"/>
      <c r="F1018" s="7"/>
      <c r="G1018" s="7"/>
      <c r="H1018" s="7"/>
      <c r="I1018" s="7"/>
      <c r="J1018" s="7"/>
      <c r="K1018" s="7"/>
      <c r="L1018" s="7"/>
      <c r="M1018" s="7"/>
      <c r="N1018" s="7"/>
      <c r="O1018" s="7"/>
      <c r="P1018" s="7"/>
      <c r="Q1018" s="7"/>
      <c r="R1018" s="64"/>
      <c r="S1018" s="64"/>
      <c r="T1018" s="64"/>
      <c r="U1018" s="64"/>
      <c r="V1018" s="64"/>
      <c r="W1018" s="64"/>
    </row>
    <row r="1019" spans="1:23" ht="15.95" customHeight="1">
      <c r="A1019" s="8"/>
      <c r="B1019" s="7"/>
      <c r="C1019" s="33"/>
      <c r="D1019" s="7"/>
      <c r="E1019" s="7"/>
      <c r="F1019" s="7"/>
      <c r="G1019" s="7"/>
      <c r="H1019" s="7"/>
      <c r="I1019" s="7"/>
      <c r="J1019" s="7"/>
      <c r="K1019" s="7"/>
      <c r="L1019" s="7"/>
      <c r="M1019" s="7"/>
      <c r="N1019" s="7"/>
      <c r="O1019" s="7"/>
      <c r="P1019" s="7"/>
      <c r="Q1019" s="7"/>
      <c r="R1019" s="64"/>
      <c r="S1019" s="64"/>
      <c r="T1019" s="64"/>
      <c r="U1019" s="64"/>
      <c r="V1019" s="64"/>
      <c r="W1019" s="64"/>
    </row>
    <row r="1020" spans="1:23" ht="15.95" customHeight="1">
      <c r="A1020" s="8"/>
      <c r="B1020" s="7"/>
      <c r="C1020" s="33"/>
      <c r="D1020" s="7"/>
      <c r="E1020" s="7"/>
      <c r="F1020" s="7"/>
      <c r="G1020" s="7"/>
      <c r="H1020" s="7"/>
      <c r="I1020" s="7"/>
      <c r="J1020" s="7"/>
      <c r="K1020" s="7"/>
      <c r="L1020" s="7"/>
      <c r="M1020" s="7"/>
      <c r="N1020" s="7"/>
      <c r="O1020" s="7"/>
      <c r="P1020" s="7"/>
      <c r="Q1020" s="7"/>
      <c r="R1020" s="64"/>
      <c r="S1020" s="64"/>
      <c r="T1020" s="64"/>
      <c r="U1020" s="64"/>
      <c r="V1020" s="64"/>
      <c r="W1020" s="64"/>
    </row>
    <row r="1021" spans="1:23" ht="15.95" customHeight="1">
      <c r="A1021" s="8"/>
      <c r="B1021" s="7"/>
      <c r="C1021" s="33"/>
      <c r="D1021" s="7"/>
      <c r="E1021" s="7"/>
      <c r="F1021" s="7"/>
      <c r="G1021" s="7"/>
      <c r="H1021" s="7"/>
      <c r="I1021" s="7"/>
      <c r="J1021" s="7"/>
      <c r="K1021" s="7"/>
      <c r="L1021" s="7"/>
      <c r="M1021" s="7"/>
      <c r="N1021" s="7"/>
      <c r="O1021" s="7"/>
      <c r="P1021" s="7"/>
      <c r="Q1021" s="7"/>
      <c r="R1021" s="64"/>
      <c r="S1021" s="64"/>
      <c r="T1021" s="64"/>
      <c r="U1021" s="64"/>
      <c r="V1021" s="64"/>
      <c r="W1021" s="64"/>
    </row>
    <row r="1022" spans="1:23" ht="15.95" customHeight="1">
      <c r="A1022" s="8"/>
      <c r="B1022" s="7"/>
      <c r="C1022" s="33"/>
      <c r="D1022" s="7"/>
      <c r="E1022" s="7"/>
      <c r="F1022" s="7"/>
      <c r="G1022" s="7"/>
      <c r="H1022" s="7"/>
      <c r="I1022" s="7"/>
      <c r="J1022" s="7"/>
      <c r="K1022" s="7"/>
      <c r="L1022" s="7"/>
      <c r="M1022" s="7"/>
      <c r="N1022" s="7"/>
      <c r="O1022" s="7"/>
      <c r="P1022" s="7"/>
      <c r="Q1022" s="7"/>
      <c r="R1022" s="64"/>
      <c r="S1022" s="64"/>
      <c r="T1022" s="64"/>
      <c r="U1022" s="64"/>
      <c r="V1022" s="64"/>
      <c r="W1022" s="64"/>
    </row>
    <row r="1023" spans="1:23" ht="15.95" customHeight="1">
      <c r="A1023" s="8"/>
      <c r="B1023" s="7"/>
      <c r="C1023" s="33"/>
      <c r="D1023" s="7"/>
      <c r="E1023" s="7"/>
      <c r="F1023" s="7"/>
      <c r="G1023" s="7"/>
      <c r="H1023" s="7"/>
      <c r="I1023" s="7"/>
      <c r="J1023" s="7"/>
      <c r="K1023" s="7"/>
      <c r="L1023" s="7"/>
      <c r="M1023" s="7"/>
      <c r="N1023" s="7"/>
      <c r="O1023" s="7"/>
      <c r="P1023" s="7"/>
      <c r="Q1023" s="7"/>
      <c r="R1023" s="64"/>
      <c r="S1023" s="64"/>
      <c r="T1023" s="64"/>
      <c r="U1023" s="64"/>
      <c r="V1023" s="64"/>
      <c r="W1023" s="64"/>
    </row>
    <row r="1024" spans="1:23" ht="15.95" customHeight="1">
      <c r="A1024" s="8"/>
      <c r="F1024" s="7"/>
      <c r="G1024" s="7"/>
      <c r="H1024" s="7"/>
      <c r="I1024" s="7"/>
      <c r="J1024" s="7"/>
      <c r="K1024" s="7"/>
      <c r="L1024" s="7"/>
      <c r="M1024" s="7"/>
      <c r="N1024" s="7"/>
      <c r="O1024" s="7"/>
      <c r="P1024" s="7"/>
      <c r="Q1024" s="7"/>
      <c r="R1024" s="64"/>
      <c r="S1024" s="64"/>
      <c r="T1024" s="64"/>
      <c r="U1024" s="64"/>
      <c r="V1024" s="64"/>
      <c r="W1024" s="64"/>
    </row>
  </sheetData>
  <mergeCells count="68">
    <mergeCell ref="N8:O8"/>
    <mergeCell ref="N9:O9"/>
    <mergeCell ref="N11:O11"/>
    <mergeCell ref="N12:O12"/>
    <mergeCell ref="A4:C4"/>
    <mergeCell ref="D4:G4"/>
    <mergeCell ref="A5:C5"/>
    <mergeCell ref="D5:G5"/>
    <mergeCell ref="A6:C6"/>
    <mergeCell ref="D6:G6"/>
    <mergeCell ref="A7:C7"/>
    <mergeCell ref="D7:G7"/>
    <mergeCell ref="A8:C8"/>
    <mergeCell ref="D8:G8"/>
    <mergeCell ref="A9:C9"/>
    <mergeCell ref="D9:G9"/>
    <mergeCell ref="A21:A27"/>
    <mergeCell ref="C21:G21"/>
    <mergeCell ref="C22:G22"/>
    <mergeCell ref="C23:G23"/>
    <mergeCell ref="C24:G24"/>
    <mergeCell ref="C25:G25"/>
    <mergeCell ref="C26:G26"/>
    <mergeCell ref="C27:G27"/>
    <mergeCell ref="A1:G1"/>
    <mergeCell ref="A2:C2"/>
    <mergeCell ref="D2:G2"/>
    <mergeCell ref="A3:C3"/>
    <mergeCell ref="D3:G3"/>
    <mergeCell ref="A10:C10"/>
    <mergeCell ref="D10:G10"/>
    <mergeCell ref="A11:C11"/>
    <mergeCell ref="D11:G11"/>
    <mergeCell ref="I7:K7"/>
    <mergeCell ref="J8:K8"/>
    <mergeCell ref="J9:K9"/>
    <mergeCell ref="J11:K11"/>
    <mergeCell ref="J12:K12"/>
    <mergeCell ref="I1:K1"/>
    <mergeCell ref="J2:K2"/>
    <mergeCell ref="J3:K3"/>
    <mergeCell ref="J4:K4"/>
    <mergeCell ref="J5:K5"/>
    <mergeCell ref="M1:O1"/>
    <mergeCell ref="N2:O2"/>
    <mergeCell ref="N3:O3"/>
    <mergeCell ref="N5:O5"/>
    <mergeCell ref="N6:O6"/>
    <mergeCell ref="N14:O14"/>
    <mergeCell ref="N15:O15"/>
    <mergeCell ref="A13:A19"/>
    <mergeCell ref="C13:G13"/>
    <mergeCell ref="C14:G14"/>
    <mergeCell ref="C15:G15"/>
    <mergeCell ref="C16:G16"/>
    <mergeCell ref="C17:G17"/>
    <mergeCell ref="C18:G18"/>
    <mergeCell ref="C19:G19"/>
    <mergeCell ref="J14:K14"/>
    <mergeCell ref="J15:K15"/>
    <mergeCell ref="I21:I27"/>
    <mergeCell ref="K21:O21"/>
    <mergeCell ref="K22:O22"/>
    <mergeCell ref="K23:O23"/>
    <mergeCell ref="K24:O24"/>
    <mergeCell ref="K25:O25"/>
    <mergeCell ref="K26:O26"/>
    <mergeCell ref="K27:O27"/>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24"/>
  <sheetViews>
    <sheetView zoomScale="90" zoomScaleNormal="90" workbookViewId="0">
      <selection activeCell="J24" sqref="J24:K24"/>
    </sheetView>
  </sheetViews>
  <sheetFormatPr defaultColWidth="15.7109375" defaultRowHeight="30" customHeight="1"/>
  <cols>
    <col min="1" max="7" width="15.7109375" style="32"/>
    <col min="8" max="8" width="6.5703125" style="32" customWidth="1"/>
    <col min="9" max="9" width="24.85546875" style="32" customWidth="1"/>
    <col min="10" max="11" width="15.7109375" style="32"/>
    <col min="12" max="12" width="17.7109375" style="32" customWidth="1"/>
    <col min="13" max="13" width="24.85546875" style="32" customWidth="1"/>
    <col min="14" max="14" width="34.85546875" style="32" customWidth="1"/>
    <col min="15" max="17" width="15.7109375" style="32"/>
    <col min="18" max="16384" width="15.7109375" style="65"/>
  </cols>
  <sheetData>
    <row r="1" spans="1:23" ht="30" customHeight="1" thickBot="1">
      <c r="A1" s="622" t="str">
        <f ca="1">INDEX($U$52:$U$201,RANDBETWEEN(1,150))</f>
        <v>Starminster Castle</v>
      </c>
      <c r="B1" s="623"/>
      <c r="C1" s="623"/>
      <c r="D1" s="623"/>
      <c r="E1" s="623"/>
      <c r="F1" s="623"/>
      <c r="G1" s="624"/>
      <c r="H1" s="36"/>
      <c r="I1" s="213" t="s">
        <v>2388</v>
      </c>
      <c r="J1" s="627" t="str">
        <f ca="1">CONCATENATE($W$20,INDEX($W$21:$W$26,RANDBETWEEN(1,6))," ",$X$20,INDEX($X$21:$X$26,RANDBETWEEN(1,6))," ",$Y$20,INDEX($Y$21:$Y$26,RANDBETWEEN(1,6)))</f>
        <v>The lord is A patient and benevolent ruler. and he is seeking someone to Dispose of an enemy. The lord carries A compromising love letter.</v>
      </c>
      <c r="K1" s="627"/>
      <c r="L1" s="627"/>
      <c r="M1" s="627"/>
      <c r="N1" s="628"/>
      <c r="O1" s="36"/>
      <c r="P1" s="36"/>
      <c r="Q1" s="36"/>
      <c r="R1" s="63"/>
      <c r="S1" s="64"/>
      <c r="T1" s="64"/>
      <c r="U1" s="64"/>
      <c r="V1" s="64"/>
      <c r="W1" s="64"/>
    </row>
    <row r="2" spans="1:23" s="67" customFormat="1" ht="30" customHeight="1">
      <c r="A2" s="625" t="str">
        <f>B51</f>
        <v>The castle sits:</v>
      </c>
      <c r="B2" s="626"/>
      <c r="C2" s="626"/>
      <c r="D2" s="627" t="str">
        <f ca="1">INDEX($B$52:$B$80,RANDBETWEEN(1,10))</f>
        <v>At the fork of a river.</v>
      </c>
      <c r="E2" s="627"/>
      <c r="F2" s="627"/>
      <c r="G2" s="628"/>
      <c r="H2" s="36"/>
      <c r="I2" s="214" t="s">
        <v>2389</v>
      </c>
      <c r="J2" s="620" t="str">
        <f ca="1">CONCATENATE($W$28,INDEX($W$29:$W$34,RANDBETWEEN(1,6))," ",$X$28,INDEX($X$29:$X$34,RANDBETWEEN(1,6))," ",$Y$28,INDEX($Y$29:$Y$32,RANDBETWEEN(1,4)))</f>
        <v>The noblewoman is  A homely young lady. and is seeking someone to  Bring to light a scandal involving an enemy. She carries Some very valuable jewels.</v>
      </c>
      <c r="K2" s="620"/>
      <c r="L2" s="620"/>
      <c r="M2" s="620"/>
      <c r="N2" s="621"/>
      <c r="O2" s="36"/>
      <c r="P2" s="36"/>
      <c r="Q2" s="36"/>
      <c r="R2" s="66"/>
    </row>
    <row r="3" spans="1:23" s="67" customFormat="1" ht="30" customHeight="1">
      <c r="A3" s="618" t="str">
        <f>D51</f>
        <v>The castle was built by:</v>
      </c>
      <c r="B3" s="619"/>
      <c r="C3" s="619"/>
      <c r="D3" s="620" t="str">
        <f ca="1">INDEX($D$52:$D$80,RANDBETWEEN(1,12))</f>
        <v>A wise king or queen.</v>
      </c>
      <c r="E3" s="620"/>
      <c r="F3" s="620"/>
      <c r="G3" s="621"/>
      <c r="H3" s="36"/>
      <c r="I3" s="214" t="s">
        <v>2390</v>
      </c>
      <c r="J3" s="620" t="str">
        <f ca="1">CONCATENATE($W$36,INDEX($W$37:$W$42,RANDBETWEEN(1,6))," ",$X$36,INDEX($X$37:$X$42,RANDBETWEEN(1,6))," ",$Y$36,INDEX($Y$37:$Y$40,RANDBETWEEN(1,4)))</f>
        <v>The guard serves his liege for The chance to demonstrate his valor. On his face is A look of sadness. The guard carries A highly polished blade.</v>
      </c>
      <c r="K3" s="620"/>
      <c r="L3" s="620"/>
      <c r="M3" s="620"/>
      <c r="N3" s="621"/>
      <c r="O3" s="36"/>
      <c r="P3" s="36"/>
      <c r="Q3" s="36"/>
      <c r="R3" s="66"/>
    </row>
    <row r="4" spans="1:23" s="67" customFormat="1" ht="30" customHeight="1">
      <c r="A4" s="618" t="str">
        <f>E51</f>
        <v>It was built:</v>
      </c>
      <c r="B4" s="619"/>
      <c r="C4" s="619"/>
      <c r="D4" s="620" t="str">
        <f ca="1">INDEX($E$52:$E$80,RANDBETWEEN(1,4))</f>
        <v>In a past age.</v>
      </c>
      <c r="E4" s="620"/>
      <c r="F4" s="620"/>
      <c r="G4" s="621"/>
      <c r="H4" s="36"/>
      <c r="I4" s="214" t="s">
        <v>2391</v>
      </c>
      <c r="J4" s="620" t="str">
        <f ca="1">CONCATENATE($W$44,INDEX($W$45:$W$50,RANDBETWEEN(1,6))," ",$X$44,INDEX($X$45:$X$50,RANDBETWEEN(1,6))," ",$Y$44,INDEX($Y$45:$Y$50,RANDBETWEEN(1,6)))</f>
        <v>The Knight is A favorite among the ladies. They have sworn to Advance his liege’s ideals or faith. They carry A huge greatsword.</v>
      </c>
      <c r="K4" s="620"/>
      <c r="L4" s="620"/>
      <c r="M4" s="620"/>
      <c r="N4" s="621"/>
      <c r="O4" s="36"/>
      <c r="P4" s="36"/>
      <c r="Q4" s="36"/>
      <c r="R4" s="66"/>
    </row>
    <row r="5" spans="1:23" s="67" customFormat="1" ht="30" customHeight="1">
      <c r="A5" s="618" t="str">
        <f>F51</f>
        <v>Currently, it's condition is:</v>
      </c>
      <c r="B5" s="619"/>
      <c r="C5" s="619"/>
      <c r="D5" s="620" t="str">
        <f ca="1">INDEX($F$52:$F$80,RANDBETWEEN(1,8))</f>
        <v>Fair; the castle has seen better days.</v>
      </c>
      <c r="E5" s="620"/>
      <c r="F5" s="620"/>
      <c r="G5" s="621"/>
      <c r="H5" s="36"/>
      <c r="I5" s="214" t="s">
        <v>2393</v>
      </c>
      <c r="J5" s="620" t="str">
        <f ca="1">CONCATENATE($W$52,INDEX($W$53:$W$58,RANDBETWEEN(1,6))," ",$X$52,INDEX($X$53:$X$56,RANDBETWEEN(1,4))," ",$Y$52,INDEX($Y$53:$Y$58,RANDBETWEEN(1,6)))</f>
        <v>The retainer is A long-time valet or squire. They have A lot of self-confidence. They want to Train with weapons to become a hero.</v>
      </c>
      <c r="K5" s="620"/>
      <c r="L5" s="620"/>
      <c r="M5" s="620"/>
      <c r="N5" s="621"/>
      <c r="O5" s="36"/>
      <c r="P5" s="36"/>
      <c r="Q5" s="36"/>
      <c r="R5" s="66"/>
    </row>
    <row r="6" spans="1:23" s="67" customFormat="1" ht="30" customHeight="1">
      <c r="A6" s="618" t="str">
        <f>G51</f>
        <v>It's current occupant is:</v>
      </c>
      <c r="B6" s="619"/>
      <c r="C6" s="619"/>
      <c r="D6" s="620" t="str">
        <f ca="1">INDEX($G$52:$G$80,RANDBETWEEN(1,12))</f>
        <v>An elderly lord or lady.</v>
      </c>
      <c r="E6" s="620"/>
      <c r="F6" s="620"/>
      <c r="G6" s="621"/>
      <c r="H6" s="36"/>
      <c r="I6" s="214" t="s">
        <v>2394</v>
      </c>
      <c r="J6" s="620" t="str">
        <f ca="1">CONCATENATE($W$60,INDEX($W$61:$W$66,RANDBETWEEN(1,6))," ",$X$60,INDEX($X$61:$X$64,RANDBETWEEN(1,4))," ",$Y$60,INDEX($Y$61:$Y$64,RANDBETWEEN(1,4)))</f>
        <v>The archer is An wily, old veteran. They are looking to Keep safe someone special in the castle. They carry A longbow crafted of superior wood.</v>
      </c>
      <c r="K6" s="620"/>
      <c r="L6" s="620"/>
      <c r="M6" s="620"/>
      <c r="N6" s="621"/>
      <c r="O6" s="36"/>
      <c r="P6" s="36"/>
      <c r="Q6" s="36"/>
      <c r="R6" s="66"/>
    </row>
    <row r="7" spans="1:23" s="67" customFormat="1" ht="30" customHeight="1">
      <c r="A7" s="618" t="str">
        <f>H51</f>
        <v>The territory it defends is valuable because:</v>
      </c>
      <c r="B7" s="619"/>
      <c r="C7" s="619"/>
      <c r="D7" s="620" t="str">
        <f ca="1">INDEX($H$52:$H$80,RANDBETWEEN(1,12))</f>
        <v>The nearby pass is the easiest way to cross the mountains.</v>
      </c>
      <c r="E7" s="620"/>
      <c r="F7" s="620"/>
      <c r="G7" s="621"/>
      <c r="H7" s="36"/>
      <c r="I7" s="214" t="s">
        <v>2395</v>
      </c>
      <c r="J7" s="620" t="str">
        <f ca="1">CONCATENATE($W$68,INDEX($W$69:$W$72,RANDBETWEEN(1,4))," ",$X$68,INDEX($X$69:$X$72,RANDBETWEEN(1,4))," ",$Y$68,INDEX($Y$69:$Y$72,RANDBETWEEN(1,4)))</f>
        <v>The smith is A highly-skilled weaponsmith. They are looking for Someone who can shoe horses. They carry A filthy rag.</v>
      </c>
      <c r="K7" s="620"/>
      <c r="L7" s="620"/>
      <c r="M7" s="620"/>
      <c r="N7" s="621"/>
      <c r="O7" s="36"/>
      <c r="P7" s="36"/>
      <c r="Q7" s="36"/>
      <c r="R7" s="66"/>
    </row>
    <row r="8" spans="1:23" s="67" customFormat="1" ht="30" customHeight="1">
      <c r="A8" s="618" t="str">
        <f>I51</f>
        <v>The outer defenses include:</v>
      </c>
      <c r="B8" s="619"/>
      <c r="C8" s="619"/>
      <c r="D8" s="620" t="str">
        <f ca="1">INDEX($I$52:$I$80,RANDBETWEEN(1,10))</f>
        <v>A moat filled with sharp spikes.</v>
      </c>
      <c r="E8" s="620"/>
      <c r="F8" s="620"/>
      <c r="G8" s="621"/>
      <c r="H8" s="36"/>
      <c r="I8" s="214" t="s">
        <v>2396</v>
      </c>
      <c r="J8" s="620" t="str">
        <f ca="1">CONCATENATE($W$74,INDEX($W$75:$W$78,RANDBETWEEN(1,4))," ",$X$74,INDEX($X$75:$X$78,RANDBETWEEN(1,4))," ",$Y$74,INDEX($Y$75:$Y$78,RANDBETWEEN(1,4)))</f>
        <v>The steward is A member of a lesser house. The steward seeks someone to Obtain hard-to-get provisions. The steward is concerned about The gold and silver in the treasury.</v>
      </c>
      <c r="K8" s="620"/>
      <c r="L8" s="620"/>
      <c r="M8" s="620"/>
      <c r="N8" s="621"/>
      <c r="O8" s="36"/>
      <c r="P8" s="36"/>
      <c r="Q8" s="36"/>
      <c r="R8" s="66"/>
    </row>
    <row r="9" spans="1:23" s="67" customFormat="1" ht="30" customHeight="1">
      <c r="A9" s="618" t="str">
        <f>J51</f>
        <v>The inner keep defenses include:</v>
      </c>
      <c r="B9" s="619"/>
      <c r="C9" s="619"/>
      <c r="D9" s="620" t="str">
        <f ca="1">INDEX($J$52:$J$80,RANDBETWEEN(1,6))</f>
        <v>A winding climb to reach the entrance.</v>
      </c>
      <c r="E9" s="620"/>
      <c r="F9" s="620"/>
      <c r="G9" s="621"/>
      <c r="H9" s="36"/>
      <c r="I9" s="214" t="s">
        <v>2397</v>
      </c>
      <c r="J9" s="620" t="str">
        <f ca="1">CONCATENATE($W$80,INDEX($W$81:$W$84,RANDBETWEEN(1,4))," ",$X$80,INDEX($X$81:$X$84,RANDBETWEEN(1,4))," ",$Y$80,INDEX($Y$81:$Y$84,RANDBETWEEN(1,4)))</f>
        <v>The chaplan is An adept healer. They are looking for  News from the surrounding lands. They carry A prominently displayed holy symbol.</v>
      </c>
      <c r="K9" s="620"/>
      <c r="L9" s="620"/>
      <c r="M9" s="620"/>
      <c r="N9" s="621"/>
      <c r="O9" s="36"/>
      <c r="P9" s="36"/>
      <c r="Q9" s="36"/>
      <c r="R9" s="66"/>
    </row>
    <row r="10" spans="1:23" s="67" customFormat="1" ht="30" customHeight="1">
      <c r="A10" s="618" t="str">
        <f>K51</f>
        <v>The castle can be held effectively by as few as:</v>
      </c>
      <c r="B10" s="619"/>
      <c r="C10" s="619"/>
      <c r="D10" s="620" t="str">
        <f ca="1">INDEX($K$52:$K$80,RANDBETWEEN(1,8))</f>
        <v>100 soldiers, 50 archers, and 5 warmages.</v>
      </c>
      <c r="E10" s="620"/>
      <c r="F10" s="620"/>
      <c r="G10" s="621"/>
      <c r="H10" s="36"/>
      <c r="I10" s="214" t="s">
        <v>2398</v>
      </c>
      <c r="J10" s="620" t="str">
        <f ca="1">CONCATENATE($W$86,INDEX($W$87:$W$90,RANDBETWEEN(1,4))," ",$X$86,INDEX($X$87:$X$90,RANDBETWEEN(1,4)))</f>
        <v>The cook greets you with A goblet of warm wine. They are looking for  Some better cabbage.</v>
      </c>
      <c r="K10" s="620"/>
      <c r="L10" s="620"/>
      <c r="M10" s="620"/>
      <c r="N10" s="621"/>
      <c r="O10" s="36"/>
      <c r="P10" s="36"/>
      <c r="Q10" s="36"/>
      <c r="R10" s="66"/>
    </row>
    <row r="11" spans="1:23" s="67" customFormat="1" ht="30" customHeight="1">
      <c r="A11" s="618" t="str">
        <f>L51</f>
        <v>In addition to it's garrison, the castle can withstand a 3-month seige for up to:</v>
      </c>
      <c r="B11" s="619"/>
      <c r="C11" s="619"/>
      <c r="D11" s="620" t="str">
        <f ca="1">INDEX($L$52:$L$80,RANDBETWEEN(1,6))</f>
        <v>1,000 people.</v>
      </c>
      <c r="E11" s="620"/>
      <c r="F11" s="620"/>
      <c r="G11" s="621"/>
      <c r="H11" s="36"/>
      <c r="I11" s="214" t="s">
        <v>2399</v>
      </c>
      <c r="J11" s="620" t="str">
        <f ca="1">CONCATENATE($W$92,INDEX($W$93:$W$98,RANDBETWEEN(1,6))," ",$X$92,INDEX($X$93:$X$100,RANDBETWEEN(1,8))," ",$Y$92,INDEX($Y$93:$Y$98,RANDBETWEEN(1,6)))</f>
        <v>The fool is Dressed as a faux knight. They get the most laughs from Falling stunts. They want nothing more than to Exact vengeance against a cruel noble.</v>
      </c>
      <c r="K11" s="620"/>
      <c r="L11" s="620"/>
      <c r="M11" s="620"/>
      <c r="N11" s="621"/>
      <c r="O11" s="36"/>
      <c r="P11" s="36"/>
      <c r="Q11" s="36"/>
      <c r="R11" s="66"/>
    </row>
    <row r="12" spans="1:23" s="67" customFormat="1" ht="30" customHeight="1">
      <c r="A12" s="618" t="str">
        <f>M51</f>
        <v>The castle is known for:</v>
      </c>
      <c r="B12" s="619"/>
      <c r="C12" s="619"/>
      <c r="D12" s="620" t="str">
        <f ca="1">INDEX($M$52:$M$80,RANDBETWEEN(1,12))</f>
        <v>Being haunted by a former occupant.</v>
      </c>
      <c r="E12" s="620"/>
      <c r="F12" s="620"/>
      <c r="G12" s="621"/>
      <c r="H12" s="36"/>
      <c r="I12" s="214" t="s">
        <v>2400</v>
      </c>
      <c r="J12" s="620" t="str">
        <f ca="1">CONCATENATE($W$102,INDEX($W$103:$W$108,RANDBETWEEN(1,6))," ",$X$102,INDEX($X$103:$X$108,RANDBETWEEN(1,6))," ",$Y$102,INDEX($Y$103:$Y$114,RANDBETWEEN(1,10)))</f>
        <v>The tutor is A wizard trained at an academy. Their charges view him/her as A tyrant to be feared. They are well-versed in Alchemy.</v>
      </c>
      <c r="K12" s="620"/>
      <c r="L12" s="620"/>
      <c r="M12" s="620"/>
      <c r="N12" s="621"/>
      <c r="O12" s="36"/>
      <c r="P12" s="36"/>
      <c r="Q12" s="36"/>
      <c r="R12" s="66"/>
    </row>
    <row r="13" spans="1:23" s="67" customFormat="1" ht="30" customHeight="1" thickBot="1">
      <c r="A13" s="632" t="str">
        <f>N51</f>
        <v>Finally, the castle is rumored to contain:</v>
      </c>
      <c r="B13" s="633"/>
      <c r="C13" s="633"/>
      <c r="D13" s="634" t="str">
        <f ca="1">INDEX($N$52:$N$80,RANDBETWEEN(1,12))</f>
        <v>A lost work of a celebrated artist.</v>
      </c>
      <c r="E13" s="634"/>
      <c r="F13" s="634"/>
      <c r="G13" s="635"/>
      <c r="H13" s="36"/>
      <c r="I13" s="214" t="s">
        <v>2401</v>
      </c>
      <c r="J13" s="620" t="str">
        <f ca="1">CONCATENATE($W$116,INDEX($W$117:$W$120,RANDBETWEEN(1,4))," ",$X$116,INDEX($X$117:$X$120,RANDBETWEEN(1,4))," ",$Y$116,INDEX($Y$117:$Y$120,RANDBETWEEN(1,4)))</f>
        <v>The maidservant is A long-time servant of the household. They have Beautiful but sad eyes. They want to Earn the affection of her mistress.</v>
      </c>
      <c r="K13" s="620"/>
      <c r="L13" s="620"/>
      <c r="M13" s="620"/>
      <c r="N13" s="621"/>
      <c r="O13" s="36"/>
      <c r="P13" s="36"/>
      <c r="Q13" s="36"/>
      <c r="R13" s="66"/>
    </row>
    <row r="14" spans="1:23" s="66" customFormat="1" ht="30" customHeight="1" thickBot="1">
      <c r="A14" s="716"/>
      <c r="B14" s="716"/>
      <c r="C14" s="716"/>
      <c r="D14" s="717"/>
      <c r="E14" s="717"/>
      <c r="F14" s="717"/>
      <c r="G14" s="717"/>
      <c r="H14" s="63"/>
      <c r="I14" s="214" t="s">
        <v>2402</v>
      </c>
      <c r="J14" s="620" t="str">
        <f ca="1">CONCATENATE($W$122,INDEX($W$123:$W$128,RANDBETWEEN(1,6))," ",$X$122,INDEX($X$123:$X$126,RANDBETWEEN(1,4))," ",$Y$122,INDEX($Y$123:$Y$126,RANDBETWEEN(1,4))," ",$Z$122,INDEX($Z$123:$Z$128,RANDBETWEEN(1,6)))</f>
        <v>The guard captain is An anointed knight. They are concerned about Running out of ale during a siege. They are looking for Reinforcements or new recruits. They carry A lucky charm (rabbit’s foot, old coin).</v>
      </c>
      <c r="K14" s="620"/>
      <c r="L14" s="620"/>
      <c r="M14" s="620"/>
      <c r="N14" s="621"/>
      <c r="O14" s="63"/>
      <c r="P14" s="63"/>
      <c r="Q14" s="63"/>
    </row>
    <row r="15" spans="1:23" s="66" customFormat="1" ht="30" customHeight="1" thickBot="1">
      <c r="A15" s="710" t="s">
        <v>3244</v>
      </c>
      <c r="B15" s="711"/>
      <c r="C15" s="711"/>
      <c r="D15" s="711"/>
      <c r="E15" s="711"/>
      <c r="F15" s="711"/>
      <c r="G15" s="712"/>
      <c r="H15" s="63"/>
      <c r="I15" s="214" t="s">
        <v>2403</v>
      </c>
      <c r="J15" s="620" t="str">
        <f ca="1">CONCATENATE($W$130,INDEX($W$131:$W$134,RANDBETWEEN(1,4))," ",$X$130,INDEX($X$131:$X$134,RANDBETWEEN(1,4))," ",$Y$130,INDEX($Y$131:$Y$134,RANDBETWEEN(1,4)))</f>
        <v>The Horsemaster is A knight lamed in combat years ago. They have A soft-spoken manner. They want to Tell a tale of a grueling ride.</v>
      </c>
      <c r="K15" s="620"/>
      <c r="L15" s="620"/>
      <c r="M15" s="620"/>
      <c r="N15" s="621"/>
      <c r="O15" s="63"/>
      <c r="P15" s="63"/>
      <c r="Q15" s="63"/>
    </row>
    <row r="16" spans="1:23" s="67" customFormat="1" ht="30" customHeight="1">
      <c r="A16" s="625" t="str">
        <f>AC51</f>
        <v>The Dungeon is located:</v>
      </c>
      <c r="B16" s="626"/>
      <c r="C16" s="626"/>
      <c r="D16" s="627" t="str">
        <f ca="1">INDEX($AC$52:$AC$61,RANDBETWEEN(1,6))</f>
        <v>Beneath the keep.</v>
      </c>
      <c r="E16" s="627"/>
      <c r="F16" s="627"/>
      <c r="G16" s="628"/>
      <c r="H16" s="36"/>
      <c r="I16" s="214" t="s">
        <v>2404</v>
      </c>
      <c r="J16" s="620" t="str">
        <f ca="1">CONCATENATE($W$136,INDEX($W$137:$W$140,RANDBETWEEN(1,4))," ",$X$136,INDEX($X$137:$X$140,RANDBETWEEN(1,4))," ",$Y$136,INDEX($Y$137:$Y$140,RANDBETWEEN(1,4)))</f>
        <v>The stable hand is A shady-looking character. They have Incredibly large hands. They want to Avoid being kicked by a horse.</v>
      </c>
      <c r="K16" s="620"/>
      <c r="L16" s="620"/>
      <c r="M16" s="620"/>
      <c r="N16" s="621"/>
      <c r="O16" s="36"/>
      <c r="P16" s="36"/>
      <c r="Q16" s="36"/>
      <c r="R16" s="66"/>
    </row>
    <row r="17" spans="1:26" s="67" customFormat="1" ht="30" customHeight="1">
      <c r="A17" s="618" t="str">
        <f>AD51</f>
        <v>It was built:</v>
      </c>
      <c r="B17" s="619"/>
      <c r="C17" s="619"/>
      <c r="D17" s="620" t="str">
        <f ca="1">INDEX($AD$52:$AD$61,RANDBETWEEN(1,4))</f>
        <v>For another purpose originally.</v>
      </c>
      <c r="E17" s="620"/>
      <c r="F17" s="620"/>
      <c r="G17" s="621"/>
      <c r="H17" s="36"/>
      <c r="I17" s="214" t="s">
        <v>2407</v>
      </c>
      <c r="J17" s="620" t="str">
        <f ca="1">CONCATENATE($W$142,INDEX($W$143:$W$148,RANDBETWEEN(1,6))," ",$X$142,INDEX($X$143:$X$146,RANDBETWEEN(1,4))," ",$Y$142,INDEX($Y$143:$Y$146,RANDBETWEEN(1,4))," ",$Z$142,INDEX($Z$143:$Z$146,RANDBETWEEN(1,4)))</f>
        <v>The huntsman is A kindly sportsman. They are concerned about The reckless behavior of a fellow hunter. They are looking to Find the lair of a rare beast. They carry A large knife and a hunting trap.</v>
      </c>
      <c r="K17" s="620"/>
      <c r="L17" s="620"/>
      <c r="M17" s="620"/>
      <c r="N17" s="621"/>
      <c r="O17" s="36"/>
      <c r="P17" s="36"/>
      <c r="Q17" s="36"/>
      <c r="R17" s="66"/>
    </row>
    <row r="18" spans="1:26" ht="30" customHeight="1">
      <c r="A18" s="618" t="str">
        <f>AE51</f>
        <v>The layout is:</v>
      </c>
      <c r="B18" s="619"/>
      <c r="C18" s="619"/>
      <c r="D18" s="620" t="str">
        <f ca="1">INDEX($AE$52:$AE$61,RANDBETWEEN(1,8))</f>
        <v>A sprawling maze of twisting passages.</v>
      </c>
      <c r="E18" s="620"/>
      <c r="F18" s="620"/>
      <c r="G18" s="621"/>
      <c r="H18" s="36"/>
      <c r="I18" s="214" t="s">
        <v>2405</v>
      </c>
      <c r="J18" s="620" t="str">
        <f ca="1">CONCATENATE($W$150,INDEX($W$151:$W$154,RANDBETWEEN(1,4))," ",$X$150,INDEX($X$151:$X$154,RANDBETWEEN(1,4))," ",$Y$150,INDEX($Y$151:$Y$154,RANDBETWEEN(1,4)))</f>
        <v>The kennelmaster is A tall, gregarious fellow. They are looking to Encourage a hunting expedition. They carry A rope of some kind of jerky.</v>
      </c>
      <c r="K18" s="620"/>
      <c r="L18" s="620"/>
      <c r="M18" s="620"/>
      <c r="N18" s="621"/>
      <c r="O18" s="36"/>
      <c r="P18" s="36"/>
      <c r="Q18" s="36"/>
      <c r="R18" s="63"/>
      <c r="S18" s="64"/>
      <c r="T18" s="64"/>
      <c r="U18" s="64"/>
      <c r="V18" s="64"/>
      <c r="W18" s="64"/>
    </row>
    <row r="19" spans="1:26" ht="30" customHeight="1" thickBot="1">
      <c r="A19" s="618" t="str">
        <f>AF51</f>
        <v>Prisoners are held within:</v>
      </c>
      <c r="B19" s="619"/>
      <c r="C19" s="619"/>
      <c r="D19" s="620" t="str">
        <f ca="1">INDEX($AF$52:$AF$61,RANDBETWEEN(1,10))</f>
        <v>Individual cells, but they can see and hear other prisoners.</v>
      </c>
      <c r="E19" s="620"/>
      <c r="F19" s="620"/>
      <c r="G19" s="621"/>
      <c r="H19" s="36"/>
      <c r="I19" s="133" t="s">
        <v>2406</v>
      </c>
      <c r="J19" s="634" t="str">
        <f ca="1">CONCATENATE($W$156,INDEX($W$157:$W$160,RANDBETWEEN(1,4))," ",$X$156,INDEX($X$157:$X$160,RANDBETWEEN(1,4))," ",$Y$156,INDEX($Y$157:$Y$160,RANDBETWEEN(1,4)))</f>
        <v>The bowyer is An old archer, blind in one eye. They are looking for Someone who can fletch arrows. They carry A quiver of arrows to be mended.</v>
      </c>
      <c r="K19" s="634"/>
      <c r="L19" s="634"/>
      <c r="M19" s="634"/>
      <c r="N19" s="635"/>
      <c r="O19" s="69"/>
      <c r="P19" s="69"/>
      <c r="Q19" s="69"/>
      <c r="R19" s="63"/>
      <c r="S19" s="64"/>
      <c r="T19" s="64"/>
      <c r="U19" s="64"/>
      <c r="V19" s="64"/>
      <c r="W19" s="64"/>
    </row>
    <row r="20" spans="1:26" ht="30" customHeight="1" thickBot="1">
      <c r="A20" s="618" t="str">
        <f>AG51</f>
        <v>The cells condition is:</v>
      </c>
      <c r="B20" s="619"/>
      <c r="C20" s="619"/>
      <c r="D20" s="620" t="str">
        <f ca="1">INDEX($AG$52:$AG$61,RANDBETWEEN(1,4))</f>
        <v>So dark it’s difficult to say.</v>
      </c>
      <c r="E20" s="620"/>
      <c r="F20" s="620"/>
      <c r="G20" s="621"/>
      <c r="H20" s="36"/>
      <c r="I20" s="36"/>
      <c r="J20" s="36"/>
      <c r="K20" s="36"/>
      <c r="L20" s="70"/>
      <c r="M20" s="66"/>
      <c r="N20" s="66"/>
      <c r="O20" s="66"/>
      <c r="P20" s="66"/>
      <c r="Q20" s="66"/>
      <c r="R20" s="63"/>
      <c r="S20" s="64"/>
      <c r="T20" s="64"/>
      <c r="U20" s="64"/>
      <c r="V20" s="64"/>
      <c r="W20" s="82" t="s">
        <v>2351</v>
      </c>
      <c r="X20" s="83" t="s">
        <v>2355</v>
      </c>
      <c r="Y20" s="83" t="s">
        <v>2352</v>
      </c>
      <c r="Z20" s="83"/>
    </row>
    <row r="21" spans="1:26" ht="30" customHeight="1" thickBot="1">
      <c r="A21" s="618" t="str">
        <f>AH51</f>
        <v>Prisoners are treated:</v>
      </c>
      <c r="B21" s="619"/>
      <c r="C21" s="619"/>
      <c r="D21" s="620" t="str">
        <f ca="1">INDEX($AH$52:$AH$61,RANDBETWEEN(1,4))</f>
        <v>Humanely; they receive reasonable meals, some exercise, and healing when needed.</v>
      </c>
      <c r="E21" s="620"/>
      <c r="F21" s="620"/>
      <c r="G21" s="621"/>
      <c r="H21" s="36"/>
      <c r="I21" s="713" t="s">
        <v>2651</v>
      </c>
      <c r="J21" s="714"/>
      <c r="K21" s="715"/>
      <c r="L21" s="70"/>
      <c r="M21" s="707" t="s">
        <v>3163</v>
      </c>
      <c r="N21" s="708"/>
      <c r="O21" s="709"/>
      <c r="P21" s="66"/>
      <c r="Q21" s="66"/>
      <c r="R21" s="63"/>
      <c r="S21" s="64"/>
      <c r="T21" s="64"/>
      <c r="U21" s="64"/>
      <c r="V21" s="64"/>
      <c r="W21" s="64" t="s">
        <v>2089</v>
      </c>
      <c r="X21" s="64" t="s">
        <v>2095</v>
      </c>
      <c r="Y21" s="64" t="s">
        <v>2101</v>
      </c>
    </row>
    <row r="22" spans="1:26" ht="30" customHeight="1">
      <c r="A22" s="618" t="str">
        <f>AI51</f>
        <v>The dungeon is known for:</v>
      </c>
      <c r="B22" s="619"/>
      <c r="C22" s="619"/>
      <c r="D22" s="620" t="str">
        <f ca="1">INDEX($AI$52:$AI$61,RANDBETWEEN(1,10))</f>
        <v>A mass escape in the past.</v>
      </c>
      <c r="E22" s="620"/>
      <c r="F22" s="620"/>
      <c r="G22" s="621"/>
      <c r="H22" s="36"/>
      <c r="I22" s="134" t="str">
        <f>$AC$66</f>
        <v>The Jailer is:</v>
      </c>
      <c r="J22" s="562" t="str">
        <f ca="1">INDEX($AC$67:$AC$72,RANDBETWEEN(1,6))</f>
        <v>A mild-mannered man of faith.</v>
      </c>
      <c r="K22" s="563"/>
      <c r="L22" s="70"/>
      <c r="M22" s="134" t="str">
        <f>$AC$84</f>
        <v>The torturer is:</v>
      </c>
      <c r="N22" s="562" t="str">
        <f ca="1">INDEX($AC$85:$AC$88,RANDBETWEEN(1,4))</f>
        <v>A horrible sadist.</v>
      </c>
      <c r="O22" s="563"/>
      <c r="P22" s="66"/>
      <c r="Q22" s="66"/>
      <c r="R22" s="63"/>
      <c r="S22" s="64"/>
      <c r="T22" s="64"/>
      <c r="U22" s="64"/>
      <c r="V22" s="64"/>
      <c r="W22" s="64" t="s">
        <v>2090</v>
      </c>
      <c r="X22" s="64" t="s">
        <v>2096</v>
      </c>
      <c r="Y22" s="64" t="s">
        <v>2102</v>
      </c>
    </row>
    <row r="23" spans="1:26" ht="30" customHeight="1">
      <c r="A23" s="618" t="str">
        <f>AJ51</f>
        <v xml:space="preserve">According to rumor, within the dungeon lies: </v>
      </c>
      <c r="B23" s="619"/>
      <c r="C23" s="619"/>
      <c r="D23" s="620" t="str">
        <f ca="1">INDEX($AJ$52:$AJ$61,RANDBETWEEN(1,8))</f>
        <v>A unique and terrible torture device.</v>
      </c>
      <c r="E23" s="620"/>
      <c r="F23" s="620"/>
      <c r="G23" s="621"/>
      <c r="H23" s="36"/>
      <c r="I23" s="135" t="str">
        <f>$AD$66</f>
        <v>They are concerned about:</v>
      </c>
      <c r="J23" s="560" t="str">
        <f ca="1">INDEX($AD$67:$AD$70,RANDBETWEEN(1,4))</f>
        <v>Rumors of an upcoming escape attempt.</v>
      </c>
      <c r="K23" s="561"/>
      <c r="L23" s="70"/>
      <c r="M23" s="135" t="str">
        <f>$AD$84</f>
        <v>They are looking to:</v>
      </c>
      <c r="N23" s="560" t="str">
        <f ca="1">INDEX($AD$85:$AD$88,RANDBETWEEN(1,4))</f>
        <v>Make himself feel powerful.</v>
      </c>
      <c r="O23" s="561"/>
      <c r="P23" s="66"/>
      <c r="Q23" s="66"/>
      <c r="R23" s="63"/>
      <c r="S23" s="64"/>
      <c r="T23" s="64"/>
      <c r="U23" s="64"/>
      <c r="V23" s="64"/>
      <c r="W23" s="64" t="s">
        <v>2091</v>
      </c>
      <c r="X23" s="64" t="s">
        <v>2097</v>
      </c>
      <c r="Y23" s="64" t="s">
        <v>2103</v>
      </c>
    </row>
    <row r="24" spans="1:26" ht="30" customHeight="1" thickBot="1">
      <c r="A24" s="618" t="str">
        <f>AK51</f>
        <v>Escaped prisoners are:</v>
      </c>
      <c r="B24" s="619"/>
      <c r="C24" s="619"/>
      <c r="D24" s="620" t="str">
        <f ca="1">INDEX($AK$52:$AK$61,RANDBETWEEN(1,6))</f>
        <v>Peppered with Arrows</v>
      </c>
      <c r="E24" s="620"/>
      <c r="F24" s="620"/>
      <c r="G24" s="621"/>
      <c r="H24" s="36"/>
      <c r="I24" s="135" t="str">
        <f>$AE$66</f>
        <v>They are looking to:</v>
      </c>
      <c r="J24" s="560" t="str">
        <f ca="1">INDEX($AE$67:$AE$70,RANDBETWEEN(1,4))</f>
        <v>Abuse someone who is defenseless.</v>
      </c>
      <c r="K24" s="561"/>
      <c r="L24" s="70"/>
      <c r="M24" s="136" t="str">
        <f>$AE$84</f>
        <v>They carry:</v>
      </c>
      <c r="N24" s="558" t="str">
        <f ca="1">INDEX($AE$85:$AE$90,RANDBETWEEN(1,6))</f>
        <v>A leatherbound set of blades, hooks, and prongs.</v>
      </c>
      <c r="O24" s="559"/>
      <c r="P24" s="66"/>
      <c r="Q24" s="66"/>
      <c r="R24" s="63"/>
      <c r="S24" s="64"/>
      <c r="T24" s="64"/>
      <c r="U24" s="64"/>
      <c r="V24" s="64"/>
      <c r="W24" s="64" t="s">
        <v>2092</v>
      </c>
      <c r="X24" s="64" t="s">
        <v>2098</v>
      </c>
      <c r="Y24" s="64" t="s">
        <v>2104</v>
      </c>
    </row>
    <row r="25" spans="1:26" ht="30" customHeight="1" thickBot="1">
      <c r="A25" s="632" t="str">
        <f>AL51</f>
        <v>Upon entering, you notice:</v>
      </c>
      <c r="B25" s="633"/>
      <c r="C25" s="633"/>
      <c r="D25" s="634" t="str">
        <f ca="1">INDEX($AL$52:$AL$71,RANDBETWEEN(1,20))</f>
        <v>Steel bars where you expected a stone wall.</v>
      </c>
      <c r="E25" s="634"/>
      <c r="F25" s="634"/>
      <c r="G25" s="635"/>
      <c r="H25" s="36"/>
      <c r="I25" s="136" t="str">
        <f>$AF$66</f>
        <v>They carry:</v>
      </c>
      <c r="J25" s="558" t="str">
        <f ca="1">INDEX($AF$67:$AF$74,RANDBETWEEN(1,8))</f>
        <v>A wineskin.</v>
      </c>
      <c r="K25" s="559"/>
      <c r="L25" s="70"/>
      <c r="M25" s="66"/>
      <c r="N25" s="66"/>
      <c r="O25" s="66"/>
      <c r="P25" s="66"/>
      <c r="Q25" s="66"/>
      <c r="R25" s="63"/>
      <c r="S25" s="64"/>
      <c r="T25" s="64"/>
      <c r="U25" s="64"/>
      <c r="V25" s="64"/>
      <c r="W25" s="64" t="s">
        <v>2093</v>
      </c>
      <c r="X25" s="64" t="s">
        <v>2099</v>
      </c>
      <c r="Y25" s="64" t="s">
        <v>2105</v>
      </c>
    </row>
    <row r="26" spans="1:26" ht="30" customHeight="1" thickBot="1">
      <c r="A26" s="36"/>
      <c r="B26" s="36"/>
      <c r="C26" s="36"/>
      <c r="D26" s="36"/>
      <c r="E26" s="36"/>
      <c r="F26" s="36"/>
      <c r="G26" s="36"/>
      <c r="H26" s="36"/>
      <c r="I26" s="70"/>
      <c r="J26" s="70"/>
      <c r="K26" s="70"/>
      <c r="L26" s="70"/>
      <c r="M26" s="66"/>
      <c r="N26" s="66"/>
      <c r="O26" s="66"/>
      <c r="P26" s="66"/>
      <c r="Q26" s="66"/>
      <c r="R26" s="63"/>
      <c r="S26" s="64"/>
      <c r="T26" s="64"/>
      <c r="U26" s="64"/>
      <c r="V26" s="64"/>
      <c r="W26" s="64" t="s">
        <v>2094</v>
      </c>
      <c r="X26" s="64" t="s">
        <v>2100</v>
      </c>
      <c r="Y26" s="64" t="s">
        <v>2106</v>
      </c>
    </row>
    <row r="27" spans="1:26" ht="30" customHeight="1" thickBot="1">
      <c r="A27" s="552" t="s">
        <v>2482</v>
      </c>
      <c r="B27" s="93" t="s">
        <v>2416</v>
      </c>
      <c r="C27" s="503" t="str">
        <f ca="1">CONCATENATE(INDEX('NPC''s'!$I$106:$I$115,RANDBETWEEN(1,10))," in stature, with a ",INDEX('NPC''s'!$J$106:$J$125,RANDBETWEEN(1,20))," body, and ",INDEX('NPC''s'!$K$106:$K$111,RANDBETWEEN(1,6)))</f>
        <v>SHORT in stature, with a STOCKY AND STRONG body, and DELICATE HANDS.</v>
      </c>
      <c r="D27" s="504"/>
      <c r="E27" s="504"/>
      <c r="F27" s="504"/>
      <c r="G27" s="505"/>
      <c r="H27" s="36"/>
      <c r="I27" s="704" t="s">
        <v>6115</v>
      </c>
      <c r="J27" s="705"/>
      <c r="K27" s="706"/>
      <c r="L27" s="70"/>
      <c r="M27" s="555" t="s">
        <v>2666</v>
      </c>
      <c r="N27" s="556"/>
      <c r="O27" s="557"/>
      <c r="P27" s="66"/>
      <c r="Q27" s="66"/>
      <c r="R27" s="63"/>
      <c r="S27" s="64"/>
      <c r="T27" s="64"/>
      <c r="U27" s="64"/>
      <c r="V27" s="64"/>
      <c r="W27" s="64"/>
    </row>
    <row r="28" spans="1:26" ht="30" customHeight="1">
      <c r="A28" s="553"/>
      <c r="B28" s="94" t="s">
        <v>2415</v>
      </c>
      <c r="C28" s="506" t="str">
        <f ca="1">CONCATENATE(INDEX('NPC''s'!$B$106:$B$125,RANDBETWEEN(1,20)),", ",INDEX('NPC''s'!$C$106:$C$117,RANDBETWEEN(1,12)),", and ",INDEX('NPC''s'!$D$106:$D$115,RANDBETWEEN(1,10)),". They have ",INDEX('NPC''s'!$H$106:$H$113,RANDBETWEEN(1,8)),", ",INDEX('NPC''s'!$E$106:$E$117,RANDBETWEEN(1,12)),", ",INDEX('NPC''s'!$F$106:$F$113,RANDBETWEEN(1,8)),", and ",INDEX('NPC''s'!$G$106:$G$125,RANDBETWEEN(1,20)))</f>
        <v>EYES OF TWO DIFFERENT COLORS, SMALL EARS, and BUCK TEETH. They have A BEAUTY MARK, A BULBOUS NOSE, A CLEFT CHIN, and AN OUTDATED HAIRSTYLE</v>
      </c>
      <c r="D28" s="507"/>
      <c r="E28" s="507"/>
      <c r="F28" s="507"/>
      <c r="G28" s="508"/>
      <c r="H28" s="36"/>
      <c r="I28" s="720" t="str">
        <f>$AO$51</f>
        <v>The Company's Colors are:</v>
      </c>
      <c r="J28" s="725" t="str">
        <f ca="1">INDEX($AO$52:$AO$71,RANDBETWEEN(1,20))</f>
        <v>Black.</v>
      </c>
      <c r="K28" s="726"/>
      <c r="L28" s="70"/>
      <c r="M28" s="134" t="str">
        <f>$AC$76</f>
        <v>The prisoner has:</v>
      </c>
      <c r="N28" s="562" t="str">
        <f ca="1">INDEX($AC$77:$AC$80,RANDBETWEEN(1,4))</f>
        <v>A long scraggly beard.</v>
      </c>
      <c r="O28" s="563"/>
      <c r="P28" s="66"/>
      <c r="Q28" s="66"/>
      <c r="R28" s="63"/>
      <c r="S28" s="64"/>
      <c r="T28" s="64"/>
      <c r="U28" s="64"/>
      <c r="V28" s="64"/>
      <c r="W28" s="82" t="s">
        <v>2353</v>
      </c>
      <c r="X28" s="83" t="s">
        <v>2356</v>
      </c>
      <c r="Y28" s="83" t="s">
        <v>2354</v>
      </c>
    </row>
    <row r="29" spans="1:26" ht="30" customHeight="1">
      <c r="A29" s="553"/>
      <c r="B29" s="94" t="s">
        <v>2417</v>
      </c>
      <c r="C29" s="506" t="str">
        <f ca="1">CONCATENATE(INDEX('NPC''s'!$M$106:$M$117,RANDBETWEEN(1,12)),", made of ",INDEX('NPC''s'!$N$106:$N$115,RANDBETWEEN(1,10)))</f>
        <v>A LARGE CHAIN AROUND NECK, made of LEATHER</v>
      </c>
      <c r="D29" s="507"/>
      <c r="E29" s="507"/>
      <c r="F29" s="507"/>
      <c r="G29" s="508"/>
      <c r="H29" s="36"/>
      <c r="I29" s="718"/>
      <c r="J29" s="721"/>
      <c r="K29" s="722"/>
      <c r="L29" s="70"/>
      <c r="M29" s="135" t="str">
        <f>$AD$76</f>
        <v>They are here because:</v>
      </c>
      <c r="N29" s="560" t="str">
        <f ca="1">INDEX($AD$77:$AD$82,RANDBETWEEN(1,6))</f>
        <v>Someone confused him with someone else.</v>
      </c>
      <c r="O29" s="561"/>
      <c r="P29" s="66"/>
      <c r="Q29" s="66"/>
      <c r="R29" s="63"/>
      <c r="S29" s="64"/>
      <c r="T29" s="64"/>
      <c r="U29" s="64"/>
      <c r="V29" s="64"/>
      <c r="W29" s="64" t="s">
        <v>2107</v>
      </c>
      <c r="X29" s="64" t="s">
        <v>2111</v>
      </c>
      <c r="Y29" s="64" t="s">
        <v>2102</v>
      </c>
    </row>
    <row r="30" spans="1:26" ht="30" customHeight="1" thickBot="1">
      <c r="A30" s="553"/>
      <c r="B30" s="94" t="s">
        <v>2418</v>
      </c>
      <c r="C30" s="506" t="str">
        <f ca="1">CONCATENATE(INDEX('NPC''s'!$O$106:$O$113,RANDBETWEEN(1,8)))</f>
        <v>TORN IN PLACES; MISSING BUTTONS</v>
      </c>
      <c r="D30" s="507"/>
      <c r="E30" s="507"/>
      <c r="F30" s="507"/>
      <c r="G30" s="508"/>
      <c r="H30" s="36"/>
      <c r="I30" s="718" t="str">
        <f>$AP$51</f>
        <v>The company's Banner Features:</v>
      </c>
      <c r="J30" s="721" t="str">
        <f ca="1">INDEX($AP$52:$AP$71,RANDBETWEEN(1,20))</f>
        <v>The sun.</v>
      </c>
      <c r="K30" s="722"/>
      <c r="L30" s="70"/>
      <c r="M30" s="136" t="str">
        <f>$AE$76</f>
        <v>They have:</v>
      </c>
      <c r="N30" s="558" t="str">
        <f ca="1">INDEX($AE$77:$AE$80,RANDBETWEEN(1,4))</f>
        <v>No hope of escape.</v>
      </c>
      <c r="O30" s="559"/>
      <c r="P30" s="66"/>
      <c r="Q30" s="66"/>
      <c r="R30" s="63"/>
      <c r="S30" s="64"/>
      <c r="T30" s="64"/>
      <c r="U30" s="64"/>
      <c r="V30" s="64"/>
      <c r="W30" s="64" t="s">
        <v>2108</v>
      </c>
      <c r="X30" s="64" t="s">
        <v>2112</v>
      </c>
      <c r="Y30" s="64" t="s">
        <v>2117</v>
      </c>
    </row>
    <row r="31" spans="1:26" ht="30" customHeight="1" thickBot="1">
      <c r="A31" s="553"/>
      <c r="B31" s="94" t="s">
        <v>2435</v>
      </c>
      <c r="C31" s="506" t="str">
        <f ca="1">CONCATENATE(INDEX('NPC''s'!$S$106:$S$113,RANDBETWEEN(1,8)))</f>
        <v>CASUAL OBSERVER</v>
      </c>
      <c r="D31" s="507"/>
      <c r="E31" s="507"/>
      <c r="F31" s="507"/>
      <c r="G31" s="508"/>
      <c r="H31" s="36"/>
      <c r="I31" s="718"/>
      <c r="J31" s="721"/>
      <c r="K31" s="722"/>
      <c r="L31" s="70"/>
      <c r="M31" s="203"/>
      <c r="N31" s="204"/>
      <c r="O31" s="205"/>
      <c r="P31" s="66"/>
      <c r="Q31" s="66"/>
      <c r="R31" s="63"/>
      <c r="S31" s="64"/>
      <c r="T31" s="64"/>
      <c r="U31" s="64"/>
      <c r="V31" s="64"/>
      <c r="W31" s="64" t="s">
        <v>2109</v>
      </c>
      <c r="X31" s="64" t="s">
        <v>2113</v>
      </c>
      <c r="Y31" s="64" t="s">
        <v>2105</v>
      </c>
    </row>
    <row r="32" spans="1:26" ht="30" customHeight="1">
      <c r="A32" s="553"/>
      <c r="B32" s="94" t="s">
        <v>2420</v>
      </c>
      <c r="C32" s="506" t="str">
        <f ca="1">CONCATENATE(INDEX('NPC''s'!$T$106:$T$111,RANDBETWEEN(1,6)))</f>
        <v>OTHER GENDERS</v>
      </c>
      <c r="D32" s="507"/>
      <c r="E32" s="507"/>
      <c r="F32" s="507"/>
      <c r="G32" s="508"/>
      <c r="H32" s="36"/>
      <c r="I32" s="718" t="str">
        <f>$AQ$51</f>
        <v>The Company's Commander is:</v>
      </c>
      <c r="J32" s="721" t="str">
        <f ca="1">INDEX($AQ$52:$AQ$71,RANDBETWEEN(1,10))</f>
        <v>A dashing swashbuckler.</v>
      </c>
      <c r="K32" s="722"/>
      <c r="L32" s="207"/>
      <c r="M32" s="134" t="str">
        <f>$AC$76</f>
        <v>The prisoner has:</v>
      </c>
      <c r="N32" s="562" t="str">
        <f ca="1">INDEX($AC$77:$AC$80,RANDBETWEEN(1,4))</f>
        <v>A long scraggly beard.</v>
      </c>
      <c r="O32" s="563"/>
      <c r="P32" s="66"/>
      <c r="Q32" s="66"/>
      <c r="R32" s="63"/>
      <c r="S32" s="64"/>
      <c r="T32" s="64"/>
      <c r="U32" s="64"/>
      <c r="V32" s="64"/>
      <c r="W32" s="64" t="s">
        <v>2110</v>
      </c>
      <c r="X32" s="64" t="s">
        <v>2114</v>
      </c>
      <c r="Y32" s="64" t="s">
        <v>2106</v>
      </c>
    </row>
    <row r="33" spans="1:25" ht="30" customHeight="1" thickBot="1">
      <c r="A33" s="554"/>
      <c r="B33" s="95" t="s">
        <v>2419</v>
      </c>
      <c r="C33" s="509" t="str">
        <f ca="1">CONCATENATE("Their current mood is ",INDEX('NPC''s'!$R$106:$R$125,RANDBETWEEN(1,20)),". When calm, they are ",INDEX('NPC''s'!$P$106:$P$137,RANDBETWEEN(1,32)),", and when stressed they are ",INDEX('NPC''s'!$Q$106:$Q$137,RANDBETWEEN(1,32)))</f>
        <v>Their current mood is DISAGREEABLE. When calm, they are ARTISTIC, and when stressed they are OBSESSIVE</v>
      </c>
      <c r="D33" s="510"/>
      <c r="E33" s="510"/>
      <c r="F33" s="510"/>
      <c r="G33" s="511"/>
      <c r="H33" s="36"/>
      <c r="I33" s="718"/>
      <c r="J33" s="721"/>
      <c r="K33" s="722"/>
      <c r="L33" s="209"/>
      <c r="M33" s="135" t="str">
        <f>$AD$76</f>
        <v>They are here because:</v>
      </c>
      <c r="N33" s="560" t="str">
        <f ca="1">INDEX($AD$77:$AD$82,RANDBETWEEN(1,6))</f>
        <v>Someone confused him with someone else.</v>
      </c>
      <c r="O33" s="561"/>
      <c r="P33" s="66"/>
      <c r="Q33" s="66"/>
      <c r="R33" s="63"/>
      <c r="S33" s="64"/>
      <c r="T33" s="64"/>
      <c r="U33" s="64"/>
      <c r="V33" s="64"/>
      <c r="W33" s="64" t="s">
        <v>2093</v>
      </c>
      <c r="X33" s="64" t="s">
        <v>2115</v>
      </c>
    </row>
    <row r="34" spans="1:25" ht="30" customHeight="1" thickBot="1">
      <c r="A34" s="36"/>
      <c r="B34" s="36"/>
      <c r="C34" s="36"/>
      <c r="D34" s="36"/>
      <c r="E34" s="36"/>
      <c r="F34" s="36"/>
      <c r="G34" s="36"/>
      <c r="H34" s="36"/>
      <c r="I34" s="718" t="str">
        <f>$AR$51</f>
        <v>The Company's Attitude towards their commander is:</v>
      </c>
      <c r="J34" s="721" t="str">
        <f ca="1">INDEX($AR$52:$AR$71,RANDBETWEEN(1,6))</f>
        <v xml:space="preserve"> Agitated and restless.</v>
      </c>
      <c r="K34" s="722"/>
      <c r="L34" s="209"/>
      <c r="M34" s="136" t="str">
        <f>$AE$76</f>
        <v>They have:</v>
      </c>
      <c r="N34" s="558" t="str">
        <f ca="1">INDEX($AE$77:$AE$80,RANDBETWEEN(1,4))</f>
        <v>A foolish optimism of his escape prospects.</v>
      </c>
      <c r="O34" s="559"/>
      <c r="P34" s="66"/>
      <c r="Q34" s="66"/>
      <c r="R34" s="63"/>
      <c r="S34" s="64"/>
      <c r="T34" s="64"/>
      <c r="U34" s="64"/>
      <c r="V34" s="64"/>
      <c r="W34" s="64" t="s">
        <v>2094</v>
      </c>
      <c r="X34" s="64" t="s">
        <v>2116</v>
      </c>
    </row>
    <row r="35" spans="1:25" ht="30" customHeight="1" thickBot="1">
      <c r="A35" s="552" t="s">
        <v>2482</v>
      </c>
      <c r="B35" s="93" t="s">
        <v>2416</v>
      </c>
      <c r="C35" s="503" t="str">
        <f ca="1">CONCATENATE(INDEX('NPC''s'!$I$106:$I$115,RANDBETWEEN(1,10))," in stature, with a ",INDEX('NPC''s'!$J$106:$J$125,RANDBETWEEN(1,20))," body, and ",INDEX('NPC''s'!$K$106:$K$111,RANDBETWEEN(1,6)))</f>
        <v>AVERAGE  in stature, with a THIN AND FLIMSY body, and DELICATE HANDS.</v>
      </c>
      <c r="D35" s="504"/>
      <c r="E35" s="504"/>
      <c r="F35" s="504"/>
      <c r="G35" s="505"/>
      <c r="H35" s="36"/>
      <c r="I35" s="718"/>
      <c r="J35" s="721"/>
      <c r="K35" s="722"/>
      <c r="L35" s="209"/>
      <c r="M35" s="210"/>
      <c r="N35" s="211"/>
      <c r="O35" s="212"/>
      <c r="P35" s="66"/>
      <c r="Q35" s="66"/>
      <c r="R35" s="63"/>
      <c r="S35" s="64"/>
      <c r="T35" s="64"/>
      <c r="U35" s="64"/>
      <c r="V35" s="64"/>
    </row>
    <row r="36" spans="1:25" ht="30" customHeight="1">
      <c r="A36" s="553"/>
      <c r="B36" s="94" t="s">
        <v>2415</v>
      </c>
      <c r="C36" s="506" t="str">
        <f ca="1">CONCATENATE(INDEX('NPC''s'!$B$106:$B$125,RANDBETWEEN(1,20)),", ",INDEX('NPC''s'!$C$106:$C$117,RANDBETWEEN(1,12)),", and ",INDEX('NPC''s'!$D$106:$D$115,RANDBETWEEN(1,10)),". They have ",INDEX('NPC''s'!$H$106:$H$113,RANDBETWEEN(1,8)),", ",INDEX('NPC''s'!$E$106:$E$117,RANDBETWEEN(1,12)),", ",INDEX('NPC''s'!$F$106:$F$113,RANDBETWEEN(1,8)),", and ",INDEX('NPC''s'!$G$106:$G$125,RANDBETWEEN(1,20)))</f>
        <v>CLOSE-SET EYES, HAIRY EARS, and DRY, CRACKED LIPS. They have TIGHT, DRAWN CHEEKS, A BUTTON NOSE, A PRONOUNCED CHIN, and POOFY HAIR</v>
      </c>
      <c r="D36" s="507"/>
      <c r="E36" s="507"/>
      <c r="F36" s="507"/>
      <c r="G36" s="508"/>
      <c r="H36" s="36"/>
      <c r="I36" s="718" t="str">
        <f>$AS$51</f>
        <v>The Company specializes in:</v>
      </c>
      <c r="J36" s="721" t="str">
        <f ca="1">INDEX($AS$52:$AS$71,RANDBETWEEN(1,8))</f>
        <v>Patrolling.</v>
      </c>
      <c r="K36" s="722"/>
      <c r="L36" s="209"/>
      <c r="M36" s="134" t="str">
        <f>$AC$76</f>
        <v>The prisoner has:</v>
      </c>
      <c r="N36" s="562" t="str">
        <f ca="1">INDEX($AC$77:$AC$80,RANDBETWEEN(1,4))</f>
        <v>A long scraggly beard.</v>
      </c>
      <c r="O36" s="563"/>
      <c r="P36" s="66"/>
      <c r="Q36" s="66"/>
      <c r="R36" s="63"/>
      <c r="S36" s="64"/>
      <c r="T36" s="64"/>
      <c r="U36" s="64"/>
      <c r="V36" s="64"/>
      <c r="W36" s="82" t="s">
        <v>2357</v>
      </c>
      <c r="X36" s="83" t="s">
        <v>1519</v>
      </c>
      <c r="Y36" s="83" t="s">
        <v>2358</v>
      </c>
    </row>
    <row r="37" spans="1:25" ht="30" customHeight="1">
      <c r="A37" s="553"/>
      <c r="B37" s="94" t="s">
        <v>2417</v>
      </c>
      <c r="C37" s="506" t="str">
        <f ca="1">CONCATENATE(INDEX('NPC''s'!$M$106:$M$117,RANDBETWEEN(1,12)),", made of ",INDEX('NPC''s'!$N$106:$N$115,RANDBETWEEN(1,10)))</f>
        <v>A RING, made of SILVER</v>
      </c>
      <c r="D37" s="507"/>
      <c r="E37" s="507"/>
      <c r="F37" s="507"/>
      <c r="G37" s="508"/>
      <c r="H37" s="36"/>
      <c r="I37" s="718"/>
      <c r="J37" s="721"/>
      <c r="K37" s="722"/>
      <c r="L37" s="209"/>
      <c r="M37" s="135" t="str">
        <f>$AD$76</f>
        <v>They are here because:</v>
      </c>
      <c r="N37" s="560" t="str">
        <f ca="1">INDEX($AD$77:$AD$82,RANDBETWEEN(1,6))</f>
        <v>Someone confused him with someone else.</v>
      </c>
      <c r="O37" s="561"/>
      <c r="P37" s="66"/>
      <c r="Q37" s="66"/>
      <c r="R37" s="63"/>
      <c r="S37" s="64"/>
      <c r="T37" s="64"/>
      <c r="U37" s="64"/>
      <c r="V37" s="64"/>
      <c r="W37" s="64" t="s">
        <v>1520</v>
      </c>
      <c r="X37" s="64" t="s">
        <v>2122</v>
      </c>
      <c r="Y37" s="64" t="s">
        <v>2126</v>
      </c>
    </row>
    <row r="38" spans="1:25" ht="30" customHeight="1" thickBot="1">
      <c r="A38" s="553"/>
      <c r="B38" s="94" t="s">
        <v>2418</v>
      </c>
      <c r="C38" s="506" t="str">
        <f ca="1">CONCATENATE(INDEX('NPC''s'!$O$106:$O$113,RANDBETWEEN(1,8)))</f>
        <v>HIGHEST QUALITY</v>
      </c>
      <c r="D38" s="507"/>
      <c r="E38" s="507"/>
      <c r="F38" s="507"/>
      <c r="G38" s="508"/>
      <c r="H38" s="36"/>
      <c r="I38" s="718" t="str">
        <f>$AT$51</f>
        <v>The Company is notorious for:</v>
      </c>
      <c r="J38" s="721" t="str">
        <f ca="1">INDEX($AT$52:$AT$71,RANDBETWEEN(1,8))</f>
        <v xml:space="preserve"> Scarring or branding prisoners.</v>
      </c>
      <c r="K38" s="722"/>
      <c r="L38" s="209"/>
      <c r="M38" s="136" t="str">
        <f>$AE$76</f>
        <v>They have:</v>
      </c>
      <c r="N38" s="558" t="str">
        <f ca="1">INDEX($AE$77:$AE$80,RANDBETWEEN(1,4))</f>
        <v>No hope of escape.</v>
      </c>
      <c r="O38" s="559"/>
      <c r="P38" s="66"/>
      <c r="Q38" s="66"/>
      <c r="R38" s="63"/>
      <c r="S38" s="64"/>
      <c r="T38" s="64"/>
      <c r="U38" s="64"/>
      <c r="V38" s="64"/>
      <c r="W38" s="64" t="s">
        <v>1521</v>
      </c>
      <c r="X38" s="64" t="s">
        <v>2123</v>
      </c>
      <c r="Y38" s="64" t="s">
        <v>2127</v>
      </c>
    </row>
    <row r="39" spans="1:25" ht="30" customHeight="1" thickBot="1">
      <c r="A39" s="553"/>
      <c r="B39" s="94" t="s">
        <v>2435</v>
      </c>
      <c r="C39" s="506" t="str">
        <f ca="1">CONCATENATE(INDEX('NPC''s'!$S$106:$S$113,RANDBETWEEN(1,8)))</f>
        <v>QUIET, TRUE BELIEVER</v>
      </c>
      <c r="D39" s="507"/>
      <c r="E39" s="507"/>
      <c r="F39" s="507"/>
      <c r="G39" s="508"/>
      <c r="H39" s="36"/>
      <c r="I39" s="718"/>
      <c r="J39" s="721"/>
      <c r="K39" s="722"/>
      <c r="L39" s="209"/>
      <c r="M39" s="210"/>
      <c r="N39" s="211"/>
      <c r="O39" s="212"/>
      <c r="P39" s="66"/>
      <c r="Q39" s="66"/>
      <c r="R39" s="63"/>
      <c r="S39" s="64"/>
      <c r="T39" s="64"/>
      <c r="U39" s="64"/>
      <c r="V39" s="64"/>
      <c r="W39" s="64" t="s">
        <v>2118</v>
      </c>
      <c r="X39" s="64" t="s">
        <v>2124</v>
      </c>
      <c r="Y39" s="64" t="s">
        <v>2128</v>
      </c>
    </row>
    <row r="40" spans="1:25" ht="30" customHeight="1">
      <c r="A40" s="553"/>
      <c r="B40" s="94" t="s">
        <v>2420</v>
      </c>
      <c r="C40" s="506" t="str">
        <f ca="1">CONCATENATE(INDEX('NPC''s'!$T$106:$T$111,RANDBETWEEN(1,6)))</f>
        <v>FISHERS</v>
      </c>
      <c r="D40" s="507"/>
      <c r="E40" s="507"/>
      <c r="F40" s="507"/>
      <c r="G40" s="508"/>
      <c r="H40" s="36"/>
      <c r="I40" s="718" t="str">
        <f>$AU$51</f>
        <v>Most soldiers in the company are outfitted with:</v>
      </c>
      <c r="J40" s="721" t="str">
        <f ca="1">INDEX($AU$52:$AU$71,RANDBETWEEN(1,6))</f>
        <v>Patched leather armor.</v>
      </c>
      <c r="K40" s="722"/>
      <c r="L40" s="209"/>
      <c r="M40" s="134" t="str">
        <f>$AC$76</f>
        <v>The prisoner has:</v>
      </c>
      <c r="N40" s="562" t="str">
        <f ca="1">INDEX($AC$77:$AC$80,RANDBETWEEN(1,4))</f>
        <v>A long scraggly beard.</v>
      </c>
      <c r="O40" s="563"/>
      <c r="P40" s="66"/>
      <c r="Q40" s="66"/>
      <c r="R40" s="63"/>
      <c r="S40" s="64"/>
      <c r="T40" s="64"/>
      <c r="U40" s="64"/>
      <c r="V40" s="64"/>
      <c r="W40" s="64" t="s">
        <v>2119</v>
      </c>
      <c r="X40" s="64" t="s">
        <v>2125</v>
      </c>
      <c r="Y40" s="64" t="s">
        <v>2129</v>
      </c>
    </row>
    <row r="41" spans="1:25" ht="30" customHeight="1" thickBot="1">
      <c r="A41" s="554"/>
      <c r="B41" s="95" t="s">
        <v>2419</v>
      </c>
      <c r="C41" s="509" t="str">
        <f ca="1">CONCATENATE("Their current mood is ",INDEX('NPC''s'!$R$106:$R$125,RANDBETWEEN(1,20)),". When calm, they are ",INDEX('NPC''s'!$P$106:$P$137,RANDBETWEEN(1,32)),", and when stressed they are ",INDEX('NPC''s'!$Q$106:$Q$137,RANDBETWEEN(1,32)))</f>
        <v>Their current mood is FOCUSED. When calm, they are ANGRY, and when stressed they are PUSHY</v>
      </c>
      <c r="D41" s="510"/>
      <c r="E41" s="510"/>
      <c r="F41" s="510"/>
      <c r="G41" s="511"/>
      <c r="H41" s="36"/>
      <c r="I41" s="718"/>
      <c r="J41" s="721"/>
      <c r="K41" s="722"/>
      <c r="L41" s="209"/>
      <c r="M41" s="135" t="str">
        <f>$AD$76</f>
        <v>They are here because:</v>
      </c>
      <c r="N41" s="560" t="str">
        <f ca="1">INDEX($AD$77:$AD$82,RANDBETWEEN(1,6))</f>
        <v>He raped someone.</v>
      </c>
      <c r="O41" s="561"/>
      <c r="P41" s="66"/>
      <c r="Q41" s="66"/>
      <c r="R41" s="63"/>
      <c r="S41" s="64"/>
      <c r="T41" s="64"/>
      <c r="U41" s="64"/>
      <c r="V41" s="64"/>
      <c r="W41" s="64" t="s">
        <v>2120</v>
      </c>
      <c r="X41" s="64" t="s">
        <v>1528</v>
      </c>
    </row>
    <row r="42" spans="1:25" ht="30" customHeight="1" thickBot="1">
      <c r="A42" s="36"/>
      <c r="B42" s="36"/>
      <c r="C42" s="36"/>
      <c r="D42" s="36"/>
      <c r="E42" s="36"/>
      <c r="F42" s="36"/>
      <c r="G42" s="36"/>
      <c r="H42" s="36"/>
      <c r="I42" s="718" t="str">
        <f>$AV$51</f>
        <v>Most soldiers in the company are equipped with:</v>
      </c>
      <c r="J42" s="721" t="str">
        <f ca="1">INDEX($AV$52:$AV$71,RANDBETWEEN(1,12))</f>
        <v>Longswords and shortbows.</v>
      </c>
      <c r="K42" s="722"/>
      <c r="L42" s="209"/>
      <c r="M42" s="136" t="str">
        <f>$AE$76</f>
        <v>They have:</v>
      </c>
      <c r="N42" s="558" t="str">
        <f ca="1">INDEX($AE$77:$AE$80,RANDBETWEEN(1,4))</f>
        <v>A tenuous grasp on sanity.</v>
      </c>
      <c r="O42" s="559"/>
      <c r="P42" s="66"/>
      <c r="Q42" s="66"/>
      <c r="R42" s="63"/>
      <c r="S42" s="64"/>
      <c r="T42" s="64"/>
      <c r="U42" s="64"/>
      <c r="V42" s="64"/>
      <c r="W42" s="64" t="s">
        <v>2121</v>
      </c>
      <c r="X42" s="64" t="s">
        <v>1529</v>
      </c>
    </row>
    <row r="43" spans="1:25" ht="30" customHeight="1">
      <c r="A43" s="36"/>
      <c r="B43" s="36"/>
      <c r="C43" s="36"/>
      <c r="D43" s="36"/>
      <c r="E43" s="36"/>
      <c r="F43" s="36"/>
      <c r="G43" s="36"/>
      <c r="H43" s="36"/>
      <c r="I43" s="718"/>
      <c r="J43" s="721"/>
      <c r="K43" s="722"/>
      <c r="L43" s="209"/>
      <c r="M43" s="209"/>
      <c r="N43" s="209"/>
      <c r="O43" s="206"/>
      <c r="P43" s="66"/>
      <c r="Q43" s="66"/>
      <c r="R43" s="63"/>
      <c r="S43" s="64"/>
      <c r="T43" s="64"/>
      <c r="U43" s="64"/>
      <c r="V43" s="64"/>
    </row>
    <row r="44" spans="1:25" ht="30" customHeight="1">
      <c r="A44" s="38"/>
      <c r="B44" s="36"/>
      <c r="C44" s="37"/>
      <c r="D44" s="36"/>
      <c r="E44" s="36"/>
      <c r="F44" s="36"/>
      <c r="G44" s="36"/>
      <c r="H44" s="36"/>
      <c r="I44" s="718" t="str">
        <f>$AW$51</f>
        <v>Most soldiers in the company are:</v>
      </c>
      <c r="J44" s="721" t="str">
        <f ca="1">INDEX($AW$52:$AW$71,RANDBETWEEN(1,8))</f>
        <v>Conscripts from peasant villages.</v>
      </c>
      <c r="K44" s="722"/>
      <c r="L44" s="209"/>
      <c r="M44" s="209"/>
      <c r="N44" s="209"/>
      <c r="O44" s="206"/>
      <c r="P44" s="66"/>
      <c r="Q44" s="66"/>
      <c r="R44" s="63"/>
      <c r="S44" s="64"/>
      <c r="T44" s="64"/>
      <c r="U44" s="64"/>
      <c r="V44" s="64"/>
      <c r="W44" s="82" t="s">
        <v>2359</v>
      </c>
      <c r="X44" s="83" t="s">
        <v>2392</v>
      </c>
      <c r="Y44" s="83" t="s">
        <v>2365</v>
      </c>
    </row>
    <row r="45" spans="1:25" ht="30" customHeight="1" thickBot="1">
      <c r="A45" s="38"/>
      <c r="B45" s="36"/>
      <c r="C45" s="37"/>
      <c r="D45" s="36"/>
      <c r="E45" s="36"/>
      <c r="F45" s="36"/>
      <c r="G45" s="36"/>
      <c r="H45" s="36"/>
      <c r="I45" s="719"/>
      <c r="J45" s="723"/>
      <c r="K45" s="724"/>
      <c r="L45" s="70"/>
      <c r="M45" s="206"/>
      <c r="N45" s="206"/>
      <c r="O45" s="206"/>
      <c r="P45" s="66"/>
      <c r="Q45" s="66"/>
      <c r="R45" s="63"/>
      <c r="S45" s="64"/>
      <c r="T45" s="64"/>
      <c r="U45" s="64"/>
      <c r="V45" s="64"/>
      <c r="W45" s="64" t="s">
        <v>2130</v>
      </c>
      <c r="X45" s="64" t="s">
        <v>2135</v>
      </c>
      <c r="Y45" s="64" t="s">
        <v>2141</v>
      </c>
    </row>
    <row r="46" spans="1:25" ht="30" customHeight="1">
      <c r="A46" s="39"/>
      <c r="B46" s="36"/>
      <c r="C46" s="37"/>
      <c r="D46" s="36"/>
      <c r="E46" s="36"/>
      <c r="F46" s="36"/>
      <c r="G46" s="36"/>
      <c r="H46" s="36"/>
      <c r="I46" s="36"/>
      <c r="J46" s="36"/>
      <c r="K46" s="36"/>
      <c r="L46" s="36"/>
      <c r="M46" s="36"/>
      <c r="N46" s="36"/>
      <c r="O46" s="36"/>
      <c r="P46" s="66"/>
      <c r="Q46" s="66"/>
      <c r="R46" s="63"/>
      <c r="S46" s="64"/>
      <c r="T46" s="64"/>
      <c r="U46" s="64"/>
      <c r="V46" s="64"/>
      <c r="W46" s="64" t="s">
        <v>2131</v>
      </c>
      <c r="X46" s="64" t="s">
        <v>2136</v>
      </c>
      <c r="Y46" s="64" t="s">
        <v>2142</v>
      </c>
    </row>
    <row r="47" spans="1:25" ht="30" customHeight="1">
      <c r="A47" s="39"/>
      <c r="B47" s="36"/>
      <c r="C47" s="37"/>
      <c r="D47" s="36"/>
      <c r="E47" s="36"/>
      <c r="F47" s="36"/>
      <c r="G47" s="36"/>
      <c r="H47" s="36"/>
      <c r="I47" s="36"/>
      <c r="J47" s="36"/>
      <c r="K47" s="36"/>
      <c r="L47" s="36"/>
      <c r="M47" s="36"/>
      <c r="N47" s="36"/>
      <c r="O47" s="36"/>
      <c r="P47" s="36"/>
      <c r="Q47" s="36"/>
      <c r="R47" s="63"/>
      <c r="S47" s="64"/>
      <c r="T47" s="64"/>
      <c r="U47" s="64"/>
      <c r="V47" s="64"/>
      <c r="W47" s="64" t="s">
        <v>1544</v>
      </c>
      <c r="X47" s="64" t="s">
        <v>2137</v>
      </c>
      <c r="Y47" s="64" t="s">
        <v>2143</v>
      </c>
    </row>
    <row r="48" spans="1:25" ht="30" customHeight="1">
      <c r="A48" s="39"/>
      <c r="B48" s="36"/>
      <c r="C48" s="37"/>
      <c r="D48" s="36"/>
      <c r="E48" s="36"/>
      <c r="F48" s="36"/>
      <c r="G48" s="36"/>
      <c r="H48" s="36"/>
      <c r="I48" s="36"/>
      <c r="J48" s="36"/>
      <c r="K48" s="36"/>
      <c r="L48" s="36"/>
      <c r="M48" s="36"/>
      <c r="N48" s="36"/>
      <c r="O48" s="36"/>
      <c r="P48" s="36"/>
      <c r="Q48" s="36"/>
      <c r="R48" s="63"/>
      <c r="S48" s="64"/>
      <c r="T48" s="64"/>
      <c r="U48" s="64"/>
      <c r="V48" s="64"/>
      <c r="W48" s="64" t="s">
        <v>2132</v>
      </c>
      <c r="X48" s="64" t="s">
        <v>2138</v>
      </c>
      <c r="Y48" s="64" t="s">
        <v>2144</v>
      </c>
    </row>
    <row r="49" spans="1:49" ht="30" customHeight="1">
      <c r="A49" s="39"/>
      <c r="B49" s="36"/>
      <c r="C49" s="37"/>
      <c r="D49" s="36"/>
      <c r="E49" s="36"/>
      <c r="F49" s="36"/>
      <c r="G49" s="36"/>
      <c r="H49" s="36"/>
      <c r="I49" s="36"/>
      <c r="J49" s="36"/>
      <c r="K49" s="36"/>
      <c r="L49" s="36"/>
      <c r="M49" s="36"/>
      <c r="N49" s="36"/>
      <c r="O49" s="36"/>
      <c r="P49" s="36"/>
      <c r="Q49" s="36"/>
      <c r="R49" s="63"/>
      <c r="S49" s="64"/>
      <c r="T49" s="64"/>
      <c r="U49" s="64"/>
      <c r="V49" s="64"/>
      <c r="W49" s="64" t="s">
        <v>2133</v>
      </c>
      <c r="X49" s="64" t="s">
        <v>2139</v>
      </c>
      <c r="Y49" s="64" t="s">
        <v>2145</v>
      </c>
    </row>
    <row r="50" spans="1:49" ht="30" customHeight="1">
      <c r="A50" s="39"/>
      <c r="B50" s="36"/>
      <c r="C50" s="37"/>
      <c r="D50" s="36"/>
      <c r="E50" s="36"/>
      <c r="F50" s="36"/>
      <c r="G50" s="36"/>
      <c r="H50" s="36"/>
      <c r="I50" s="36"/>
      <c r="J50" s="36"/>
      <c r="K50" s="36"/>
      <c r="L50" s="36"/>
      <c r="M50" s="36"/>
      <c r="N50" s="36"/>
      <c r="O50" s="36"/>
      <c r="P50" s="36"/>
      <c r="Q50" s="36"/>
      <c r="R50" s="63"/>
      <c r="S50" s="64"/>
      <c r="T50" s="64"/>
      <c r="U50" s="64"/>
      <c r="V50" s="64"/>
      <c r="W50" s="64" t="s">
        <v>2134</v>
      </c>
      <c r="X50" s="64" t="s">
        <v>2140</v>
      </c>
      <c r="Y50" s="64" t="s">
        <v>2146</v>
      </c>
    </row>
    <row r="51" spans="1:49" s="83" customFormat="1" ht="30" customHeight="1">
      <c r="A51" s="22"/>
      <c r="B51" s="59" t="s">
        <v>3150</v>
      </c>
      <c r="C51" s="58"/>
      <c r="D51" s="59" t="s">
        <v>3151</v>
      </c>
      <c r="E51" s="59" t="s">
        <v>3152</v>
      </c>
      <c r="F51" s="59" t="s">
        <v>3153</v>
      </c>
      <c r="G51" s="60" t="s">
        <v>3154</v>
      </c>
      <c r="H51" s="9" t="s">
        <v>3155</v>
      </c>
      <c r="I51" s="60" t="s">
        <v>3156</v>
      </c>
      <c r="J51" s="60" t="s">
        <v>3157</v>
      </c>
      <c r="K51" s="60" t="s">
        <v>3158</v>
      </c>
      <c r="L51" s="9" t="s">
        <v>3159</v>
      </c>
      <c r="M51" s="60" t="s">
        <v>3160</v>
      </c>
      <c r="N51" s="60" t="s">
        <v>3161</v>
      </c>
      <c r="O51" s="60"/>
      <c r="P51" s="60"/>
      <c r="Q51" s="9"/>
      <c r="R51" s="68"/>
      <c r="S51" s="68"/>
      <c r="T51" s="82"/>
      <c r="U51" s="64" t="s">
        <v>3162</v>
      </c>
      <c r="V51" s="82"/>
      <c r="W51" s="65"/>
      <c r="X51" s="65"/>
      <c r="Y51" s="65"/>
      <c r="Z51" s="65"/>
      <c r="AC51" s="83" t="s">
        <v>3226</v>
      </c>
      <c r="AD51" s="83" t="s">
        <v>3152</v>
      </c>
      <c r="AE51" s="83" t="s">
        <v>3227</v>
      </c>
      <c r="AF51" s="83" t="s">
        <v>3228</v>
      </c>
      <c r="AG51" s="83" t="s">
        <v>3229</v>
      </c>
      <c r="AH51" s="83" t="s">
        <v>3230</v>
      </c>
      <c r="AI51" s="83" t="s">
        <v>3231</v>
      </c>
      <c r="AJ51" s="83" t="s">
        <v>3232</v>
      </c>
      <c r="AK51" s="83" t="s">
        <v>3238</v>
      </c>
      <c r="AL51" s="83" t="s">
        <v>3241</v>
      </c>
      <c r="AO51" s="83" t="s">
        <v>6106</v>
      </c>
      <c r="AP51" s="83" t="s">
        <v>6107</v>
      </c>
      <c r="AQ51" s="83" t="s">
        <v>6108</v>
      </c>
      <c r="AR51" s="83" t="s">
        <v>6109</v>
      </c>
      <c r="AS51" s="83" t="s">
        <v>6110</v>
      </c>
      <c r="AT51" s="83" t="s">
        <v>6111</v>
      </c>
      <c r="AU51" s="83" t="s">
        <v>6112</v>
      </c>
      <c r="AV51" s="83" t="s">
        <v>6113</v>
      </c>
      <c r="AW51" s="83" t="s">
        <v>6114</v>
      </c>
    </row>
    <row r="52" spans="1:49" ht="30" customHeight="1">
      <c r="A52" s="8">
        <v>1</v>
      </c>
      <c r="B52" s="7" t="s">
        <v>1532</v>
      </c>
      <c r="C52" s="33"/>
      <c r="D52" s="7" t="s">
        <v>1432</v>
      </c>
      <c r="E52" t="s">
        <v>1550</v>
      </c>
      <c r="F52" t="s">
        <v>1554</v>
      </c>
      <c r="G52" t="s">
        <v>1560</v>
      </c>
      <c r="H52" s="7" t="s">
        <v>1570</v>
      </c>
      <c r="I52" s="32" t="s">
        <v>1441</v>
      </c>
      <c r="J52" t="s">
        <v>1621</v>
      </c>
      <c r="K52" s="7" t="s">
        <v>1587</v>
      </c>
      <c r="L52" t="s">
        <v>1595</v>
      </c>
      <c r="M52" s="7" t="s">
        <v>1601</v>
      </c>
      <c r="N52" s="7" t="s">
        <v>1611</v>
      </c>
      <c r="O52"/>
      <c r="P52" s="7"/>
      <c r="Q52" s="7"/>
      <c r="R52" s="64"/>
      <c r="S52" s="64"/>
      <c r="T52" s="64"/>
      <c r="U52" s="168" t="s">
        <v>3245</v>
      </c>
      <c r="V52" s="64"/>
      <c r="W52" s="84" t="s">
        <v>2360</v>
      </c>
      <c r="X52" s="83" t="s">
        <v>2361</v>
      </c>
      <c r="Y52" s="83" t="s">
        <v>2362</v>
      </c>
      <c r="AC52" s="65" t="s">
        <v>3164</v>
      </c>
      <c r="AD52" s="65" t="s">
        <v>3170</v>
      </c>
      <c r="AE52" s="65" t="s">
        <v>1447</v>
      </c>
      <c r="AF52" s="65" t="s">
        <v>1454</v>
      </c>
      <c r="AG52" s="65" t="s">
        <v>1464</v>
      </c>
      <c r="AH52" s="65" t="s">
        <v>1469</v>
      </c>
      <c r="AI52" s="65" t="s">
        <v>1474</v>
      </c>
      <c r="AJ52" s="65" t="s">
        <v>1485</v>
      </c>
      <c r="AK52" s="65" t="s">
        <v>3233</v>
      </c>
      <c r="AL52" s="65" t="s">
        <v>3181</v>
      </c>
      <c r="AO52" s="65" t="s">
        <v>3575</v>
      </c>
      <c r="AP52" s="65" t="s">
        <v>3670</v>
      </c>
      <c r="AQ52" s="65" t="s">
        <v>5732</v>
      </c>
      <c r="AR52" s="65" t="s">
        <v>3602</v>
      </c>
      <c r="AS52" s="65" t="s">
        <v>3614</v>
      </c>
      <c r="AT52" s="65" t="s">
        <v>3624</v>
      </c>
      <c r="AU52" s="65" t="s">
        <v>5743</v>
      </c>
      <c r="AV52" s="65" t="s">
        <v>5195</v>
      </c>
      <c r="AW52" s="65" t="s">
        <v>5755</v>
      </c>
    </row>
    <row r="53" spans="1:49" ht="30" customHeight="1">
      <c r="A53" s="8">
        <v>2</v>
      </c>
      <c r="B53" s="7" t="s">
        <v>1533</v>
      </c>
      <c r="C53" s="33"/>
      <c r="D53" s="7" t="s">
        <v>1433</v>
      </c>
      <c r="E53" t="s">
        <v>1551</v>
      </c>
      <c r="F53" t="s">
        <v>1555</v>
      </c>
      <c r="G53" t="s">
        <v>1433</v>
      </c>
      <c r="H53" s="7" t="s">
        <v>1571</v>
      </c>
      <c r="I53" s="32" t="s">
        <v>1442</v>
      </c>
      <c r="J53" t="s">
        <v>1622</v>
      </c>
      <c r="K53" s="7" t="s">
        <v>1588</v>
      </c>
      <c r="L53" t="s">
        <v>1596</v>
      </c>
      <c r="M53" s="7" t="s">
        <v>1602</v>
      </c>
      <c r="N53" s="7" t="s">
        <v>1612</v>
      </c>
      <c r="O53"/>
      <c r="P53" s="7"/>
      <c r="Q53" s="7"/>
      <c r="R53" s="64"/>
      <c r="S53" s="64"/>
      <c r="T53" s="64"/>
      <c r="U53" s="168" t="s">
        <v>3246</v>
      </c>
      <c r="V53" s="64"/>
      <c r="W53" s="64" t="s">
        <v>2147</v>
      </c>
      <c r="X53" s="64" t="s">
        <v>2153</v>
      </c>
      <c r="Y53" s="64" t="s">
        <v>2157</v>
      </c>
      <c r="AC53" s="65" t="s">
        <v>3165</v>
      </c>
      <c r="AD53" s="65" t="s">
        <v>3171</v>
      </c>
      <c r="AE53" s="65" t="s">
        <v>1448</v>
      </c>
      <c r="AF53" s="65" t="s">
        <v>1455</v>
      </c>
      <c r="AG53" s="65" t="s">
        <v>1465</v>
      </c>
      <c r="AH53" s="65" t="s">
        <v>1470</v>
      </c>
      <c r="AI53" s="65" t="s">
        <v>1475</v>
      </c>
      <c r="AJ53" s="65" t="s">
        <v>3179</v>
      </c>
      <c r="AK53" s="65" t="s">
        <v>3234</v>
      </c>
      <c r="AL53" s="65" t="s">
        <v>3182</v>
      </c>
      <c r="AO53" s="65" t="s">
        <v>3576</v>
      </c>
      <c r="AP53" s="65" t="s">
        <v>3672</v>
      </c>
      <c r="AQ53" s="65" t="s">
        <v>5201</v>
      </c>
      <c r="AR53" s="65" t="s">
        <v>3603</v>
      </c>
      <c r="AS53" s="65" t="s">
        <v>5736</v>
      </c>
      <c r="AT53" s="65" t="s">
        <v>5739</v>
      </c>
      <c r="AU53" s="65" t="s">
        <v>5744</v>
      </c>
      <c r="AV53" s="65" t="s">
        <v>3652</v>
      </c>
      <c r="AW53" s="65" t="s">
        <v>5756</v>
      </c>
    </row>
    <row r="54" spans="1:49" ht="30" customHeight="1">
      <c r="A54" s="8">
        <v>3</v>
      </c>
      <c r="B54" s="7" t="s">
        <v>1534</v>
      </c>
      <c r="C54" s="33"/>
      <c r="D54" s="7" t="s">
        <v>1434</v>
      </c>
      <c r="E54" t="s">
        <v>1552</v>
      </c>
      <c r="F54" t="s">
        <v>1556</v>
      </c>
      <c r="G54" t="s">
        <v>1434</v>
      </c>
      <c r="H54" s="7" t="s">
        <v>1572</v>
      </c>
      <c r="I54" s="32" t="s">
        <v>1582</v>
      </c>
      <c r="J54" t="s">
        <v>1623</v>
      </c>
      <c r="K54" s="7" t="s">
        <v>1589</v>
      </c>
      <c r="L54" t="s">
        <v>1597</v>
      </c>
      <c r="M54" s="7" t="s">
        <v>1603</v>
      </c>
      <c r="N54" s="7" t="s">
        <v>1487</v>
      </c>
      <c r="O54"/>
      <c r="P54" s="7"/>
      <c r="Q54" s="7"/>
      <c r="R54" s="64"/>
      <c r="S54" s="64"/>
      <c r="T54" s="64"/>
      <c r="U54" s="168" t="s">
        <v>3247</v>
      </c>
      <c r="V54" s="64"/>
      <c r="W54" s="64" t="s">
        <v>2148</v>
      </c>
      <c r="X54" s="64" t="s">
        <v>2154</v>
      </c>
      <c r="Y54" s="64" t="s">
        <v>2158</v>
      </c>
      <c r="AC54" s="65" t="s">
        <v>3166</v>
      </c>
      <c r="AD54" s="65" t="s">
        <v>3172</v>
      </c>
      <c r="AE54" s="65" t="s">
        <v>1449</v>
      </c>
      <c r="AF54" s="65" t="s">
        <v>1456</v>
      </c>
      <c r="AG54" s="65" t="s">
        <v>1466</v>
      </c>
      <c r="AH54" s="65" t="s">
        <v>1471</v>
      </c>
      <c r="AI54" s="65" t="s">
        <v>1476</v>
      </c>
      <c r="AJ54" s="65" t="s">
        <v>1487</v>
      </c>
      <c r="AK54" s="65" t="s">
        <v>3235</v>
      </c>
      <c r="AL54" s="65" t="s">
        <v>3183</v>
      </c>
      <c r="AO54" s="65" t="s">
        <v>1359</v>
      </c>
      <c r="AP54" s="65" t="s">
        <v>3673</v>
      </c>
      <c r="AQ54" s="65" t="s">
        <v>3598</v>
      </c>
      <c r="AR54" s="65" t="s">
        <v>3604</v>
      </c>
      <c r="AS54" s="65" t="s">
        <v>5737</v>
      </c>
      <c r="AT54" s="65" t="s">
        <v>5740</v>
      </c>
      <c r="AU54" s="65" t="s">
        <v>5745</v>
      </c>
      <c r="AV54" s="65" t="s">
        <v>3649</v>
      </c>
      <c r="AW54" s="65" t="s">
        <v>5757</v>
      </c>
    </row>
    <row r="55" spans="1:49" ht="30" customHeight="1">
      <c r="A55" s="8">
        <v>4</v>
      </c>
      <c r="B55" s="7" t="s">
        <v>1535</v>
      </c>
      <c r="C55" s="33"/>
      <c r="D55" s="7" t="s">
        <v>1542</v>
      </c>
      <c r="E55" t="s">
        <v>1553</v>
      </c>
      <c r="F55" t="s">
        <v>1557</v>
      </c>
      <c r="G55" t="s">
        <v>1561</v>
      </c>
      <c r="H55" s="7" t="s">
        <v>1573</v>
      </c>
      <c r="I55" s="32" t="s">
        <v>1583</v>
      </c>
      <c r="J55" t="s">
        <v>1624</v>
      </c>
      <c r="K55" s="7" t="s">
        <v>1590</v>
      </c>
      <c r="L55" t="s">
        <v>1598</v>
      </c>
      <c r="M55" s="7" t="s">
        <v>1604</v>
      </c>
      <c r="N55" s="7" t="s">
        <v>1613</v>
      </c>
      <c r="O55"/>
      <c r="P55" s="7"/>
      <c r="Q55" s="7"/>
      <c r="R55" s="64"/>
      <c r="S55" s="64"/>
      <c r="T55" s="64"/>
      <c r="U55" s="168" t="s">
        <v>3248</v>
      </c>
      <c r="V55" s="64"/>
      <c r="W55" s="64" t="s">
        <v>2149</v>
      </c>
      <c r="X55" s="64" t="s">
        <v>2155</v>
      </c>
      <c r="Y55" s="64" t="s">
        <v>2159</v>
      </c>
      <c r="AC55" s="65" t="s">
        <v>3167</v>
      </c>
      <c r="AD55" s="65" t="s">
        <v>3173</v>
      </c>
      <c r="AE55" s="65" t="s">
        <v>1450</v>
      </c>
      <c r="AF55" s="65" t="s">
        <v>1457</v>
      </c>
      <c r="AG55" s="65" t="s">
        <v>1467</v>
      </c>
      <c r="AH55" s="65" t="s">
        <v>1472</v>
      </c>
      <c r="AI55" s="65" t="s">
        <v>1477</v>
      </c>
      <c r="AJ55" s="65" t="s">
        <v>1488</v>
      </c>
      <c r="AK55" s="65" t="s">
        <v>3236</v>
      </c>
      <c r="AL55" s="65" t="s">
        <v>3184</v>
      </c>
      <c r="AO55" s="65" t="s">
        <v>3577</v>
      </c>
      <c r="AP55" s="65" t="s">
        <v>5208</v>
      </c>
      <c r="AQ55" s="65" t="s">
        <v>2273</v>
      </c>
      <c r="AR55" s="65" t="s">
        <v>3605</v>
      </c>
      <c r="AS55" s="65" t="s">
        <v>3618</v>
      </c>
      <c r="AT55" s="65" t="s">
        <v>5741</v>
      </c>
      <c r="AU55" s="65" t="s">
        <v>5232</v>
      </c>
      <c r="AV55" s="65" t="s">
        <v>5748</v>
      </c>
      <c r="AW55" s="65" t="s">
        <v>5758</v>
      </c>
    </row>
    <row r="56" spans="1:49" ht="30" customHeight="1">
      <c r="A56" s="8">
        <v>5</v>
      </c>
      <c r="B56" s="7" t="s">
        <v>1536</v>
      </c>
      <c r="C56" s="33"/>
      <c r="D56" s="7" t="s">
        <v>1543</v>
      </c>
      <c r="E56"/>
      <c r="F56" t="s">
        <v>1558</v>
      </c>
      <c r="G56" t="s">
        <v>1562</v>
      </c>
      <c r="H56" s="7" t="s">
        <v>1574</v>
      </c>
      <c r="I56" s="32" t="s">
        <v>1444</v>
      </c>
      <c r="J56" t="s">
        <v>1625</v>
      </c>
      <c r="K56" s="7" t="s">
        <v>1591</v>
      </c>
      <c r="L56" t="s">
        <v>1599</v>
      </c>
      <c r="M56" s="7" t="s">
        <v>1605</v>
      </c>
      <c r="N56" s="7" t="s">
        <v>1489</v>
      </c>
      <c r="O56" s="7"/>
      <c r="P56" s="7"/>
      <c r="Q56" s="7"/>
      <c r="R56" s="64"/>
      <c r="S56" s="64"/>
      <c r="T56" s="64"/>
      <c r="U56" s="168" t="s">
        <v>3249</v>
      </c>
      <c r="V56" s="64"/>
      <c r="W56" s="64" t="s">
        <v>2150</v>
      </c>
      <c r="X56" s="64" t="s">
        <v>2156</v>
      </c>
      <c r="Y56" s="64" t="s">
        <v>2160</v>
      </c>
      <c r="AC56" s="65" t="s">
        <v>3168</v>
      </c>
      <c r="AE56" s="65" t="s">
        <v>3174</v>
      </c>
      <c r="AF56" s="65" t="s">
        <v>1458</v>
      </c>
      <c r="AI56" s="65" t="s">
        <v>1478</v>
      </c>
      <c r="AJ56" s="65" t="s">
        <v>1489</v>
      </c>
      <c r="AK56" s="65" t="s">
        <v>3237</v>
      </c>
      <c r="AL56" s="65" t="s">
        <v>3185</v>
      </c>
      <c r="AO56" s="65" t="s">
        <v>3578</v>
      </c>
      <c r="AP56" s="65" t="s">
        <v>3674</v>
      </c>
      <c r="AQ56" s="65" t="s">
        <v>2131</v>
      </c>
      <c r="AR56" s="65" t="s">
        <v>5734</v>
      </c>
      <c r="AS56" s="65" t="s">
        <v>3620</v>
      </c>
      <c r="AT56" s="65" t="s">
        <v>3630</v>
      </c>
      <c r="AU56" s="65" t="s">
        <v>5746</v>
      </c>
      <c r="AV56" s="65" t="s">
        <v>3651</v>
      </c>
      <c r="AW56" s="65" t="s">
        <v>5759</v>
      </c>
    </row>
    <row r="57" spans="1:49" ht="30" customHeight="1">
      <c r="A57" s="8">
        <v>6</v>
      </c>
      <c r="B57" s="7" t="s">
        <v>1537</v>
      </c>
      <c r="C57" s="33"/>
      <c r="D57" s="7" t="s">
        <v>1544</v>
      </c>
      <c r="E57"/>
      <c r="F57" s="7" t="s">
        <v>1559</v>
      </c>
      <c r="G57" t="s">
        <v>1563</v>
      </c>
      <c r="H57" s="7" t="s">
        <v>1575</v>
      </c>
      <c r="I57" s="32" t="s">
        <v>1445</v>
      </c>
      <c r="J57" t="s">
        <v>1626</v>
      </c>
      <c r="K57" s="7" t="s">
        <v>1592</v>
      </c>
      <c r="L57" t="s">
        <v>1600</v>
      </c>
      <c r="M57" s="7" t="s">
        <v>1606</v>
      </c>
      <c r="N57" s="7" t="s">
        <v>1614</v>
      </c>
      <c r="O57" s="7"/>
      <c r="P57" s="7"/>
      <c r="Q57" s="7"/>
      <c r="R57" s="64"/>
      <c r="S57" s="64"/>
      <c r="T57" s="64"/>
      <c r="U57" s="168" t="s">
        <v>3250</v>
      </c>
      <c r="V57" s="64"/>
      <c r="W57" s="64" t="s">
        <v>2151</v>
      </c>
      <c r="Y57" s="64" t="s">
        <v>2161</v>
      </c>
      <c r="AC57" s="65" t="s">
        <v>3169</v>
      </c>
      <c r="AE57" s="65" t="s">
        <v>1451</v>
      </c>
      <c r="AF57" s="65" t="s">
        <v>1459</v>
      </c>
      <c r="AI57" s="65" t="s">
        <v>1479</v>
      </c>
      <c r="AJ57" s="65" t="s">
        <v>3180</v>
      </c>
      <c r="AK57" s="65" t="s">
        <v>3239</v>
      </c>
      <c r="AL57" s="65" t="s">
        <v>3186</v>
      </c>
      <c r="AO57" s="65" t="s">
        <v>4685</v>
      </c>
      <c r="AP57" s="65" t="s">
        <v>5726</v>
      </c>
      <c r="AQ57" s="65" t="s">
        <v>1544</v>
      </c>
      <c r="AR57" s="65" t="s">
        <v>5735</v>
      </c>
      <c r="AS57" s="65" t="s">
        <v>3621</v>
      </c>
      <c r="AT57" s="65" t="s">
        <v>3784</v>
      </c>
      <c r="AU57" s="65" t="s">
        <v>5747</v>
      </c>
      <c r="AV57" s="65" t="s">
        <v>5749</v>
      </c>
      <c r="AW57" s="65" t="s">
        <v>5760</v>
      </c>
    </row>
    <row r="58" spans="1:49" ht="30" customHeight="1">
      <c r="A58" s="8">
        <v>7</v>
      </c>
      <c r="B58" s="7" t="s">
        <v>1538</v>
      </c>
      <c r="C58" s="33"/>
      <c r="D58" s="7" t="s">
        <v>1437</v>
      </c>
      <c r="E58" s="7"/>
      <c r="F58" s="7" t="s">
        <v>6890</v>
      </c>
      <c r="G58" s="34" t="s">
        <v>1564</v>
      </c>
      <c r="H58" s="32" t="s">
        <v>1576</v>
      </c>
      <c r="I58" s="32" t="s">
        <v>1446</v>
      </c>
      <c r="K58" s="7" t="s">
        <v>1593</v>
      </c>
      <c r="L58"/>
      <c r="M58" s="7" t="s">
        <v>1607</v>
      </c>
      <c r="N58" s="7" t="s">
        <v>1615</v>
      </c>
      <c r="O58" s="7"/>
      <c r="P58" s="7"/>
      <c r="Q58" s="7"/>
      <c r="R58" s="64"/>
      <c r="S58" s="64"/>
      <c r="T58" s="64"/>
      <c r="U58" s="168" t="s">
        <v>3251</v>
      </c>
      <c r="V58" s="64"/>
      <c r="W58" s="64" t="s">
        <v>2152</v>
      </c>
      <c r="Y58" s="64" t="s">
        <v>2162</v>
      </c>
      <c r="AE58" s="65" t="s">
        <v>3175</v>
      </c>
      <c r="AF58" s="65" t="s">
        <v>1460</v>
      </c>
      <c r="AI58" s="65" t="s">
        <v>1480</v>
      </c>
      <c r="AJ58" s="65" t="s">
        <v>1491</v>
      </c>
      <c r="AL58" s="65" t="s">
        <v>3187</v>
      </c>
      <c r="AO58" s="65" t="s">
        <v>4686</v>
      </c>
      <c r="AP58" s="65" t="s">
        <v>2184</v>
      </c>
      <c r="AQ58" s="65" t="s">
        <v>3600</v>
      </c>
      <c r="AS58" s="65" t="s">
        <v>3622</v>
      </c>
      <c r="AT58" s="65" t="s">
        <v>5742</v>
      </c>
      <c r="AV58" s="65" t="s">
        <v>5750</v>
      </c>
      <c r="AW58" s="65" t="s">
        <v>5761</v>
      </c>
    </row>
    <row r="59" spans="1:49" ht="30" customHeight="1">
      <c r="A59" s="8">
        <v>8</v>
      </c>
      <c r="B59" s="7" t="s">
        <v>1539</v>
      </c>
      <c r="C59" s="33"/>
      <c r="D59" s="7" t="s">
        <v>1545</v>
      </c>
      <c r="E59" s="7"/>
      <c r="F59" s="7" t="s">
        <v>6891</v>
      </c>
      <c r="G59" s="34" t="s">
        <v>1565</v>
      </c>
      <c r="H59" s="32" t="s">
        <v>1577</v>
      </c>
      <c r="I59" s="32" t="s">
        <v>1584</v>
      </c>
      <c r="K59" s="7" t="s">
        <v>1594</v>
      </c>
      <c r="L59"/>
      <c r="M59" s="7" t="s">
        <v>1608</v>
      </c>
      <c r="N59" s="7" t="s">
        <v>1616</v>
      </c>
      <c r="O59" s="7"/>
      <c r="P59" s="7"/>
      <c r="Q59" s="7"/>
      <c r="R59" s="64"/>
      <c r="S59" s="64"/>
      <c r="T59" s="64"/>
      <c r="U59" s="168" t="s">
        <v>3252</v>
      </c>
      <c r="V59" s="64"/>
      <c r="W59" s="64"/>
      <c r="AE59" s="65" t="s">
        <v>1452</v>
      </c>
      <c r="AF59" s="65" t="s">
        <v>1461</v>
      </c>
      <c r="AI59" s="65" t="s">
        <v>1481</v>
      </c>
      <c r="AJ59" s="65" t="s">
        <v>1492</v>
      </c>
      <c r="AL59" s="65" t="s">
        <v>3188</v>
      </c>
      <c r="AO59" s="65" t="s">
        <v>3687</v>
      </c>
      <c r="AP59" s="65" t="s">
        <v>3676</v>
      </c>
      <c r="AQ59" s="65" t="s">
        <v>2274</v>
      </c>
      <c r="AS59" s="65" t="s">
        <v>5738</v>
      </c>
      <c r="AT59" s="65" t="s">
        <v>3631</v>
      </c>
      <c r="AV59" s="65" t="s">
        <v>5751</v>
      </c>
      <c r="AW59" s="65" t="s">
        <v>5762</v>
      </c>
    </row>
    <row r="60" spans="1:49" ht="30" customHeight="1">
      <c r="A60" s="8">
        <v>9</v>
      </c>
      <c r="B60" s="7" t="s">
        <v>1540</v>
      </c>
      <c r="C60" s="33"/>
      <c r="D60" s="7" t="s">
        <v>1546</v>
      </c>
      <c r="E60" s="7"/>
      <c r="G60" s="34" t="s">
        <v>1566</v>
      </c>
      <c r="H60" s="32" t="s">
        <v>1578</v>
      </c>
      <c r="I60" s="32" t="s">
        <v>1585</v>
      </c>
      <c r="K60" s="7"/>
      <c r="L60"/>
      <c r="M60" s="7" t="s">
        <v>1482</v>
      </c>
      <c r="N60" s="7" t="s">
        <v>1617</v>
      </c>
      <c r="O60" s="7"/>
      <c r="P60" s="7"/>
      <c r="Q60" s="7"/>
      <c r="R60" s="64"/>
      <c r="S60" s="64"/>
      <c r="T60" s="64"/>
      <c r="U60" s="168" t="s">
        <v>3253</v>
      </c>
      <c r="V60" s="64"/>
      <c r="W60" s="82" t="s">
        <v>2363</v>
      </c>
      <c r="X60" s="83" t="s">
        <v>2364</v>
      </c>
      <c r="Y60" s="83" t="s">
        <v>2365</v>
      </c>
      <c r="AF60" s="65" t="s">
        <v>1462</v>
      </c>
      <c r="AI60" s="65" t="s">
        <v>3177</v>
      </c>
      <c r="AL60" s="65" t="s">
        <v>3189</v>
      </c>
      <c r="AO60" s="65" t="s">
        <v>3688</v>
      </c>
      <c r="AP60" s="65" t="s">
        <v>3669</v>
      </c>
      <c r="AQ60" s="65" t="s">
        <v>5733</v>
      </c>
      <c r="AV60" s="65" t="s">
        <v>3654</v>
      </c>
    </row>
    <row r="61" spans="1:49" ht="30" customHeight="1">
      <c r="A61" s="8">
        <v>10</v>
      </c>
      <c r="B61" s="7" t="s">
        <v>1541</v>
      </c>
      <c r="C61" s="33"/>
      <c r="D61" s="7" t="s">
        <v>1547</v>
      </c>
      <c r="E61" s="7"/>
      <c r="G61" s="34" t="s">
        <v>1567</v>
      </c>
      <c r="H61" s="32" t="s">
        <v>1579</v>
      </c>
      <c r="I61" s="32" t="s">
        <v>1586</v>
      </c>
      <c r="K61" s="7"/>
      <c r="L61"/>
      <c r="M61" s="7" t="s">
        <v>1609</v>
      </c>
      <c r="N61" s="7" t="s">
        <v>1618</v>
      </c>
      <c r="O61" s="7"/>
      <c r="P61" s="7"/>
      <c r="Q61" s="7"/>
      <c r="R61" s="64"/>
      <c r="S61" s="64"/>
      <c r="T61" s="64"/>
      <c r="U61" s="168" t="s">
        <v>3254</v>
      </c>
      <c r="V61" s="64"/>
      <c r="W61" s="64" t="s">
        <v>2163</v>
      </c>
      <c r="X61" s="64" t="s">
        <v>2169</v>
      </c>
      <c r="Y61" s="64" t="s">
        <v>2173</v>
      </c>
      <c r="AF61" s="65" t="s">
        <v>3176</v>
      </c>
      <c r="AI61" s="65" t="s">
        <v>3178</v>
      </c>
      <c r="AL61" s="65" t="s">
        <v>3190</v>
      </c>
      <c r="AO61" s="65" t="s">
        <v>4687</v>
      </c>
      <c r="AP61" s="65" t="s">
        <v>5107</v>
      </c>
      <c r="AQ61" s="65" t="s">
        <v>3601</v>
      </c>
      <c r="AV61" s="65" t="s">
        <v>5752</v>
      </c>
    </row>
    <row r="62" spans="1:49" ht="30" customHeight="1">
      <c r="A62" s="8">
        <v>11</v>
      </c>
      <c r="B62" s="7"/>
      <c r="C62" s="33"/>
      <c r="D62" s="7" t="s">
        <v>1548</v>
      </c>
      <c r="E62" s="7"/>
      <c r="G62" s="34" t="s">
        <v>1568</v>
      </c>
      <c r="H62" s="32" t="s">
        <v>1580</v>
      </c>
      <c r="I62"/>
      <c r="J62" s="7"/>
      <c r="K62" s="7"/>
      <c r="L62" s="7"/>
      <c r="M62" s="7" t="s">
        <v>1610</v>
      </c>
      <c r="N62" s="7" t="s">
        <v>1619</v>
      </c>
      <c r="O62" s="7"/>
      <c r="P62" s="7"/>
      <c r="Q62" s="7"/>
      <c r="R62" s="64"/>
      <c r="S62" s="64"/>
      <c r="T62" s="64"/>
      <c r="U62" s="168" t="s">
        <v>3255</v>
      </c>
      <c r="V62" s="64"/>
      <c r="W62" s="64" t="s">
        <v>2164</v>
      </c>
      <c r="X62" s="64" t="s">
        <v>2170</v>
      </c>
      <c r="Y62" s="64" t="s">
        <v>2174</v>
      </c>
      <c r="AL62" s="65" t="s">
        <v>3191</v>
      </c>
      <c r="AO62" s="65" t="s">
        <v>4688</v>
      </c>
      <c r="AP62" s="65" t="s">
        <v>3696</v>
      </c>
      <c r="AV62" s="65" t="s">
        <v>5753</v>
      </c>
    </row>
    <row r="63" spans="1:49" ht="30" customHeight="1">
      <c r="A63" s="8">
        <v>12</v>
      </c>
      <c r="B63" s="7"/>
      <c r="C63" s="33"/>
      <c r="D63" s="7" t="s">
        <v>1549</v>
      </c>
      <c r="E63" s="7"/>
      <c r="F63" s="7"/>
      <c r="G63" s="34" t="s">
        <v>1569</v>
      </c>
      <c r="H63" s="32" t="s">
        <v>1581</v>
      </c>
      <c r="I63"/>
      <c r="J63" s="7"/>
      <c r="K63" s="7"/>
      <c r="L63" s="7"/>
      <c r="M63" s="7" t="s">
        <v>1483</v>
      </c>
      <c r="N63" s="7" t="s">
        <v>1620</v>
      </c>
      <c r="O63" s="7"/>
      <c r="P63" s="7"/>
      <c r="Q63" s="7"/>
      <c r="R63" s="64"/>
      <c r="S63" s="64"/>
      <c r="T63" s="64"/>
      <c r="U63" s="168" t="s">
        <v>3256</v>
      </c>
      <c r="V63" s="64"/>
      <c r="W63" s="64" t="s">
        <v>2165</v>
      </c>
      <c r="X63" s="64" t="s">
        <v>2171</v>
      </c>
      <c r="Y63" s="64" t="str">
        <f ca="1">CONCATENATE("Arrows fletched with the feathers of a: ",CHOOSE(RANDBETWEEN(1,6),"eagle","hawk","owl","pheasant","raven","swan"))</f>
        <v>Arrows fletched with the feathers of a: owl</v>
      </c>
      <c r="AL63" s="65" t="s">
        <v>3192</v>
      </c>
      <c r="AO63" s="65" t="s">
        <v>4689</v>
      </c>
      <c r="AP63" s="65" t="s">
        <v>5727</v>
      </c>
      <c r="AV63" s="65" t="s">
        <v>5754</v>
      </c>
    </row>
    <row r="64" spans="1:49" ht="30" customHeight="1">
      <c r="A64" s="8">
        <v>13</v>
      </c>
      <c r="B64" s="7"/>
      <c r="C64" s="33"/>
      <c r="D64" s="7"/>
      <c r="E64" s="7"/>
      <c r="G64" s="34"/>
      <c r="I64" s="7"/>
      <c r="J64" s="7"/>
      <c r="K64" s="7"/>
      <c r="L64" s="7"/>
      <c r="M64" s="7"/>
      <c r="N64" s="7"/>
      <c r="O64" s="7"/>
      <c r="P64" s="7"/>
      <c r="Q64" s="7"/>
      <c r="R64" s="64"/>
      <c r="S64" s="64"/>
      <c r="T64" s="64"/>
      <c r="U64" s="168" t="s">
        <v>3257</v>
      </c>
      <c r="V64" s="64"/>
      <c r="W64" s="64" t="s">
        <v>2166</v>
      </c>
      <c r="X64" s="64" t="s">
        <v>2172</v>
      </c>
      <c r="Y64" s="64" t="s">
        <v>2175</v>
      </c>
      <c r="AL64" s="65" t="s">
        <v>3193</v>
      </c>
      <c r="AO64" s="65" t="s">
        <v>4690</v>
      </c>
      <c r="AP64" s="65" t="s">
        <v>5728</v>
      </c>
    </row>
    <row r="65" spans="1:42" ht="30" customHeight="1">
      <c r="A65" s="8">
        <v>14</v>
      </c>
      <c r="B65" s="7"/>
      <c r="C65" s="33"/>
      <c r="D65" s="7"/>
      <c r="E65" s="7"/>
      <c r="F65" s="7"/>
      <c r="G65" s="34"/>
      <c r="I65" s="7"/>
      <c r="J65" s="7"/>
      <c r="K65" s="7"/>
      <c r="L65" s="7"/>
      <c r="M65" s="7"/>
      <c r="N65" s="7"/>
      <c r="O65" s="7"/>
      <c r="P65" s="7"/>
      <c r="Q65" s="7"/>
      <c r="R65" s="64"/>
      <c r="S65" s="64"/>
      <c r="T65" s="64"/>
      <c r="U65" s="168" t="s">
        <v>3258</v>
      </c>
      <c r="V65" s="64"/>
      <c r="W65" s="64" t="s">
        <v>2167</v>
      </c>
      <c r="AL65" s="65" t="s">
        <v>3194</v>
      </c>
      <c r="AO65" s="65" t="s">
        <v>4691</v>
      </c>
      <c r="AP65" s="65" t="s">
        <v>5729</v>
      </c>
    </row>
    <row r="66" spans="1:42" ht="30" customHeight="1">
      <c r="A66" s="8">
        <v>15</v>
      </c>
      <c r="B66" s="7"/>
      <c r="C66" s="33"/>
      <c r="D66" s="7"/>
      <c r="E66" s="7"/>
      <c r="G66" s="34"/>
      <c r="I66" s="7"/>
      <c r="J66" s="7"/>
      <c r="K66" s="7"/>
      <c r="L66" s="7"/>
      <c r="M66" s="7"/>
      <c r="N66" s="7"/>
      <c r="O66" s="7"/>
      <c r="P66" s="7"/>
      <c r="Q66" s="7"/>
      <c r="R66" s="64"/>
      <c r="S66" s="64"/>
      <c r="T66" s="64"/>
      <c r="U66" s="168" t="s">
        <v>3259</v>
      </c>
      <c r="V66" s="64"/>
      <c r="W66" s="64" t="s">
        <v>2168</v>
      </c>
      <c r="AC66" s="83" t="s">
        <v>2647</v>
      </c>
      <c r="AD66" s="83" t="s">
        <v>3240</v>
      </c>
      <c r="AE66" s="83" t="s">
        <v>2642</v>
      </c>
      <c r="AF66" s="84" t="s">
        <v>2683</v>
      </c>
      <c r="AL66" s="65" t="s">
        <v>3195</v>
      </c>
      <c r="AO66" s="65" t="s">
        <v>4692</v>
      </c>
      <c r="AP66" s="65" t="s">
        <v>5260</v>
      </c>
    </row>
    <row r="67" spans="1:42" ht="30" customHeight="1">
      <c r="A67" s="8">
        <v>16</v>
      </c>
      <c r="B67" s="7"/>
      <c r="C67" s="33"/>
      <c r="D67" s="7"/>
      <c r="E67" s="7"/>
      <c r="F67" s="7"/>
      <c r="G67" s="34"/>
      <c r="I67" s="7"/>
      <c r="J67" s="7"/>
      <c r="K67" s="7"/>
      <c r="L67" s="7"/>
      <c r="M67" s="7"/>
      <c r="N67" s="7"/>
      <c r="O67" s="7"/>
      <c r="P67" s="7"/>
      <c r="Q67" s="7"/>
      <c r="R67" s="64"/>
      <c r="S67" s="64"/>
      <c r="T67" s="64"/>
      <c r="U67" s="168" t="s">
        <v>3260</v>
      </c>
      <c r="V67" s="64"/>
      <c r="AC67" s="65" t="s">
        <v>1495</v>
      </c>
      <c r="AD67" s="65" t="s">
        <v>1503</v>
      </c>
      <c r="AE67" s="65" t="s">
        <v>1507</v>
      </c>
      <c r="AF67" s="65" t="s">
        <v>1511</v>
      </c>
      <c r="AL67" s="65" t="s">
        <v>3196</v>
      </c>
      <c r="AO67" s="65" t="s">
        <v>4693</v>
      </c>
      <c r="AP67" s="65" t="s">
        <v>5268</v>
      </c>
    </row>
    <row r="68" spans="1:42" ht="30" customHeight="1">
      <c r="A68" s="8">
        <v>17</v>
      </c>
      <c r="B68" s="7"/>
      <c r="C68" s="33"/>
      <c r="D68" s="7"/>
      <c r="E68" s="7"/>
      <c r="G68" s="34"/>
      <c r="H68" s="7"/>
      <c r="I68" s="7"/>
      <c r="J68" s="7"/>
      <c r="K68" s="7"/>
      <c r="L68" s="7"/>
      <c r="M68" s="7"/>
      <c r="N68" s="7"/>
      <c r="O68" s="7"/>
      <c r="P68" s="7"/>
      <c r="Q68" s="7"/>
      <c r="R68" s="64"/>
      <c r="S68" s="64"/>
      <c r="T68" s="64"/>
      <c r="U68" s="168" t="s">
        <v>3261</v>
      </c>
      <c r="V68" s="64"/>
      <c r="W68" s="82" t="s">
        <v>2366</v>
      </c>
      <c r="X68" s="83" t="s">
        <v>2367</v>
      </c>
      <c r="Y68" s="83" t="s">
        <v>2365</v>
      </c>
      <c r="AC68" s="65" t="s">
        <v>1496</v>
      </c>
      <c r="AD68" s="65" t="s">
        <v>1504</v>
      </c>
      <c r="AE68" s="65" t="s">
        <v>1508</v>
      </c>
      <c r="AF68" s="65" t="s">
        <v>1512</v>
      </c>
      <c r="AL68" s="65" t="s">
        <v>3197</v>
      </c>
      <c r="AO68" s="65" t="s">
        <v>4694</v>
      </c>
      <c r="AP68" s="65" t="s">
        <v>5730</v>
      </c>
    </row>
    <row r="69" spans="1:42" ht="30" customHeight="1">
      <c r="A69" s="8">
        <v>18</v>
      </c>
      <c r="B69" s="7"/>
      <c r="C69" s="33"/>
      <c r="D69" s="7"/>
      <c r="E69" s="7"/>
      <c r="G69" s="34"/>
      <c r="H69" s="7"/>
      <c r="I69" s="7"/>
      <c r="J69" s="7"/>
      <c r="K69" s="7"/>
      <c r="L69" s="7"/>
      <c r="M69" s="7"/>
      <c r="N69" s="7"/>
      <c r="O69" s="7"/>
      <c r="P69" s="7"/>
      <c r="Q69" s="7"/>
      <c r="R69" s="64"/>
      <c r="S69" s="64"/>
      <c r="T69" s="64"/>
      <c r="U69" s="168" t="s">
        <v>3262</v>
      </c>
      <c r="V69" s="64"/>
      <c r="W69" s="64" t="s">
        <v>2176</v>
      </c>
      <c r="X69" s="64" t="s">
        <v>2180</v>
      </c>
      <c r="Y69" s="64" t="s">
        <v>2184</v>
      </c>
      <c r="AC69" s="65" t="s">
        <v>1498</v>
      </c>
      <c r="AD69" s="65" t="s">
        <v>1505</v>
      </c>
      <c r="AE69" s="65" t="s">
        <v>1509</v>
      </c>
      <c r="AF69" s="65" t="s">
        <v>3203</v>
      </c>
      <c r="AL69" s="65" t="s">
        <v>3198</v>
      </c>
      <c r="AO69" s="65" t="s">
        <v>4695</v>
      </c>
      <c r="AP69" s="65" t="s">
        <v>5110</v>
      </c>
    </row>
    <row r="70" spans="1:42" ht="30" customHeight="1">
      <c r="A70" s="8">
        <v>19</v>
      </c>
      <c r="B70" s="7"/>
      <c r="C70" s="33"/>
      <c r="D70" s="7"/>
      <c r="E70" s="7"/>
      <c r="F70" s="7"/>
      <c r="G70" s="34"/>
      <c r="H70" s="7"/>
      <c r="I70" s="7"/>
      <c r="J70" s="7"/>
      <c r="K70" s="7"/>
      <c r="L70" s="7"/>
      <c r="N70" s="7"/>
      <c r="O70" s="7"/>
      <c r="P70" s="7"/>
      <c r="Q70" s="7"/>
      <c r="R70" s="64"/>
      <c r="S70" s="64"/>
      <c r="T70" s="64"/>
      <c r="U70" s="168" t="s">
        <v>3263</v>
      </c>
      <c r="V70" s="64"/>
      <c r="W70" s="64" t="s">
        <v>2177</v>
      </c>
      <c r="X70" s="64" t="s">
        <v>2181</v>
      </c>
      <c r="Y70" s="64" t="s">
        <v>2185</v>
      </c>
      <c r="AC70" s="65" t="s">
        <v>3201</v>
      </c>
      <c r="AD70" s="65" t="s">
        <v>1506</v>
      </c>
      <c r="AE70" s="65" t="s">
        <v>1510</v>
      </c>
      <c r="AF70" s="65" t="s">
        <v>3204</v>
      </c>
      <c r="AL70" s="65" t="s">
        <v>3199</v>
      </c>
      <c r="AO70" s="65" t="s">
        <v>4696</v>
      </c>
      <c r="AP70" s="65" t="s">
        <v>5731</v>
      </c>
    </row>
    <row r="71" spans="1:42" ht="30" customHeight="1">
      <c r="A71" s="8">
        <v>20</v>
      </c>
      <c r="B71" s="7"/>
      <c r="C71" s="33"/>
      <c r="D71" s="7"/>
      <c r="E71" s="7"/>
      <c r="G71" s="34"/>
      <c r="H71" s="7"/>
      <c r="I71" s="7"/>
      <c r="J71" s="7"/>
      <c r="K71" s="7"/>
      <c r="L71" s="7"/>
      <c r="N71" s="7"/>
      <c r="O71" s="7"/>
      <c r="P71" s="7"/>
      <c r="Q71" s="7"/>
      <c r="R71" s="64"/>
      <c r="S71" s="64"/>
      <c r="T71" s="64"/>
      <c r="U71" s="168" t="s">
        <v>3264</v>
      </c>
      <c r="V71" s="64"/>
      <c r="W71" s="64" t="s">
        <v>2178</v>
      </c>
      <c r="X71" s="64" t="s">
        <v>2182</v>
      </c>
      <c r="Y71" s="64" t="s">
        <v>2186</v>
      </c>
      <c r="AC71" s="65" t="s">
        <v>1501</v>
      </c>
      <c r="AF71" s="65" t="s">
        <v>1514</v>
      </c>
      <c r="AL71" s="65" t="s">
        <v>3200</v>
      </c>
      <c r="AO71" s="65" t="s">
        <v>3689</v>
      </c>
      <c r="AP71" s="65" t="s">
        <v>3695</v>
      </c>
    </row>
    <row r="72" spans="1:42" ht="30" customHeight="1">
      <c r="A72" s="8">
        <v>21</v>
      </c>
      <c r="B72" s="7"/>
      <c r="C72" s="33"/>
      <c r="D72" s="7"/>
      <c r="E72" s="7"/>
      <c r="F72" s="7"/>
      <c r="G72" s="7"/>
      <c r="H72" s="7"/>
      <c r="I72" s="7"/>
      <c r="J72" s="7"/>
      <c r="K72" s="7"/>
      <c r="L72" s="7"/>
      <c r="N72" s="7"/>
      <c r="O72" s="7"/>
      <c r="P72" s="7"/>
      <c r="Q72" s="7"/>
      <c r="R72" s="64"/>
      <c r="S72" s="64"/>
      <c r="T72" s="64"/>
      <c r="U72" s="168" t="s">
        <v>3265</v>
      </c>
      <c r="V72" s="64"/>
      <c r="W72" s="64" t="s">
        <v>2179</v>
      </c>
      <c r="X72" s="64" t="s">
        <v>2183</v>
      </c>
      <c r="Y72" s="64" t="s">
        <v>2187</v>
      </c>
      <c r="AC72" s="65" t="s">
        <v>3202</v>
      </c>
      <c r="AF72" s="65" t="s">
        <v>1515</v>
      </c>
    </row>
    <row r="73" spans="1:42" ht="30" customHeight="1">
      <c r="A73" s="8">
        <v>22</v>
      </c>
      <c r="B73" s="7"/>
      <c r="C73" s="33"/>
      <c r="D73" s="7"/>
      <c r="E73" s="7"/>
      <c r="G73" s="7"/>
      <c r="H73" s="7"/>
      <c r="I73" s="7"/>
      <c r="J73" s="7"/>
      <c r="K73" s="7"/>
      <c r="L73" s="7"/>
      <c r="N73" s="7"/>
      <c r="O73" s="7"/>
      <c r="P73" s="7"/>
      <c r="Q73" s="7"/>
      <c r="R73" s="64"/>
      <c r="S73" s="64"/>
      <c r="T73" s="64"/>
      <c r="U73" s="168" t="s">
        <v>3266</v>
      </c>
      <c r="V73" s="64"/>
      <c r="AF73" s="65" t="s">
        <v>1516</v>
      </c>
    </row>
    <row r="74" spans="1:42" ht="30" customHeight="1">
      <c r="A74" s="8">
        <v>23</v>
      </c>
      <c r="B74" s="7"/>
      <c r="C74" s="33"/>
      <c r="D74" s="7"/>
      <c r="E74" s="7"/>
      <c r="G74" s="7"/>
      <c r="H74" s="7"/>
      <c r="I74" s="7"/>
      <c r="J74" s="7"/>
      <c r="K74" s="7"/>
      <c r="L74" s="7"/>
      <c r="N74" s="7"/>
      <c r="O74" s="7"/>
      <c r="P74" s="7"/>
      <c r="Q74" s="7"/>
      <c r="R74" s="64"/>
      <c r="S74" s="64"/>
      <c r="T74" s="64"/>
      <c r="U74" s="168" t="s">
        <v>3267</v>
      </c>
      <c r="V74" s="64"/>
      <c r="W74" s="82" t="s">
        <v>2368</v>
      </c>
      <c r="X74" s="83" t="s">
        <v>2369</v>
      </c>
      <c r="Y74" s="83" t="s">
        <v>2370</v>
      </c>
      <c r="AF74" s="65" t="s">
        <v>1517</v>
      </c>
    </row>
    <row r="75" spans="1:42" ht="30" customHeight="1">
      <c r="A75" s="8">
        <v>24</v>
      </c>
      <c r="B75" s="7"/>
      <c r="C75" s="33"/>
      <c r="D75" s="7"/>
      <c r="E75" s="7"/>
      <c r="F75" s="7"/>
      <c r="G75" s="7"/>
      <c r="H75" s="7"/>
      <c r="I75" s="7"/>
      <c r="J75" s="7"/>
      <c r="K75" s="7"/>
      <c r="L75" s="7"/>
      <c r="N75" s="7"/>
      <c r="O75" s="7"/>
      <c r="P75" s="7"/>
      <c r="Q75" s="7"/>
      <c r="R75" s="64"/>
      <c r="S75" s="64"/>
      <c r="T75" s="64"/>
      <c r="U75" s="168" t="s">
        <v>3268</v>
      </c>
      <c r="V75" s="64"/>
      <c r="W75" s="64" t="s">
        <v>2188</v>
      </c>
      <c r="X75" s="64" t="s">
        <v>2371</v>
      </c>
      <c r="Y75" s="64" t="s">
        <v>2195</v>
      </c>
    </row>
    <row r="76" spans="1:42" ht="30" customHeight="1">
      <c r="A76" s="8">
        <v>25</v>
      </c>
      <c r="B76" s="7"/>
      <c r="C76" s="33"/>
      <c r="D76" s="7"/>
      <c r="E76" s="7"/>
      <c r="G76" s="7"/>
      <c r="H76" s="7"/>
      <c r="I76" s="7"/>
      <c r="J76" s="7"/>
      <c r="K76" s="7"/>
      <c r="L76" s="7"/>
      <c r="N76" s="7"/>
      <c r="O76" s="7"/>
      <c r="P76" s="7"/>
      <c r="Q76" s="7"/>
      <c r="R76" s="64"/>
      <c r="S76" s="64"/>
      <c r="T76" s="64"/>
      <c r="U76" s="168" t="s">
        <v>3269</v>
      </c>
      <c r="V76" s="64"/>
      <c r="W76" s="64" t="s">
        <v>2189</v>
      </c>
      <c r="X76" s="64" t="s">
        <v>2192</v>
      </c>
      <c r="Y76" s="64" t="s">
        <v>2196</v>
      </c>
      <c r="AC76" s="83" t="s">
        <v>2654</v>
      </c>
      <c r="AD76" s="83" t="s">
        <v>2659</v>
      </c>
      <c r="AE76" s="83" t="s">
        <v>3242</v>
      </c>
    </row>
    <row r="77" spans="1:42" ht="30" customHeight="1">
      <c r="A77" s="8">
        <v>26</v>
      </c>
      <c r="B77" s="7"/>
      <c r="C77" s="33"/>
      <c r="D77" s="7"/>
      <c r="E77" s="7"/>
      <c r="G77" s="7"/>
      <c r="H77" s="7"/>
      <c r="I77" s="7"/>
      <c r="J77" s="7"/>
      <c r="K77" s="7"/>
      <c r="L77" s="7"/>
      <c r="N77" s="7"/>
      <c r="O77" s="7"/>
      <c r="P77" s="7"/>
      <c r="Q77" s="7"/>
      <c r="R77" s="64"/>
      <c r="S77" s="64"/>
      <c r="T77" s="64"/>
      <c r="U77" s="168" t="s">
        <v>3270</v>
      </c>
      <c r="V77" s="64"/>
      <c r="W77" s="64" t="s">
        <v>2190</v>
      </c>
      <c r="X77" s="64" t="s">
        <v>2193</v>
      </c>
      <c r="Y77" s="64" t="s">
        <v>2197</v>
      </c>
      <c r="AC77" s="65" t="s">
        <v>3205</v>
      </c>
      <c r="AD77" s="65" t="s">
        <v>3208</v>
      </c>
      <c r="AE77" s="65" t="s">
        <v>3214</v>
      </c>
    </row>
    <row r="78" spans="1:42" ht="30" customHeight="1">
      <c r="A78" s="8">
        <v>27</v>
      </c>
      <c r="B78" s="7"/>
      <c r="C78" s="33"/>
      <c r="D78" s="7"/>
      <c r="E78" s="7"/>
      <c r="G78" s="7"/>
      <c r="H78" s="7"/>
      <c r="I78" s="7"/>
      <c r="J78" s="7"/>
      <c r="K78" s="7"/>
      <c r="L78" s="7"/>
      <c r="N78" s="7"/>
      <c r="O78" s="7"/>
      <c r="P78" s="7"/>
      <c r="Q78" s="7"/>
      <c r="R78" s="64"/>
      <c r="S78" s="64"/>
      <c r="T78" s="64"/>
      <c r="U78" s="168" t="s">
        <v>3271</v>
      </c>
      <c r="V78" s="64"/>
      <c r="W78" s="64" t="s">
        <v>2191</v>
      </c>
      <c r="X78" s="64" t="s">
        <v>2194</v>
      </c>
      <c r="Y78" s="64" t="s">
        <v>2198</v>
      </c>
      <c r="AC78" s="65" t="s">
        <v>2308</v>
      </c>
      <c r="AD78" s="65" t="s">
        <v>3209</v>
      </c>
      <c r="AE78" s="65" t="s">
        <v>3215</v>
      </c>
    </row>
    <row r="79" spans="1:42" ht="30" customHeight="1">
      <c r="A79" s="8">
        <v>28</v>
      </c>
      <c r="B79" s="7"/>
      <c r="C79" s="33"/>
      <c r="D79" s="7"/>
      <c r="E79" s="7"/>
      <c r="G79" s="7"/>
      <c r="H79" s="7"/>
      <c r="I79" s="7"/>
      <c r="J79" s="7"/>
      <c r="K79" s="7"/>
      <c r="L79" s="7"/>
      <c r="N79" s="7"/>
      <c r="O79" s="7"/>
      <c r="P79" s="7"/>
      <c r="Q79" s="7"/>
      <c r="R79" s="64"/>
      <c r="S79" s="64"/>
      <c r="T79" s="64"/>
      <c r="U79" s="168" t="s">
        <v>3272</v>
      </c>
      <c r="V79" s="64"/>
      <c r="W79" s="64"/>
      <c r="AC79" s="65" t="s">
        <v>3206</v>
      </c>
      <c r="AD79" s="65" t="s">
        <v>3210</v>
      </c>
      <c r="AE79" s="65" t="s">
        <v>3216</v>
      </c>
    </row>
    <row r="80" spans="1:42" ht="30" customHeight="1">
      <c r="A80" s="8">
        <v>29</v>
      </c>
      <c r="B80" s="7"/>
      <c r="C80" s="33"/>
      <c r="D80" s="7"/>
      <c r="E80" s="7"/>
      <c r="G80" s="7"/>
      <c r="H80" s="7"/>
      <c r="I80" s="7"/>
      <c r="J80" s="7"/>
      <c r="K80" s="7"/>
      <c r="L80" s="7"/>
      <c r="N80" s="7"/>
      <c r="O80" s="7"/>
      <c r="P80" s="7"/>
      <c r="Q80" s="7"/>
      <c r="R80" s="64"/>
      <c r="S80" s="64"/>
      <c r="T80" s="64"/>
      <c r="U80" s="168" t="s">
        <v>3273</v>
      </c>
      <c r="V80" s="64"/>
      <c r="W80" s="82" t="s">
        <v>2372</v>
      </c>
      <c r="X80" s="83" t="s">
        <v>2367</v>
      </c>
      <c r="Y80" s="83" t="s">
        <v>2365</v>
      </c>
      <c r="AC80" s="65" t="s">
        <v>3207</v>
      </c>
      <c r="AD80" s="65" t="s">
        <v>3211</v>
      </c>
      <c r="AE80" s="65" t="s">
        <v>3217</v>
      </c>
    </row>
    <row r="81" spans="1:31" ht="30" customHeight="1">
      <c r="A81" s="8"/>
      <c r="B81" s="7"/>
      <c r="C81" s="33"/>
      <c r="D81" s="7"/>
      <c r="E81" s="7"/>
      <c r="G81" s="7"/>
      <c r="H81" s="7"/>
      <c r="I81" s="7"/>
      <c r="J81" s="7"/>
      <c r="K81" s="7"/>
      <c r="L81" s="7"/>
      <c r="M81" s="7"/>
      <c r="N81" s="7"/>
      <c r="O81" s="7"/>
      <c r="P81" s="7"/>
      <c r="Q81" s="7"/>
      <c r="R81" s="64"/>
      <c r="S81" s="64"/>
      <c r="T81" s="64"/>
      <c r="U81" s="168" t="s">
        <v>3274</v>
      </c>
      <c r="V81" s="64"/>
      <c r="W81" s="64" t="s">
        <v>2199</v>
      </c>
      <c r="X81" s="64" t="s">
        <v>2203</v>
      </c>
      <c r="Y81" s="64" t="s">
        <v>2207</v>
      </c>
      <c r="AD81" s="65" t="s">
        <v>3212</v>
      </c>
    </row>
    <row r="82" spans="1:31" ht="30" customHeight="1">
      <c r="A82" s="8"/>
      <c r="B82" s="7"/>
      <c r="C82" s="33"/>
      <c r="D82" s="7"/>
      <c r="E82" s="7"/>
      <c r="G82" s="7"/>
      <c r="H82" s="7"/>
      <c r="I82" s="7"/>
      <c r="J82" s="7"/>
      <c r="K82" s="7"/>
      <c r="L82" s="7"/>
      <c r="M82" s="7"/>
      <c r="N82" s="7"/>
      <c r="O82" s="7"/>
      <c r="P82" s="7"/>
      <c r="Q82" s="7"/>
      <c r="R82" s="64"/>
      <c r="S82" s="64"/>
      <c r="T82" s="64"/>
      <c r="U82" s="168" t="s">
        <v>3275</v>
      </c>
      <c r="V82" s="64"/>
      <c r="W82" s="64" t="s">
        <v>2200</v>
      </c>
      <c r="X82" s="64" t="s">
        <v>2204</v>
      </c>
      <c r="Y82" s="64" t="s">
        <v>2208</v>
      </c>
      <c r="AD82" s="65" t="s">
        <v>3213</v>
      </c>
    </row>
    <row r="83" spans="1:31" ht="30" customHeight="1">
      <c r="A83" s="8"/>
      <c r="B83" s="7"/>
      <c r="C83" s="33"/>
      <c r="D83" s="7"/>
      <c r="E83" s="7"/>
      <c r="G83" s="7"/>
      <c r="H83" s="7"/>
      <c r="I83" s="7"/>
      <c r="J83" s="7"/>
      <c r="K83" s="7"/>
      <c r="L83" s="7"/>
      <c r="M83" s="7"/>
      <c r="N83" s="7"/>
      <c r="O83" s="7"/>
      <c r="P83" s="7"/>
      <c r="Q83" s="7"/>
      <c r="R83" s="64"/>
      <c r="S83" s="64"/>
      <c r="T83" s="64"/>
      <c r="U83" s="168" t="s">
        <v>3276</v>
      </c>
      <c r="V83" s="64"/>
      <c r="W83" s="64" t="s">
        <v>2201</v>
      </c>
      <c r="X83" s="64" t="s">
        <v>2205</v>
      </c>
      <c r="Y83" s="64" t="s">
        <v>2209</v>
      </c>
    </row>
    <row r="84" spans="1:31" ht="30" customHeight="1">
      <c r="A84" s="8"/>
      <c r="B84" s="7"/>
      <c r="C84" s="33"/>
      <c r="D84" s="7"/>
      <c r="E84" s="7"/>
      <c r="G84" s="7"/>
      <c r="H84" s="7"/>
      <c r="I84" s="7"/>
      <c r="J84" s="7"/>
      <c r="K84" s="7"/>
      <c r="L84" s="7"/>
      <c r="M84" s="7"/>
      <c r="N84" s="7"/>
      <c r="O84" s="7"/>
      <c r="P84" s="7"/>
      <c r="Q84" s="7"/>
      <c r="R84" s="64"/>
      <c r="S84" s="64"/>
      <c r="T84" s="64"/>
      <c r="U84" s="168" t="s">
        <v>3277</v>
      </c>
      <c r="V84" s="64"/>
      <c r="W84" s="64" t="s">
        <v>2202</v>
      </c>
      <c r="X84" s="64" t="s">
        <v>2206</v>
      </c>
      <c r="Y84" s="64" t="s">
        <v>1517</v>
      </c>
      <c r="AC84" s="83" t="s">
        <v>3243</v>
      </c>
      <c r="AD84" s="83" t="s">
        <v>2642</v>
      </c>
      <c r="AE84" s="83" t="s">
        <v>2683</v>
      </c>
    </row>
    <row r="85" spans="1:31" ht="30" customHeight="1">
      <c r="A85" s="8"/>
      <c r="B85" s="7"/>
      <c r="C85" s="33"/>
      <c r="D85" s="7"/>
      <c r="E85" s="7"/>
      <c r="G85" s="7"/>
      <c r="H85" s="7"/>
      <c r="I85" s="7"/>
      <c r="J85" s="7"/>
      <c r="K85" s="7"/>
      <c r="L85" s="7"/>
      <c r="M85" s="7"/>
      <c r="N85" s="7"/>
      <c r="O85" s="7"/>
      <c r="P85" s="7"/>
      <c r="Q85" s="7"/>
      <c r="R85" s="64"/>
      <c r="S85" s="64"/>
      <c r="T85" s="64"/>
      <c r="U85" s="168" t="s">
        <v>3278</v>
      </c>
      <c r="V85" s="64"/>
      <c r="AC85" s="65" t="s">
        <v>3218</v>
      </c>
      <c r="AD85" s="65" t="s">
        <v>3219</v>
      </c>
      <c r="AE85" s="65" t="s">
        <v>3222</v>
      </c>
    </row>
    <row r="86" spans="1:31" ht="30" customHeight="1">
      <c r="A86" s="8"/>
      <c r="B86" s="7"/>
      <c r="C86" s="33"/>
      <c r="D86" s="7"/>
      <c r="E86" s="7"/>
      <c r="G86" s="7"/>
      <c r="H86" s="7"/>
      <c r="I86" s="7"/>
      <c r="J86" s="7"/>
      <c r="K86" s="7"/>
      <c r="L86" s="7"/>
      <c r="M86" s="7"/>
      <c r="N86" s="7"/>
      <c r="O86" s="7"/>
      <c r="P86" s="7"/>
      <c r="Q86" s="7"/>
      <c r="R86" s="64"/>
      <c r="S86" s="64"/>
      <c r="T86" s="64"/>
      <c r="U86" s="168" t="s">
        <v>3279</v>
      </c>
      <c r="V86" s="64"/>
      <c r="W86" s="82" t="s">
        <v>2373</v>
      </c>
      <c r="X86" s="83" t="s">
        <v>2367</v>
      </c>
      <c r="AC86" s="65" t="s">
        <v>1499</v>
      </c>
      <c r="AD86" s="65" t="s">
        <v>1508</v>
      </c>
      <c r="AE86" s="65" t="s">
        <v>3223</v>
      </c>
    </row>
    <row r="87" spans="1:31" ht="30" customHeight="1">
      <c r="A87" s="8"/>
      <c r="B87" s="7"/>
      <c r="C87" s="33"/>
      <c r="D87" s="7"/>
      <c r="E87" s="7"/>
      <c r="G87" s="7"/>
      <c r="H87" s="7"/>
      <c r="I87" s="7"/>
      <c r="J87" s="7"/>
      <c r="K87" s="7"/>
      <c r="L87" s="7"/>
      <c r="M87" s="7"/>
      <c r="N87" s="7"/>
      <c r="O87" s="7"/>
      <c r="P87" s="7"/>
      <c r="Q87" s="7"/>
      <c r="R87" s="64"/>
      <c r="S87" s="64"/>
      <c r="T87" s="64"/>
      <c r="U87" s="168" t="s">
        <v>3280</v>
      </c>
      <c r="V87" s="64"/>
      <c r="W87" s="64" t="s">
        <v>2210</v>
      </c>
      <c r="X87" s="64" t="s">
        <v>2214</v>
      </c>
      <c r="AC87" s="65" t="s">
        <v>1500</v>
      </c>
      <c r="AD87" s="65" t="s">
        <v>3220</v>
      </c>
      <c r="AE87" s="65" t="s">
        <v>3224</v>
      </c>
    </row>
    <row r="88" spans="1:31" ht="30" customHeight="1">
      <c r="A88" s="8"/>
      <c r="B88" s="7"/>
      <c r="C88" s="33"/>
      <c r="D88" s="7"/>
      <c r="E88" s="7"/>
      <c r="F88" s="7"/>
      <c r="G88" s="7"/>
      <c r="H88" s="7"/>
      <c r="I88" s="7"/>
      <c r="J88" s="7"/>
      <c r="K88" s="7"/>
      <c r="L88" s="7"/>
      <c r="M88" s="7"/>
      <c r="N88" s="7"/>
      <c r="O88" s="7"/>
      <c r="P88" s="7"/>
      <c r="Q88" s="7"/>
      <c r="R88" s="64"/>
      <c r="S88" s="64"/>
      <c r="T88" s="64"/>
      <c r="U88" s="168" t="s">
        <v>3281</v>
      </c>
      <c r="V88" s="64"/>
      <c r="W88" s="64" t="s">
        <v>2211</v>
      </c>
      <c r="X88" s="64" t="s">
        <v>2215</v>
      </c>
      <c r="AC88" s="65" t="s">
        <v>1502</v>
      </c>
      <c r="AD88" s="65" t="s">
        <v>3221</v>
      </c>
      <c r="AE88" s="65" t="s">
        <v>1513</v>
      </c>
    </row>
    <row r="89" spans="1:31" ht="30" customHeight="1">
      <c r="A89" s="8"/>
      <c r="B89" s="7"/>
      <c r="C89" s="33"/>
      <c r="D89" s="7"/>
      <c r="E89" s="7"/>
      <c r="F89" s="7"/>
      <c r="G89" s="7"/>
      <c r="H89" s="7"/>
      <c r="I89" s="7"/>
      <c r="J89" s="7"/>
      <c r="K89" s="7"/>
      <c r="L89" s="7"/>
      <c r="M89" s="7"/>
      <c r="N89" s="7"/>
      <c r="O89" s="7"/>
      <c r="P89" s="7"/>
      <c r="Q89" s="7"/>
      <c r="R89" s="64"/>
      <c r="S89" s="64"/>
      <c r="T89" s="64"/>
      <c r="U89" s="168" t="s">
        <v>3282</v>
      </c>
      <c r="V89" s="64"/>
      <c r="W89" s="64" t="s">
        <v>2212</v>
      </c>
      <c r="X89" s="64" t="s">
        <v>2216</v>
      </c>
      <c r="AE89" s="65" t="s">
        <v>1514</v>
      </c>
    </row>
    <row r="90" spans="1:31" ht="30" customHeight="1">
      <c r="A90" s="8"/>
      <c r="B90" s="7"/>
      <c r="C90" s="33"/>
      <c r="D90" s="7"/>
      <c r="E90" s="7"/>
      <c r="F90" s="7"/>
      <c r="G90" s="7"/>
      <c r="H90" s="7"/>
      <c r="I90" s="7"/>
      <c r="J90" s="7"/>
      <c r="K90" s="7"/>
      <c r="L90" s="7"/>
      <c r="M90" s="7"/>
      <c r="N90" s="7"/>
      <c r="O90" s="7"/>
      <c r="P90" s="7"/>
      <c r="Q90" s="7"/>
      <c r="R90" s="64"/>
      <c r="S90" s="64"/>
      <c r="T90" s="64"/>
      <c r="U90" s="168" t="s">
        <v>3283</v>
      </c>
      <c r="V90" s="64"/>
      <c r="W90" s="64" t="s">
        <v>2213</v>
      </c>
      <c r="X90" s="64" t="s">
        <v>2217</v>
      </c>
      <c r="AE90" s="65" t="s">
        <v>3225</v>
      </c>
    </row>
    <row r="91" spans="1:31" ht="30" customHeight="1">
      <c r="A91" s="8"/>
      <c r="B91" s="7"/>
      <c r="C91" s="33"/>
      <c r="D91" s="7"/>
      <c r="E91" s="7"/>
      <c r="F91" s="7"/>
      <c r="G91" s="7"/>
      <c r="H91" s="7"/>
      <c r="I91" s="7"/>
      <c r="J91" s="7"/>
      <c r="K91" s="7"/>
      <c r="L91" s="7"/>
      <c r="M91" s="7"/>
      <c r="N91" s="7"/>
      <c r="O91" s="7"/>
      <c r="P91" s="7"/>
      <c r="Q91" s="7"/>
      <c r="R91" s="64"/>
      <c r="S91" s="64"/>
      <c r="T91" s="64"/>
      <c r="U91" s="168" t="s">
        <v>3284</v>
      </c>
      <c r="V91" s="64"/>
    </row>
    <row r="92" spans="1:31" ht="30" customHeight="1">
      <c r="A92" s="8"/>
      <c r="B92" s="7"/>
      <c r="C92" s="33"/>
      <c r="D92" s="7"/>
      <c r="E92" s="7"/>
      <c r="F92" s="7"/>
      <c r="G92" s="7"/>
      <c r="H92" s="7"/>
      <c r="I92" s="7"/>
      <c r="J92" s="7"/>
      <c r="K92" s="7"/>
      <c r="L92" s="7"/>
      <c r="M92" s="7"/>
      <c r="N92" s="7"/>
      <c r="O92" s="7"/>
      <c r="P92" s="7"/>
      <c r="Q92" s="7"/>
      <c r="R92" s="64"/>
      <c r="S92" s="64"/>
      <c r="T92" s="64"/>
      <c r="U92" s="168" t="s">
        <v>3285</v>
      </c>
      <c r="V92" s="64"/>
      <c r="W92" s="82" t="s">
        <v>2374</v>
      </c>
      <c r="X92" s="83" t="s">
        <v>2375</v>
      </c>
      <c r="Y92" s="83" t="s">
        <v>2376</v>
      </c>
    </row>
    <row r="93" spans="1:31" ht="30" customHeight="1">
      <c r="A93" s="8"/>
      <c r="B93" s="7"/>
      <c r="C93" s="33"/>
      <c r="D93" s="7"/>
      <c r="E93" s="7"/>
      <c r="F93" s="7"/>
      <c r="G93" s="7"/>
      <c r="H93" s="7"/>
      <c r="I93" s="7"/>
      <c r="J93" s="7"/>
      <c r="K93" s="7"/>
      <c r="L93" s="7"/>
      <c r="M93" s="7"/>
      <c r="N93" s="7"/>
      <c r="O93" s="7"/>
      <c r="P93" s="7"/>
      <c r="Q93" s="7"/>
      <c r="R93" s="64"/>
      <c r="S93" s="64"/>
      <c r="T93" s="64"/>
      <c r="U93" s="168" t="s">
        <v>3286</v>
      </c>
      <c r="V93" s="64"/>
      <c r="W93" s="64" t="s">
        <v>2218</v>
      </c>
      <c r="X93" s="64" t="s">
        <v>2224</v>
      </c>
      <c r="Y93" s="64" t="s">
        <v>2232</v>
      </c>
    </row>
    <row r="94" spans="1:31" ht="30" customHeight="1">
      <c r="A94" s="8"/>
      <c r="B94" s="7"/>
      <c r="C94" s="33"/>
      <c r="D94" s="7"/>
      <c r="E94" s="7"/>
      <c r="F94" s="7"/>
      <c r="G94" s="7"/>
      <c r="H94" s="7"/>
      <c r="I94" s="7"/>
      <c r="J94" s="7"/>
      <c r="K94" s="7"/>
      <c r="L94" s="7"/>
      <c r="M94" s="7"/>
      <c r="N94" s="7"/>
      <c r="O94" s="7"/>
      <c r="P94" s="7"/>
      <c r="Q94" s="7"/>
      <c r="R94" s="64"/>
      <c r="S94" s="64"/>
      <c r="T94" s="64"/>
      <c r="U94" s="168" t="s">
        <v>3287</v>
      </c>
      <c r="V94" s="64"/>
      <c r="W94" s="64" t="s">
        <v>2219</v>
      </c>
      <c r="X94" s="64" t="s">
        <v>2225</v>
      </c>
      <c r="Y94" s="64" t="s">
        <v>2233</v>
      </c>
    </row>
    <row r="95" spans="1:31" ht="30" customHeight="1">
      <c r="A95" s="8"/>
      <c r="B95" s="7"/>
      <c r="C95" s="33"/>
      <c r="D95" s="7"/>
      <c r="E95" s="7"/>
      <c r="F95" s="7"/>
      <c r="G95" s="7"/>
      <c r="H95" s="7"/>
      <c r="I95" s="7"/>
      <c r="J95" s="7"/>
      <c r="K95" s="7"/>
      <c r="L95" s="7"/>
      <c r="M95" s="7"/>
      <c r="N95" s="7"/>
      <c r="O95" s="7"/>
      <c r="P95" s="7"/>
      <c r="Q95" s="7"/>
      <c r="R95" s="64"/>
      <c r="S95" s="64"/>
      <c r="T95" s="64"/>
      <c r="U95" s="168" t="s">
        <v>3288</v>
      </c>
      <c r="V95" s="64"/>
      <c r="W95" s="64" t="s">
        <v>2220</v>
      </c>
      <c r="X95" s="64" t="s">
        <v>2226</v>
      </c>
      <c r="Y95" s="64" t="s">
        <v>2234</v>
      </c>
    </row>
    <row r="96" spans="1:31" ht="30" customHeight="1">
      <c r="A96" s="8"/>
      <c r="B96" s="7"/>
      <c r="C96" s="33"/>
      <c r="D96" s="7"/>
      <c r="E96" s="7"/>
      <c r="F96" s="7"/>
      <c r="G96" s="7"/>
      <c r="H96" s="7"/>
      <c r="I96" s="7"/>
      <c r="J96" s="7"/>
      <c r="K96" s="7"/>
      <c r="L96" s="7"/>
      <c r="M96" s="7"/>
      <c r="N96" s="7"/>
      <c r="O96" s="7"/>
      <c r="P96" s="7"/>
      <c r="Q96" s="7"/>
      <c r="R96" s="64"/>
      <c r="S96" s="64"/>
      <c r="T96" s="64"/>
      <c r="U96" s="168" t="s">
        <v>3289</v>
      </c>
      <c r="V96" s="64"/>
      <c r="W96" s="64" t="s">
        <v>2221</v>
      </c>
      <c r="X96" s="64" t="s">
        <v>2227</v>
      </c>
      <c r="Y96" s="64" t="s">
        <v>2235</v>
      </c>
    </row>
    <row r="97" spans="1:25" ht="30" customHeight="1">
      <c r="A97" s="8"/>
      <c r="B97" s="7"/>
      <c r="C97" s="33"/>
      <c r="D97" s="7"/>
      <c r="E97" s="7"/>
      <c r="F97" s="7"/>
      <c r="G97" s="7"/>
      <c r="H97" s="7"/>
      <c r="I97" s="7"/>
      <c r="J97" s="7"/>
      <c r="K97" s="7"/>
      <c r="L97" s="7"/>
      <c r="M97" s="7"/>
      <c r="N97" s="7"/>
      <c r="O97" s="7"/>
      <c r="P97" s="7"/>
      <c r="Q97" s="7"/>
      <c r="R97" s="64"/>
      <c r="S97" s="64"/>
      <c r="T97" s="64"/>
      <c r="U97" s="168" t="s">
        <v>3290</v>
      </c>
      <c r="V97" s="64"/>
      <c r="W97" s="64" t="s">
        <v>2222</v>
      </c>
      <c r="X97" s="64" t="s">
        <v>2228</v>
      </c>
      <c r="Y97" s="64" t="s">
        <v>2236</v>
      </c>
    </row>
    <row r="98" spans="1:25" ht="30" customHeight="1">
      <c r="A98" s="8"/>
      <c r="B98" s="7"/>
      <c r="C98" s="33"/>
      <c r="D98" s="7"/>
      <c r="E98" s="7"/>
      <c r="F98" s="7"/>
      <c r="G98" s="7"/>
      <c r="H98" s="7"/>
      <c r="I98" s="7"/>
      <c r="J98" s="7"/>
      <c r="K98" s="7"/>
      <c r="L98" s="7"/>
      <c r="M98" s="7"/>
      <c r="N98" s="7"/>
      <c r="O98" s="7"/>
      <c r="P98" s="7"/>
      <c r="Q98" s="7"/>
      <c r="R98" s="64"/>
      <c r="S98" s="64"/>
      <c r="T98" s="64"/>
      <c r="U98" s="168" t="s">
        <v>3291</v>
      </c>
      <c r="V98" s="64"/>
      <c r="W98" s="64" t="s">
        <v>2223</v>
      </c>
      <c r="X98" s="64" t="s">
        <v>2229</v>
      </c>
      <c r="Y98" s="64" t="s">
        <v>2237</v>
      </c>
    </row>
    <row r="99" spans="1:25" ht="30" customHeight="1">
      <c r="A99" s="8"/>
      <c r="B99" s="7"/>
      <c r="C99" s="33"/>
      <c r="D99" s="7"/>
      <c r="E99" s="7"/>
      <c r="F99" s="7"/>
      <c r="G99" s="7"/>
      <c r="H99" s="7"/>
      <c r="I99" s="7"/>
      <c r="J99" s="7"/>
      <c r="K99" s="7"/>
      <c r="L99" s="7"/>
      <c r="M99" s="7"/>
      <c r="N99" s="7"/>
      <c r="O99" s="7"/>
      <c r="P99" s="7"/>
      <c r="Q99" s="7"/>
      <c r="R99" s="64"/>
      <c r="S99" s="64"/>
      <c r="T99" s="64"/>
      <c r="U99" s="168" t="s">
        <v>3292</v>
      </c>
      <c r="V99" s="64"/>
      <c r="W99" s="64"/>
      <c r="X99" s="64" t="s">
        <v>2230</v>
      </c>
    </row>
    <row r="100" spans="1:25" ht="30" customHeight="1">
      <c r="A100" s="8"/>
      <c r="B100" s="7"/>
      <c r="C100" s="33"/>
      <c r="D100" s="7"/>
      <c r="E100" s="7"/>
      <c r="F100" s="7"/>
      <c r="G100" s="7"/>
      <c r="H100" s="7"/>
      <c r="I100" s="7"/>
      <c r="J100" s="7"/>
      <c r="K100" s="7"/>
      <c r="L100" s="7"/>
      <c r="M100" s="7"/>
      <c r="N100" s="7"/>
      <c r="O100" s="7"/>
      <c r="P100" s="7"/>
      <c r="Q100" s="7"/>
      <c r="R100" s="64"/>
      <c r="S100" s="64"/>
      <c r="T100" s="64"/>
      <c r="U100" s="168" t="s">
        <v>3293</v>
      </c>
      <c r="V100" s="64"/>
      <c r="X100" s="64" t="s">
        <v>2231</v>
      </c>
    </row>
    <row r="101" spans="1:25" ht="30" customHeight="1">
      <c r="A101" s="8"/>
      <c r="B101" s="7"/>
      <c r="C101" s="33"/>
      <c r="D101" s="7"/>
      <c r="E101" s="7"/>
      <c r="F101" s="7"/>
      <c r="G101" s="7"/>
      <c r="H101" s="7"/>
      <c r="I101" s="7"/>
      <c r="J101" s="7"/>
      <c r="K101" s="7"/>
      <c r="L101" s="7"/>
      <c r="M101" s="7"/>
      <c r="N101" s="7"/>
      <c r="O101" s="7"/>
      <c r="P101" s="7"/>
      <c r="Q101" s="7"/>
      <c r="R101" s="64"/>
      <c r="S101" s="64"/>
      <c r="T101" s="64"/>
      <c r="U101" s="168" t="s">
        <v>3294</v>
      </c>
      <c r="V101" s="64"/>
    </row>
    <row r="102" spans="1:25" ht="30" customHeight="1">
      <c r="A102" s="8"/>
      <c r="B102" s="7"/>
      <c r="C102" s="33"/>
      <c r="D102" s="7"/>
      <c r="E102" s="7"/>
      <c r="F102" s="7"/>
      <c r="G102" s="7"/>
      <c r="H102" s="7"/>
      <c r="I102" s="7"/>
      <c r="J102" s="7"/>
      <c r="K102" s="7"/>
      <c r="L102" s="7"/>
      <c r="M102" s="7"/>
      <c r="N102" s="7"/>
      <c r="O102" s="7"/>
      <c r="P102" s="7"/>
      <c r="Q102" s="7"/>
      <c r="R102" s="64"/>
      <c r="S102" s="64"/>
      <c r="T102" s="64"/>
      <c r="U102" s="168" t="s">
        <v>3295</v>
      </c>
      <c r="V102" s="64"/>
      <c r="W102" s="82" t="s">
        <v>2377</v>
      </c>
      <c r="X102" s="83" t="s">
        <v>2378</v>
      </c>
      <c r="Y102" s="83" t="s">
        <v>2379</v>
      </c>
    </row>
    <row r="103" spans="1:25" ht="30" customHeight="1">
      <c r="A103" s="8"/>
      <c r="B103" s="7"/>
      <c r="C103" s="33"/>
      <c r="D103" s="7"/>
      <c r="E103" s="7"/>
      <c r="F103" s="7"/>
      <c r="G103" s="7"/>
      <c r="H103" s="7"/>
      <c r="I103" s="7"/>
      <c r="J103" s="7"/>
      <c r="K103" s="7"/>
      <c r="L103" s="7"/>
      <c r="M103" s="7"/>
      <c r="N103" s="7"/>
      <c r="O103" s="7"/>
      <c r="P103" s="7"/>
      <c r="Q103" s="7"/>
      <c r="R103" s="64"/>
      <c r="S103" s="64"/>
      <c r="T103" s="64"/>
      <c r="U103" s="168" t="s">
        <v>3296</v>
      </c>
      <c r="V103" s="64"/>
      <c r="W103" s="64" t="s">
        <v>2238</v>
      </c>
      <c r="X103" s="64" t="s">
        <v>2244</v>
      </c>
      <c r="Y103" s="64" t="s">
        <v>2248</v>
      </c>
    </row>
    <row r="104" spans="1:25" ht="30" customHeight="1">
      <c r="A104" s="8"/>
      <c r="B104" s="7"/>
      <c r="C104" s="33"/>
      <c r="D104" s="7"/>
      <c r="E104" s="7"/>
      <c r="F104" s="7"/>
      <c r="G104" s="7"/>
      <c r="H104" s="7"/>
      <c r="I104" s="7"/>
      <c r="J104" s="7"/>
      <c r="K104" s="7"/>
      <c r="L104" s="7"/>
      <c r="M104" s="7"/>
      <c r="N104" s="7"/>
      <c r="O104" s="7"/>
      <c r="P104" s="7"/>
      <c r="Q104" s="7"/>
      <c r="R104" s="64"/>
      <c r="S104" s="64"/>
      <c r="T104" s="64"/>
      <c r="U104" s="168" t="s">
        <v>3297</v>
      </c>
      <c r="V104" s="64"/>
      <c r="W104" s="64" t="s">
        <v>2239</v>
      </c>
      <c r="X104" s="64" t="s">
        <v>2245</v>
      </c>
      <c r="Y104" s="64" t="s">
        <v>2249</v>
      </c>
    </row>
    <row r="105" spans="1:25" ht="30" customHeight="1">
      <c r="A105" s="8"/>
      <c r="B105" s="7"/>
      <c r="C105" s="33"/>
      <c r="D105" s="7"/>
      <c r="E105" s="7"/>
      <c r="F105" s="7"/>
      <c r="G105" s="7"/>
      <c r="H105" s="7"/>
      <c r="I105" s="7"/>
      <c r="J105" s="7"/>
      <c r="K105" s="7"/>
      <c r="L105" s="7"/>
      <c r="M105" s="7"/>
      <c r="N105" s="7"/>
      <c r="O105" s="7"/>
      <c r="P105" s="7"/>
      <c r="Q105" s="7"/>
      <c r="R105" s="64"/>
      <c r="S105" s="64"/>
      <c r="T105" s="64"/>
      <c r="U105" s="168" t="s">
        <v>3298</v>
      </c>
      <c r="V105" s="64"/>
      <c r="W105" s="64" t="s">
        <v>2240</v>
      </c>
      <c r="X105" s="64" t="s">
        <v>2246</v>
      </c>
      <c r="Y105" s="64" t="s">
        <v>2250</v>
      </c>
    </row>
    <row r="106" spans="1:25" ht="30" customHeight="1">
      <c r="A106" s="8"/>
      <c r="B106" s="7"/>
      <c r="C106" s="33"/>
      <c r="D106" s="7"/>
      <c r="E106" s="7"/>
      <c r="F106" s="7"/>
      <c r="G106" s="7"/>
      <c r="H106" s="7"/>
      <c r="I106" s="7"/>
      <c r="J106" s="7"/>
      <c r="K106" s="7"/>
      <c r="L106" s="7"/>
      <c r="M106" s="7"/>
      <c r="N106" s="7"/>
      <c r="O106" s="7"/>
      <c r="P106" s="7"/>
      <c r="Q106" s="7"/>
      <c r="R106" s="64"/>
      <c r="S106" s="64"/>
      <c r="T106" s="64"/>
      <c r="U106" s="168" t="s">
        <v>3299</v>
      </c>
      <c r="V106" s="64"/>
      <c r="W106" s="64" t="s">
        <v>2241</v>
      </c>
      <c r="X106" s="64" t="s">
        <v>2247</v>
      </c>
      <c r="Y106" s="64" t="s">
        <v>2251</v>
      </c>
    </row>
    <row r="107" spans="1:25" ht="30" customHeight="1">
      <c r="A107" s="8"/>
      <c r="B107" s="7"/>
      <c r="C107" s="33"/>
      <c r="D107" s="7"/>
      <c r="E107" s="7"/>
      <c r="F107" s="7"/>
      <c r="G107" s="7"/>
      <c r="H107" s="7"/>
      <c r="I107" s="7"/>
      <c r="J107" s="7"/>
      <c r="K107" s="7"/>
      <c r="L107" s="7"/>
      <c r="M107" s="7"/>
      <c r="N107" s="7"/>
      <c r="O107" s="7"/>
      <c r="P107" s="7"/>
      <c r="Q107" s="7"/>
      <c r="R107" s="64"/>
      <c r="S107" s="64"/>
      <c r="T107" s="64"/>
      <c r="U107" s="168" t="s">
        <v>3300</v>
      </c>
      <c r="V107" s="64"/>
      <c r="W107" s="64" t="s">
        <v>2242</v>
      </c>
      <c r="Y107" s="64" t="s">
        <v>2252</v>
      </c>
    </row>
    <row r="108" spans="1:25" ht="30" customHeight="1">
      <c r="A108" s="8"/>
      <c r="B108" s="7"/>
      <c r="C108" s="33"/>
      <c r="D108" s="7"/>
      <c r="E108" s="7"/>
      <c r="F108" s="7"/>
      <c r="G108" s="7"/>
      <c r="H108" s="7"/>
      <c r="I108" s="7"/>
      <c r="J108" s="7"/>
      <c r="K108" s="7"/>
      <c r="L108" s="7"/>
      <c r="M108" s="7"/>
      <c r="N108" s="7"/>
      <c r="O108" s="7"/>
      <c r="P108" s="7"/>
      <c r="Q108" s="7"/>
      <c r="R108" s="64"/>
      <c r="S108" s="64"/>
      <c r="T108" s="64"/>
      <c r="U108" s="168" t="s">
        <v>3301</v>
      </c>
      <c r="V108" s="64"/>
      <c r="W108" s="64" t="s">
        <v>2243</v>
      </c>
      <c r="Y108" s="64" t="s">
        <v>2253</v>
      </c>
    </row>
    <row r="109" spans="1:25" ht="30" customHeight="1">
      <c r="A109" s="8"/>
      <c r="B109" s="7"/>
      <c r="C109" s="33"/>
      <c r="D109" s="7"/>
      <c r="E109" s="7"/>
      <c r="F109" s="7"/>
      <c r="G109" s="7"/>
      <c r="H109" s="7"/>
      <c r="I109" s="7"/>
      <c r="J109" s="7"/>
      <c r="K109" s="7"/>
      <c r="L109" s="7"/>
      <c r="M109" s="7"/>
      <c r="N109" s="7"/>
      <c r="O109" s="7"/>
      <c r="P109" s="7"/>
      <c r="Q109" s="7"/>
      <c r="R109" s="64"/>
      <c r="S109" s="64"/>
      <c r="T109" s="64"/>
      <c r="U109" s="168" t="s">
        <v>3302</v>
      </c>
      <c r="V109" s="64"/>
      <c r="W109" s="64"/>
      <c r="Y109" s="64" t="s">
        <v>2254</v>
      </c>
    </row>
    <row r="110" spans="1:25" ht="30" customHeight="1">
      <c r="A110" s="8"/>
      <c r="B110" s="7"/>
      <c r="C110" s="33"/>
      <c r="D110" s="7"/>
      <c r="E110" s="7"/>
      <c r="F110" s="7"/>
      <c r="G110" s="7"/>
      <c r="H110" s="7"/>
      <c r="I110" s="7"/>
      <c r="J110" s="7"/>
      <c r="K110" s="7"/>
      <c r="L110" s="7"/>
      <c r="M110" s="7"/>
      <c r="N110" s="7"/>
      <c r="O110" s="7"/>
      <c r="P110" s="7"/>
      <c r="Q110" s="7"/>
      <c r="R110" s="64"/>
      <c r="S110" s="64"/>
      <c r="T110" s="64"/>
      <c r="U110" s="168" t="s">
        <v>3303</v>
      </c>
      <c r="V110" s="64"/>
      <c r="Y110" s="64" t="s">
        <v>2255</v>
      </c>
    </row>
    <row r="111" spans="1:25" ht="30" customHeight="1">
      <c r="A111" s="8"/>
      <c r="B111" s="7"/>
      <c r="C111" s="33"/>
      <c r="D111" s="7"/>
      <c r="E111" s="7"/>
      <c r="F111" s="7"/>
      <c r="G111" s="7"/>
      <c r="H111" s="7"/>
      <c r="I111" s="7"/>
      <c r="J111" s="7"/>
      <c r="K111" s="7"/>
      <c r="L111" s="7"/>
      <c r="M111" s="7"/>
      <c r="N111" s="7"/>
      <c r="O111" s="7"/>
      <c r="P111" s="7"/>
      <c r="Q111" s="7"/>
      <c r="R111" s="64"/>
      <c r="S111" s="64"/>
      <c r="T111" s="64"/>
      <c r="U111" s="168" t="s">
        <v>3304</v>
      </c>
      <c r="V111" s="64"/>
      <c r="Y111" s="64" t="s">
        <v>2256</v>
      </c>
    </row>
    <row r="112" spans="1:25" ht="30" customHeight="1">
      <c r="A112" s="8"/>
      <c r="B112" s="7"/>
      <c r="C112" s="33"/>
      <c r="D112" s="7"/>
      <c r="E112" s="7"/>
      <c r="F112" s="7"/>
      <c r="G112" s="7"/>
      <c r="H112" s="7"/>
      <c r="I112" s="7"/>
      <c r="J112" s="7"/>
      <c r="K112" s="7"/>
      <c r="L112" s="7"/>
      <c r="M112" s="7"/>
      <c r="N112" s="7"/>
      <c r="O112" s="7"/>
      <c r="P112" s="7"/>
      <c r="Q112" s="7"/>
      <c r="R112" s="64"/>
      <c r="S112" s="64"/>
      <c r="T112" s="64"/>
      <c r="U112" s="168" t="s">
        <v>3305</v>
      </c>
      <c r="V112" s="64"/>
      <c r="Y112" s="64" t="s">
        <v>2257</v>
      </c>
    </row>
    <row r="113" spans="1:26" ht="30" customHeight="1">
      <c r="A113" s="8"/>
      <c r="B113" s="7"/>
      <c r="C113" s="33"/>
      <c r="D113" s="7"/>
      <c r="E113" s="7"/>
      <c r="F113" s="7"/>
      <c r="G113" s="7"/>
      <c r="H113" s="7"/>
      <c r="I113" s="7"/>
      <c r="J113" s="7"/>
      <c r="K113" s="7"/>
      <c r="L113" s="7"/>
      <c r="M113" s="7"/>
      <c r="N113" s="7"/>
      <c r="O113" s="7"/>
      <c r="P113" s="7"/>
      <c r="Q113" s="7"/>
      <c r="R113" s="64"/>
      <c r="S113" s="64"/>
      <c r="T113" s="64"/>
      <c r="U113" s="168" t="s">
        <v>3306</v>
      </c>
      <c r="V113" s="64"/>
      <c r="Y113" s="64" t="s">
        <v>2258</v>
      </c>
    </row>
    <row r="114" spans="1:26" ht="30" customHeight="1">
      <c r="A114" s="8"/>
      <c r="B114" s="7"/>
      <c r="C114" s="33"/>
      <c r="D114" s="7"/>
      <c r="E114" s="7"/>
      <c r="F114" s="7"/>
      <c r="G114" s="7"/>
      <c r="H114" s="7"/>
      <c r="I114" s="7"/>
      <c r="J114" s="7"/>
      <c r="K114" s="7"/>
      <c r="L114" s="7"/>
      <c r="M114" s="7"/>
      <c r="N114" s="7"/>
      <c r="O114" s="7"/>
      <c r="P114" s="7"/>
      <c r="Q114" s="7"/>
      <c r="R114" s="64"/>
      <c r="S114" s="64"/>
      <c r="T114" s="64"/>
      <c r="U114" s="168" t="s">
        <v>3307</v>
      </c>
      <c r="V114" s="64"/>
      <c r="W114" s="64"/>
      <c r="Y114" s="64" t="s">
        <v>2259</v>
      </c>
    </row>
    <row r="115" spans="1:26" ht="30" customHeight="1">
      <c r="A115" s="8"/>
      <c r="B115" s="7"/>
      <c r="C115" s="33"/>
      <c r="D115" s="7"/>
      <c r="E115" s="7"/>
      <c r="F115" s="7"/>
      <c r="G115" s="7"/>
      <c r="H115" s="7"/>
      <c r="I115" s="7"/>
      <c r="J115" s="7"/>
      <c r="K115" s="7"/>
      <c r="L115" s="7"/>
      <c r="M115" s="7"/>
      <c r="N115" s="7"/>
      <c r="O115" s="7"/>
      <c r="P115" s="7"/>
      <c r="Q115" s="7"/>
      <c r="R115" s="64"/>
      <c r="S115" s="64"/>
      <c r="T115" s="64"/>
      <c r="U115" s="168" t="s">
        <v>3308</v>
      </c>
      <c r="V115" s="64"/>
    </row>
    <row r="116" spans="1:26" ht="30" customHeight="1">
      <c r="A116" s="8"/>
      <c r="B116" s="7"/>
      <c r="C116" s="33"/>
      <c r="D116" s="7"/>
      <c r="E116" s="7"/>
      <c r="F116" s="7"/>
      <c r="G116" s="7"/>
      <c r="H116" s="7"/>
      <c r="I116" s="7"/>
      <c r="J116" s="7"/>
      <c r="K116" s="7"/>
      <c r="L116" s="7"/>
      <c r="M116" s="7"/>
      <c r="N116" s="7"/>
      <c r="O116" s="7"/>
      <c r="P116" s="7"/>
      <c r="Q116" s="7"/>
      <c r="R116" s="64"/>
      <c r="S116" s="64"/>
      <c r="T116" s="64"/>
      <c r="U116" s="168" t="s">
        <v>3309</v>
      </c>
      <c r="V116" s="64"/>
      <c r="W116" s="83" t="s">
        <v>2380</v>
      </c>
      <c r="X116" s="83" t="s">
        <v>2361</v>
      </c>
      <c r="Y116" s="83" t="s">
        <v>2362</v>
      </c>
    </row>
    <row r="117" spans="1:26" ht="30" customHeight="1">
      <c r="A117" s="8"/>
      <c r="B117" s="7"/>
      <c r="C117" s="33"/>
      <c r="D117" s="7"/>
      <c r="E117" s="7"/>
      <c r="F117" s="7"/>
      <c r="G117" s="7"/>
      <c r="H117" s="7"/>
      <c r="I117" s="7"/>
      <c r="J117" s="7"/>
      <c r="K117" s="7"/>
      <c r="L117" s="7"/>
      <c r="M117" s="7"/>
      <c r="N117" s="7"/>
      <c r="O117" s="7"/>
      <c r="P117" s="7"/>
      <c r="Q117" s="7"/>
      <c r="R117" s="64"/>
      <c r="S117" s="64"/>
      <c r="T117" s="64"/>
      <c r="U117" s="168" t="s">
        <v>3310</v>
      </c>
      <c r="V117" s="64"/>
      <c r="W117" s="64" t="s">
        <v>2260</v>
      </c>
      <c r="X117" s="64" t="s">
        <v>2264</v>
      </c>
      <c r="Y117" s="64" t="s">
        <v>2268</v>
      </c>
    </row>
    <row r="118" spans="1:26" ht="30" customHeight="1">
      <c r="A118" s="8"/>
      <c r="B118" s="7"/>
      <c r="C118" s="33"/>
      <c r="D118" s="7"/>
      <c r="E118" s="7"/>
      <c r="F118" s="7"/>
      <c r="G118" s="7"/>
      <c r="H118" s="7"/>
      <c r="I118" s="7"/>
      <c r="J118" s="7"/>
      <c r="K118" s="7"/>
      <c r="L118" s="7"/>
      <c r="M118" s="7"/>
      <c r="N118" s="7"/>
      <c r="O118" s="7"/>
      <c r="P118" s="7"/>
      <c r="Q118" s="7"/>
      <c r="R118" s="64"/>
      <c r="S118" s="64"/>
      <c r="T118" s="64"/>
      <c r="U118" s="168" t="s">
        <v>3311</v>
      </c>
      <c r="V118" s="64"/>
      <c r="W118" s="64" t="s">
        <v>2261</v>
      </c>
      <c r="X118" s="64" t="s">
        <v>2265</v>
      </c>
      <c r="Y118" s="64" t="s">
        <v>2269</v>
      </c>
    </row>
    <row r="119" spans="1:26" ht="30" customHeight="1">
      <c r="A119" s="8"/>
      <c r="B119" s="7"/>
      <c r="C119" s="33"/>
      <c r="D119" s="7"/>
      <c r="E119" s="7"/>
      <c r="F119" s="7"/>
      <c r="G119" s="7"/>
      <c r="H119" s="7"/>
      <c r="I119" s="7"/>
      <c r="J119" s="7"/>
      <c r="K119" s="7"/>
      <c r="L119" s="7"/>
      <c r="M119" s="7"/>
      <c r="N119" s="7"/>
      <c r="O119" s="7"/>
      <c r="P119" s="7"/>
      <c r="Q119" s="7"/>
      <c r="R119" s="64"/>
      <c r="S119" s="64"/>
      <c r="T119" s="64"/>
      <c r="U119" s="168" t="s">
        <v>3312</v>
      </c>
      <c r="V119" s="64"/>
      <c r="W119" s="64" t="s">
        <v>2262</v>
      </c>
      <c r="X119" s="64" t="s">
        <v>2266</v>
      </c>
      <c r="Y119" s="64" t="s">
        <v>2270</v>
      </c>
    </row>
    <row r="120" spans="1:26" ht="30" customHeight="1">
      <c r="A120" s="8"/>
      <c r="B120" s="7"/>
      <c r="C120" s="33"/>
      <c r="D120" s="7"/>
      <c r="E120" s="7"/>
      <c r="F120" s="7"/>
      <c r="G120" s="7"/>
      <c r="H120" s="7"/>
      <c r="I120" s="7"/>
      <c r="J120" s="7"/>
      <c r="K120" s="7"/>
      <c r="L120" s="7"/>
      <c r="M120" s="7"/>
      <c r="N120" s="7"/>
      <c r="O120" s="7"/>
      <c r="P120" s="7"/>
      <c r="Q120" s="7"/>
      <c r="R120" s="64"/>
      <c r="S120" s="64"/>
      <c r="T120" s="64"/>
      <c r="U120" s="168" t="s">
        <v>3313</v>
      </c>
      <c r="V120" s="64"/>
      <c r="W120" s="64" t="s">
        <v>2263</v>
      </c>
      <c r="X120" s="64" t="s">
        <v>2267</v>
      </c>
      <c r="Y120" s="64" t="s">
        <v>2271</v>
      </c>
    </row>
    <row r="121" spans="1:26" ht="30" customHeight="1">
      <c r="A121" s="8"/>
      <c r="B121" s="7"/>
      <c r="C121" s="33"/>
      <c r="D121" s="7"/>
      <c r="E121" s="7"/>
      <c r="F121" s="7"/>
      <c r="G121" s="7"/>
      <c r="H121" s="7"/>
      <c r="I121" s="7"/>
      <c r="J121" s="7"/>
      <c r="K121" s="7"/>
      <c r="L121" s="7"/>
      <c r="M121" s="7"/>
      <c r="N121" s="7"/>
      <c r="O121" s="7"/>
      <c r="P121" s="7"/>
      <c r="Q121" s="7"/>
      <c r="R121" s="64"/>
      <c r="S121" s="64"/>
      <c r="T121" s="64"/>
      <c r="U121" s="168" t="s">
        <v>3314</v>
      </c>
      <c r="V121" s="64"/>
    </row>
    <row r="122" spans="1:26" ht="30" customHeight="1">
      <c r="A122" s="8"/>
      <c r="B122" s="7"/>
      <c r="C122" s="33"/>
      <c r="D122" s="7"/>
      <c r="E122" s="7"/>
      <c r="F122" s="7"/>
      <c r="G122" s="7"/>
      <c r="H122" s="7"/>
      <c r="I122" s="7"/>
      <c r="J122" s="7"/>
      <c r="K122" s="7"/>
      <c r="L122" s="7"/>
      <c r="M122" s="7"/>
      <c r="N122" s="7"/>
      <c r="O122" s="7"/>
      <c r="P122" s="7"/>
      <c r="Q122" s="7"/>
      <c r="R122" s="64"/>
      <c r="S122" s="64"/>
      <c r="T122" s="64"/>
      <c r="U122" s="168" t="s">
        <v>3315</v>
      </c>
      <c r="V122" s="64"/>
      <c r="W122" s="82" t="s">
        <v>2381</v>
      </c>
      <c r="X122" s="83" t="s">
        <v>2382</v>
      </c>
      <c r="Y122" s="83" t="s">
        <v>2367</v>
      </c>
      <c r="Z122" s="83" t="s">
        <v>2365</v>
      </c>
    </row>
    <row r="123" spans="1:26" ht="30" customHeight="1">
      <c r="A123" s="8"/>
      <c r="B123" s="7"/>
      <c r="C123" s="33"/>
      <c r="D123" s="7"/>
      <c r="E123" s="7"/>
      <c r="F123" s="7"/>
      <c r="G123" s="7"/>
      <c r="H123" s="7"/>
      <c r="I123" s="7"/>
      <c r="J123" s="7"/>
      <c r="K123" s="7"/>
      <c r="L123" s="7"/>
      <c r="M123" s="7"/>
      <c r="N123" s="7"/>
      <c r="O123" s="7"/>
      <c r="P123" s="7"/>
      <c r="Q123" s="7"/>
      <c r="R123" s="64"/>
      <c r="S123" s="64"/>
      <c r="T123" s="64"/>
      <c r="U123" s="168" t="s">
        <v>3316</v>
      </c>
      <c r="V123" s="64"/>
      <c r="W123" s="64" t="s">
        <v>2272</v>
      </c>
      <c r="X123" s="64" t="s">
        <v>2276</v>
      </c>
      <c r="Y123" s="64" t="s">
        <v>2280</v>
      </c>
      <c r="Z123" s="64" t="s">
        <v>2284</v>
      </c>
    </row>
    <row r="124" spans="1:26" ht="30" customHeight="1">
      <c r="A124" s="8"/>
      <c r="B124" s="7"/>
      <c r="C124" s="33"/>
      <c r="D124" s="7"/>
      <c r="E124" s="7"/>
      <c r="F124" s="7"/>
      <c r="G124" s="7"/>
      <c r="H124" s="7"/>
      <c r="I124" s="7"/>
      <c r="J124" s="7"/>
      <c r="K124" s="7"/>
      <c r="L124" s="7"/>
      <c r="M124" s="7"/>
      <c r="N124" s="7"/>
      <c r="O124" s="7"/>
      <c r="P124" s="7"/>
      <c r="Q124" s="7"/>
      <c r="R124" s="64"/>
      <c r="S124" s="64"/>
      <c r="T124" s="64"/>
      <c r="U124" s="168" t="s">
        <v>3317</v>
      </c>
      <c r="V124" s="64"/>
      <c r="W124" s="64" t="s">
        <v>2131</v>
      </c>
      <c r="X124" s="64" t="s">
        <v>2277</v>
      </c>
      <c r="Y124" s="64" t="s">
        <v>2281</v>
      </c>
      <c r="Z124" s="64" t="s">
        <v>2285</v>
      </c>
    </row>
    <row r="125" spans="1:26" ht="30" customHeight="1">
      <c r="A125" s="8"/>
      <c r="B125" s="7"/>
      <c r="C125" s="33"/>
      <c r="D125" s="7"/>
      <c r="E125" s="7"/>
      <c r="F125" s="7"/>
      <c r="G125" s="7"/>
      <c r="H125" s="7"/>
      <c r="I125" s="7"/>
      <c r="J125" s="7"/>
      <c r="K125" s="7"/>
      <c r="L125" s="7"/>
      <c r="M125" s="7"/>
      <c r="N125" s="7"/>
      <c r="O125" s="7"/>
      <c r="P125" s="7"/>
      <c r="Q125" s="7"/>
      <c r="R125" s="64"/>
      <c r="S125" s="64"/>
      <c r="T125" s="64"/>
      <c r="U125" s="168" t="s">
        <v>3318</v>
      </c>
      <c r="V125" s="64"/>
      <c r="W125" s="64" t="s">
        <v>2273</v>
      </c>
      <c r="X125" s="64" t="s">
        <v>2278</v>
      </c>
      <c r="Y125" s="64" t="s">
        <v>2282</v>
      </c>
      <c r="Z125" s="64" t="s">
        <v>2286</v>
      </c>
    </row>
    <row r="126" spans="1:26" ht="30" customHeight="1">
      <c r="A126" s="8"/>
      <c r="B126" s="7"/>
      <c r="C126" s="33"/>
      <c r="D126" s="7"/>
      <c r="E126" s="7"/>
      <c r="F126" s="7"/>
      <c r="G126" s="7"/>
      <c r="H126" s="7"/>
      <c r="I126" s="7"/>
      <c r="J126" s="7"/>
      <c r="K126" s="7"/>
      <c r="L126" s="7"/>
      <c r="M126" s="7"/>
      <c r="N126" s="7"/>
      <c r="O126" s="7"/>
      <c r="P126" s="7"/>
      <c r="Q126" s="7"/>
      <c r="R126" s="64"/>
      <c r="S126" s="64"/>
      <c r="T126" s="64"/>
      <c r="U126" s="168" t="s">
        <v>3319</v>
      </c>
      <c r="V126" s="64"/>
      <c r="W126" s="64" t="s">
        <v>1544</v>
      </c>
      <c r="X126" s="64" t="s">
        <v>2279</v>
      </c>
      <c r="Y126" s="64" t="s">
        <v>2283</v>
      </c>
      <c r="Z126" s="64" t="s">
        <v>2287</v>
      </c>
    </row>
    <row r="127" spans="1:26" ht="30" customHeight="1">
      <c r="A127" s="8"/>
      <c r="B127" s="7"/>
      <c r="C127" s="33"/>
      <c r="D127" s="7"/>
      <c r="E127" s="7"/>
      <c r="F127" s="7"/>
      <c r="G127" s="7"/>
      <c r="H127" s="7"/>
      <c r="I127" s="7"/>
      <c r="J127" s="7"/>
      <c r="K127" s="7"/>
      <c r="L127" s="7"/>
      <c r="M127" s="7"/>
      <c r="N127" s="7"/>
      <c r="O127" s="7"/>
      <c r="P127" s="7"/>
      <c r="Q127" s="7"/>
      <c r="R127" s="64"/>
      <c r="S127" s="64"/>
      <c r="T127" s="64"/>
      <c r="U127" s="168" t="s">
        <v>3320</v>
      </c>
      <c r="V127" s="64"/>
      <c r="W127" s="64" t="s">
        <v>2274</v>
      </c>
      <c r="Z127" s="64" t="s">
        <v>2288</v>
      </c>
    </row>
    <row r="128" spans="1:26" ht="30" customHeight="1">
      <c r="A128" s="8"/>
      <c r="B128" s="7"/>
      <c r="C128" s="33"/>
      <c r="D128" s="7"/>
      <c r="E128" s="7"/>
      <c r="F128" s="7"/>
      <c r="G128" s="7"/>
      <c r="H128" s="7"/>
      <c r="I128" s="7"/>
      <c r="J128" s="7"/>
      <c r="K128" s="7"/>
      <c r="L128" s="7"/>
      <c r="M128" s="7"/>
      <c r="N128" s="7"/>
      <c r="O128" s="7"/>
      <c r="P128" s="7"/>
      <c r="Q128" s="7"/>
      <c r="R128" s="64"/>
      <c r="S128" s="64"/>
      <c r="T128" s="64"/>
      <c r="U128" s="168" t="s">
        <v>3321</v>
      </c>
      <c r="V128" s="64"/>
      <c r="W128" s="64" t="s">
        <v>2275</v>
      </c>
      <c r="Z128" s="64" t="s">
        <v>2289</v>
      </c>
    </row>
    <row r="129" spans="1:26" ht="30" customHeight="1">
      <c r="A129" s="8"/>
      <c r="B129" s="7"/>
      <c r="C129" s="33"/>
      <c r="D129" s="7"/>
      <c r="E129" s="7"/>
      <c r="F129" s="7"/>
      <c r="G129" s="7"/>
      <c r="H129" s="7"/>
      <c r="I129" s="7"/>
      <c r="J129" s="7"/>
      <c r="K129" s="7"/>
      <c r="L129" s="7"/>
      <c r="M129" s="7"/>
      <c r="N129" s="7"/>
      <c r="O129" s="7"/>
      <c r="P129" s="7"/>
      <c r="Q129" s="7"/>
      <c r="R129" s="64"/>
      <c r="S129" s="64"/>
      <c r="T129" s="64"/>
      <c r="U129" s="168" t="s">
        <v>3322</v>
      </c>
      <c r="V129" s="64"/>
    </row>
    <row r="130" spans="1:26" ht="30" customHeight="1">
      <c r="A130" s="8"/>
      <c r="B130" s="7"/>
      <c r="C130" s="33"/>
      <c r="D130" s="7"/>
      <c r="E130" s="7"/>
      <c r="F130" s="7"/>
      <c r="G130" s="7"/>
      <c r="H130" s="7"/>
      <c r="I130" s="7"/>
      <c r="J130" s="7"/>
      <c r="K130" s="7"/>
      <c r="L130" s="7"/>
      <c r="M130" s="7"/>
      <c r="N130" s="7"/>
      <c r="O130" s="7"/>
      <c r="P130" s="7"/>
      <c r="Q130" s="7"/>
      <c r="R130" s="64"/>
      <c r="S130" s="64"/>
      <c r="T130" s="64"/>
      <c r="U130" s="168" t="s">
        <v>3323</v>
      </c>
      <c r="V130" s="64"/>
      <c r="W130" s="82" t="s">
        <v>2383</v>
      </c>
      <c r="X130" s="83" t="s">
        <v>2361</v>
      </c>
      <c r="Y130" s="83" t="s">
        <v>2362</v>
      </c>
    </row>
    <row r="131" spans="1:26" ht="30" customHeight="1">
      <c r="A131" s="8"/>
      <c r="B131" s="7"/>
      <c r="C131" s="33"/>
      <c r="D131" s="7"/>
      <c r="E131" s="7"/>
      <c r="F131" s="7"/>
      <c r="G131" s="7"/>
      <c r="H131" s="7"/>
      <c r="I131" s="7"/>
      <c r="J131" s="7"/>
      <c r="K131" s="7"/>
      <c r="L131" s="7"/>
      <c r="M131" s="7"/>
      <c r="N131" s="7"/>
      <c r="O131" s="7"/>
      <c r="P131" s="7"/>
      <c r="Q131" s="7"/>
      <c r="R131" s="64"/>
      <c r="S131" s="64"/>
      <c r="T131" s="64"/>
      <c r="U131" s="168" t="s">
        <v>3324</v>
      </c>
      <c r="V131" s="64"/>
      <c r="W131" s="64" t="s">
        <v>2290</v>
      </c>
      <c r="X131" s="64" t="s">
        <v>2294</v>
      </c>
      <c r="Y131" s="64" t="s">
        <v>2298</v>
      </c>
    </row>
    <row r="132" spans="1:26" ht="30" customHeight="1">
      <c r="A132" s="8"/>
      <c r="B132" s="7"/>
      <c r="C132" s="33"/>
      <c r="D132" s="7"/>
      <c r="E132" s="7"/>
      <c r="F132" s="7"/>
      <c r="G132" s="7"/>
      <c r="H132" s="7"/>
      <c r="I132" s="7"/>
      <c r="J132" s="7"/>
      <c r="K132" s="7"/>
      <c r="L132" s="7"/>
      <c r="M132" s="7"/>
      <c r="N132" s="7"/>
      <c r="O132" s="7"/>
      <c r="P132" s="7"/>
      <c r="Q132" s="7"/>
      <c r="R132" s="64"/>
      <c r="S132" s="64"/>
      <c r="T132" s="64"/>
      <c r="U132" s="168" t="s">
        <v>3325</v>
      </c>
      <c r="V132" s="64"/>
      <c r="W132" s="64" t="s">
        <v>2291</v>
      </c>
      <c r="X132" s="64" t="s">
        <v>2295</v>
      </c>
      <c r="Y132" s="64" t="s">
        <v>2299</v>
      </c>
    </row>
    <row r="133" spans="1:26" ht="30" customHeight="1">
      <c r="A133" s="8"/>
      <c r="B133" s="7"/>
      <c r="C133" s="33"/>
      <c r="D133" s="7"/>
      <c r="E133" s="7"/>
      <c r="F133" s="7"/>
      <c r="G133" s="7"/>
      <c r="H133" s="7"/>
      <c r="I133" s="7"/>
      <c r="J133" s="7"/>
      <c r="K133" s="7"/>
      <c r="L133" s="7"/>
      <c r="M133" s="7"/>
      <c r="N133" s="7"/>
      <c r="O133" s="7"/>
      <c r="P133" s="7"/>
      <c r="Q133" s="7"/>
      <c r="R133" s="64"/>
      <c r="S133" s="64"/>
      <c r="T133" s="64"/>
      <c r="U133" s="168" t="s">
        <v>3326</v>
      </c>
      <c r="V133" s="64"/>
      <c r="W133" s="64" t="s">
        <v>2292</v>
      </c>
      <c r="X133" s="64" t="s">
        <v>2296</v>
      </c>
      <c r="Y133" s="64" t="s">
        <v>2160</v>
      </c>
    </row>
    <row r="134" spans="1:26" ht="30" customHeight="1">
      <c r="A134" s="8"/>
      <c r="B134" s="7"/>
      <c r="C134" s="33"/>
      <c r="D134" s="7"/>
      <c r="E134" s="7"/>
      <c r="F134" s="7"/>
      <c r="G134" s="7"/>
      <c r="H134" s="7"/>
      <c r="I134" s="7"/>
      <c r="J134" s="7"/>
      <c r="K134" s="7"/>
      <c r="L134" s="7"/>
      <c r="M134" s="7"/>
      <c r="N134" s="7"/>
      <c r="O134" s="7"/>
      <c r="P134" s="7"/>
      <c r="Q134" s="7"/>
      <c r="R134" s="64"/>
      <c r="S134" s="64"/>
      <c r="T134" s="64"/>
      <c r="U134" s="168" t="s">
        <v>3327</v>
      </c>
      <c r="V134" s="64"/>
      <c r="W134" s="64" t="s">
        <v>2293</v>
      </c>
      <c r="X134" s="64" t="s">
        <v>2297</v>
      </c>
      <c r="Y134" s="64" t="s">
        <v>2300</v>
      </c>
    </row>
    <row r="135" spans="1:26" ht="30" customHeight="1">
      <c r="A135" s="8"/>
      <c r="B135" s="7"/>
      <c r="C135" s="33"/>
      <c r="D135" s="7"/>
      <c r="E135" s="7"/>
      <c r="F135" s="7"/>
      <c r="G135" s="7"/>
      <c r="H135" s="7"/>
      <c r="I135" s="7"/>
      <c r="J135" s="7"/>
      <c r="K135" s="7"/>
      <c r="L135" s="7"/>
      <c r="M135" s="7"/>
      <c r="N135" s="7"/>
      <c r="O135" s="7"/>
      <c r="P135" s="7"/>
      <c r="Q135" s="7"/>
      <c r="R135" s="64"/>
      <c r="S135" s="64"/>
      <c r="T135" s="64"/>
      <c r="U135" s="168" t="s">
        <v>3328</v>
      </c>
      <c r="V135" s="64"/>
    </row>
    <row r="136" spans="1:26" ht="30" customHeight="1">
      <c r="A136" s="8"/>
      <c r="B136" s="7"/>
      <c r="C136" s="33"/>
      <c r="D136" s="7"/>
      <c r="E136" s="7"/>
      <c r="F136" s="7"/>
      <c r="G136" s="7"/>
      <c r="H136" s="7"/>
      <c r="I136" s="7"/>
      <c r="J136" s="7"/>
      <c r="K136" s="7"/>
      <c r="L136" s="7"/>
      <c r="M136" s="7"/>
      <c r="N136" s="7"/>
      <c r="O136" s="7"/>
      <c r="P136" s="7"/>
      <c r="Q136" s="7"/>
      <c r="R136" s="64"/>
      <c r="S136" s="64"/>
      <c r="T136" s="64"/>
      <c r="U136" s="168" t="s">
        <v>3329</v>
      </c>
      <c r="V136" s="64"/>
      <c r="W136" s="82" t="s">
        <v>2384</v>
      </c>
      <c r="X136" s="83" t="s">
        <v>2361</v>
      </c>
      <c r="Y136" s="83" t="s">
        <v>2362</v>
      </c>
    </row>
    <row r="137" spans="1:26" ht="30" customHeight="1">
      <c r="A137" s="8"/>
      <c r="B137" s="7"/>
      <c r="C137" s="33"/>
      <c r="D137" s="7"/>
      <c r="E137" s="7"/>
      <c r="F137" s="7"/>
      <c r="G137" s="7"/>
      <c r="H137" s="7"/>
      <c r="I137" s="7"/>
      <c r="J137" s="7"/>
      <c r="K137" s="7"/>
      <c r="L137" s="7"/>
      <c r="M137" s="7"/>
      <c r="N137" s="7"/>
      <c r="O137" s="7"/>
      <c r="P137" s="7"/>
      <c r="Q137" s="7"/>
      <c r="R137" s="64"/>
      <c r="S137" s="64"/>
      <c r="T137" s="64"/>
      <c r="U137" s="168" t="s">
        <v>3330</v>
      </c>
      <c r="V137" s="64"/>
      <c r="W137" s="64" t="s">
        <v>2301</v>
      </c>
      <c r="X137" s="64" t="s">
        <v>2305</v>
      </c>
      <c r="Y137" s="64" t="s">
        <v>2157</v>
      </c>
    </row>
    <row r="138" spans="1:26" ht="30" customHeight="1">
      <c r="A138" s="8"/>
      <c r="B138" s="7"/>
      <c r="C138" s="33"/>
      <c r="D138" s="7"/>
      <c r="E138" s="7"/>
      <c r="F138" s="7"/>
      <c r="G138" s="7"/>
      <c r="H138" s="7"/>
      <c r="I138" s="7"/>
      <c r="J138" s="7"/>
      <c r="K138" s="7"/>
      <c r="L138" s="7"/>
      <c r="M138" s="7"/>
      <c r="N138" s="7"/>
      <c r="O138" s="7"/>
      <c r="P138" s="7"/>
      <c r="Q138" s="7"/>
      <c r="R138" s="64"/>
      <c r="S138" s="64"/>
      <c r="T138" s="64"/>
      <c r="U138" s="168" t="s">
        <v>3331</v>
      </c>
      <c r="V138" s="64"/>
      <c r="W138" s="64" t="s">
        <v>2302</v>
      </c>
      <c r="X138" s="64" t="s">
        <v>2306</v>
      </c>
      <c r="Y138" s="64" t="s">
        <v>2309</v>
      </c>
    </row>
    <row r="139" spans="1:26" ht="30" customHeight="1">
      <c r="A139" s="8"/>
      <c r="B139" s="7"/>
      <c r="C139" s="33"/>
      <c r="D139" s="7"/>
      <c r="E139" s="7"/>
      <c r="F139" s="7"/>
      <c r="G139" s="7"/>
      <c r="H139" s="7"/>
      <c r="I139" s="7"/>
      <c r="J139" s="7"/>
      <c r="K139" s="7"/>
      <c r="L139" s="7"/>
      <c r="M139" s="7"/>
      <c r="N139" s="7"/>
      <c r="O139" s="7"/>
      <c r="P139" s="7"/>
      <c r="Q139" s="7"/>
      <c r="R139" s="64"/>
      <c r="S139" s="64"/>
      <c r="T139" s="64"/>
      <c r="U139" s="168" t="s">
        <v>3332</v>
      </c>
      <c r="V139" s="64"/>
      <c r="W139" s="64" t="s">
        <v>2303</v>
      </c>
      <c r="X139" s="64" t="s">
        <v>2307</v>
      </c>
      <c r="Y139" s="64" t="s">
        <v>2310</v>
      </c>
    </row>
    <row r="140" spans="1:26" ht="30" customHeight="1">
      <c r="A140" s="8"/>
      <c r="B140" s="7"/>
      <c r="C140" s="33"/>
      <c r="D140" s="7"/>
      <c r="E140" s="7"/>
      <c r="F140" s="7"/>
      <c r="G140" s="7"/>
      <c r="H140" s="7"/>
      <c r="I140" s="7"/>
      <c r="J140" s="7"/>
      <c r="K140" s="7"/>
      <c r="L140" s="7"/>
      <c r="M140" s="7"/>
      <c r="N140" s="7"/>
      <c r="O140" s="7"/>
      <c r="P140" s="7"/>
      <c r="Q140" s="7"/>
      <c r="R140" s="64"/>
      <c r="S140" s="64"/>
      <c r="T140" s="64"/>
      <c r="U140" s="168" t="s">
        <v>3333</v>
      </c>
      <c r="V140" s="64"/>
      <c r="W140" s="64" t="s">
        <v>2304</v>
      </c>
      <c r="X140" s="64" t="s">
        <v>2308</v>
      </c>
      <c r="Y140" s="64" t="s">
        <v>2311</v>
      </c>
    </row>
    <row r="141" spans="1:26" ht="30" customHeight="1">
      <c r="A141" s="8"/>
      <c r="B141" s="7"/>
      <c r="C141" s="33"/>
      <c r="D141" s="7"/>
      <c r="E141" s="7"/>
      <c r="F141" s="7"/>
      <c r="G141" s="7"/>
      <c r="H141" s="7"/>
      <c r="I141" s="7"/>
      <c r="J141" s="7"/>
      <c r="K141" s="7"/>
      <c r="L141" s="7"/>
      <c r="M141" s="7"/>
      <c r="N141" s="7"/>
      <c r="O141" s="7"/>
      <c r="P141" s="7"/>
      <c r="Q141" s="7"/>
      <c r="R141" s="64"/>
      <c r="S141" s="64"/>
      <c r="T141" s="64"/>
      <c r="U141" s="168" t="s">
        <v>3334</v>
      </c>
      <c r="V141" s="64"/>
    </row>
    <row r="142" spans="1:26" ht="30" customHeight="1">
      <c r="A142" s="8"/>
      <c r="B142" s="7"/>
      <c r="C142" s="33"/>
      <c r="D142" s="7"/>
      <c r="E142" s="7"/>
      <c r="F142" s="7"/>
      <c r="G142" s="7"/>
      <c r="H142" s="7"/>
      <c r="I142" s="7"/>
      <c r="J142" s="7"/>
      <c r="K142" s="7"/>
      <c r="L142" s="7"/>
      <c r="M142" s="7"/>
      <c r="N142" s="7"/>
      <c r="O142" s="7"/>
      <c r="P142" s="7"/>
      <c r="Q142" s="7"/>
      <c r="R142" s="64"/>
      <c r="S142" s="64"/>
      <c r="T142" s="64"/>
      <c r="U142" s="168" t="s">
        <v>3335</v>
      </c>
      <c r="V142" s="64"/>
      <c r="W142" s="82" t="s">
        <v>2385</v>
      </c>
      <c r="X142" s="83" t="s">
        <v>2382</v>
      </c>
      <c r="Y142" s="83" t="s">
        <v>2364</v>
      </c>
      <c r="Z142" s="83" t="s">
        <v>2365</v>
      </c>
    </row>
    <row r="143" spans="1:26" ht="30" customHeight="1">
      <c r="A143" s="8"/>
      <c r="B143" s="7"/>
      <c r="C143" s="33"/>
      <c r="D143" s="7"/>
      <c r="E143" s="7"/>
      <c r="F143" s="7"/>
      <c r="G143" s="7"/>
      <c r="H143" s="7"/>
      <c r="I143" s="7"/>
      <c r="J143" s="7"/>
      <c r="K143" s="7"/>
      <c r="L143" s="7"/>
      <c r="M143" s="7"/>
      <c r="N143" s="7"/>
      <c r="O143" s="7"/>
      <c r="P143" s="7"/>
      <c r="Q143" s="7"/>
      <c r="R143" s="64"/>
      <c r="S143" s="64"/>
      <c r="T143" s="64"/>
      <c r="U143" s="168" t="s">
        <v>3336</v>
      </c>
      <c r="V143" s="64"/>
      <c r="W143" s="64" t="s">
        <v>2312</v>
      </c>
      <c r="X143" s="64" t="s">
        <v>2317</v>
      </c>
      <c r="Y143" s="64" t="s">
        <v>2321</v>
      </c>
      <c r="Z143" s="64" t="s">
        <v>2325</v>
      </c>
    </row>
    <row r="144" spans="1:26" ht="30" customHeight="1">
      <c r="A144" s="8"/>
      <c r="B144" s="7"/>
      <c r="C144" s="33"/>
      <c r="D144" s="7"/>
      <c r="E144" s="7"/>
      <c r="F144" s="7"/>
      <c r="G144" s="7"/>
      <c r="H144" s="7"/>
      <c r="I144" s="7"/>
      <c r="J144" s="7"/>
      <c r="K144" s="7"/>
      <c r="L144" s="7"/>
      <c r="M144" s="7"/>
      <c r="N144" s="7"/>
      <c r="O144" s="7"/>
      <c r="P144" s="7"/>
      <c r="Q144" s="7"/>
      <c r="R144" s="64"/>
      <c r="S144" s="64"/>
      <c r="T144" s="64"/>
      <c r="U144" s="168" t="s">
        <v>3337</v>
      </c>
      <c r="V144" s="64"/>
      <c r="W144" s="64" t="s">
        <v>1497</v>
      </c>
      <c r="X144" s="64" t="s">
        <v>2318</v>
      </c>
      <c r="Y144" s="64" t="s">
        <v>2322</v>
      </c>
      <c r="Z144" s="64" t="s">
        <v>2326</v>
      </c>
    </row>
    <row r="145" spans="1:26" ht="30" customHeight="1">
      <c r="A145" s="8"/>
      <c r="B145" s="7"/>
      <c r="C145" s="33"/>
      <c r="D145" s="7"/>
      <c r="E145" s="7"/>
      <c r="F145" s="7"/>
      <c r="G145" s="7"/>
      <c r="H145" s="7"/>
      <c r="I145" s="7"/>
      <c r="J145" s="7"/>
      <c r="K145" s="7"/>
      <c r="L145" s="7"/>
      <c r="M145" s="7"/>
      <c r="N145" s="7"/>
      <c r="O145" s="7"/>
      <c r="P145" s="7"/>
      <c r="Q145" s="7"/>
      <c r="R145" s="64"/>
      <c r="S145" s="64"/>
      <c r="T145" s="64"/>
      <c r="U145" s="168" t="s">
        <v>3338</v>
      </c>
      <c r="V145" s="64"/>
      <c r="W145" s="64" t="s">
        <v>2313</v>
      </c>
      <c r="X145" s="64" t="s">
        <v>2319</v>
      </c>
      <c r="Y145" s="64" t="s">
        <v>2323</v>
      </c>
      <c r="Z145" s="64" t="s">
        <v>2327</v>
      </c>
    </row>
    <row r="146" spans="1:26" ht="30" customHeight="1">
      <c r="A146" s="8"/>
      <c r="B146" s="7"/>
      <c r="C146" s="33"/>
      <c r="D146" s="7"/>
      <c r="E146" s="7"/>
      <c r="F146" s="7"/>
      <c r="G146" s="7"/>
      <c r="H146" s="7"/>
      <c r="I146" s="7"/>
      <c r="J146" s="7"/>
      <c r="K146" s="7"/>
      <c r="L146" s="7"/>
      <c r="M146" s="7"/>
      <c r="N146" s="7"/>
      <c r="O146" s="7"/>
      <c r="P146" s="7"/>
      <c r="Q146" s="7"/>
      <c r="R146" s="64"/>
      <c r="S146" s="64"/>
      <c r="T146" s="64"/>
      <c r="U146" s="168" t="s">
        <v>3339</v>
      </c>
      <c r="V146" s="64"/>
      <c r="W146" s="64" t="s">
        <v>2314</v>
      </c>
      <c r="X146" s="64" t="s">
        <v>2320</v>
      </c>
      <c r="Y146" s="64" t="s">
        <v>2324</v>
      </c>
      <c r="Z146" s="64" t="s">
        <v>2328</v>
      </c>
    </row>
    <row r="147" spans="1:26" ht="30" customHeight="1">
      <c r="A147" s="8"/>
      <c r="B147" s="7"/>
      <c r="C147" s="33"/>
      <c r="D147" s="7"/>
      <c r="E147" s="7"/>
      <c r="F147" s="7"/>
      <c r="G147" s="7"/>
      <c r="H147" s="7"/>
      <c r="I147" s="7"/>
      <c r="J147" s="7"/>
      <c r="K147" s="7"/>
      <c r="L147" s="7"/>
      <c r="M147" s="7"/>
      <c r="N147" s="7"/>
      <c r="O147" s="7"/>
      <c r="P147" s="7"/>
      <c r="Q147" s="7"/>
      <c r="R147" s="64"/>
      <c r="S147" s="64"/>
      <c r="T147" s="64"/>
      <c r="U147" s="168" t="s">
        <v>3340</v>
      </c>
      <c r="V147" s="64"/>
      <c r="W147" s="64" t="s">
        <v>2315</v>
      </c>
    </row>
    <row r="148" spans="1:26" ht="30" customHeight="1">
      <c r="A148" s="8"/>
      <c r="B148" s="7"/>
      <c r="C148" s="33"/>
      <c r="D148" s="7"/>
      <c r="E148" s="7"/>
      <c r="F148" s="7"/>
      <c r="G148" s="7"/>
      <c r="H148" s="7"/>
      <c r="I148" s="7"/>
      <c r="J148" s="7"/>
      <c r="K148" s="7"/>
      <c r="L148" s="7"/>
      <c r="M148" s="7"/>
      <c r="N148" s="7"/>
      <c r="O148" s="7"/>
      <c r="P148" s="7"/>
      <c r="Q148" s="7"/>
      <c r="R148" s="64"/>
      <c r="S148" s="64"/>
      <c r="T148" s="64"/>
      <c r="U148" s="168" t="s">
        <v>3341</v>
      </c>
      <c r="V148" s="64"/>
      <c r="W148" s="64" t="s">
        <v>2316</v>
      </c>
    </row>
    <row r="149" spans="1:26" ht="30" customHeight="1">
      <c r="A149" s="8"/>
      <c r="B149" s="7"/>
      <c r="C149" s="33"/>
      <c r="D149" s="7"/>
      <c r="E149" s="7"/>
      <c r="F149" s="7"/>
      <c r="G149" s="7"/>
      <c r="H149" s="7"/>
      <c r="I149" s="7"/>
      <c r="J149" s="7"/>
      <c r="K149" s="7"/>
      <c r="L149" s="7"/>
      <c r="M149" s="7"/>
      <c r="N149" s="7"/>
      <c r="O149" s="7"/>
      <c r="P149" s="7"/>
      <c r="Q149" s="7"/>
      <c r="R149" s="64"/>
      <c r="S149" s="64"/>
      <c r="T149" s="64"/>
      <c r="U149" s="168" t="s">
        <v>3342</v>
      </c>
      <c r="V149" s="64"/>
    </row>
    <row r="150" spans="1:26" ht="30" customHeight="1">
      <c r="A150" s="8"/>
      <c r="B150" s="7"/>
      <c r="C150" s="33"/>
      <c r="D150" s="7"/>
      <c r="E150" s="7"/>
      <c r="F150" s="7"/>
      <c r="G150" s="7"/>
      <c r="H150" s="7"/>
      <c r="I150" s="7"/>
      <c r="J150" s="7"/>
      <c r="K150" s="7"/>
      <c r="L150" s="7"/>
      <c r="M150" s="7"/>
      <c r="N150" s="7"/>
      <c r="O150" s="7"/>
      <c r="P150" s="7"/>
      <c r="Q150" s="7"/>
      <c r="R150" s="64"/>
      <c r="S150" s="64"/>
      <c r="T150" s="64"/>
      <c r="U150" s="168" t="s">
        <v>3343</v>
      </c>
      <c r="V150" s="64"/>
      <c r="W150" s="82" t="s">
        <v>2386</v>
      </c>
      <c r="X150" s="83" t="s">
        <v>2364</v>
      </c>
      <c r="Y150" s="83" t="s">
        <v>2365</v>
      </c>
      <c r="Z150" s="83"/>
    </row>
    <row r="151" spans="1:26" ht="30" customHeight="1">
      <c r="A151" s="8"/>
      <c r="B151" s="7"/>
      <c r="C151" s="33"/>
      <c r="D151" s="7"/>
      <c r="E151" s="7"/>
      <c r="F151" s="7"/>
      <c r="G151" s="7"/>
      <c r="H151" s="7"/>
      <c r="I151" s="7"/>
      <c r="J151" s="7"/>
      <c r="K151" s="7"/>
      <c r="L151" s="7"/>
      <c r="M151" s="7"/>
      <c r="N151" s="7"/>
      <c r="O151" s="7"/>
      <c r="P151" s="7"/>
      <c r="Q151" s="7"/>
      <c r="R151" s="64"/>
      <c r="S151" s="64"/>
      <c r="T151" s="64"/>
      <c r="U151" s="168" t="s">
        <v>3344</v>
      </c>
      <c r="V151" s="64"/>
      <c r="W151" s="64" t="s">
        <v>2329</v>
      </c>
      <c r="X151" s="64" t="s">
        <v>2332</v>
      </c>
      <c r="Y151" s="64" t="s">
        <v>2336</v>
      </c>
    </row>
    <row r="152" spans="1:26" ht="30" customHeight="1">
      <c r="A152" s="8"/>
      <c r="B152" s="7"/>
      <c r="C152" s="33"/>
      <c r="D152" s="7"/>
      <c r="E152" s="7"/>
      <c r="F152" s="7"/>
      <c r="G152" s="7"/>
      <c r="H152" s="7"/>
      <c r="I152" s="7"/>
      <c r="J152" s="7"/>
      <c r="K152" s="7"/>
      <c r="L152" s="7"/>
      <c r="M152" s="7"/>
      <c r="N152" s="7"/>
      <c r="O152" s="7"/>
      <c r="P152" s="7"/>
      <c r="Q152" s="7"/>
      <c r="R152" s="64"/>
      <c r="S152" s="64"/>
      <c r="T152" s="64"/>
      <c r="U152" s="168" t="s">
        <v>3345</v>
      </c>
      <c r="V152" s="64"/>
      <c r="W152" s="64" t="s">
        <v>2166</v>
      </c>
      <c r="X152" s="64" t="s">
        <v>2333</v>
      </c>
      <c r="Y152" s="64" t="s">
        <v>2337</v>
      </c>
    </row>
    <row r="153" spans="1:26" ht="30" customHeight="1">
      <c r="A153" s="8"/>
      <c r="B153" s="7"/>
      <c r="C153" s="33"/>
      <c r="D153" s="7"/>
      <c r="E153" s="7"/>
      <c r="F153" s="7"/>
      <c r="G153" s="7"/>
      <c r="H153" s="7"/>
      <c r="I153" s="7"/>
      <c r="J153" s="7"/>
      <c r="K153" s="7"/>
      <c r="L153" s="7"/>
      <c r="M153" s="7"/>
      <c r="N153" s="7"/>
      <c r="O153" s="7"/>
      <c r="P153" s="7"/>
      <c r="Q153" s="7"/>
      <c r="R153" s="64"/>
      <c r="S153" s="64"/>
      <c r="T153" s="64"/>
      <c r="U153" s="168" t="s">
        <v>3346</v>
      </c>
      <c r="V153" s="64"/>
      <c r="W153" s="64" t="s">
        <v>2330</v>
      </c>
      <c r="X153" s="64" t="s">
        <v>2334</v>
      </c>
      <c r="Y153" s="64" t="s">
        <v>2338</v>
      </c>
    </row>
    <row r="154" spans="1:26" ht="30" customHeight="1">
      <c r="A154" s="8"/>
      <c r="B154" s="7"/>
      <c r="C154" s="33"/>
      <c r="D154" s="7"/>
      <c r="E154" s="7"/>
      <c r="F154" s="7"/>
      <c r="G154" s="7"/>
      <c r="H154" s="7"/>
      <c r="I154" s="7"/>
      <c r="J154" s="7"/>
      <c r="K154" s="7"/>
      <c r="L154" s="7"/>
      <c r="M154" s="7"/>
      <c r="N154" s="7"/>
      <c r="O154" s="7"/>
      <c r="P154" s="7"/>
      <c r="Q154" s="7"/>
      <c r="R154" s="64"/>
      <c r="S154" s="64"/>
      <c r="T154" s="64"/>
      <c r="U154" s="168" t="s">
        <v>3346</v>
      </c>
      <c r="V154" s="64"/>
      <c r="W154" s="64" t="s">
        <v>2331</v>
      </c>
      <c r="X154" s="64" t="s">
        <v>2335</v>
      </c>
      <c r="Y154" s="64" t="s">
        <v>2339</v>
      </c>
    </row>
    <row r="155" spans="1:26" ht="30" customHeight="1">
      <c r="A155" s="8"/>
      <c r="B155" s="7"/>
      <c r="C155" s="33"/>
      <c r="D155" s="7"/>
      <c r="E155" s="7"/>
      <c r="F155" s="7"/>
      <c r="G155" s="7"/>
      <c r="H155" s="7"/>
      <c r="I155" s="7"/>
      <c r="J155" s="7"/>
      <c r="K155" s="7"/>
      <c r="L155" s="7"/>
      <c r="M155" s="7"/>
      <c r="N155" s="7"/>
      <c r="O155" s="7"/>
      <c r="P155" s="7"/>
      <c r="Q155" s="7"/>
      <c r="R155" s="64"/>
      <c r="S155" s="64"/>
      <c r="T155" s="64"/>
      <c r="U155" s="168" t="s">
        <v>3347</v>
      </c>
      <c r="V155" s="64"/>
      <c r="W155" s="64"/>
    </row>
    <row r="156" spans="1:26" ht="30" customHeight="1">
      <c r="A156" s="8"/>
      <c r="B156" s="7"/>
      <c r="C156" s="33"/>
      <c r="D156" s="7"/>
      <c r="E156" s="7"/>
      <c r="F156" s="7"/>
      <c r="G156" s="7"/>
      <c r="H156" s="7"/>
      <c r="I156" s="7"/>
      <c r="J156" s="7"/>
      <c r="K156" s="7"/>
      <c r="L156" s="7"/>
      <c r="M156" s="7"/>
      <c r="N156" s="7"/>
      <c r="O156" s="7"/>
      <c r="P156" s="7"/>
      <c r="Q156" s="7"/>
      <c r="R156" s="64"/>
      <c r="S156" s="64"/>
      <c r="T156" s="64"/>
      <c r="U156" s="168" t="s">
        <v>3348</v>
      </c>
      <c r="V156" s="64"/>
      <c r="W156" s="83" t="s">
        <v>2387</v>
      </c>
      <c r="X156" s="83" t="s">
        <v>2367</v>
      </c>
      <c r="Y156" s="83" t="s">
        <v>2365</v>
      </c>
    </row>
    <row r="157" spans="1:26" ht="30" customHeight="1">
      <c r="A157" s="8"/>
      <c r="B157" s="7"/>
      <c r="C157" s="33"/>
      <c r="D157" s="7"/>
      <c r="E157" s="7"/>
      <c r="F157" s="7"/>
      <c r="G157" s="7"/>
      <c r="H157" s="7"/>
      <c r="I157" s="7"/>
      <c r="J157" s="7"/>
      <c r="K157" s="7"/>
      <c r="L157" s="7"/>
      <c r="M157" s="7"/>
      <c r="N157" s="7"/>
      <c r="O157" s="7"/>
      <c r="P157" s="7"/>
      <c r="Q157" s="7"/>
      <c r="R157" s="64"/>
      <c r="S157" s="64"/>
      <c r="T157" s="64"/>
      <c r="U157" s="168" t="s">
        <v>3349</v>
      </c>
      <c r="V157" s="64"/>
      <c r="W157" s="64" t="s">
        <v>2340</v>
      </c>
      <c r="X157" s="64" t="s">
        <v>2344</v>
      </c>
      <c r="Y157" s="64" t="s">
        <v>2347</v>
      </c>
    </row>
    <row r="158" spans="1:26" ht="30" customHeight="1">
      <c r="A158" s="8"/>
      <c r="B158" s="7"/>
      <c r="C158" s="33"/>
      <c r="D158" s="7"/>
      <c r="E158" s="7"/>
      <c r="F158" s="7"/>
      <c r="G158" s="7"/>
      <c r="H158" s="7"/>
      <c r="I158" s="7"/>
      <c r="J158" s="7"/>
      <c r="K158" s="7"/>
      <c r="L158" s="7"/>
      <c r="M158" s="7"/>
      <c r="N158" s="7"/>
      <c r="O158" s="7"/>
      <c r="P158" s="7"/>
      <c r="Q158" s="7"/>
      <c r="R158" s="64"/>
      <c r="S158" s="64"/>
      <c r="T158" s="64"/>
      <c r="U158" s="168" t="s">
        <v>3350</v>
      </c>
      <c r="V158" s="64"/>
      <c r="W158" s="64" t="s">
        <v>2341</v>
      </c>
      <c r="X158" s="64" t="s">
        <v>2345</v>
      </c>
      <c r="Y158" s="64" t="s">
        <v>2348</v>
      </c>
    </row>
    <row r="159" spans="1:26" ht="30" customHeight="1">
      <c r="A159" s="8"/>
      <c r="B159" s="7"/>
      <c r="C159" s="33"/>
      <c r="D159" s="7"/>
      <c r="E159" s="7"/>
      <c r="F159" s="7"/>
      <c r="G159" s="7"/>
      <c r="H159" s="7"/>
      <c r="I159" s="7"/>
      <c r="J159" s="7"/>
      <c r="K159" s="7"/>
      <c r="L159" s="7"/>
      <c r="M159" s="7"/>
      <c r="N159" s="7"/>
      <c r="O159" s="7"/>
      <c r="P159" s="7"/>
      <c r="Q159" s="7"/>
      <c r="R159" s="64"/>
      <c r="S159" s="64"/>
      <c r="T159" s="64"/>
      <c r="U159" s="168" t="s">
        <v>3351</v>
      </c>
      <c r="V159" s="64"/>
      <c r="W159" s="64" t="s">
        <v>2342</v>
      </c>
      <c r="X159" s="64" t="s">
        <v>2346</v>
      </c>
      <c r="Y159" s="64" t="s">
        <v>2349</v>
      </c>
    </row>
    <row r="160" spans="1:26" ht="30" customHeight="1">
      <c r="A160" s="8"/>
      <c r="B160" s="7"/>
      <c r="C160" s="33"/>
      <c r="D160" s="7"/>
      <c r="E160" s="7"/>
      <c r="F160" s="7"/>
      <c r="G160" s="7"/>
      <c r="H160" s="7"/>
      <c r="I160" s="7"/>
      <c r="J160" s="7"/>
      <c r="K160" s="7"/>
      <c r="L160" s="7"/>
      <c r="M160" s="7"/>
      <c r="N160" s="7"/>
      <c r="O160" s="7"/>
      <c r="P160" s="7"/>
      <c r="Q160" s="7"/>
      <c r="R160" s="64"/>
      <c r="S160" s="64"/>
      <c r="T160" s="64"/>
      <c r="U160" s="168" t="s">
        <v>3352</v>
      </c>
      <c r="V160" s="64"/>
      <c r="W160" s="64" t="s">
        <v>2343</v>
      </c>
      <c r="X160" s="64" t="s">
        <v>2183</v>
      </c>
      <c r="Y160" s="64" t="s">
        <v>2350</v>
      </c>
    </row>
    <row r="161" spans="1:26" ht="30" customHeight="1">
      <c r="A161" s="8"/>
      <c r="B161" s="7"/>
      <c r="C161" s="33"/>
      <c r="D161" s="7"/>
      <c r="E161" s="7"/>
      <c r="F161" s="7"/>
      <c r="G161" s="7"/>
      <c r="H161" s="7"/>
      <c r="I161" s="7"/>
      <c r="J161" s="7"/>
      <c r="K161" s="7"/>
      <c r="L161" s="7"/>
      <c r="M161" s="7"/>
      <c r="N161" s="7"/>
      <c r="O161" s="7"/>
      <c r="P161" s="7"/>
      <c r="Q161" s="7"/>
      <c r="R161" s="64"/>
      <c r="S161" s="64"/>
      <c r="T161" s="64"/>
      <c r="U161" s="168" t="s">
        <v>3353</v>
      </c>
      <c r="V161" s="64"/>
    </row>
    <row r="162" spans="1:26" ht="30" customHeight="1">
      <c r="A162" s="8"/>
      <c r="B162" s="7"/>
      <c r="C162" s="33"/>
      <c r="D162" s="7"/>
      <c r="E162" s="7"/>
      <c r="F162" s="7"/>
      <c r="G162" s="7"/>
      <c r="H162" s="7"/>
      <c r="I162" s="7"/>
      <c r="J162" s="7"/>
      <c r="K162" s="7"/>
      <c r="L162" s="7"/>
      <c r="M162" s="7"/>
      <c r="N162" s="7"/>
      <c r="O162" s="7"/>
      <c r="P162" s="7"/>
      <c r="Q162" s="7"/>
      <c r="R162" s="64"/>
      <c r="S162" s="64"/>
      <c r="T162" s="64"/>
      <c r="U162" s="168" t="s">
        <v>3354</v>
      </c>
      <c r="V162" s="64"/>
    </row>
    <row r="163" spans="1:26" ht="30" customHeight="1">
      <c r="A163" s="8"/>
      <c r="B163" s="7"/>
      <c r="C163" s="33"/>
      <c r="D163" s="7"/>
      <c r="E163" s="7"/>
      <c r="F163" s="7"/>
      <c r="G163" s="7"/>
      <c r="H163" s="7"/>
      <c r="I163" s="7"/>
      <c r="J163" s="7"/>
      <c r="K163" s="7"/>
      <c r="L163" s="7"/>
      <c r="M163" s="7"/>
      <c r="N163" s="7"/>
      <c r="O163" s="7"/>
      <c r="P163" s="7"/>
      <c r="Q163" s="7"/>
      <c r="R163" s="64"/>
      <c r="S163" s="64"/>
      <c r="T163" s="64"/>
      <c r="U163" s="168" t="s">
        <v>3355</v>
      </c>
      <c r="V163" s="64"/>
    </row>
    <row r="164" spans="1:26" ht="30" customHeight="1">
      <c r="A164" s="8"/>
      <c r="B164" s="7"/>
      <c r="C164" s="33"/>
      <c r="D164" s="7"/>
      <c r="E164" s="7"/>
      <c r="F164" s="7"/>
      <c r="G164" s="7"/>
      <c r="H164" s="7"/>
      <c r="I164" s="7"/>
      <c r="J164" s="7"/>
      <c r="K164" s="7"/>
      <c r="L164" s="7"/>
      <c r="M164" s="7"/>
      <c r="N164" s="7"/>
      <c r="O164" s="7"/>
      <c r="P164" s="7"/>
      <c r="Q164" s="7"/>
      <c r="R164" s="64"/>
      <c r="S164" s="64"/>
      <c r="T164" s="64"/>
      <c r="U164" s="168" t="s">
        <v>3356</v>
      </c>
      <c r="V164" s="64"/>
    </row>
    <row r="165" spans="1:26" ht="30" customHeight="1">
      <c r="A165" s="8"/>
      <c r="B165" s="7"/>
      <c r="C165" s="33"/>
      <c r="D165" s="7"/>
      <c r="E165" s="7"/>
      <c r="F165" s="7"/>
      <c r="G165" s="7"/>
      <c r="H165" s="7"/>
      <c r="I165" s="7"/>
      <c r="J165" s="7"/>
      <c r="K165" s="7"/>
      <c r="L165" s="7"/>
      <c r="M165" s="7"/>
      <c r="N165" s="7"/>
      <c r="O165" s="7"/>
      <c r="P165" s="7"/>
      <c r="Q165" s="7"/>
      <c r="R165" s="64"/>
      <c r="S165" s="64"/>
      <c r="T165" s="64"/>
      <c r="U165" s="168" t="s">
        <v>3357</v>
      </c>
      <c r="V165" s="64"/>
      <c r="W165" s="64"/>
    </row>
    <row r="166" spans="1:26" ht="30" customHeight="1">
      <c r="A166" s="8"/>
      <c r="B166" s="7"/>
      <c r="C166" s="33"/>
      <c r="D166" s="7"/>
      <c r="E166" s="7"/>
      <c r="F166" s="7"/>
      <c r="G166" s="7"/>
      <c r="H166" s="7"/>
      <c r="I166" s="7"/>
      <c r="J166" s="7"/>
      <c r="K166" s="7"/>
      <c r="L166" s="7"/>
      <c r="M166" s="7"/>
      <c r="N166" s="7"/>
      <c r="O166" s="7"/>
      <c r="P166" s="7"/>
      <c r="Q166" s="7"/>
      <c r="R166" s="64"/>
      <c r="S166" s="64"/>
      <c r="T166" s="64"/>
      <c r="U166" s="168" t="s">
        <v>3358</v>
      </c>
      <c r="V166" s="64"/>
      <c r="W166" s="64"/>
    </row>
    <row r="167" spans="1:26" ht="30" customHeight="1">
      <c r="A167" s="8"/>
      <c r="B167" s="7"/>
      <c r="C167" s="33"/>
      <c r="D167" s="7"/>
      <c r="E167" s="7"/>
      <c r="F167" s="7"/>
      <c r="G167" s="7"/>
      <c r="H167" s="7"/>
      <c r="I167" s="7"/>
      <c r="J167" s="7"/>
      <c r="K167" s="7"/>
      <c r="L167" s="7"/>
      <c r="M167" s="7"/>
      <c r="N167" s="7"/>
      <c r="O167" s="7"/>
      <c r="P167" s="7"/>
      <c r="Q167" s="7"/>
      <c r="R167" s="64"/>
      <c r="S167" s="64"/>
      <c r="T167" s="64"/>
      <c r="U167" s="168" t="s">
        <v>3359</v>
      </c>
      <c r="V167" s="64"/>
    </row>
    <row r="168" spans="1:26" ht="30" customHeight="1">
      <c r="A168" s="8"/>
      <c r="B168" s="7"/>
      <c r="C168" s="33"/>
      <c r="D168" s="7"/>
      <c r="E168" s="7"/>
      <c r="F168" s="7"/>
      <c r="G168" s="7"/>
      <c r="H168" s="7"/>
      <c r="I168" s="7"/>
      <c r="J168" s="7"/>
      <c r="K168" s="7"/>
      <c r="L168" s="7"/>
      <c r="M168" s="7"/>
      <c r="N168" s="7"/>
      <c r="O168" s="7"/>
      <c r="P168" s="7"/>
      <c r="Q168" s="7"/>
      <c r="R168" s="64"/>
      <c r="S168" s="64"/>
      <c r="T168" s="64"/>
      <c r="U168" s="168" t="s">
        <v>3360</v>
      </c>
      <c r="V168" s="64"/>
      <c r="Z168" s="83"/>
    </row>
    <row r="169" spans="1:26" ht="30" customHeight="1">
      <c r="A169" s="8"/>
      <c r="B169" s="7"/>
      <c r="C169" s="33"/>
      <c r="D169" s="7"/>
      <c r="E169" s="7"/>
      <c r="F169" s="7"/>
      <c r="G169" s="7"/>
      <c r="H169" s="7"/>
      <c r="I169" s="7"/>
      <c r="J169" s="7"/>
      <c r="K169" s="7"/>
      <c r="L169" s="7"/>
      <c r="M169" s="7"/>
      <c r="N169" s="7"/>
      <c r="O169" s="7"/>
      <c r="P169" s="7"/>
      <c r="Q169" s="7"/>
      <c r="R169" s="64"/>
      <c r="S169" s="64"/>
      <c r="T169" s="64"/>
      <c r="U169" s="168" t="s">
        <v>3361</v>
      </c>
      <c r="V169" s="64"/>
    </row>
    <row r="170" spans="1:26" ht="30" customHeight="1">
      <c r="A170" s="8"/>
      <c r="B170" s="7"/>
      <c r="C170" s="33"/>
      <c r="D170" s="7"/>
      <c r="E170" s="7"/>
      <c r="F170" s="7"/>
      <c r="G170" s="7"/>
      <c r="H170" s="7"/>
      <c r="I170" s="7"/>
      <c r="J170" s="7"/>
      <c r="K170" s="7"/>
      <c r="L170" s="7"/>
      <c r="M170" s="7"/>
      <c r="N170" s="7"/>
      <c r="O170" s="7"/>
      <c r="P170" s="7"/>
      <c r="Q170" s="7"/>
      <c r="R170" s="64"/>
      <c r="S170" s="64"/>
      <c r="T170" s="64"/>
      <c r="U170" s="168" t="s">
        <v>3362</v>
      </c>
      <c r="V170" s="64"/>
    </row>
    <row r="171" spans="1:26" ht="30" customHeight="1">
      <c r="A171" s="8"/>
      <c r="B171" s="7"/>
      <c r="C171" s="33"/>
      <c r="D171" s="7"/>
      <c r="E171" s="7"/>
      <c r="F171" s="7"/>
      <c r="G171" s="7"/>
      <c r="H171" s="7"/>
      <c r="I171" s="7"/>
      <c r="J171" s="7"/>
      <c r="K171" s="7"/>
      <c r="L171" s="7"/>
      <c r="M171" s="7"/>
      <c r="N171" s="7"/>
      <c r="O171" s="7"/>
      <c r="P171" s="7"/>
      <c r="Q171" s="7"/>
      <c r="R171" s="64"/>
      <c r="S171" s="64"/>
      <c r="T171" s="64"/>
      <c r="U171" s="168" t="s">
        <v>3363</v>
      </c>
      <c r="V171" s="64"/>
      <c r="W171" s="64"/>
    </row>
    <row r="172" spans="1:26" ht="30" customHeight="1">
      <c r="A172" s="8"/>
      <c r="B172" s="7"/>
      <c r="C172" s="33"/>
      <c r="D172" s="7"/>
      <c r="E172" s="7"/>
      <c r="F172" s="7"/>
      <c r="G172" s="7"/>
      <c r="H172" s="7"/>
      <c r="I172" s="7"/>
      <c r="J172" s="7"/>
      <c r="K172" s="7"/>
      <c r="L172" s="7"/>
      <c r="M172" s="7"/>
      <c r="N172" s="7"/>
      <c r="O172" s="7"/>
      <c r="P172" s="7"/>
      <c r="Q172" s="7"/>
      <c r="R172" s="64"/>
      <c r="S172" s="64"/>
      <c r="T172" s="64"/>
      <c r="U172" s="168" t="s">
        <v>3364</v>
      </c>
      <c r="V172" s="64"/>
    </row>
    <row r="173" spans="1:26" ht="30" customHeight="1">
      <c r="A173" s="8"/>
      <c r="B173" s="7"/>
      <c r="C173" s="33"/>
      <c r="D173" s="7"/>
      <c r="E173" s="7"/>
      <c r="F173" s="7"/>
      <c r="G173" s="7"/>
      <c r="H173" s="7"/>
      <c r="I173" s="7"/>
      <c r="J173" s="7"/>
      <c r="K173" s="7"/>
      <c r="L173" s="7"/>
      <c r="M173" s="7"/>
      <c r="N173" s="7"/>
      <c r="O173" s="7"/>
      <c r="P173" s="7"/>
      <c r="Q173" s="7"/>
      <c r="R173" s="64"/>
      <c r="S173" s="64"/>
      <c r="T173" s="64"/>
      <c r="U173" s="168" t="s">
        <v>3365</v>
      </c>
      <c r="V173" s="64"/>
    </row>
    <row r="174" spans="1:26" ht="30" customHeight="1">
      <c r="A174" s="8"/>
      <c r="B174" s="7"/>
      <c r="C174" s="33"/>
      <c r="D174" s="7"/>
      <c r="E174" s="7"/>
      <c r="F174" s="7"/>
      <c r="G174" s="7"/>
      <c r="H174" s="7"/>
      <c r="I174" s="7"/>
      <c r="J174" s="7"/>
      <c r="K174" s="7"/>
      <c r="L174" s="7"/>
      <c r="M174" s="7"/>
      <c r="N174" s="7"/>
      <c r="O174" s="7"/>
      <c r="P174" s="7"/>
      <c r="Q174" s="7"/>
      <c r="R174" s="64"/>
      <c r="S174" s="64"/>
      <c r="T174" s="64"/>
      <c r="U174" s="168" t="s">
        <v>3366</v>
      </c>
      <c r="V174" s="64"/>
    </row>
    <row r="175" spans="1:26" ht="30" customHeight="1">
      <c r="A175" s="8"/>
      <c r="B175" s="7"/>
      <c r="C175" s="33"/>
      <c r="D175" s="7"/>
      <c r="E175" s="7"/>
      <c r="F175" s="7"/>
      <c r="G175" s="7"/>
      <c r="H175" s="7"/>
      <c r="I175" s="7"/>
      <c r="J175" s="7"/>
      <c r="K175" s="7"/>
      <c r="L175" s="7"/>
      <c r="M175" s="7"/>
      <c r="N175" s="7"/>
      <c r="O175" s="7"/>
      <c r="P175" s="7"/>
      <c r="Q175" s="7"/>
      <c r="R175" s="64"/>
      <c r="S175" s="64"/>
      <c r="T175" s="64"/>
      <c r="U175" s="168" t="s">
        <v>3367</v>
      </c>
      <c r="V175" s="64"/>
    </row>
    <row r="176" spans="1:26" ht="30" customHeight="1">
      <c r="A176" s="8"/>
      <c r="B176" s="7"/>
      <c r="C176" s="33"/>
      <c r="D176" s="7"/>
      <c r="E176" s="7"/>
      <c r="F176" s="7"/>
      <c r="G176" s="7"/>
      <c r="H176" s="7"/>
      <c r="I176" s="7"/>
      <c r="J176" s="7"/>
      <c r="K176" s="7"/>
      <c r="L176" s="7"/>
      <c r="M176" s="7"/>
      <c r="N176" s="7"/>
      <c r="O176" s="7"/>
      <c r="P176" s="7"/>
      <c r="Q176" s="7"/>
      <c r="R176" s="64"/>
      <c r="S176" s="64"/>
      <c r="T176" s="64"/>
      <c r="U176" s="168" t="s">
        <v>3368</v>
      </c>
      <c r="V176" s="64"/>
      <c r="W176" s="64"/>
    </row>
    <row r="177" spans="1:23" ht="30" customHeight="1">
      <c r="A177" s="8"/>
      <c r="B177" s="7"/>
      <c r="C177" s="33"/>
      <c r="D177" s="7"/>
      <c r="E177" s="7"/>
      <c r="F177" s="7"/>
      <c r="G177" s="7"/>
      <c r="H177" s="7"/>
      <c r="I177" s="7"/>
      <c r="J177" s="7"/>
      <c r="K177" s="7"/>
      <c r="L177" s="7"/>
      <c r="M177" s="7"/>
      <c r="N177" s="7"/>
      <c r="O177" s="7"/>
      <c r="P177" s="7"/>
      <c r="Q177" s="7"/>
      <c r="R177" s="64"/>
      <c r="S177" s="64"/>
      <c r="T177" s="64"/>
      <c r="U177" s="168" t="s">
        <v>3369</v>
      </c>
      <c r="V177" s="64"/>
    </row>
    <row r="178" spans="1:23" ht="30" customHeight="1">
      <c r="A178" s="8"/>
      <c r="B178" s="7"/>
      <c r="C178" s="33"/>
      <c r="D178" s="7"/>
      <c r="E178" s="7"/>
      <c r="F178" s="7"/>
      <c r="G178" s="7"/>
      <c r="H178" s="7"/>
      <c r="I178" s="7"/>
      <c r="J178" s="7"/>
      <c r="K178" s="7"/>
      <c r="L178" s="7"/>
      <c r="M178" s="7"/>
      <c r="N178" s="7"/>
      <c r="O178" s="7"/>
      <c r="P178" s="7"/>
      <c r="Q178" s="7"/>
      <c r="R178" s="64"/>
      <c r="S178" s="64"/>
      <c r="T178" s="64"/>
      <c r="U178" s="168" t="s">
        <v>3370</v>
      </c>
      <c r="V178" s="64"/>
    </row>
    <row r="179" spans="1:23" ht="30" customHeight="1">
      <c r="A179" s="8"/>
      <c r="B179" s="7"/>
      <c r="C179" s="33"/>
      <c r="D179" s="7"/>
      <c r="E179" s="7"/>
      <c r="F179" s="7"/>
      <c r="G179" s="7"/>
      <c r="H179" s="7"/>
      <c r="I179" s="7"/>
      <c r="J179" s="7"/>
      <c r="K179" s="7"/>
      <c r="L179" s="7"/>
      <c r="M179" s="7"/>
      <c r="N179" s="7"/>
      <c r="O179" s="7"/>
      <c r="P179" s="7"/>
      <c r="Q179" s="7"/>
      <c r="R179" s="64"/>
      <c r="S179" s="64"/>
      <c r="T179" s="64"/>
      <c r="U179" s="168" t="s">
        <v>3371</v>
      </c>
      <c r="V179" s="64"/>
    </row>
    <row r="180" spans="1:23" ht="30" customHeight="1">
      <c r="A180" s="8"/>
      <c r="B180" s="7"/>
      <c r="C180" s="33"/>
      <c r="D180" s="7"/>
      <c r="E180" s="7"/>
      <c r="F180" s="7"/>
      <c r="G180" s="7"/>
      <c r="H180" s="7"/>
      <c r="I180" s="7"/>
      <c r="J180" s="7"/>
      <c r="K180" s="7"/>
      <c r="L180" s="7"/>
      <c r="M180" s="7"/>
      <c r="N180" s="7"/>
      <c r="O180" s="7"/>
      <c r="P180" s="7"/>
      <c r="Q180" s="7"/>
      <c r="R180" s="64"/>
      <c r="S180" s="64"/>
      <c r="T180" s="64"/>
      <c r="U180" s="168" t="s">
        <v>3372</v>
      </c>
      <c r="V180" s="64"/>
    </row>
    <row r="181" spans="1:23" ht="30" customHeight="1">
      <c r="A181" s="8"/>
      <c r="B181" s="7"/>
      <c r="C181" s="33"/>
      <c r="D181" s="7"/>
      <c r="E181" s="7"/>
      <c r="F181" s="7"/>
      <c r="G181" s="7"/>
      <c r="H181" s="7"/>
      <c r="I181" s="7"/>
      <c r="J181" s="7"/>
      <c r="K181" s="7"/>
      <c r="L181" s="7"/>
      <c r="M181" s="7"/>
      <c r="N181" s="7"/>
      <c r="O181" s="7"/>
      <c r="P181" s="7"/>
      <c r="Q181" s="7"/>
      <c r="R181" s="64"/>
      <c r="S181" s="64"/>
      <c r="T181" s="64"/>
      <c r="U181" s="168" t="s">
        <v>3373</v>
      </c>
      <c r="V181" s="64"/>
      <c r="W181" s="64"/>
    </row>
    <row r="182" spans="1:23" ht="30" customHeight="1">
      <c r="A182" s="8"/>
      <c r="B182" s="7"/>
      <c r="C182" s="33"/>
      <c r="D182" s="7"/>
      <c r="E182" s="7"/>
      <c r="F182" s="7"/>
      <c r="G182" s="7"/>
      <c r="H182" s="7"/>
      <c r="I182" s="7"/>
      <c r="J182" s="7"/>
      <c r="K182" s="7"/>
      <c r="L182" s="7"/>
      <c r="M182" s="7"/>
      <c r="N182" s="7"/>
      <c r="O182" s="7"/>
      <c r="P182" s="7"/>
      <c r="Q182" s="7"/>
      <c r="R182" s="64"/>
      <c r="S182" s="64"/>
      <c r="T182" s="64"/>
      <c r="U182" s="168" t="s">
        <v>3374</v>
      </c>
      <c r="V182" s="64"/>
      <c r="W182" s="64"/>
    </row>
    <row r="183" spans="1:23" ht="30" customHeight="1">
      <c r="A183" s="8"/>
      <c r="B183" s="7"/>
      <c r="C183" s="33"/>
      <c r="D183" s="7"/>
      <c r="E183" s="7"/>
      <c r="F183" s="7"/>
      <c r="G183" s="7"/>
      <c r="H183" s="7"/>
      <c r="I183" s="7"/>
      <c r="J183" s="7"/>
      <c r="K183" s="7"/>
      <c r="L183" s="7"/>
      <c r="M183" s="7"/>
      <c r="N183" s="7"/>
      <c r="O183" s="7"/>
      <c r="P183" s="7"/>
      <c r="Q183" s="7"/>
      <c r="R183" s="64"/>
      <c r="S183" s="64"/>
      <c r="T183" s="64"/>
      <c r="U183" s="168" t="s">
        <v>3375</v>
      </c>
      <c r="V183" s="64"/>
      <c r="W183" s="64"/>
    </row>
    <row r="184" spans="1:23" ht="30" customHeight="1">
      <c r="A184" s="8"/>
      <c r="B184" s="7"/>
      <c r="C184" s="33"/>
      <c r="D184" s="7"/>
      <c r="E184" s="7"/>
      <c r="F184" s="7"/>
      <c r="G184" s="7"/>
      <c r="H184" s="7"/>
      <c r="I184" s="7"/>
      <c r="J184" s="7"/>
      <c r="K184" s="7"/>
      <c r="L184" s="7"/>
      <c r="M184" s="7"/>
      <c r="N184" s="7"/>
      <c r="O184" s="7"/>
      <c r="P184" s="7"/>
      <c r="Q184" s="7"/>
      <c r="R184" s="64"/>
      <c r="S184" s="64"/>
      <c r="T184" s="64"/>
      <c r="U184" s="168" t="s">
        <v>3376</v>
      </c>
      <c r="V184" s="64"/>
      <c r="W184" s="64"/>
    </row>
    <row r="185" spans="1:23" ht="30" customHeight="1">
      <c r="A185" s="8"/>
      <c r="B185" s="7"/>
      <c r="C185" s="33"/>
      <c r="D185" s="7"/>
      <c r="E185" s="7"/>
      <c r="F185" s="7"/>
      <c r="G185" s="7"/>
      <c r="H185" s="7"/>
      <c r="I185" s="7"/>
      <c r="J185" s="7"/>
      <c r="K185" s="7"/>
      <c r="L185" s="7"/>
      <c r="M185" s="7"/>
      <c r="N185" s="7"/>
      <c r="O185" s="7"/>
      <c r="P185" s="7"/>
      <c r="Q185" s="7"/>
      <c r="R185" s="64"/>
      <c r="S185" s="64"/>
      <c r="T185" s="64"/>
      <c r="U185" s="168" t="s">
        <v>3377</v>
      </c>
      <c r="V185" s="64"/>
      <c r="W185" s="64"/>
    </row>
    <row r="186" spans="1:23" ht="30" customHeight="1">
      <c r="A186" s="8"/>
      <c r="B186" s="7"/>
      <c r="C186" s="33"/>
      <c r="D186" s="7"/>
      <c r="E186" s="7"/>
      <c r="F186" s="7"/>
      <c r="G186" s="7"/>
      <c r="H186" s="7"/>
      <c r="I186" s="7"/>
      <c r="J186" s="7"/>
      <c r="K186" s="7"/>
      <c r="L186" s="7"/>
      <c r="M186" s="7"/>
      <c r="N186" s="7"/>
      <c r="O186" s="7"/>
      <c r="P186" s="7"/>
      <c r="Q186" s="7"/>
      <c r="R186" s="64"/>
      <c r="S186" s="64"/>
      <c r="T186" s="64"/>
      <c r="U186" s="168" t="s">
        <v>3378</v>
      </c>
      <c r="V186" s="64"/>
      <c r="W186" s="64"/>
    </row>
    <row r="187" spans="1:23" ht="30" customHeight="1">
      <c r="A187" s="8"/>
      <c r="B187" s="7"/>
      <c r="C187" s="33"/>
      <c r="D187" s="7"/>
      <c r="E187" s="7"/>
      <c r="F187" s="7"/>
      <c r="G187" s="7"/>
      <c r="H187" s="7"/>
      <c r="I187" s="7"/>
      <c r="J187" s="7"/>
      <c r="K187" s="7"/>
      <c r="L187" s="7"/>
      <c r="M187" s="7"/>
      <c r="N187" s="7"/>
      <c r="O187" s="7"/>
      <c r="P187" s="7"/>
      <c r="Q187" s="7"/>
      <c r="R187" s="64"/>
      <c r="S187" s="64"/>
      <c r="T187" s="64"/>
      <c r="U187" s="168" t="s">
        <v>3379</v>
      </c>
      <c r="V187" s="64"/>
      <c r="W187" s="64"/>
    </row>
    <row r="188" spans="1:23" ht="30" customHeight="1">
      <c r="A188" s="8"/>
      <c r="B188" s="7"/>
      <c r="C188" s="33"/>
      <c r="D188" s="7"/>
      <c r="E188" s="7"/>
      <c r="F188" s="7"/>
      <c r="G188" s="7"/>
      <c r="H188" s="7"/>
      <c r="I188" s="7"/>
      <c r="J188" s="7"/>
      <c r="K188" s="7"/>
      <c r="L188" s="7"/>
      <c r="M188" s="7"/>
      <c r="N188" s="7"/>
      <c r="O188" s="7"/>
      <c r="P188" s="7"/>
      <c r="Q188" s="7"/>
      <c r="R188" s="64"/>
      <c r="S188" s="64"/>
      <c r="T188" s="64"/>
      <c r="U188" s="168" t="s">
        <v>3380</v>
      </c>
      <c r="V188" s="64"/>
      <c r="W188" s="64"/>
    </row>
    <row r="189" spans="1:23" ht="30" customHeight="1">
      <c r="A189" s="8"/>
      <c r="B189" s="7"/>
      <c r="C189" s="33"/>
      <c r="D189" s="7"/>
      <c r="E189" s="7"/>
      <c r="F189" s="7"/>
      <c r="G189" s="7"/>
      <c r="H189" s="7"/>
      <c r="I189" s="7"/>
      <c r="J189" s="7"/>
      <c r="K189" s="7"/>
      <c r="L189" s="7"/>
      <c r="M189" s="7"/>
      <c r="N189" s="7"/>
      <c r="O189" s="7"/>
      <c r="P189" s="7"/>
      <c r="Q189" s="7"/>
      <c r="R189" s="64"/>
      <c r="S189" s="64"/>
      <c r="T189" s="64"/>
      <c r="U189" s="168" t="s">
        <v>3381</v>
      </c>
      <c r="V189" s="64"/>
      <c r="W189" s="64"/>
    </row>
    <row r="190" spans="1:23" ht="30" customHeight="1">
      <c r="A190" s="8"/>
      <c r="B190" s="7"/>
      <c r="C190" s="33"/>
      <c r="D190" s="7"/>
      <c r="E190" s="7"/>
      <c r="F190" s="7"/>
      <c r="G190" s="7"/>
      <c r="H190" s="7"/>
      <c r="I190" s="7"/>
      <c r="J190" s="7"/>
      <c r="K190" s="7"/>
      <c r="L190" s="7"/>
      <c r="M190" s="7"/>
      <c r="N190" s="7"/>
      <c r="O190" s="7"/>
      <c r="P190" s="7"/>
      <c r="Q190" s="7"/>
      <c r="R190" s="64"/>
      <c r="S190" s="64"/>
      <c r="T190" s="64"/>
      <c r="U190" s="168" t="s">
        <v>3382</v>
      </c>
      <c r="V190" s="64"/>
      <c r="W190" s="64"/>
    </row>
    <row r="191" spans="1:23" ht="30" customHeight="1">
      <c r="A191" s="8"/>
      <c r="B191" s="7"/>
      <c r="C191" s="33"/>
      <c r="D191" s="7"/>
      <c r="E191" s="7"/>
      <c r="F191" s="7"/>
      <c r="G191" s="7"/>
      <c r="H191" s="7"/>
      <c r="I191" s="7"/>
      <c r="J191" s="7"/>
      <c r="K191" s="7"/>
      <c r="L191" s="7"/>
      <c r="M191" s="7"/>
      <c r="N191" s="7"/>
      <c r="O191" s="7"/>
      <c r="P191" s="7"/>
      <c r="Q191" s="7"/>
      <c r="R191" s="64"/>
      <c r="S191" s="64"/>
      <c r="T191" s="64"/>
      <c r="U191" s="168" t="s">
        <v>3383</v>
      </c>
      <c r="V191" s="64"/>
      <c r="W191" s="64"/>
    </row>
    <row r="192" spans="1:23" ht="30" customHeight="1">
      <c r="A192" s="8"/>
      <c r="B192" s="7"/>
      <c r="C192" s="33"/>
      <c r="D192" s="7"/>
      <c r="E192" s="7"/>
      <c r="F192" s="7"/>
      <c r="G192" s="7"/>
      <c r="H192" s="7"/>
      <c r="I192" s="7"/>
      <c r="J192" s="7"/>
      <c r="K192" s="7"/>
      <c r="L192" s="7"/>
      <c r="M192" s="7"/>
      <c r="N192" s="7"/>
      <c r="O192" s="7"/>
      <c r="P192" s="7"/>
      <c r="Q192" s="7"/>
      <c r="R192" s="64"/>
      <c r="S192" s="64"/>
      <c r="T192" s="64"/>
      <c r="U192" s="168" t="s">
        <v>3384</v>
      </c>
      <c r="V192" s="64"/>
      <c r="W192" s="64"/>
    </row>
    <row r="193" spans="1:23" ht="30" customHeight="1">
      <c r="A193" s="8"/>
      <c r="B193" s="7"/>
      <c r="C193" s="33"/>
      <c r="D193" s="7"/>
      <c r="E193" s="7"/>
      <c r="F193" s="7"/>
      <c r="G193" s="7"/>
      <c r="H193" s="7"/>
      <c r="I193" s="7"/>
      <c r="J193" s="7"/>
      <c r="K193" s="7"/>
      <c r="L193" s="7"/>
      <c r="M193" s="7"/>
      <c r="N193" s="7"/>
      <c r="O193" s="7"/>
      <c r="P193" s="7"/>
      <c r="Q193" s="7"/>
      <c r="R193" s="64"/>
      <c r="S193" s="64"/>
      <c r="T193" s="64"/>
      <c r="U193" s="168" t="s">
        <v>3385</v>
      </c>
      <c r="V193" s="64"/>
      <c r="W193" s="64"/>
    </row>
    <row r="194" spans="1:23" ht="30" customHeight="1">
      <c r="A194" s="8"/>
      <c r="B194" s="7"/>
      <c r="C194" s="33"/>
      <c r="D194" s="7"/>
      <c r="E194" s="7"/>
      <c r="F194" s="7"/>
      <c r="G194" s="7"/>
      <c r="H194" s="7"/>
      <c r="I194" s="7"/>
      <c r="J194" s="7"/>
      <c r="K194" s="7"/>
      <c r="L194" s="7"/>
      <c r="M194" s="7"/>
      <c r="N194" s="7"/>
      <c r="O194" s="7"/>
      <c r="P194" s="7"/>
      <c r="Q194" s="7"/>
      <c r="R194" s="64"/>
      <c r="S194" s="64"/>
      <c r="T194" s="64"/>
      <c r="U194" s="168" t="s">
        <v>3386</v>
      </c>
      <c r="V194" s="64"/>
      <c r="W194" s="64"/>
    </row>
    <row r="195" spans="1:23" ht="30" customHeight="1">
      <c r="A195" s="8"/>
      <c r="B195" s="7"/>
      <c r="C195" s="33"/>
      <c r="D195" s="7"/>
      <c r="E195" s="7"/>
      <c r="F195" s="7"/>
      <c r="G195" s="7"/>
      <c r="H195" s="7"/>
      <c r="I195" s="7"/>
      <c r="J195" s="7"/>
      <c r="K195" s="7"/>
      <c r="L195" s="7"/>
      <c r="M195" s="7"/>
      <c r="N195" s="7"/>
      <c r="O195" s="7"/>
      <c r="P195" s="7"/>
      <c r="Q195" s="7"/>
      <c r="R195" s="64"/>
      <c r="S195" s="64"/>
      <c r="T195" s="64"/>
      <c r="U195" s="168" t="s">
        <v>3387</v>
      </c>
      <c r="V195" s="64"/>
      <c r="W195" s="64"/>
    </row>
    <row r="196" spans="1:23" ht="30" customHeight="1">
      <c r="A196" s="8"/>
      <c r="B196" s="7"/>
      <c r="C196" s="33"/>
      <c r="D196" s="7"/>
      <c r="E196" s="7"/>
      <c r="F196" s="7"/>
      <c r="G196" s="7"/>
      <c r="H196" s="7"/>
      <c r="I196" s="7"/>
      <c r="J196" s="7"/>
      <c r="K196" s="7"/>
      <c r="L196" s="7"/>
      <c r="M196" s="7"/>
      <c r="N196" s="7"/>
      <c r="O196" s="7"/>
      <c r="P196" s="7"/>
      <c r="Q196" s="7"/>
      <c r="R196" s="64"/>
      <c r="S196" s="64"/>
      <c r="T196" s="64"/>
      <c r="U196" s="168" t="s">
        <v>3388</v>
      </c>
      <c r="V196" s="64"/>
      <c r="W196" s="64"/>
    </row>
    <row r="197" spans="1:23" ht="30" customHeight="1">
      <c r="A197" s="8"/>
      <c r="B197" s="7"/>
      <c r="C197" s="33"/>
      <c r="D197" s="7"/>
      <c r="E197" s="7"/>
      <c r="F197" s="7"/>
      <c r="G197" s="7"/>
      <c r="H197" s="7"/>
      <c r="I197" s="7"/>
      <c r="J197" s="7"/>
      <c r="K197" s="7"/>
      <c r="L197" s="7"/>
      <c r="M197" s="7"/>
      <c r="N197" s="7"/>
      <c r="O197" s="7"/>
      <c r="P197" s="7"/>
      <c r="Q197" s="7"/>
      <c r="R197" s="64"/>
      <c r="S197" s="64"/>
      <c r="T197" s="64"/>
      <c r="U197" s="168" t="s">
        <v>3371</v>
      </c>
      <c r="V197" s="64"/>
      <c r="W197" s="64"/>
    </row>
    <row r="198" spans="1:23" ht="30" customHeight="1">
      <c r="A198" s="8"/>
      <c r="B198" s="7"/>
      <c r="C198" s="33"/>
      <c r="D198" s="7"/>
      <c r="E198" s="7"/>
      <c r="F198" s="7"/>
      <c r="G198" s="7"/>
      <c r="H198" s="7"/>
      <c r="I198" s="7"/>
      <c r="J198" s="7"/>
      <c r="K198" s="7"/>
      <c r="L198" s="7"/>
      <c r="M198" s="7"/>
      <c r="N198" s="7"/>
      <c r="O198" s="7"/>
      <c r="P198" s="7"/>
      <c r="Q198" s="7"/>
      <c r="R198" s="64"/>
      <c r="S198" s="64"/>
      <c r="T198" s="64"/>
      <c r="U198" s="168" t="s">
        <v>3389</v>
      </c>
      <c r="V198" s="64"/>
      <c r="W198" s="64"/>
    </row>
    <row r="199" spans="1:23" ht="30" customHeight="1">
      <c r="A199" s="8"/>
      <c r="B199" s="7"/>
      <c r="C199" s="33"/>
      <c r="D199" s="7"/>
      <c r="E199" s="7"/>
      <c r="F199" s="7"/>
      <c r="G199" s="7"/>
      <c r="H199" s="7"/>
      <c r="I199" s="7"/>
      <c r="J199" s="7"/>
      <c r="K199" s="7"/>
      <c r="L199" s="7"/>
      <c r="M199" s="7"/>
      <c r="N199" s="7"/>
      <c r="O199" s="7"/>
      <c r="P199" s="7"/>
      <c r="Q199" s="7"/>
      <c r="R199" s="64"/>
      <c r="S199" s="64"/>
      <c r="T199" s="64"/>
      <c r="U199" s="168" t="s">
        <v>3390</v>
      </c>
      <c r="V199" s="64"/>
      <c r="W199" s="64"/>
    </row>
    <row r="200" spans="1:23" ht="30" customHeight="1">
      <c r="A200" s="8"/>
      <c r="B200" s="7"/>
      <c r="C200" s="33"/>
      <c r="D200" s="7"/>
      <c r="E200" s="7"/>
      <c r="F200" s="7"/>
      <c r="G200" s="7"/>
      <c r="H200" s="7"/>
      <c r="I200" s="7"/>
      <c r="J200" s="7"/>
      <c r="K200" s="7"/>
      <c r="L200" s="7"/>
      <c r="M200" s="7"/>
      <c r="N200" s="7"/>
      <c r="O200" s="7"/>
      <c r="P200" s="7"/>
      <c r="Q200" s="7"/>
      <c r="R200" s="64"/>
      <c r="S200" s="64"/>
      <c r="T200" s="64"/>
      <c r="U200" s="168" t="s">
        <v>3391</v>
      </c>
      <c r="V200" s="64"/>
      <c r="W200" s="64"/>
    </row>
    <row r="201" spans="1:23" ht="30" customHeight="1">
      <c r="A201" s="8"/>
      <c r="B201" s="7"/>
      <c r="C201" s="33"/>
      <c r="D201" s="7"/>
      <c r="E201" s="7"/>
      <c r="F201" s="7"/>
      <c r="G201" s="7"/>
      <c r="H201" s="7"/>
      <c r="I201" s="7"/>
      <c r="J201" s="7"/>
      <c r="K201" s="7"/>
      <c r="L201" s="7"/>
      <c r="M201" s="7"/>
      <c r="N201" s="7"/>
      <c r="O201" s="7"/>
      <c r="P201" s="7"/>
      <c r="Q201" s="7"/>
      <c r="R201" s="64"/>
      <c r="S201" s="64"/>
      <c r="T201" s="64"/>
      <c r="U201" s="168" t="s">
        <v>3392</v>
      </c>
      <c r="V201" s="64"/>
      <c r="W201" s="64"/>
    </row>
    <row r="202" spans="1:23" ht="30" customHeight="1">
      <c r="A202" s="8"/>
      <c r="B202" s="7"/>
      <c r="C202" s="33"/>
      <c r="D202" s="7"/>
      <c r="E202" s="7"/>
      <c r="F202" s="7"/>
      <c r="G202" s="7"/>
      <c r="H202" s="7"/>
      <c r="I202" s="7"/>
      <c r="J202" s="7"/>
      <c r="K202" s="7"/>
      <c r="L202" s="7"/>
      <c r="M202" s="7"/>
      <c r="N202" s="7"/>
      <c r="O202" s="7"/>
      <c r="P202" s="7"/>
      <c r="Q202" s="7"/>
      <c r="R202" s="64"/>
      <c r="S202" s="64"/>
      <c r="T202" s="64"/>
      <c r="U202" s="168"/>
      <c r="V202" s="64"/>
      <c r="W202" s="64"/>
    </row>
    <row r="203" spans="1:23" ht="30" customHeight="1">
      <c r="A203" s="8"/>
      <c r="B203" s="7"/>
      <c r="C203" s="33"/>
      <c r="D203" s="7"/>
      <c r="E203" s="7"/>
      <c r="F203" s="7"/>
      <c r="G203" s="7"/>
      <c r="H203" s="7"/>
      <c r="I203" s="7"/>
      <c r="J203" s="7"/>
      <c r="K203" s="7"/>
      <c r="L203" s="7"/>
      <c r="M203" s="7"/>
      <c r="N203" s="7"/>
      <c r="O203" s="7"/>
      <c r="P203" s="7"/>
      <c r="Q203" s="7"/>
      <c r="R203" s="64"/>
      <c r="S203" s="64"/>
      <c r="T203" s="64"/>
      <c r="U203" s="168"/>
      <c r="V203" s="64"/>
      <c r="W203" s="64"/>
    </row>
    <row r="204" spans="1:23" ht="30" customHeight="1">
      <c r="A204" s="8"/>
      <c r="B204" s="7"/>
      <c r="C204" s="33"/>
      <c r="D204" s="7"/>
      <c r="E204" s="7"/>
      <c r="F204" s="7"/>
      <c r="G204" s="7"/>
      <c r="H204" s="7"/>
      <c r="I204" s="7"/>
      <c r="J204" s="7"/>
      <c r="K204" s="7"/>
      <c r="L204" s="7"/>
      <c r="M204" s="7"/>
      <c r="N204" s="7"/>
      <c r="O204" s="7"/>
      <c r="P204" s="7"/>
      <c r="Q204" s="7"/>
      <c r="R204" s="64"/>
      <c r="S204" s="64"/>
      <c r="T204" s="64"/>
      <c r="U204" s="168"/>
      <c r="V204" s="64"/>
      <c r="W204" s="64"/>
    </row>
    <row r="205" spans="1:23" ht="30" customHeight="1">
      <c r="A205" s="8"/>
      <c r="B205" s="7"/>
      <c r="C205" s="33"/>
      <c r="D205" s="7"/>
      <c r="E205" s="7"/>
      <c r="F205" s="7"/>
      <c r="G205" s="7"/>
      <c r="H205" s="7"/>
      <c r="I205" s="7"/>
      <c r="J205" s="7"/>
      <c r="K205" s="7"/>
      <c r="L205" s="7"/>
      <c r="M205" s="7"/>
      <c r="N205" s="7"/>
      <c r="O205" s="7"/>
      <c r="P205" s="7"/>
      <c r="Q205" s="7"/>
      <c r="R205" s="64"/>
      <c r="S205" s="64"/>
      <c r="T205" s="64"/>
      <c r="U205" s="168"/>
      <c r="V205" s="64"/>
      <c r="W205" s="64"/>
    </row>
    <row r="206" spans="1:23" ht="30" customHeight="1">
      <c r="A206" s="8"/>
      <c r="B206" s="7"/>
      <c r="C206" s="33"/>
      <c r="D206" s="7"/>
      <c r="E206" s="7"/>
      <c r="F206" s="7"/>
      <c r="G206" s="7"/>
      <c r="H206" s="7"/>
      <c r="I206" s="7"/>
      <c r="J206" s="7"/>
      <c r="K206" s="7"/>
      <c r="L206" s="7"/>
      <c r="M206" s="7"/>
      <c r="N206" s="7"/>
      <c r="O206" s="7"/>
      <c r="P206" s="7"/>
      <c r="Q206" s="7"/>
      <c r="R206" s="64"/>
      <c r="S206" s="64"/>
      <c r="T206" s="64"/>
      <c r="U206" s="168"/>
      <c r="V206" s="64"/>
      <c r="W206" s="64"/>
    </row>
    <row r="207" spans="1:23" ht="30" customHeight="1">
      <c r="A207" s="8"/>
      <c r="B207" s="7"/>
      <c r="C207" s="33"/>
      <c r="D207" s="7"/>
      <c r="E207" s="7"/>
      <c r="F207" s="7"/>
      <c r="G207" s="7"/>
      <c r="H207" s="7"/>
      <c r="I207" s="7"/>
      <c r="J207" s="7"/>
      <c r="K207" s="7"/>
      <c r="L207" s="7"/>
      <c r="M207" s="7"/>
      <c r="N207" s="7"/>
      <c r="O207" s="7"/>
      <c r="P207" s="7"/>
      <c r="Q207" s="7"/>
      <c r="R207" s="64"/>
      <c r="S207" s="64"/>
      <c r="T207" s="64"/>
      <c r="U207" s="168"/>
      <c r="V207" s="64"/>
      <c r="W207" s="64"/>
    </row>
    <row r="208" spans="1:23" ht="30" customHeight="1">
      <c r="A208" s="8"/>
      <c r="B208" s="7"/>
      <c r="C208" s="33"/>
      <c r="D208" s="7"/>
      <c r="E208" s="7"/>
      <c r="F208" s="7"/>
      <c r="G208" s="7"/>
      <c r="H208" s="7"/>
      <c r="I208" s="7"/>
      <c r="J208" s="7"/>
      <c r="K208" s="7"/>
      <c r="L208" s="7"/>
      <c r="M208" s="7"/>
      <c r="N208" s="7"/>
      <c r="O208" s="7"/>
      <c r="P208" s="7"/>
      <c r="Q208" s="7"/>
      <c r="R208" s="64"/>
      <c r="S208" s="64"/>
      <c r="T208" s="64"/>
      <c r="U208" s="168"/>
      <c r="V208" s="64"/>
      <c r="W208" s="64"/>
    </row>
    <row r="209" spans="1:23" ht="30" customHeight="1">
      <c r="A209" s="8"/>
      <c r="B209" s="7"/>
      <c r="C209" s="33"/>
      <c r="D209" s="7"/>
      <c r="E209" s="7"/>
      <c r="F209" s="7"/>
      <c r="G209" s="7"/>
      <c r="H209" s="7"/>
      <c r="I209" s="7"/>
      <c r="J209" s="7"/>
      <c r="K209" s="7"/>
      <c r="L209" s="7"/>
      <c r="M209" s="7"/>
      <c r="N209" s="7"/>
      <c r="O209" s="7"/>
      <c r="P209" s="7"/>
      <c r="Q209" s="7"/>
      <c r="R209" s="64"/>
      <c r="S209" s="64"/>
      <c r="T209" s="64"/>
      <c r="U209" s="168"/>
      <c r="V209" s="64"/>
      <c r="W209" s="64"/>
    </row>
    <row r="210" spans="1:23" ht="30" customHeight="1">
      <c r="A210" s="8"/>
      <c r="B210" s="7"/>
      <c r="C210" s="33"/>
      <c r="D210" s="7"/>
      <c r="E210" s="7"/>
      <c r="F210" s="7"/>
      <c r="G210" s="7"/>
      <c r="H210" s="7"/>
      <c r="I210" s="7"/>
      <c r="J210" s="7"/>
      <c r="K210" s="7"/>
      <c r="L210" s="7"/>
      <c r="M210" s="7"/>
      <c r="N210" s="7"/>
      <c r="O210" s="7"/>
      <c r="P210" s="7"/>
      <c r="Q210" s="7"/>
      <c r="R210" s="64"/>
      <c r="S210" s="64"/>
      <c r="T210" s="64"/>
      <c r="U210" s="168"/>
      <c r="V210" s="64"/>
      <c r="W210" s="64"/>
    </row>
    <row r="211" spans="1:23" ht="30" customHeight="1">
      <c r="A211" s="8"/>
      <c r="B211" s="7"/>
      <c r="C211" s="33"/>
      <c r="D211" s="7"/>
      <c r="E211" s="7"/>
      <c r="F211" s="7"/>
      <c r="G211" s="7"/>
      <c r="H211" s="7"/>
      <c r="I211" s="7"/>
      <c r="J211" s="7"/>
      <c r="K211" s="7"/>
      <c r="L211" s="7"/>
      <c r="M211" s="7"/>
      <c r="N211" s="7"/>
      <c r="O211" s="7"/>
      <c r="P211" s="7"/>
      <c r="Q211" s="7"/>
      <c r="R211" s="64"/>
      <c r="S211" s="64"/>
      <c r="T211" s="64"/>
      <c r="U211" s="168"/>
      <c r="V211" s="64"/>
      <c r="W211" s="64"/>
    </row>
    <row r="212" spans="1:23" ht="30" customHeight="1">
      <c r="A212" s="8"/>
      <c r="B212" s="7"/>
      <c r="C212" s="33"/>
      <c r="D212" s="7"/>
      <c r="E212" s="7"/>
      <c r="F212" s="7"/>
      <c r="G212" s="7"/>
      <c r="H212" s="7"/>
      <c r="I212" s="7"/>
      <c r="J212" s="7"/>
      <c r="K212" s="7"/>
      <c r="L212" s="7"/>
      <c r="M212" s="7"/>
      <c r="N212" s="7"/>
      <c r="O212" s="7"/>
      <c r="P212" s="7"/>
      <c r="Q212" s="7"/>
      <c r="R212" s="64"/>
      <c r="S212" s="64"/>
      <c r="T212" s="64"/>
      <c r="U212" s="64"/>
      <c r="V212" s="64"/>
      <c r="W212" s="64"/>
    </row>
    <row r="213" spans="1:23" ht="30" customHeight="1">
      <c r="A213" s="8"/>
      <c r="B213" s="7"/>
      <c r="C213" s="33"/>
      <c r="D213" s="7"/>
      <c r="E213" s="7"/>
      <c r="F213" s="7"/>
      <c r="G213" s="7"/>
      <c r="H213" s="7"/>
      <c r="I213" s="7"/>
      <c r="J213" s="7"/>
      <c r="K213" s="7"/>
      <c r="L213" s="7"/>
      <c r="M213" s="7"/>
      <c r="N213" s="7"/>
      <c r="O213" s="7"/>
      <c r="P213" s="7"/>
      <c r="Q213" s="7"/>
      <c r="R213" s="64"/>
      <c r="S213" s="64"/>
      <c r="T213" s="64"/>
      <c r="U213" s="64"/>
      <c r="V213" s="64"/>
      <c r="W213" s="64"/>
    </row>
    <row r="214" spans="1:23" ht="30" customHeight="1">
      <c r="A214" s="8"/>
      <c r="B214" s="7"/>
      <c r="C214" s="33"/>
      <c r="D214" s="7"/>
      <c r="E214" s="7"/>
      <c r="F214" s="7"/>
      <c r="G214" s="7"/>
      <c r="H214" s="7"/>
      <c r="I214" s="7"/>
      <c r="J214" s="7"/>
      <c r="K214" s="7"/>
      <c r="L214" s="7"/>
      <c r="M214" s="7"/>
      <c r="N214" s="7"/>
      <c r="O214" s="7"/>
      <c r="P214" s="7"/>
      <c r="Q214" s="7"/>
      <c r="R214" s="64"/>
      <c r="S214" s="64"/>
      <c r="T214" s="64"/>
      <c r="U214" s="64"/>
      <c r="V214" s="64"/>
      <c r="W214" s="64"/>
    </row>
    <row r="215" spans="1:23" ht="30" customHeight="1">
      <c r="A215" s="8"/>
      <c r="B215" s="7"/>
      <c r="C215" s="33"/>
      <c r="D215" s="7"/>
      <c r="E215" s="7"/>
      <c r="F215" s="7"/>
      <c r="G215" s="7"/>
      <c r="H215" s="7"/>
      <c r="I215" s="7"/>
      <c r="J215" s="7"/>
      <c r="K215" s="7"/>
      <c r="L215" s="7"/>
      <c r="M215" s="7"/>
      <c r="N215" s="7"/>
      <c r="O215" s="7"/>
      <c r="P215" s="7"/>
      <c r="Q215" s="7"/>
      <c r="R215" s="64"/>
      <c r="S215" s="64"/>
      <c r="T215" s="64"/>
      <c r="U215" s="64"/>
      <c r="V215" s="64"/>
      <c r="W215" s="64"/>
    </row>
    <row r="216" spans="1:23" ht="30" customHeight="1">
      <c r="A216" s="8"/>
      <c r="B216" s="7"/>
      <c r="C216" s="33"/>
      <c r="D216" s="7"/>
      <c r="E216" s="7"/>
      <c r="F216" s="7"/>
      <c r="G216" s="7"/>
      <c r="H216" s="7"/>
      <c r="I216" s="7"/>
      <c r="J216" s="7"/>
      <c r="K216" s="7"/>
      <c r="L216" s="7"/>
      <c r="M216" s="7"/>
      <c r="N216" s="7"/>
      <c r="O216" s="7"/>
      <c r="P216" s="7"/>
      <c r="Q216" s="7"/>
      <c r="R216" s="64"/>
      <c r="S216" s="64"/>
      <c r="T216" s="64"/>
      <c r="U216" s="64"/>
      <c r="V216" s="64"/>
      <c r="W216" s="64"/>
    </row>
    <row r="217" spans="1:23" ht="30" customHeight="1">
      <c r="A217" s="8"/>
      <c r="B217" s="7"/>
      <c r="C217" s="33"/>
      <c r="D217" s="7"/>
      <c r="E217" s="7"/>
      <c r="F217" s="7"/>
      <c r="G217" s="7"/>
      <c r="H217" s="7"/>
      <c r="I217" s="7"/>
      <c r="J217" s="7"/>
      <c r="K217" s="7"/>
      <c r="L217" s="7"/>
      <c r="M217" s="7"/>
      <c r="N217" s="7"/>
      <c r="O217" s="7"/>
      <c r="P217" s="7"/>
      <c r="Q217" s="7"/>
      <c r="R217" s="64"/>
      <c r="S217" s="64"/>
      <c r="T217" s="64"/>
      <c r="U217" s="64"/>
      <c r="V217" s="64"/>
      <c r="W217" s="64"/>
    </row>
    <row r="218" spans="1:23" ht="30" customHeight="1">
      <c r="A218" s="8"/>
      <c r="B218" s="7"/>
      <c r="C218" s="33"/>
      <c r="D218" s="7"/>
      <c r="E218" s="7"/>
      <c r="F218" s="7"/>
      <c r="G218" s="7"/>
      <c r="H218" s="7"/>
      <c r="I218" s="7"/>
      <c r="J218" s="7"/>
      <c r="K218" s="7"/>
      <c r="L218" s="7"/>
      <c r="M218" s="7"/>
      <c r="N218" s="7"/>
      <c r="O218" s="7"/>
      <c r="P218" s="7"/>
      <c r="Q218" s="7"/>
      <c r="R218" s="64"/>
      <c r="S218" s="64"/>
      <c r="T218" s="64"/>
      <c r="U218" s="64"/>
      <c r="V218" s="64"/>
      <c r="W218" s="64"/>
    </row>
    <row r="219" spans="1:23" ht="30" customHeight="1">
      <c r="A219" s="8"/>
      <c r="B219" s="7"/>
      <c r="C219" s="33"/>
      <c r="D219" s="7"/>
      <c r="E219" s="7"/>
      <c r="F219" s="7"/>
      <c r="G219" s="7"/>
      <c r="H219" s="7"/>
      <c r="I219" s="7"/>
      <c r="J219" s="7"/>
      <c r="K219" s="7"/>
      <c r="L219" s="7"/>
      <c r="M219" s="7"/>
      <c r="N219" s="7"/>
      <c r="O219" s="7"/>
      <c r="P219" s="7"/>
      <c r="Q219" s="7"/>
      <c r="R219" s="64"/>
      <c r="S219" s="64"/>
      <c r="T219" s="64"/>
      <c r="U219" s="64"/>
      <c r="V219" s="64"/>
      <c r="W219" s="64"/>
    </row>
    <row r="220" spans="1:23" ht="30" customHeight="1">
      <c r="A220" s="8"/>
      <c r="B220" s="7"/>
      <c r="C220" s="33"/>
      <c r="D220" s="7"/>
      <c r="E220" s="7"/>
      <c r="F220" s="7"/>
      <c r="G220" s="7"/>
      <c r="H220" s="7"/>
      <c r="I220" s="7"/>
      <c r="J220" s="7"/>
      <c r="K220" s="7"/>
      <c r="L220" s="7"/>
      <c r="M220" s="7"/>
      <c r="N220" s="7"/>
      <c r="O220" s="7"/>
      <c r="P220" s="7"/>
      <c r="Q220" s="7"/>
      <c r="R220" s="64"/>
      <c r="S220" s="64"/>
      <c r="T220" s="64"/>
      <c r="U220" s="64"/>
      <c r="V220" s="64"/>
      <c r="W220" s="64"/>
    </row>
    <row r="221" spans="1:23" ht="30" customHeight="1">
      <c r="A221" s="8"/>
      <c r="B221" s="7"/>
      <c r="C221" s="33"/>
      <c r="D221" s="7"/>
      <c r="E221" s="7"/>
      <c r="F221" s="7"/>
      <c r="G221" s="7"/>
      <c r="H221" s="7"/>
      <c r="I221" s="7"/>
      <c r="J221" s="7"/>
      <c r="K221" s="7"/>
      <c r="L221" s="7"/>
      <c r="M221" s="7"/>
      <c r="N221" s="7"/>
      <c r="O221" s="7"/>
      <c r="P221" s="7"/>
      <c r="Q221" s="7"/>
      <c r="R221" s="64"/>
      <c r="S221" s="64"/>
      <c r="T221" s="64"/>
      <c r="U221" s="64"/>
      <c r="V221" s="64"/>
      <c r="W221" s="64"/>
    </row>
    <row r="222" spans="1:23" ht="30" customHeight="1">
      <c r="A222" s="8"/>
      <c r="B222" s="7"/>
      <c r="C222" s="33"/>
      <c r="D222" s="7"/>
      <c r="E222" s="7"/>
      <c r="F222" s="7"/>
      <c r="G222" s="7"/>
      <c r="H222" s="7"/>
      <c r="I222" s="7"/>
      <c r="J222" s="7"/>
      <c r="K222" s="7"/>
      <c r="L222" s="7"/>
      <c r="M222" s="7"/>
      <c r="N222" s="7"/>
      <c r="O222" s="7"/>
      <c r="P222" s="7"/>
      <c r="Q222" s="7"/>
      <c r="R222" s="64"/>
      <c r="S222" s="64"/>
      <c r="T222" s="64"/>
      <c r="U222" s="64"/>
      <c r="V222" s="64"/>
      <c r="W222" s="64"/>
    </row>
    <row r="223" spans="1:23" ht="30" customHeight="1">
      <c r="A223" s="8"/>
      <c r="B223" s="7"/>
      <c r="C223" s="33"/>
      <c r="D223" s="7"/>
      <c r="E223" s="7"/>
      <c r="F223" s="7"/>
      <c r="G223" s="7"/>
      <c r="H223" s="7"/>
      <c r="I223" s="7"/>
      <c r="J223" s="7"/>
      <c r="K223" s="7"/>
      <c r="L223" s="7"/>
      <c r="M223" s="7"/>
      <c r="N223" s="7"/>
      <c r="O223" s="7"/>
      <c r="P223" s="7"/>
      <c r="Q223" s="7"/>
      <c r="R223" s="64"/>
      <c r="S223" s="64"/>
      <c r="T223" s="64"/>
      <c r="U223" s="64"/>
      <c r="V223" s="64"/>
      <c r="W223" s="64"/>
    </row>
    <row r="224" spans="1:23" ht="30" customHeight="1">
      <c r="A224" s="8"/>
      <c r="B224" s="7"/>
      <c r="C224" s="33"/>
      <c r="D224" s="7"/>
      <c r="E224" s="7"/>
      <c r="F224" s="7"/>
      <c r="G224" s="7"/>
      <c r="H224" s="7"/>
      <c r="I224" s="7"/>
      <c r="J224" s="7"/>
      <c r="K224" s="7"/>
      <c r="L224" s="7"/>
      <c r="M224" s="7"/>
      <c r="N224" s="7"/>
      <c r="O224" s="7"/>
      <c r="P224" s="7"/>
      <c r="Q224" s="7"/>
      <c r="R224" s="64"/>
      <c r="S224" s="64"/>
      <c r="T224" s="64"/>
      <c r="U224" s="64"/>
      <c r="V224" s="64"/>
      <c r="W224" s="64"/>
    </row>
    <row r="225" spans="1:23" ht="30" customHeight="1">
      <c r="A225" s="8"/>
      <c r="B225" s="7"/>
      <c r="C225" s="33"/>
      <c r="D225" s="7"/>
      <c r="E225" s="7"/>
      <c r="F225" s="7"/>
      <c r="G225" s="7"/>
      <c r="H225" s="7"/>
      <c r="I225" s="7"/>
      <c r="J225" s="7"/>
      <c r="K225" s="7"/>
      <c r="L225" s="7"/>
      <c r="M225" s="7"/>
      <c r="N225" s="7"/>
      <c r="O225" s="7"/>
      <c r="P225" s="7"/>
      <c r="Q225" s="7"/>
      <c r="R225" s="64"/>
      <c r="S225" s="64"/>
      <c r="T225" s="64"/>
      <c r="U225" s="64"/>
      <c r="V225" s="64"/>
      <c r="W225" s="64"/>
    </row>
    <row r="226" spans="1:23" ht="30" customHeight="1">
      <c r="A226" s="8"/>
      <c r="B226" s="7"/>
      <c r="C226" s="33"/>
      <c r="D226" s="7"/>
      <c r="E226" s="7"/>
      <c r="F226" s="7"/>
      <c r="G226" s="7"/>
      <c r="H226" s="7"/>
      <c r="I226" s="7"/>
      <c r="J226" s="7"/>
      <c r="K226" s="7"/>
      <c r="L226" s="7"/>
      <c r="M226" s="7"/>
      <c r="N226" s="7"/>
      <c r="O226" s="7"/>
      <c r="P226" s="7"/>
      <c r="Q226" s="7"/>
      <c r="R226" s="64"/>
      <c r="S226" s="64"/>
      <c r="T226" s="64"/>
      <c r="U226" s="64"/>
      <c r="V226" s="64"/>
      <c r="W226" s="64"/>
    </row>
    <row r="227" spans="1:23" ht="30" customHeight="1">
      <c r="A227" s="8"/>
      <c r="B227" s="7"/>
      <c r="C227" s="33"/>
      <c r="D227" s="7"/>
      <c r="E227" s="7"/>
      <c r="F227" s="7"/>
      <c r="G227" s="7"/>
      <c r="H227" s="7"/>
      <c r="I227" s="7"/>
      <c r="J227" s="7"/>
      <c r="K227" s="7"/>
      <c r="L227" s="7"/>
      <c r="M227" s="7"/>
      <c r="N227" s="7"/>
      <c r="O227" s="7"/>
      <c r="P227" s="7"/>
      <c r="Q227" s="7"/>
      <c r="R227" s="64"/>
      <c r="S227" s="64"/>
      <c r="T227" s="64"/>
      <c r="U227" s="64"/>
      <c r="V227" s="64"/>
      <c r="W227" s="64"/>
    </row>
    <row r="228" spans="1:23" ht="30" customHeight="1">
      <c r="A228" s="8"/>
      <c r="B228" s="7"/>
      <c r="C228" s="33"/>
      <c r="D228" s="7"/>
      <c r="E228" s="7"/>
      <c r="F228" s="7"/>
      <c r="G228" s="7"/>
      <c r="H228" s="7"/>
      <c r="I228" s="7"/>
      <c r="J228" s="7"/>
      <c r="K228" s="7"/>
      <c r="L228" s="7"/>
      <c r="M228" s="7"/>
      <c r="N228" s="7"/>
      <c r="O228" s="7"/>
      <c r="P228" s="7"/>
      <c r="Q228" s="7"/>
      <c r="R228" s="64"/>
      <c r="S228" s="64"/>
      <c r="T228" s="64"/>
      <c r="U228" s="64"/>
      <c r="V228" s="64"/>
      <c r="W228" s="64"/>
    </row>
    <row r="229" spans="1:23" ht="30" customHeight="1">
      <c r="A229" s="8"/>
      <c r="B229" s="7"/>
      <c r="C229" s="33"/>
      <c r="D229" s="7"/>
      <c r="E229" s="7"/>
      <c r="F229" s="7"/>
      <c r="G229" s="7"/>
      <c r="H229" s="7"/>
      <c r="I229" s="7"/>
      <c r="J229" s="7"/>
      <c r="K229" s="7"/>
      <c r="L229" s="7"/>
      <c r="M229" s="7"/>
      <c r="N229" s="7"/>
      <c r="O229" s="7"/>
      <c r="P229" s="7"/>
      <c r="Q229" s="7"/>
      <c r="R229" s="64"/>
      <c r="S229" s="64"/>
      <c r="T229" s="64"/>
      <c r="U229" s="64"/>
      <c r="V229" s="64"/>
      <c r="W229" s="64"/>
    </row>
    <row r="230" spans="1:23" ht="30" customHeight="1">
      <c r="A230" s="8"/>
      <c r="B230" s="7"/>
      <c r="C230" s="33"/>
      <c r="D230" s="7"/>
      <c r="E230" s="7"/>
      <c r="F230" s="7"/>
      <c r="G230" s="7"/>
      <c r="H230" s="7"/>
      <c r="I230" s="7"/>
      <c r="J230" s="7"/>
      <c r="K230" s="7"/>
      <c r="L230" s="7"/>
      <c r="M230" s="7"/>
      <c r="N230" s="7"/>
      <c r="O230" s="7"/>
      <c r="P230" s="7"/>
      <c r="Q230" s="7"/>
      <c r="R230" s="64"/>
      <c r="S230" s="64"/>
      <c r="T230" s="64"/>
      <c r="U230" s="64"/>
      <c r="V230" s="64"/>
      <c r="W230" s="64"/>
    </row>
    <row r="231" spans="1:23" ht="30" customHeight="1">
      <c r="A231" s="8"/>
      <c r="B231" s="7"/>
      <c r="C231" s="33"/>
      <c r="D231" s="7"/>
      <c r="E231" s="7"/>
      <c r="F231" s="7"/>
      <c r="G231" s="7"/>
      <c r="H231" s="7"/>
      <c r="I231" s="7"/>
      <c r="J231" s="7"/>
      <c r="K231" s="7"/>
      <c r="L231" s="7"/>
      <c r="M231" s="7"/>
      <c r="N231" s="7"/>
      <c r="O231" s="7"/>
      <c r="P231" s="7"/>
      <c r="Q231" s="7"/>
      <c r="R231" s="64"/>
      <c r="S231" s="64"/>
      <c r="T231" s="64"/>
      <c r="U231" s="64"/>
      <c r="V231" s="64"/>
      <c r="W231" s="64"/>
    </row>
    <row r="232" spans="1:23" ht="30" customHeight="1">
      <c r="A232" s="8"/>
      <c r="B232" s="7"/>
      <c r="C232" s="33"/>
      <c r="D232" s="7"/>
      <c r="E232" s="7"/>
      <c r="F232" s="7"/>
      <c r="G232" s="7"/>
      <c r="H232" s="7"/>
      <c r="I232" s="7"/>
      <c r="J232" s="7"/>
      <c r="K232" s="7"/>
      <c r="L232" s="7"/>
      <c r="M232" s="7"/>
      <c r="N232" s="7"/>
      <c r="O232" s="7"/>
      <c r="P232" s="7"/>
      <c r="Q232" s="7"/>
      <c r="R232" s="64"/>
      <c r="S232" s="64"/>
      <c r="T232" s="64"/>
      <c r="U232" s="64"/>
      <c r="V232" s="64"/>
      <c r="W232" s="64"/>
    </row>
    <row r="233" spans="1:23" ht="30" customHeight="1">
      <c r="A233" s="8"/>
      <c r="B233" s="7"/>
      <c r="C233" s="33"/>
      <c r="D233" s="7"/>
      <c r="E233" s="7"/>
      <c r="F233" s="7"/>
      <c r="G233" s="7"/>
      <c r="H233" s="7"/>
      <c r="I233" s="7"/>
      <c r="J233" s="7"/>
      <c r="K233" s="7"/>
      <c r="L233" s="7"/>
      <c r="M233" s="7"/>
      <c r="N233" s="7"/>
      <c r="O233" s="7"/>
      <c r="P233" s="7"/>
      <c r="Q233" s="7"/>
      <c r="R233" s="64"/>
      <c r="S233" s="64"/>
      <c r="T233" s="64"/>
      <c r="U233" s="64"/>
      <c r="V233" s="64"/>
      <c r="W233" s="64"/>
    </row>
    <row r="234" spans="1:23" ht="30" customHeight="1">
      <c r="A234" s="8"/>
      <c r="B234" s="7"/>
      <c r="C234" s="33"/>
      <c r="D234" s="7"/>
      <c r="E234" s="7"/>
      <c r="F234" s="7"/>
      <c r="G234" s="7"/>
      <c r="H234" s="7"/>
      <c r="I234" s="7"/>
      <c r="J234" s="7"/>
      <c r="K234" s="7"/>
      <c r="L234" s="7"/>
      <c r="M234" s="7"/>
      <c r="N234" s="7"/>
      <c r="O234" s="7"/>
      <c r="P234" s="7"/>
      <c r="Q234" s="7"/>
      <c r="R234" s="64"/>
      <c r="S234" s="64"/>
      <c r="T234" s="64"/>
      <c r="U234" s="64"/>
      <c r="V234" s="64"/>
      <c r="W234" s="64"/>
    </row>
    <row r="235" spans="1:23" ht="30" customHeight="1">
      <c r="A235" s="8"/>
      <c r="B235" s="7"/>
      <c r="C235" s="33"/>
      <c r="D235" s="7"/>
      <c r="E235" s="7"/>
      <c r="F235" s="7"/>
      <c r="G235" s="7"/>
      <c r="H235" s="7"/>
      <c r="I235" s="7"/>
      <c r="J235" s="7"/>
      <c r="K235" s="7"/>
      <c r="L235" s="7"/>
      <c r="M235" s="7"/>
      <c r="N235" s="7"/>
      <c r="O235" s="7"/>
      <c r="P235" s="7"/>
      <c r="Q235" s="7"/>
      <c r="R235" s="64"/>
      <c r="S235" s="64"/>
      <c r="T235" s="64"/>
      <c r="U235" s="64"/>
      <c r="V235" s="64"/>
      <c r="W235" s="64"/>
    </row>
    <row r="236" spans="1:23" ht="30" customHeight="1">
      <c r="A236" s="8"/>
      <c r="B236" s="7"/>
      <c r="C236" s="33"/>
      <c r="D236" s="7"/>
      <c r="E236" s="7"/>
      <c r="F236" s="7"/>
      <c r="G236" s="7"/>
      <c r="H236" s="7"/>
      <c r="I236" s="7"/>
      <c r="J236" s="7"/>
      <c r="K236" s="7"/>
      <c r="L236" s="7"/>
      <c r="M236" s="7"/>
      <c r="N236" s="7"/>
      <c r="O236" s="7"/>
      <c r="P236" s="7"/>
      <c r="Q236" s="7"/>
      <c r="R236" s="64"/>
      <c r="S236" s="64"/>
      <c r="T236" s="64"/>
      <c r="U236" s="64"/>
      <c r="V236" s="64"/>
      <c r="W236" s="64"/>
    </row>
    <row r="237" spans="1:23" ht="30" customHeight="1">
      <c r="A237" s="8"/>
      <c r="B237" s="7"/>
      <c r="C237" s="33"/>
      <c r="D237" s="7"/>
      <c r="E237" s="7"/>
      <c r="F237" s="7"/>
      <c r="G237" s="7"/>
      <c r="H237" s="7"/>
      <c r="I237" s="7"/>
      <c r="J237" s="7"/>
      <c r="K237" s="7"/>
      <c r="L237" s="7"/>
      <c r="M237" s="7"/>
      <c r="N237" s="7"/>
      <c r="O237" s="7"/>
      <c r="P237" s="7"/>
      <c r="Q237" s="7"/>
      <c r="R237" s="64"/>
      <c r="S237" s="64"/>
      <c r="T237" s="64"/>
      <c r="U237" s="64"/>
      <c r="V237" s="64"/>
      <c r="W237" s="64"/>
    </row>
    <row r="238" spans="1:23" ht="30" customHeight="1">
      <c r="A238" s="8"/>
      <c r="B238" s="7"/>
      <c r="C238" s="33"/>
      <c r="D238" s="7"/>
      <c r="E238" s="7"/>
      <c r="F238" s="7"/>
      <c r="G238" s="7"/>
      <c r="H238" s="7"/>
      <c r="I238" s="7"/>
      <c r="J238" s="7"/>
      <c r="K238" s="7"/>
      <c r="L238" s="7"/>
      <c r="M238" s="7"/>
      <c r="N238" s="7"/>
      <c r="O238" s="7"/>
      <c r="P238" s="7"/>
      <c r="Q238" s="7"/>
      <c r="R238" s="64"/>
      <c r="S238" s="64"/>
      <c r="T238" s="64"/>
      <c r="U238" s="64"/>
      <c r="V238" s="64"/>
      <c r="W238" s="64"/>
    </row>
    <row r="239" spans="1:23" ht="30" customHeight="1">
      <c r="A239" s="8"/>
      <c r="B239" s="7"/>
      <c r="C239" s="33"/>
      <c r="D239" s="7"/>
      <c r="E239" s="7"/>
      <c r="F239" s="7"/>
      <c r="G239" s="7"/>
      <c r="H239" s="7"/>
      <c r="I239" s="7"/>
      <c r="J239" s="7"/>
      <c r="K239" s="7"/>
      <c r="L239" s="7"/>
      <c r="M239" s="7"/>
      <c r="N239" s="7"/>
      <c r="O239" s="7"/>
      <c r="P239" s="7"/>
      <c r="Q239" s="7"/>
      <c r="R239" s="64"/>
      <c r="S239" s="64"/>
      <c r="T239" s="64"/>
      <c r="U239" s="64"/>
      <c r="V239" s="64"/>
      <c r="W239" s="64"/>
    </row>
    <row r="240" spans="1:23" ht="30" customHeight="1">
      <c r="A240" s="8"/>
      <c r="B240" s="7"/>
      <c r="C240" s="33"/>
      <c r="D240" s="7"/>
      <c r="E240" s="7"/>
      <c r="F240" s="7"/>
      <c r="G240" s="7"/>
      <c r="H240" s="7"/>
      <c r="I240" s="7"/>
      <c r="J240" s="7"/>
      <c r="K240" s="7"/>
      <c r="L240" s="7"/>
      <c r="M240" s="7"/>
      <c r="N240" s="7"/>
      <c r="O240" s="7"/>
      <c r="P240" s="7"/>
      <c r="Q240" s="7"/>
      <c r="R240" s="64"/>
      <c r="S240" s="64"/>
      <c r="T240" s="64"/>
      <c r="U240" s="64"/>
      <c r="V240" s="64"/>
      <c r="W240" s="64"/>
    </row>
    <row r="241" spans="1:23" ht="30" customHeight="1">
      <c r="A241" s="8"/>
      <c r="B241" s="7"/>
      <c r="C241" s="33"/>
      <c r="D241" s="7"/>
      <c r="E241" s="7"/>
      <c r="F241" s="7"/>
      <c r="G241" s="7"/>
      <c r="H241" s="7"/>
      <c r="I241" s="7"/>
      <c r="J241" s="7"/>
      <c r="K241" s="7"/>
      <c r="L241" s="7"/>
      <c r="M241" s="7"/>
      <c r="N241" s="7"/>
      <c r="O241" s="7"/>
      <c r="P241" s="7"/>
      <c r="Q241" s="7"/>
      <c r="R241" s="64"/>
      <c r="S241" s="64"/>
      <c r="T241" s="64"/>
      <c r="U241" s="64"/>
      <c r="V241" s="64"/>
      <c r="W241" s="64"/>
    </row>
    <row r="242" spans="1:23" ht="30" customHeight="1">
      <c r="A242" s="8"/>
      <c r="B242" s="7"/>
      <c r="C242" s="33"/>
      <c r="D242" s="7"/>
      <c r="E242" s="7"/>
      <c r="F242" s="7"/>
      <c r="G242" s="7"/>
      <c r="H242" s="7"/>
      <c r="I242" s="7"/>
      <c r="J242" s="7"/>
      <c r="K242" s="7"/>
      <c r="L242" s="7"/>
      <c r="M242" s="7"/>
      <c r="N242" s="7"/>
      <c r="O242" s="7"/>
      <c r="P242" s="7"/>
      <c r="Q242" s="7"/>
      <c r="R242" s="64"/>
      <c r="S242" s="64"/>
      <c r="T242" s="64"/>
      <c r="U242" s="64"/>
      <c r="V242" s="64"/>
      <c r="W242" s="64"/>
    </row>
    <row r="243" spans="1:23" ht="30" customHeight="1">
      <c r="A243" s="8"/>
      <c r="B243" s="7"/>
      <c r="C243" s="33"/>
      <c r="D243" s="7"/>
      <c r="E243" s="7"/>
      <c r="F243" s="7"/>
      <c r="G243" s="7"/>
      <c r="H243" s="7"/>
      <c r="I243" s="7"/>
      <c r="J243" s="7"/>
      <c r="K243" s="7"/>
      <c r="L243" s="7"/>
      <c r="M243" s="7"/>
      <c r="N243" s="7"/>
      <c r="O243" s="7"/>
      <c r="P243" s="7"/>
      <c r="Q243" s="7"/>
      <c r="R243" s="64"/>
      <c r="S243" s="64"/>
      <c r="T243" s="64"/>
      <c r="U243" s="64"/>
      <c r="V243" s="64"/>
      <c r="W243" s="64"/>
    </row>
    <row r="244" spans="1:23" ht="30" customHeight="1">
      <c r="A244" s="8"/>
      <c r="B244" s="7"/>
      <c r="C244" s="33"/>
      <c r="D244" s="7"/>
      <c r="E244" s="7"/>
      <c r="F244" s="7"/>
      <c r="G244" s="7"/>
      <c r="H244" s="7"/>
      <c r="I244" s="7"/>
      <c r="J244" s="7"/>
      <c r="K244" s="7"/>
      <c r="L244" s="7"/>
      <c r="M244" s="7"/>
      <c r="N244" s="7"/>
      <c r="O244" s="7"/>
      <c r="P244" s="7"/>
      <c r="Q244" s="7"/>
      <c r="R244" s="64"/>
      <c r="S244" s="64"/>
      <c r="T244" s="64"/>
      <c r="U244" s="64"/>
      <c r="V244" s="64"/>
      <c r="W244" s="64"/>
    </row>
    <row r="245" spans="1:23" ht="30" customHeight="1">
      <c r="A245" s="8"/>
      <c r="B245" s="7"/>
      <c r="C245" s="33"/>
      <c r="D245" s="7"/>
      <c r="E245" s="7"/>
      <c r="F245" s="7"/>
      <c r="G245" s="7"/>
      <c r="H245" s="7"/>
      <c r="I245" s="7"/>
      <c r="J245" s="7"/>
      <c r="K245" s="7"/>
      <c r="L245" s="7"/>
      <c r="M245" s="7"/>
      <c r="N245" s="7"/>
      <c r="O245" s="7"/>
      <c r="P245" s="7"/>
      <c r="Q245" s="7"/>
      <c r="R245" s="64"/>
      <c r="S245" s="64"/>
      <c r="T245" s="64"/>
      <c r="U245" s="64"/>
      <c r="V245" s="64"/>
      <c r="W245" s="64"/>
    </row>
    <row r="246" spans="1:23" ht="30" customHeight="1">
      <c r="A246" s="8"/>
      <c r="B246" s="7"/>
      <c r="C246" s="33"/>
      <c r="D246" s="7"/>
      <c r="E246" s="7"/>
      <c r="F246" s="7"/>
      <c r="G246" s="7"/>
      <c r="H246" s="7"/>
      <c r="I246" s="7"/>
      <c r="J246" s="7"/>
      <c r="K246" s="7"/>
      <c r="L246" s="7"/>
      <c r="M246" s="7"/>
      <c r="N246" s="7"/>
      <c r="O246" s="7"/>
      <c r="P246" s="7"/>
      <c r="Q246" s="7"/>
      <c r="R246" s="64"/>
      <c r="S246" s="64"/>
      <c r="T246" s="64"/>
      <c r="U246" s="64"/>
      <c r="V246" s="64"/>
      <c r="W246" s="64"/>
    </row>
    <row r="247" spans="1:23" ht="30" customHeight="1">
      <c r="A247" s="8"/>
      <c r="B247" s="7"/>
      <c r="C247" s="33"/>
      <c r="D247" s="7"/>
      <c r="E247" s="7"/>
      <c r="F247" s="7"/>
      <c r="G247" s="7"/>
      <c r="H247" s="7"/>
      <c r="I247" s="7"/>
      <c r="J247" s="7"/>
      <c r="K247" s="7"/>
      <c r="L247" s="7"/>
      <c r="M247" s="7"/>
      <c r="N247" s="7"/>
      <c r="O247" s="7"/>
      <c r="P247" s="7"/>
      <c r="Q247" s="7"/>
      <c r="R247" s="64"/>
      <c r="S247" s="64"/>
      <c r="T247" s="64"/>
      <c r="U247" s="64"/>
      <c r="V247" s="64"/>
      <c r="W247" s="64"/>
    </row>
    <row r="248" spans="1:23" ht="30" customHeight="1">
      <c r="A248" s="8"/>
      <c r="B248" s="7"/>
      <c r="C248" s="33"/>
      <c r="D248" s="7"/>
      <c r="E248" s="7"/>
      <c r="F248" s="7"/>
      <c r="G248" s="7"/>
      <c r="H248" s="7"/>
      <c r="I248" s="7"/>
      <c r="J248" s="7"/>
      <c r="K248" s="7"/>
      <c r="L248" s="7"/>
      <c r="M248" s="7"/>
      <c r="N248" s="7"/>
      <c r="O248" s="7"/>
      <c r="P248" s="7"/>
      <c r="Q248" s="7"/>
      <c r="R248" s="64"/>
      <c r="S248" s="64"/>
      <c r="T248" s="64"/>
      <c r="U248" s="64"/>
      <c r="V248" s="64"/>
      <c r="W248" s="64"/>
    </row>
    <row r="249" spans="1:23" ht="30" customHeight="1">
      <c r="A249" s="8"/>
      <c r="B249" s="7"/>
      <c r="C249" s="33"/>
      <c r="D249" s="7"/>
      <c r="E249" s="7"/>
      <c r="F249" s="7"/>
      <c r="G249" s="7"/>
      <c r="H249" s="7"/>
      <c r="I249" s="7"/>
      <c r="J249" s="7"/>
      <c r="K249" s="7"/>
      <c r="L249" s="7"/>
      <c r="M249" s="7"/>
      <c r="N249" s="7"/>
      <c r="O249" s="7"/>
      <c r="P249" s="7"/>
      <c r="Q249" s="7"/>
      <c r="R249" s="64"/>
      <c r="S249" s="64"/>
      <c r="T249" s="64"/>
      <c r="U249" s="64"/>
      <c r="V249" s="64"/>
      <c r="W249" s="64"/>
    </row>
    <row r="250" spans="1:23" ht="30" customHeight="1">
      <c r="A250" s="8"/>
      <c r="B250" s="7"/>
      <c r="C250" s="33"/>
      <c r="D250" s="7"/>
      <c r="E250" s="7"/>
      <c r="F250" s="7"/>
      <c r="G250" s="7"/>
      <c r="H250" s="7"/>
      <c r="I250" s="7"/>
      <c r="J250" s="7"/>
      <c r="K250" s="7"/>
      <c r="L250" s="7"/>
      <c r="M250" s="7"/>
      <c r="N250" s="7"/>
      <c r="O250" s="7"/>
      <c r="P250" s="7"/>
      <c r="Q250" s="7"/>
      <c r="R250" s="64"/>
      <c r="S250" s="64"/>
      <c r="T250" s="64"/>
      <c r="U250" s="64"/>
      <c r="V250" s="64"/>
      <c r="W250" s="64"/>
    </row>
    <row r="251" spans="1:23" ht="30" customHeight="1">
      <c r="A251" s="8"/>
      <c r="B251" s="7"/>
      <c r="C251" s="33"/>
      <c r="D251" s="7"/>
      <c r="E251" s="7"/>
      <c r="F251" s="7"/>
      <c r="G251" s="7"/>
      <c r="H251" s="7"/>
      <c r="I251" s="7"/>
      <c r="J251" s="7"/>
      <c r="K251" s="7"/>
      <c r="L251" s="7"/>
      <c r="M251" s="7"/>
      <c r="N251" s="7"/>
      <c r="O251" s="7"/>
      <c r="P251" s="7"/>
      <c r="Q251" s="7"/>
      <c r="R251" s="64"/>
      <c r="S251" s="64"/>
      <c r="T251" s="64"/>
      <c r="U251" s="64"/>
      <c r="V251" s="64"/>
      <c r="W251" s="64"/>
    </row>
    <row r="252" spans="1:23" ht="30" customHeight="1">
      <c r="A252" s="8"/>
      <c r="B252" s="7"/>
      <c r="C252" s="33"/>
      <c r="D252" s="7"/>
      <c r="E252" s="7"/>
      <c r="F252" s="7"/>
      <c r="G252" s="7"/>
      <c r="H252" s="7"/>
      <c r="I252" s="7"/>
      <c r="J252" s="7"/>
      <c r="K252" s="7"/>
      <c r="L252" s="7"/>
      <c r="M252" s="7"/>
      <c r="N252" s="7"/>
      <c r="O252" s="7"/>
      <c r="P252" s="7"/>
      <c r="Q252" s="7"/>
      <c r="R252" s="64"/>
      <c r="S252" s="64"/>
      <c r="T252" s="64"/>
      <c r="U252" s="64"/>
      <c r="V252" s="64"/>
      <c r="W252" s="64"/>
    </row>
    <row r="253" spans="1:23" ht="30" customHeight="1">
      <c r="A253" s="8"/>
      <c r="B253" s="7"/>
      <c r="C253" s="33"/>
      <c r="D253" s="7"/>
      <c r="E253" s="7"/>
      <c r="F253" s="7"/>
      <c r="G253" s="7"/>
      <c r="H253" s="7"/>
      <c r="I253" s="7"/>
      <c r="J253" s="7"/>
      <c r="K253" s="7"/>
      <c r="L253" s="7"/>
      <c r="M253" s="7"/>
      <c r="N253" s="7"/>
      <c r="O253" s="7"/>
      <c r="P253" s="7"/>
      <c r="Q253" s="7"/>
      <c r="R253" s="64"/>
      <c r="S253" s="64"/>
      <c r="T253" s="64"/>
      <c r="U253" s="64"/>
      <c r="V253" s="64"/>
      <c r="W253" s="64"/>
    </row>
    <row r="254" spans="1:23" ht="30" customHeight="1">
      <c r="A254" s="8"/>
      <c r="B254" s="7"/>
      <c r="C254" s="33"/>
      <c r="D254" s="7"/>
      <c r="E254" s="7"/>
      <c r="F254" s="7"/>
      <c r="G254" s="7"/>
      <c r="H254" s="7"/>
      <c r="I254" s="7"/>
      <c r="J254" s="7"/>
      <c r="K254" s="7"/>
      <c r="L254" s="7"/>
      <c r="M254" s="7"/>
      <c r="N254" s="7"/>
      <c r="O254" s="7"/>
      <c r="P254" s="7"/>
      <c r="Q254" s="7"/>
      <c r="R254" s="64"/>
      <c r="S254" s="64"/>
      <c r="T254" s="64"/>
      <c r="U254" s="64"/>
      <c r="V254" s="64"/>
      <c r="W254" s="64"/>
    </row>
    <row r="255" spans="1:23" ht="30" customHeight="1">
      <c r="A255" s="8"/>
      <c r="B255" s="7"/>
      <c r="C255" s="33"/>
      <c r="D255" s="7"/>
      <c r="E255" s="7"/>
      <c r="F255" s="7"/>
      <c r="G255" s="7"/>
      <c r="H255" s="7"/>
      <c r="I255" s="7"/>
      <c r="J255" s="7"/>
      <c r="K255" s="7"/>
      <c r="L255" s="7"/>
      <c r="M255" s="7"/>
      <c r="N255" s="7"/>
      <c r="O255" s="7"/>
      <c r="P255" s="7"/>
      <c r="Q255" s="7"/>
      <c r="R255" s="64"/>
      <c r="S255" s="64"/>
      <c r="T255" s="64"/>
      <c r="U255" s="64"/>
      <c r="V255" s="64"/>
      <c r="W255" s="64"/>
    </row>
    <row r="256" spans="1:23" ht="30" customHeight="1">
      <c r="A256" s="8"/>
      <c r="B256" s="7"/>
      <c r="C256" s="33"/>
      <c r="D256" s="7"/>
      <c r="E256" s="7"/>
      <c r="F256" s="7"/>
      <c r="G256" s="7"/>
      <c r="H256" s="7"/>
      <c r="I256" s="7"/>
      <c r="J256" s="7"/>
      <c r="K256" s="7"/>
      <c r="L256" s="7"/>
      <c r="M256" s="7"/>
      <c r="N256" s="7"/>
      <c r="O256" s="7"/>
      <c r="P256" s="7"/>
      <c r="Q256" s="7"/>
      <c r="R256" s="64"/>
      <c r="S256" s="64"/>
      <c r="T256" s="64"/>
      <c r="U256" s="64"/>
      <c r="V256" s="64"/>
      <c r="W256" s="64"/>
    </row>
    <row r="257" spans="1:23" ht="30" customHeight="1">
      <c r="A257" s="8"/>
      <c r="B257" s="7"/>
      <c r="C257" s="33"/>
      <c r="D257" s="7"/>
      <c r="E257" s="7"/>
      <c r="F257" s="7"/>
      <c r="G257" s="7"/>
      <c r="H257" s="7"/>
      <c r="I257" s="7"/>
      <c r="J257" s="7"/>
      <c r="K257" s="7"/>
      <c r="L257" s="7"/>
      <c r="M257" s="7"/>
      <c r="N257" s="7"/>
      <c r="O257" s="7"/>
      <c r="P257" s="7"/>
      <c r="Q257" s="7"/>
      <c r="R257" s="64"/>
      <c r="S257" s="64"/>
      <c r="T257" s="64"/>
      <c r="U257" s="64"/>
      <c r="V257" s="64"/>
      <c r="W257" s="64"/>
    </row>
    <row r="258" spans="1:23" ht="30" customHeight="1">
      <c r="A258" s="8"/>
      <c r="B258" s="7"/>
      <c r="C258" s="33"/>
      <c r="D258" s="7"/>
      <c r="E258" s="7"/>
      <c r="F258" s="7"/>
      <c r="G258" s="7"/>
      <c r="H258" s="7"/>
      <c r="I258" s="7"/>
      <c r="J258" s="7"/>
      <c r="K258" s="7"/>
      <c r="L258" s="7"/>
      <c r="M258" s="7"/>
      <c r="N258" s="7"/>
      <c r="O258" s="7"/>
      <c r="P258" s="7"/>
      <c r="Q258" s="7"/>
      <c r="R258" s="64"/>
      <c r="S258" s="64"/>
      <c r="T258" s="64"/>
      <c r="U258" s="64"/>
      <c r="V258" s="64"/>
      <c r="W258" s="64"/>
    </row>
    <row r="259" spans="1:23" ht="30" customHeight="1">
      <c r="A259" s="8"/>
      <c r="B259" s="7"/>
      <c r="C259" s="33"/>
      <c r="D259" s="7"/>
      <c r="E259" s="7"/>
      <c r="F259" s="7"/>
      <c r="G259" s="7"/>
      <c r="H259" s="7"/>
      <c r="I259" s="7"/>
      <c r="J259" s="7"/>
      <c r="K259" s="7"/>
      <c r="L259" s="7"/>
      <c r="M259" s="7"/>
      <c r="N259" s="7"/>
      <c r="O259" s="7"/>
      <c r="P259" s="7"/>
      <c r="Q259" s="7"/>
      <c r="R259" s="64"/>
      <c r="S259" s="64"/>
      <c r="T259" s="64"/>
      <c r="U259" s="64"/>
      <c r="V259" s="64"/>
      <c r="W259" s="64"/>
    </row>
    <row r="260" spans="1:23" ht="30" customHeight="1">
      <c r="A260" s="8"/>
      <c r="B260" s="7"/>
      <c r="C260" s="33"/>
      <c r="D260" s="7"/>
      <c r="E260" s="7"/>
      <c r="F260" s="7"/>
      <c r="G260" s="7"/>
      <c r="H260" s="7"/>
      <c r="I260" s="7"/>
      <c r="J260" s="7"/>
      <c r="K260" s="7"/>
      <c r="L260" s="7"/>
      <c r="M260" s="7"/>
      <c r="N260" s="7"/>
      <c r="O260" s="7"/>
      <c r="P260" s="7"/>
      <c r="Q260" s="7"/>
      <c r="R260" s="64"/>
      <c r="S260" s="64"/>
      <c r="T260" s="64"/>
      <c r="U260" s="64"/>
      <c r="V260" s="64"/>
      <c r="W260" s="64"/>
    </row>
    <row r="261" spans="1:23" ht="30" customHeight="1">
      <c r="A261" s="8"/>
      <c r="B261" s="7"/>
      <c r="C261" s="33"/>
      <c r="D261" s="7"/>
      <c r="E261" s="7"/>
      <c r="F261" s="7"/>
      <c r="G261" s="7"/>
      <c r="H261" s="7"/>
      <c r="I261" s="7"/>
      <c r="J261" s="7"/>
      <c r="K261" s="7"/>
      <c r="L261" s="7"/>
      <c r="M261" s="7"/>
      <c r="N261" s="7"/>
      <c r="O261" s="7"/>
      <c r="P261" s="7"/>
      <c r="Q261" s="7"/>
      <c r="R261" s="64"/>
      <c r="S261" s="64"/>
      <c r="T261" s="64"/>
      <c r="U261" s="64"/>
      <c r="V261" s="64"/>
      <c r="W261" s="64"/>
    </row>
    <row r="262" spans="1:23" ht="30" customHeight="1">
      <c r="A262" s="8"/>
      <c r="B262" s="7"/>
      <c r="C262" s="33"/>
      <c r="D262" s="7"/>
      <c r="E262" s="7"/>
      <c r="F262" s="7"/>
      <c r="G262" s="7"/>
      <c r="H262" s="7"/>
      <c r="I262" s="7"/>
      <c r="J262" s="7"/>
      <c r="K262" s="7"/>
      <c r="L262" s="7"/>
      <c r="M262" s="7"/>
      <c r="N262" s="7"/>
      <c r="O262" s="7"/>
      <c r="P262" s="7"/>
      <c r="Q262" s="7"/>
      <c r="R262" s="64"/>
      <c r="S262" s="64"/>
      <c r="T262" s="64"/>
      <c r="U262" s="64"/>
      <c r="V262" s="64"/>
      <c r="W262" s="64"/>
    </row>
    <row r="263" spans="1:23" ht="30" customHeight="1">
      <c r="A263" s="8"/>
      <c r="B263" s="7"/>
      <c r="C263" s="33"/>
      <c r="D263" s="7"/>
      <c r="E263" s="7"/>
      <c r="F263" s="7"/>
      <c r="G263" s="7"/>
      <c r="H263" s="7"/>
      <c r="I263" s="7"/>
      <c r="J263" s="7"/>
      <c r="K263" s="7"/>
      <c r="L263" s="7"/>
      <c r="M263" s="7"/>
      <c r="N263" s="7"/>
      <c r="O263" s="7"/>
      <c r="P263" s="7"/>
      <c r="Q263" s="7"/>
      <c r="R263" s="64"/>
      <c r="S263" s="64"/>
      <c r="T263" s="64"/>
      <c r="U263" s="64"/>
      <c r="V263" s="64"/>
      <c r="W263" s="64"/>
    </row>
    <row r="264" spans="1:23" ht="30" customHeight="1">
      <c r="A264" s="8"/>
      <c r="B264" s="7"/>
      <c r="C264" s="33"/>
      <c r="D264" s="7"/>
      <c r="E264" s="7"/>
      <c r="F264" s="7"/>
      <c r="G264" s="7"/>
      <c r="H264" s="7"/>
      <c r="I264" s="7"/>
      <c r="J264" s="7"/>
      <c r="K264" s="7"/>
      <c r="L264" s="7"/>
      <c r="M264" s="7"/>
      <c r="N264" s="7"/>
      <c r="O264" s="7"/>
      <c r="P264" s="7"/>
      <c r="Q264" s="7"/>
      <c r="R264" s="64"/>
      <c r="S264" s="64"/>
      <c r="T264" s="64"/>
      <c r="U264" s="64"/>
      <c r="V264" s="64"/>
      <c r="W264" s="64"/>
    </row>
    <row r="265" spans="1:23" ht="30" customHeight="1">
      <c r="A265" s="8"/>
      <c r="B265" s="7"/>
      <c r="C265" s="33"/>
      <c r="D265" s="7"/>
      <c r="E265" s="7"/>
      <c r="F265" s="7"/>
      <c r="G265" s="7"/>
      <c r="H265" s="7"/>
      <c r="I265" s="7"/>
      <c r="J265" s="7"/>
      <c r="K265" s="7"/>
      <c r="L265" s="7"/>
      <c r="M265" s="7"/>
      <c r="N265" s="7"/>
      <c r="O265" s="7"/>
      <c r="P265" s="7"/>
      <c r="Q265" s="7"/>
      <c r="R265" s="64"/>
      <c r="S265" s="64"/>
      <c r="T265" s="64"/>
      <c r="U265" s="64"/>
      <c r="V265" s="64"/>
      <c r="W265" s="64"/>
    </row>
    <row r="266" spans="1:23" ht="30" customHeight="1">
      <c r="A266" s="8"/>
      <c r="B266" s="7"/>
      <c r="C266" s="33"/>
      <c r="D266" s="7"/>
      <c r="E266" s="7"/>
      <c r="F266" s="7"/>
      <c r="G266" s="7"/>
      <c r="H266" s="7"/>
      <c r="I266" s="7"/>
      <c r="J266" s="7"/>
      <c r="K266" s="7"/>
      <c r="L266" s="7"/>
      <c r="M266" s="7"/>
      <c r="N266" s="7"/>
      <c r="O266" s="7"/>
      <c r="P266" s="7"/>
      <c r="Q266" s="7"/>
      <c r="R266" s="64"/>
      <c r="S266" s="64"/>
      <c r="T266" s="64"/>
      <c r="U266" s="64"/>
      <c r="V266" s="64"/>
      <c r="W266" s="64"/>
    </row>
    <row r="267" spans="1:23" ht="30" customHeight="1">
      <c r="A267" s="8"/>
      <c r="B267" s="7"/>
      <c r="C267" s="33"/>
      <c r="D267" s="7"/>
      <c r="E267" s="7"/>
      <c r="F267" s="7"/>
      <c r="G267" s="7"/>
      <c r="H267" s="7"/>
      <c r="I267" s="7"/>
      <c r="J267" s="7"/>
      <c r="K267" s="7"/>
      <c r="L267" s="7"/>
      <c r="M267" s="7"/>
      <c r="N267" s="7"/>
      <c r="O267" s="7"/>
      <c r="P267" s="7"/>
      <c r="Q267" s="7"/>
      <c r="R267" s="64"/>
      <c r="S267" s="64"/>
      <c r="T267" s="64"/>
      <c r="U267" s="64"/>
      <c r="V267" s="64"/>
      <c r="W267" s="64"/>
    </row>
    <row r="268" spans="1:23" ht="30" customHeight="1">
      <c r="A268" s="8"/>
      <c r="B268" s="7"/>
      <c r="C268" s="33"/>
      <c r="D268" s="7"/>
      <c r="E268" s="7"/>
      <c r="F268" s="7"/>
      <c r="G268" s="7"/>
      <c r="H268" s="7"/>
      <c r="I268" s="7"/>
      <c r="J268" s="7"/>
      <c r="K268" s="7"/>
      <c r="L268" s="7"/>
      <c r="M268" s="7"/>
      <c r="N268" s="7"/>
      <c r="O268" s="7"/>
      <c r="P268" s="7"/>
      <c r="Q268" s="7"/>
      <c r="R268" s="64"/>
      <c r="S268" s="64"/>
      <c r="T268" s="64"/>
      <c r="U268" s="64"/>
      <c r="V268" s="64"/>
      <c r="W268" s="64"/>
    </row>
    <row r="269" spans="1:23" ht="30" customHeight="1">
      <c r="A269" s="8"/>
      <c r="B269" s="7"/>
      <c r="C269" s="33"/>
      <c r="D269" s="7"/>
      <c r="E269" s="7"/>
      <c r="F269" s="7"/>
      <c r="G269" s="7"/>
      <c r="H269" s="7"/>
      <c r="I269" s="7"/>
      <c r="J269" s="7"/>
      <c r="K269" s="7"/>
      <c r="L269" s="7"/>
      <c r="M269" s="7"/>
      <c r="N269" s="7"/>
      <c r="O269" s="7"/>
      <c r="P269" s="7"/>
      <c r="Q269" s="7"/>
      <c r="R269" s="64"/>
      <c r="S269" s="64"/>
      <c r="T269" s="64"/>
      <c r="U269" s="64"/>
      <c r="V269" s="64"/>
      <c r="W269" s="64"/>
    </row>
    <row r="270" spans="1:23" ht="30" customHeight="1">
      <c r="A270" s="8"/>
      <c r="B270" s="7"/>
      <c r="C270" s="33"/>
      <c r="D270" s="7"/>
      <c r="E270" s="7"/>
      <c r="F270" s="7"/>
      <c r="G270" s="7"/>
      <c r="H270" s="7"/>
      <c r="I270" s="7"/>
      <c r="J270" s="7"/>
      <c r="K270" s="7"/>
      <c r="L270" s="7"/>
      <c r="M270" s="7"/>
      <c r="N270" s="7"/>
      <c r="O270" s="7"/>
      <c r="P270" s="7"/>
      <c r="Q270" s="7"/>
      <c r="R270" s="64"/>
      <c r="S270" s="64"/>
      <c r="T270" s="64"/>
      <c r="U270" s="64"/>
      <c r="V270" s="64"/>
      <c r="W270" s="64"/>
    </row>
    <row r="271" spans="1:23" ht="30" customHeight="1">
      <c r="A271" s="8"/>
      <c r="B271" s="7"/>
      <c r="C271" s="33"/>
      <c r="D271" s="7"/>
      <c r="E271" s="7"/>
      <c r="F271" s="7"/>
      <c r="G271" s="7"/>
      <c r="H271" s="7"/>
      <c r="I271" s="7"/>
      <c r="J271" s="7"/>
      <c r="K271" s="7"/>
      <c r="L271" s="7"/>
      <c r="M271" s="7"/>
      <c r="N271" s="7"/>
      <c r="O271" s="7"/>
      <c r="P271" s="7"/>
      <c r="Q271" s="7"/>
      <c r="R271" s="64"/>
      <c r="S271" s="64"/>
      <c r="T271" s="64"/>
      <c r="U271" s="64"/>
      <c r="V271" s="64"/>
      <c r="W271" s="64"/>
    </row>
    <row r="272" spans="1:23" ht="30" customHeight="1">
      <c r="A272" s="8"/>
      <c r="B272" s="7"/>
      <c r="C272" s="33"/>
      <c r="D272" s="7"/>
      <c r="E272" s="7"/>
      <c r="F272" s="7"/>
      <c r="G272" s="7"/>
      <c r="H272" s="7"/>
      <c r="I272" s="7"/>
      <c r="J272" s="7"/>
      <c r="K272" s="7"/>
      <c r="L272" s="7"/>
      <c r="M272" s="7"/>
      <c r="N272" s="7"/>
      <c r="O272" s="7"/>
      <c r="P272" s="7"/>
      <c r="Q272" s="7"/>
      <c r="R272" s="64"/>
      <c r="S272" s="64"/>
      <c r="T272" s="64"/>
      <c r="U272" s="64"/>
      <c r="V272" s="64"/>
      <c r="W272" s="64"/>
    </row>
    <row r="273" spans="1:23" ht="30" customHeight="1">
      <c r="A273" s="8"/>
      <c r="B273" s="7"/>
      <c r="C273" s="33"/>
      <c r="D273" s="7"/>
      <c r="E273" s="7"/>
      <c r="F273" s="7"/>
      <c r="G273" s="7"/>
      <c r="H273" s="7"/>
      <c r="I273" s="7"/>
      <c r="J273" s="7"/>
      <c r="K273" s="7"/>
      <c r="L273" s="7"/>
      <c r="M273" s="7"/>
      <c r="N273" s="7"/>
      <c r="O273" s="7"/>
      <c r="P273" s="7"/>
      <c r="Q273" s="7"/>
      <c r="R273" s="64"/>
      <c r="S273" s="64"/>
      <c r="T273" s="64"/>
      <c r="U273" s="64"/>
      <c r="V273" s="64"/>
      <c r="W273" s="64"/>
    </row>
    <row r="274" spans="1:23" ht="30" customHeight="1">
      <c r="A274" s="8"/>
      <c r="B274" s="7"/>
      <c r="C274" s="33"/>
      <c r="D274" s="7"/>
      <c r="E274" s="7"/>
      <c r="F274" s="7"/>
      <c r="G274" s="7"/>
      <c r="H274" s="7"/>
      <c r="I274" s="7"/>
      <c r="J274" s="7"/>
      <c r="K274" s="7"/>
      <c r="L274" s="7"/>
      <c r="M274" s="7"/>
      <c r="N274" s="7"/>
      <c r="O274" s="7"/>
      <c r="P274" s="7"/>
      <c r="Q274" s="7"/>
      <c r="R274" s="64"/>
      <c r="S274" s="64"/>
      <c r="T274" s="64"/>
      <c r="U274" s="64"/>
      <c r="V274" s="64"/>
      <c r="W274" s="64"/>
    </row>
    <row r="275" spans="1:23" ht="30" customHeight="1">
      <c r="A275" s="8"/>
      <c r="B275" s="7"/>
      <c r="C275" s="33"/>
      <c r="D275" s="7"/>
      <c r="E275" s="7"/>
      <c r="F275" s="7"/>
      <c r="G275" s="7"/>
      <c r="H275" s="7"/>
      <c r="I275" s="7"/>
      <c r="J275" s="7"/>
      <c r="K275" s="7"/>
      <c r="L275" s="7"/>
      <c r="M275" s="7"/>
      <c r="N275" s="7"/>
      <c r="O275" s="7"/>
      <c r="P275" s="7"/>
      <c r="Q275" s="7"/>
      <c r="R275" s="64"/>
      <c r="S275" s="64"/>
      <c r="T275" s="64"/>
      <c r="U275" s="64"/>
      <c r="V275" s="64"/>
      <c r="W275" s="64"/>
    </row>
    <row r="276" spans="1:23" ht="30" customHeight="1">
      <c r="A276" s="8"/>
      <c r="B276" s="7"/>
      <c r="C276" s="33"/>
      <c r="D276" s="7"/>
      <c r="E276" s="7"/>
      <c r="F276" s="7"/>
      <c r="G276" s="7"/>
      <c r="H276" s="7"/>
      <c r="I276" s="7"/>
      <c r="J276" s="7"/>
      <c r="K276" s="7"/>
      <c r="L276" s="7"/>
      <c r="M276" s="7"/>
      <c r="N276" s="7"/>
      <c r="O276" s="7"/>
      <c r="P276" s="7"/>
      <c r="Q276" s="7"/>
      <c r="R276" s="64"/>
      <c r="S276" s="64"/>
      <c r="T276" s="64"/>
      <c r="U276" s="64"/>
      <c r="V276" s="64"/>
      <c r="W276" s="64"/>
    </row>
    <row r="277" spans="1:23" ht="30" customHeight="1">
      <c r="A277" s="8"/>
      <c r="B277" s="7"/>
      <c r="C277" s="33"/>
      <c r="D277" s="7"/>
      <c r="E277" s="7"/>
      <c r="F277" s="7"/>
      <c r="G277" s="7"/>
      <c r="H277" s="7"/>
      <c r="I277" s="7"/>
      <c r="J277" s="7"/>
      <c r="K277" s="7"/>
      <c r="L277" s="7"/>
      <c r="M277" s="7"/>
      <c r="N277" s="7"/>
      <c r="O277" s="7"/>
      <c r="P277" s="7"/>
      <c r="Q277" s="7"/>
      <c r="R277" s="64"/>
      <c r="S277" s="64"/>
      <c r="T277" s="64"/>
      <c r="U277" s="64"/>
      <c r="V277" s="64"/>
      <c r="W277" s="64"/>
    </row>
    <row r="278" spans="1:23" ht="30" customHeight="1">
      <c r="A278" s="8"/>
      <c r="B278" s="7"/>
      <c r="C278" s="33"/>
      <c r="D278" s="7"/>
      <c r="E278" s="7"/>
      <c r="F278" s="7"/>
      <c r="G278" s="7"/>
      <c r="H278" s="7"/>
      <c r="I278" s="7"/>
      <c r="J278" s="7"/>
      <c r="K278" s="7"/>
      <c r="L278" s="7"/>
      <c r="M278" s="7"/>
      <c r="N278" s="7"/>
      <c r="O278" s="7"/>
      <c r="P278" s="7"/>
      <c r="Q278" s="7"/>
      <c r="R278" s="64"/>
      <c r="S278" s="64"/>
      <c r="T278" s="64"/>
      <c r="U278" s="64"/>
      <c r="V278" s="64"/>
      <c r="W278" s="64"/>
    </row>
    <row r="279" spans="1:23" ht="30" customHeight="1">
      <c r="A279" s="8"/>
      <c r="B279" s="7"/>
      <c r="C279" s="33"/>
      <c r="D279" s="7"/>
      <c r="E279" s="7"/>
      <c r="F279" s="7"/>
      <c r="G279" s="7"/>
      <c r="H279" s="7"/>
      <c r="I279" s="7"/>
      <c r="J279" s="7"/>
      <c r="K279" s="7"/>
      <c r="L279" s="7"/>
      <c r="M279" s="7"/>
      <c r="N279" s="7"/>
      <c r="O279" s="7"/>
      <c r="P279" s="7"/>
      <c r="Q279" s="7"/>
      <c r="R279" s="64"/>
      <c r="S279" s="64"/>
      <c r="T279" s="64"/>
      <c r="U279" s="64"/>
      <c r="V279" s="64"/>
      <c r="W279" s="64"/>
    </row>
    <row r="280" spans="1:23" ht="30" customHeight="1">
      <c r="A280" s="8"/>
      <c r="B280" s="7"/>
      <c r="C280" s="33"/>
      <c r="D280" s="7"/>
      <c r="E280" s="7"/>
      <c r="F280" s="7"/>
      <c r="G280" s="7"/>
      <c r="H280" s="7"/>
      <c r="I280" s="7"/>
      <c r="J280" s="7"/>
      <c r="K280" s="7"/>
      <c r="L280" s="7"/>
      <c r="M280" s="7"/>
      <c r="N280" s="7"/>
      <c r="O280" s="7"/>
      <c r="P280" s="7"/>
      <c r="Q280" s="7"/>
      <c r="R280" s="64"/>
      <c r="S280" s="64"/>
      <c r="T280" s="64"/>
      <c r="U280" s="64"/>
      <c r="V280" s="64"/>
      <c r="W280" s="64"/>
    </row>
    <row r="281" spans="1:23" ht="30" customHeight="1">
      <c r="A281" s="8"/>
      <c r="B281" s="7"/>
      <c r="C281" s="33"/>
      <c r="D281" s="7"/>
      <c r="E281" s="7"/>
      <c r="F281" s="7"/>
      <c r="G281" s="7"/>
      <c r="H281" s="7"/>
      <c r="I281" s="7"/>
      <c r="J281" s="7"/>
      <c r="K281" s="7"/>
      <c r="L281" s="7"/>
      <c r="M281" s="7"/>
      <c r="N281" s="7"/>
      <c r="O281" s="7"/>
      <c r="P281" s="7"/>
      <c r="Q281" s="7"/>
      <c r="R281" s="64"/>
      <c r="S281" s="64"/>
      <c r="T281" s="64"/>
      <c r="U281" s="64"/>
      <c r="V281" s="64"/>
      <c r="W281" s="64"/>
    </row>
    <row r="282" spans="1:23" ht="30" customHeight="1">
      <c r="A282" s="8"/>
      <c r="B282" s="7"/>
      <c r="C282" s="33"/>
      <c r="D282" s="7"/>
      <c r="E282" s="7"/>
      <c r="F282" s="7"/>
      <c r="G282" s="7"/>
      <c r="H282" s="7"/>
      <c r="I282" s="7"/>
      <c r="J282" s="7"/>
      <c r="K282" s="7"/>
      <c r="L282" s="7"/>
      <c r="M282" s="7"/>
      <c r="N282" s="7"/>
      <c r="O282" s="7"/>
      <c r="P282" s="7"/>
      <c r="Q282" s="7"/>
      <c r="R282" s="64"/>
      <c r="S282" s="64"/>
      <c r="T282" s="64"/>
      <c r="U282" s="64"/>
      <c r="V282" s="64"/>
      <c r="W282" s="64"/>
    </row>
    <row r="283" spans="1:23" ht="30" customHeight="1">
      <c r="A283" s="8"/>
      <c r="B283" s="7"/>
      <c r="C283" s="33"/>
      <c r="D283" s="7"/>
      <c r="E283" s="7"/>
      <c r="F283" s="7"/>
      <c r="G283" s="7"/>
      <c r="H283" s="7"/>
      <c r="I283" s="7"/>
      <c r="J283" s="7"/>
      <c r="K283" s="7"/>
      <c r="L283" s="7"/>
      <c r="M283" s="7"/>
      <c r="N283" s="7"/>
      <c r="O283" s="7"/>
      <c r="P283" s="7"/>
      <c r="Q283" s="7"/>
      <c r="R283" s="64"/>
      <c r="S283" s="64"/>
      <c r="T283" s="64"/>
      <c r="U283" s="64"/>
      <c r="V283" s="64"/>
      <c r="W283" s="64"/>
    </row>
    <row r="284" spans="1:23" ht="30" customHeight="1">
      <c r="A284" s="8"/>
      <c r="B284" s="7"/>
      <c r="C284" s="33"/>
      <c r="D284" s="7"/>
      <c r="E284" s="7"/>
      <c r="F284" s="7"/>
      <c r="G284" s="7"/>
      <c r="H284" s="7"/>
      <c r="I284" s="7"/>
      <c r="J284" s="7"/>
      <c r="K284" s="7"/>
      <c r="L284" s="7"/>
      <c r="M284" s="7"/>
      <c r="N284" s="7"/>
      <c r="O284" s="7"/>
      <c r="P284" s="7"/>
      <c r="Q284" s="7"/>
      <c r="R284" s="64"/>
      <c r="S284" s="64"/>
      <c r="T284" s="64"/>
      <c r="U284" s="64"/>
      <c r="V284" s="64"/>
      <c r="W284" s="64"/>
    </row>
    <row r="285" spans="1:23" ht="30" customHeight="1">
      <c r="A285" s="8"/>
      <c r="B285" s="7"/>
      <c r="C285" s="33"/>
      <c r="D285" s="7"/>
      <c r="E285" s="7"/>
      <c r="F285" s="7"/>
      <c r="G285" s="7"/>
      <c r="H285" s="7"/>
      <c r="I285" s="7"/>
      <c r="J285" s="7"/>
      <c r="K285" s="7"/>
      <c r="L285" s="7"/>
      <c r="M285" s="7"/>
      <c r="N285" s="7"/>
      <c r="O285" s="7"/>
      <c r="P285" s="7"/>
      <c r="Q285" s="7"/>
      <c r="R285" s="64"/>
      <c r="S285" s="64"/>
      <c r="T285" s="64"/>
      <c r="U285" s="64"/>
      <c r="V285" s="64"/>
      <c r="W285" s="64"/>
    </row>
    <row r="286" spans="1:23" ht="30" customHeight="1">
      <c r="A286" s="8"/>
      <c r="B286" s="7"/>
      <c r="C286" s="33"/>
      <c r="D286" s="7"/>
      <c r="E286" s="7"/>
      <c r="F286" s="7"/>
      <c r="G286" s="7"/>
      <c r="H286" s="7"/>
      <c r="I286" s="7"/>
      <c r="J286" s="7"/>
      <c r="K286" s="7"/>
      <c r="L286" s="7"/>
      <c r="M286" s="7"/>
      <c r="N286" s="7"/>
      <c r="O286" s="7"/>
      <c r="P286" s="7"/>
      <c r="Q286" s="7"/>
      <c r="R286" s="64"/>
      <c r="S286" s="64"/>
      <c r="T286" s="64"/>
      <c r="U286" s="64"/>
      <c r="V286" s="64"/>
      <c r="W286" s="64"/>
    </row>
    <row r="287" spans="1:23" ht="30" customHeight="1">
      <c r="A287" s="8"/>
      <c r="B287" s="7"/>
      <c r="C287" s="33"/>
      <c r="D287" s="7"/>
      <c r="E287" s="7"/>
      <c r="F287" s="7"/>
      <c r="G287" s="7"/>
      <c r="H287" s="7"/>
      <c r="I287" s="7"/>
      <c r="J287" s="7"/>
      <c r="K287" s="7"/>
      <c r="L287" s="7"/>
      <c r="M287" s="7"/>
      <c r="N287" s="7"/>
      <c r="O287" s="7"/>
      <c r="P287" s="7"/>
      <c r="Q287" s="7"/>
      <c r="R287" s="64"/>
      <c r="S287" s="64"/>
      <c r="T287" s="64"/>
      <c r="U287" s="64"/>
      <c r="V287" s="64"/>
      <c r="W287" s="64"/>
    </row>
    <row r="288" spans="1:23" ht="30" customHeight="1">
      <c r="A288" s="8"/>
      <c r="B288" s="7"/>
      <c r="C288" s="33"/>
      <c r="D288" s="7"/>
      <c r="E288" s="7"/>
      <c r="F288" s="7"/>
      <c r="G288" s="7"/>
      <c r="H288" s="7"/>
      <c r="I288" s="7"/>
      <c r="J288" s="7"/>
      <c r="K288" s="7"/>
      <c r="L288" s="7"/>
      <c r="M288" s="7"/>
      <c r="N288" s="7"/>
      <c r="O288" s="7"/>
      <c r="P288" s="7"/>
      <c r="Q288" s="7"/>
      <c r="R288" s="64"/>
      <c r="S288" s="64"/>
      <c r="T288" s="64"/>
      <c r="U288" s="64"/>
      <c r="V288" s="64"/>
      <c r="W288" s="64"/>
    </row>
    <row r="289" spans="1:23" ht="30" customHeight="1">
      <c r="A289" s="8"/>
      <c r="B289" s="7"/>
      <c r="C289" s="33"/>
      <c r="D289" s="7"/>
      <c r="E289" s="7"/>
      <c r="F289" s="7"/>
      <c r="G289" s="7"/>
      <c r="H289" s="7"/>
      <c r="I289" s="7"/>
      <c r="J289" s="7"/>
      <c r="K289" s="7"/>
      <c r="L289" s="7"/>
      <c r="M289" s="7"/>
      <c r="N289" s="7"/>
      <c r="O289" s="7"/>
      <c r="P289" s="7"/>
      <c r="Q289" s="7"/>
      <c r="R289" s="64"/>
      <c r="S289" s="64"/>
      <c r="T289" s="64"/>
      <c r="U289" s="64"/>
      <c r="V289" s="64"/>
      <c r="W289" s="64"/>
    </row>
    <row r="290" spans="1:23" ht="30" customHeight="1">
      <c r="A290" s="8"/>
      <c r="B290" s="7"/>
      <c r="C290" s="33"/>
      <c r="D290" s="7"/>
      <c r="E290" s="7"/>
      <c r="F290" s="7"/>
      <c r="G290" s="7"/>
      <c r="H290" s="7"/>
      <c r="I290" s="7"/>
      <c r="J290" s="7"/>
      <c r="K290" s="7"/>
      <c r="L290" s="7"/>
      <c r="M290" s="7"/>
      <c r="N290" s="7"/>
      <c r="O290" s="7"/>
      <c r="P290" s="7"/>
      <c r="Q290" s="7"/>
      <c r="R290" s="64"/>
      <c r="S290" s="64"/>
      <c r="T290" s="64"/>
      <c r="U290" s="64"/>
      <c r="V290" s="64"/>
      <c r="W290" s="64"/>
    </row>
    <row r="291" spans="1:23" ht="30" customHeight="1">
      <c r="A291" s="8"/>
      <c r="B291" s="7"/>
      <c r="C291" s="33"/>
      <c r="D291" s="7"/>
      <c r="E291" s="7"/>
      <c r="F291" s="7"/>
      <c r="G291" s="7"/>
      <c r="H291" s="7"/>
      <c r="I291" s="7"/>
      <c r="J291" s="7"/>
      <c r="K291" s="7"/>
      <c r="L291" s="7"/>
      <c r="M291" s="7"/>
      <c r="N291" s="7"/>
      <c r="O291" s="7"/>
      <c r="P291" s="7"/>
      <c r="Q291" s="7"/>
      <c r="R291" s="64"/>
      <c r="S291" s="64"/>
      <c r="T291" s="64"/>
      <c r="U291" s="64"/>
      <c r="V291" s="64"/>
      <c r="W291" s="64"/>
    </row>
    <row r="292" spans="1:23" ht="30" customHeight="1">
      <c r="A292" s="8"/>
      <c r="B292" s="7"/>
      <c r="C292" s="33"/>
      <c r="D292" s="7"/>
      <c r="E292" s="7"/>
      <c r="F292" s="7"/>
      <c r="G292" s="7"/>
      <c r="H292" s="7"/>
      <c r="I292" s="7"/>
      <c r="J292" s="7"/>
      <c r="K292" s="7"/>
      <c r="L292" s="7"/>
      <c r="M292" s="7"/>
      <c r="N292" s="7"/>
      <c r="O292" s="7"/>
      <c r="P292" s="7"/>
      <c r="Q292" s="7"/>
      <c r="R292" s="64"/>
      <c r="S292" s="64"/>
      <c r="T292" s="64"/>
      <c r="U292" s="64"/>
      <c r="V292" s="64"/>
      <c r="W292" s="64"/>
    </row>
    <row r="293" spans="1:23" ht="30" customHeight="1">
      <c r="A293" s="8"/>
      <c r="B293" s="7"/>
      <c r="C293" s="33"/>
      <c r="D293" s="7"/>
      <c r="E293" s="7"/>
      <c r="F293" s="7"/>
      <c r="G293" s="7"/>
      <c r="H293" s="7"/>
      <c r="I293" s="7"/>
      <c r="J293" s="7"/>
      <c r="K293" s="7"/>
      <c r="L293" s="7"/>
      <c r="M293" s="7"/>
      <c r="N293" s="7"/>
      <c r="O293" s="7"/>
      <c r="P293" s="7"/>
      <c r="Q293" s="7"/>
      <c r="R293" s="64"/>
      <c r="S293" s="64"/>
      <c r="T293" s="64"/>
      <c r="U293" s="64"/>
      <c r="V293" s="64"/>
      <c r="W293" s="64"/>
    </row>
    <row r="294" spans="1:23" ht="30" customHeight="1">
      <c r="A294" s="8"/>
      <c r="B294" s="7"/>
      <c r="C294" s="33"/>
      <c r="D294" s="7"/>
      <c r="E294" s="7"/>
      <c r="F294" s="7"/>
      <c r="G294" s="7"/>
      <c r="H294" s="7"/>
      <c r="I294" s="7"/>
      <c r="J294" s="7"/>
      <c r="K294" s="7"/>
      <c r="L294" s="7"/>
      <c r="M294" s="7"/>
      <c r="N294" s="7"/>
      <c r="O294" s="7"/>
      <c r="P294" s="7"/>
      <c r="Q294" s="7"/>
      <c r="R294" s="64"/>
      <c r="S294" s="64"/>
      <c r="T294" s="64"/>
      <c r="U294" s="64"/>
      <c r="V294" s="64"/>
      <c r="W294" s="64"/>
    </row>
    <row r="295" spans="1:23" ht="30" customHeight="1">
      <c r="A295" s="8"/>
      <c r="B295" s="7"/>
      <c r="C295" s="33"/>
      <c r="D295" s="7"/>
      <c r="E295" s="7"/>
      <c r="F295" s="7"/>
      <c r="G295" s="7"/>
      <c r="H295" s="7"/>
      <c r="I295" s="7"/>
      <c r="J295" s="7"/>
      <c r="K295" s="7"/>
      <c r="L295" s="7"/>
      <c r="M295" s="7"/>
      <c r="N295" s="7"/>
      <c r="O295" s="7"/>
      <c r="P295" s="7"/>
      <c r="Q295" s="7"/>
      <c r="R295" s="64"/>
      <c r="S295" s="64"/>
      <c r="T295" s="64"/>
      <c r="U295" s="64"/>
      <c r="V295" s="64"/>
      <c r="W295" s="64"/>
    </row>
    <row r="296" spans="1:23" ht="30" customHeight="1">
      <c r="A296" s="8"/>
      <c r="B296" s="7"/>
      <c r="C296" s="33"/>
      <c r="D296" s="7"/>
      <c r="E296" s="7"/>
      <c r="F296" s="7"/>
      <c r="G296" s="7"/>
      <c r="H296" s="7"/>
      <c r="I296" s="7"/>
      <c r="J296" s="7"/>
      <c r="K296" s="7"/>
      <c r="L296" s="7"/>
      <c r="M296" s="7"/>
      <c r="N296" s="7"/>
      <c r="O296" s="7"/>
      <c r="P296" s="7"/>
      <c r="Q296" s="7"/>
      <c r="R296" s="64"/>
      <c r="S296" s="64"/>
      <c r="T296" s="64"/>
      <c r="U296" s="64"/>
      <c r="V296" s="64"/>
      <c r="W296" s="64"/>
    </row>
    <row r="297" spans="1:23" ht="30" customHeight="1">
      <c r="A297" s="8"/>
      <c r="B297" s="7"/>
      <c r="C297" s="33"/>
      <c r="D297" s="7"/>
      <c r="E297" s="7"/>
      <c r="F297" s="7"/>
      <c r="G297" s="7"/>
      <c r="H297" s="7"/>
      <c r="I297" s="7"/>
      <c r="J297" s="7"/>
      <c r="K297" s="7"/>
      <c r="L297" s="7"/>
      <c r="M297" s="7"/>
      <c r="N297" s="7"/>
      <c r="O297" s="7"/>
      <c r="P297" s="7"/>
      <c r="Q297" s="7"/>
      <c r="R297" s="64"/>
      <c r="S297" s="64"/>
      <c r="T297" s="64"/>
      <c r="U297" s="64"/>
      <c r="V297" s="64"/>
      <c r="W297" s="64"/>
    </row>
    <row r="298" spans="1:23" ht="30" customHeight="1">
      <c r="A298" s="8"/>
      <c r="B298" s="7"/>
      <c r="C298" s="33"/>
      <c r="D298" s="7"/>
      <c r="E298" s="7"/>
      <c r="F298" s="7"/>
      <c r="G298" s="7"/>
      <c r="H298" s="7"/>
      <c r="I298" s="7"/>
      <c r="J298" s="7"/>
      <c r="K298" s="7"/>
      <c r="L298" s="7"/>
      <c r="M298" s="7"/>
      <c r="N298" s="7"/>
      <c r="O298" s="7"/>
      <c r="P298" s="7"/>
      <c r="Q298" s="7"/>
      <c r="R298" s="64"/>
      <c r="S298" s="64"/>
      <c r="T298" s="64"/>
      <c r="U298" s="64"/>
      <c r="V298" s="64"/>
      <c r="W298" s="64"/>
    </row>
    <row r="299" spans="1:23" ht="30" customHeight="1">
      <c r="A299" s="8"/>
      <c r="B299" s="7"/>
      <c r="C299" s="33"/>
      <c r="D299" s="7"/>
      <c r="E299" s="7"/>
      <c r="F299" s="7"/>
      <c r="G299" s="7"/>
      <c r="H299" s="7"/>
      <c r="I299" s="7"/>
      <c r="J299" s="7"/>
      <c r="K299" s="7"/>
      <c r="L299" s="7"/>
      <c r="M299" s="7"/>
      <c r="N299" s="7"/>
      <c r="O299" s="7"/>
      <c r="P299" s="7"/>
      <c r="Q299" s="7"/>
      <c r="R299" s="64"/>
      <c r="S299" s="64"/>
      <c r="T299" s="64"/>
      <c r="U299" s="64"/>
      <c r="V299" s="64"/>
      <c r="W299" s="64"/>
    </row>
    <row r="300" spans="1:23" ht="30" customHeight="1">
      <c r="A300" s="8"/>
      <c r="B300" s="7"/>
      <c r="C300" s="33"/>
      <c r="D300" s="7"/>
      <c r="E300" s="7"/>
      <c r="F300" s="7"/>
      <c r="G300" s="7"/>
      <c r="H300" s="7"/>
      <c r="I300" s="7"/>
      <c r="J300" s="7"/>
      <c r="K300" s="7"/>
      <c r="L300" s="7"/>
      <c r="M300" s="7"/>
      <c r="N300" s="7"/>
      <c r="O300" s="7"/>
      <c r="P300" s="7"/>
      <c r="Q300" s="7"/>
      <c r="R300" s="64"/>
      <c r="S300" s="64"/>
      <c r="T300" s="64"/>
      <c r="U300" s="64"/>
      <c r="V300" s="64"/>
      <c r="W300" s="64"/>
    </row>
    <row r="301" spans="1:23" ht="30" customHeight="1">
      <c r="A301" s="8"/>
      <c r="B301" s="7"/>
      <c r="C301" s="33"/>
      <c r="D301" s="7"/>
      <c r="E301" s="7"/>
      <c r="F301" s="7"/>
      <c r="G301" s="7"/>
      <c r="H301" s="7"/>
      <c r="I301" s="7"/>
      <c r="J301" s="7"/>
      <c r="K301" s="7"/>
      <c r="L301" s="7"/>
      <c r="M301" s="7"/>
      <c r="N301" s="7"/>
      <c r="O301" s="7"/>
      <c r="P301" s="7"/>
      <c r="Q301" s="7"/>
      <c r="R301" s="64"/>
      <c r="S301" s="64"/>
      <c r="T301" s="64"/>
      <c r="U301" s="64"/>
      <c r="V301" s="64"/>
      <c r="W301" s="64"/>
    </row>
    <row r="302" spans="1:23" ht="30" customHeight="1">
      <c r="A302" s="8"/>
      <c r="B302" s="7"/>
      <c r="C302" s="33"/>
      <c r="D302" s="7"/>
      <c r="E302" s="7"/>
      <c r="F302" s="7"/>
      <c r="G302" s="7"/>
      <c r="H302" s="7"/>
      <c r="I302" s="7"/>
      <c r="J302" s="7"/>
      <c r="K302" s="7"/>
      <c r="L302" s="7"/>
      <c r="M302" s="7"/>
      <c r="N302" s="7"/>
      <c r="O302" s="7"/>
      <c r="P302" s="7"/>
      <c r="Q302" s="7"/>
      <c r="R302" s="64"/>
      <c r="S302" s="64"/>
      <c r="T302" s="64"/>
      <c r="U302" s="64"/>
      <c r="V302" s="64"/>
      <c r="W302" s="64"/>
    </row>
    <row r="303" spans="1:23" ht="30" customHeight="1">
      <c r="A303" s="8"/>
      <c r="B303" s="7"/>
      <c r="C303" s="33"/>
      <c r="D303" s="7"/>
      <c r="E303" s="7"/>
      <c r="F303" s="7"/>
      <c r="G303" s="7"/>
      <c r="H303" s="7"/>
      <c r="I303" s="7"/>
      <c r="J303" s="7"/>
      <c r="K303" s="7"/>
      <c r="L303" s="7"/>
      <c r="M303" s="7"/>
      <c r="N303" s="7"/>
      <c r="O303" s="7"/>
      <c r="P303" s="7"/>
      <c r="Q303" s="7"/>
      <c r="R303" s="64"/>
      <c r="S303" s="64"/>
      <c r="T303" s="64"/>
      <c r="U303" s="64"/>
      <c r="V303" s="64"/>
      <c r="W303" s="64"/>
    </row>
    <row r="304" spans="1:23" ht="30" customHeight="1">
      <c r="A304" s="8"/>
      <c r="B304" s="7"/>
      <c r="C304" s="33"/>
      <c r="D304" s="7"/>
      <c r="E304" s="7"/>
      <c r="F304" s="7"/>
      <c r="G304" s="7"/>
      <c r="H304" s="7"/>
      <c r="I304" s="7"/>
      <c r="J304" s="7"/>
      <c r="K304" s="7"/>
      <c r="L304" s="7"/>
      <c r="M304" s="7"/>
      <c r="N304" s="7"/>
      <c r="O304" s="7"/>
      <c r="P304" s="7"/>
      <c r="Q304" s="7"/>
      <c r="R304" s="64"/>
      <c r="S304" s="64"/>
      <c r="T304" s="64"/>
      <c r="U304" s="64"/>
      <c r="V304" s="64"/>
      <c r="W304" s="64"/>
    </row>
    <row r="305" spans="1:23" ht="30" customHeight="1">
      <c r="A305" s="8"/>
      <c r="B305" s="7"/>
      <c r="C305" s="33"/>
      <c r="D305" s="7"/>
      <c r="E305" s="7"/>
      <c r="F305" s="7"/>
      <c r="G305" s="7"/>
      <c r="H305" s="7"/>
      <c r="I305" s="7"/>
      <c r="J305" s="7"/>
      <c r="K305" s="7"/>
      <c r="L305" s="7"/>
      <c r="M305" s="7"/>
      <c r="N305" s="7"/>
      <c r="O305" s="7"/>
      <c r="P305" s="7"/>
      <c r="Q305" s="7"/>
      <c r="R305" s="64"/>
      <c r="S305" s="64"/>
      <c r="T305" s="64"/>
      <c r="U305" s="64"/>
      <c r="V305" s="64"/>
      <c r="W305" s="64"/>
    </row>
    <row r="306" spans="1:23" ht="30" customHeight="1">
      <c r="A306" s="8"/>
      <c r="B306" s="7"/>
      <c r="C306" s="33"/>
      <c r="D306" s="7"/>
      <c r="E306" s="7"/>
      <c r="F306" s="7"/>
      <c r="G306" s="7"/>
      <c r="H306" s="7"/>
      <c r="I306" s="7"/>
      <c r="J306" s="7"/>
      <c r="K306" s="7"/>
      <c r="L306" s="7"/>
      <c r="M306" s="7"/>
      <c r="N306" s="7"/>
      <c r="O306" s="7"/>
      <c r="P306" s="7"/>
      <c r="Q306" s="7"/>
      <c r="R306" s="64"/>
      <c r="S306" s="64"/>
      <c r="T306" s="64"/>
      <c r="U306" s="64"/>
      <c r="V306" s="64"/>
      <c r="W306" s="64"/>
    </row>
    <row r="307" spans="1:23" ht="30" customHeight="1">
      <c r="A307" s="8"/>
      <c r="B307" s="7"/>
      <c r="C307" s="33"/>
      <c r="D307" s="7"/>
      <c r="E307" s="7"/>
      <c r="F307" s="7"/>
      <c r="G307" s="7"/>
      <c r="H307" s="7"/>
      <c r="I307" s="7"/>
      <c r="J307" s="7"/>
      <c r="K307" s="7"/>
      <c r="L307" s="7"/>
      <c r="M307" s="7"/>
      <c r="N307" s="7"/>
      <c r="O307" s="7"/>
      <c r="P307" s="7"/>
      <c r="Q307" s="7"/>
      <c r="R307" s="64"/>
      <c r="S307" s="64"/>
      <c r="T307" s="64"/>
      <c r="U307" s="64"/>
      <c r="V307" s="64"/>
      <c r="W307" s="64"/>
    </row>
    <row r="308" spans="1:23" ht="30" customHeight="1">
      <c r="A308" s="8"/>
      <c r="B308" s="7"/>
      <c r="C308" s="33"/>
      <c r="D308" s="7"/>
      <c r="E308" s="7"/>
      <c r="F308" s="7"/>
      <c r="G308" s="7"/>
      <c r="H308" s="7"/>
      <c r="I308" s="7"/>
      <c r="J308" s="7"/>
      <c r="K308" s="7"/>
      <c r="L308" s="7"/>
      <c r="M308" s="7"/>
      <c r="N308" s="7"/>
      <c r="O308" s="7"/>
      <c r="P308" s="7"/>
      <c r="Q308" s="7"/>
      <c r="R308" s="64"/>
      <c r="S308" s="64"/>
      <c r="T308" s="64"/>
      <c r="U308" s="64"/>
      <c r="V308" s="64"/>
      <c r="W308" s="64"/>
    </row>
    <row r="309" spans="1:23" ht="30" customHeight="1">
      <c r="A309" s="8"/>
      <c r="B309" s="7"/>
      <c r="C309" s="33"/>
      <c r="D309" s="7"/>
      <c r="E309" s="7"/>
      <c r="F309" s="7"/>
      <c r="G309" s="7"/>
      <c r="H309" s="7"/>
      <c r="I309" s="7"/>
      <c r="J309" s="7"/>
      <c r="K309" s="7"/>
      <c r="L309" s="7"/>
      <c r="M309" s="7"/>
      <c r="N309" s="7"/>
      <c r="O309" s="7"/>
      <c r="P309" s="7"/>
      <c r="Q309" s="7"/>
      <c r="R309" s="64"/>
      <c r="S309" s="64"/>
      <c r="T309" s="64"/>
      <c r="U309" s="64"/>
      <c r="V309" s="64"/>
      <c r="W309" s="64"/>
    </row>
    <row r="310" spans="1:23" ht="30" customHeight="1">
      <c r="A310" s="8"/>
      <c r="B310" s="7"/>
      <c r="C310" s="33"/>
      <c r="D310" s="7"/>
      <c r="E310" s="7"/>
      <c r="F310" s="7"/>
      <c r="G310" s="7"/>
      <c r="H310" s="7"/>
      <c r="I310" s="7"/>
      <c r="J310" s="7"/>
      <c r="K310" s="7"/>
      <c r="L310" s="7"/>
      <c r="M310" s="7"/>
      <c r="N310" s="7"/>
      <c r="O310" s="7"/>
      <c r="P310" s="7"/>
      <c r="Q310" s="7"/>
      <c r="R310" s="64"/>
      <c r="S310" s="64"/>
      <c r="T310" s="64"/>
      <c r="U310" s="64"/>
      <c r="V310" s="64"/>
      <c r="W310" s="64"/>
    </row>
    <row r="311" spans="1:23" ht="30" customHeight="1">
      <c r="A311" s="8"/>
      <c r="B311" s="7"/>
      <c r="C311" s="33"/>
      <c r="D311" s="7"/>
      <c r="E311" s="7"/>
      <c r="F311" s="7"/>
      <c r="G311" s="7"/>
      <c r="H311" s="7"/>
      <c r="I311" s="7"/>
      <c r="J311" s="7"/>
      <c r="K311" s="7"/>
      <c r="L311" s="7"/>
      <c r="M311" s="7"/>
      <c r="N311" s="7"/>
      <c r="O311" s="7"/>
      <c r="P311" s="7"/>
      <c r="Q311" s="7"/>
      <c r="R311" s="64"/>
      <c r="S311" s="64"/>
      <c r="T311" s="64"/>
      <c r="U311" s="64"/>
      <c r="V311" s="64"/>
      <c r="W311" s="64"/>
    </row>
    <row r="312" spans="1:23" ht="30" customHeight="1">
      <c r="A312" s="8"/>
      <c r="B312" s="7"/>
      <c r="C312" s="33"/>
      <c r="D312" s="7"/>
      <c r="E312" s="7"/>
      <c r="F312" s="7"/>
      <c r="G312" s="7"/>
      <c r="H312" s="7"/>
      <c r="I312" s="7"/>
      <c r="J312" s="7"/>
      <c r="K312" s="7"/>
      <c r="L312" s="7"/>
      <c r="M312" s="7"/>
      <c r="N312" s="7"/>
      <c r="O312" s="7"/>
      <c r="P312" s="7"/>
      <c r="Q312" s="7"/>
      <c r="R312" s="64"/>
      <c r="S312" s="64"/>
      <c r="T312" s="64"/>
      <c r="U312" s="64"/>
      <c r="V312" s="64"/>
      <c r="W312" s="64"/>
    </row>
    <row r="313" spans="1:23" ht="30" customHeight="1">
      <c r="A313" s="8"/>
      <c r="B313" s="7"/>
      <c r="C313" s="33"/>
      <c r="D313" s="7"/>
      <c r="E313" s="7"/>
      <c r="F313" s="7"/>
      <c r="G313" s="7"/>
      <c r="H313" s="7"/>
      <c r="I313" s="7"/>
      <c r="J313" s="7"/>
      <c r="K313" s="7"/>
      <c r="L313" s="7"/>
      <c r="M313" s="7"/>
      <c r="N313" s="7"/>
      <c r="O313" s="7"/>
      <c r="P313" s="7"/>
      <c r="Q313" s="7"/>
      <c r="R313" s="64"/>
      <c r="S313" s="64"/>
      <c r="T313" s="64"/>
      <c r="U313" s="64"/>
      <c r="V313" s="64"/>
      <c r="W313" s="64"/>
    </row>
    <row r="314" spans="1:23" ht="30" customHeight="1">
      <c r="A314" s="8"/>
      <c r="B314" s="7"/>
      <c r="C314" s="33"/>
      <c r="D314" s="7"/>
      <c r="E314" s="7"/>
      <c r="F314" s="7"/>
      <c r="G314" s="7"/>
      <c r="H314" s="7"/>
      <c r="I314" s="7"/>
      <c r="J314" s="7"/>
      <c r="K314" s="7"/>
      <c r="L314" s="7"/>
      <c r="M314" s="7"/>
      <c r="N314" s="7"/>
      <c r="O314" s="7"/>
      <c r="P314" s="7"/>
      <c r="Q314" s="7"/>
      <c r="R314" s="64"/>
      <c r="S314" s="64"/>
      <c r="T314" s="64"/>
      <c r="U314" s="64"/>
      <c r="V314" s="64"/>
      <c r="W314" s="64"/>
    </row>
    <row r="315" spans="1:23" ht="30" customHeight="1">
      <c r="A315" s="8"/>
      <c r="B315" s="7"/>
      <c r="C315" s="33"/>
      <c r="D315" s="7"/>
      <c r="E315" s="7"/>
      <c r="F315" s="7"/>
      <c r="G315" s="7"/>
      <c r="H315" s="7"/>
      <c r="I315" s="7"/>
      <c r="J315" s="7"/>
      <c r="K315" s="7"/>
      <c r="L315" s="7"/>
      <c r="M315" s="7"/>
      <c r="N315" s="7"/>
      <c r="O315" s="7"/>
      <c r="P315" s="7"/>
      <c r="Q315" s="7"/>
      <c r="R315" s="64"/>
      <c r="S315" s="64"/>
      <c r="T315" s="64"/>
      <c r="U315" s="64"/>
      <c r="V315" s="64"/>
      <c r="W315" s="64"/>
    </row>
    <row r="316" spans="1:23" ht="30" customHeight="1">
      <c r="A316" s="8"/>
      <c r="B316" s="7"/>
      <c r="C316" s="33"/>
      <c r="D316" s="7"/>
      <c r="E316" s="7"/>
      <c r="F316" s="7"/>
      <c r="G316" s="7"/>
      <c r="H316" s="7"/>
      <c r="I316" s="7"/>
      <c r="J316" s="7"/>
      <c r="K316" s="7"/>
      <c r="L316" s="7"/>
      <c r="M316" s="7"/>
      <c r="N316" s="7"/>
      <c r="O316" s="7"/>
      <c r="P316" s="7"/>
      <c r="Q316" s="7"/>
      <c r="R316" s="64"/>
      <c r="S316" s="64"/>
      <c r="T316" s="64"/>
      <c r="U316" s="64"/>
      <c r="V316" s="64"/>
      <c r="W316" s="64"/>
    </row>
    <row r="317" spans="1:23" ht="30" customHeight="1">
      <c r="A317" s="8"/>
      <c r="B317" s="7"/>
      <c r="C317" s="33"/>
      <c r="D317" s="7"/>
      <c r="E317" s="7"/>
      <c r="F317" s="7"/>
      <c r="G317" s="7"/>
      <c r="H317" s="7"/>
      <c r="I317" s="7"/>
      <c r="J317" s="7"/>
      <c r="K317" s="7"/>
      <c r="L317" s="7"/>
      <c r="M317" s="7"/>
      <c r="N317" s="7"/>
      <c r="O317" s="7"/>
      <c r="P317" s="7"/>
      <c r="Q317" s="7"/>
      <c r="R317" s="64"/>
      <c r="S317" s="64"/>
      <c r="T317" s="64"/>
      <c r="U317" s="64"/>
      <c r="V317" s="64"/>
      <c r="W317" s="64"/>
    </row>
    <row r="318" spans="1:23" ht="30" customHeight="1">
      <c r="A318" s="8"/>
      <c r="B318" s="7"/>
      <c r="C318" s="33"/>
      <c r="D318" s="7"/>
      <c r="E318" s="7"/>
      <c r="F318" s="7"/>
      <c r="G318" s="7"/>
      <c r="H318" s="7"/>
      <c r="I318" s="7"/>
      <c r="J318" s="7"/>
      <c r="K318" s="7"/>
      <c r="L318" s="7"/>
      <c r="M318" s="7"/>
      <c r="N318" s="7"/>
      <c r="O318" s="7"/>
      <c r="P318" s="7"/>
      <c r="Q318" s="7"/>
      <c r="R318" s="64"/>
      <c r="S318" s="64"/>
      <c r="T318" s="64"/>
      <c r="U318" s="64"/>
      <c r="V318" s="64"/>
      <c r="W318" s="64"/>
    </row>
    <row r="319" spans="1:23" ht="30" customHeight="1">
      <c r="A319" s="8"/>
      <c r="B319" s="7"/>
      <c r="C319" s="33"/>
      <c r="D319" s="7"/>
      <c r="E319" s="7"/>
      <c r="F319" s="7"/>
      <c r="G319" s="7"/>
      <c r="H319" s="7"/>
      <c r="I319" s="7"/>
      <c r="J319" s="7"/>
      <c r="K319" s="7"/>
      <c r="L319" s="7"/>
      <c r="M319" s="7"/>
      <c r="N319" s="7"/>
      <c r="O319" s="7"/>
      <c r="P319" s="7"/>
      <c r="Q319" s="7"/>
      <c r="R319" s="64"/>
      <c r="S319" s="64"/>
      <c r="T319" s="64"/>
      <c r="U319" s="64"/>
      <c r="V319" s="64"/>
      <c r="W319" s="64"/>
    </row>
    <row r="320" spans="1:23" ht="30" customHeight="1">
      <c r="A320" s="8"/>
      <c r="B320" s="7"/>
      <c r="C320" s="33"/>
      <c r="D320" s="7"/>
      <c r="E320" s="7"/>
      <c r="F320" s="7"/>
      <c r="G320" s="7"/>
      <c r="H320" s="7"/>
      <c r="I320" s="7"/>
      <c r="J320" s="7"/>
      <c r="K320" s="7"/>
      <c r="L320" s="7"/>
      <c r="M320" s="7"/>
      <c r="N320" s="7"/>
      <c r="O320" s="7"/>
      <c r="P320" s="7"/>
      <c r="Q320" s="7"/>
      <c r="R320" s="64"/>
      <c r="S320" s="64"/>
      <c r="T320" s="64"/>
      <c r="U320" s="64"/>
      <c r="V320" s="64"/>
      <c r="W320" s="64"/>
    </row>
    <row r="321" spans="1:23" ht="30" customHeight="1">
      <c r="A321" s="8"/>
      <c r="B321" s="7"/>
      <c r="C321" s="33"/>
      <c r="D321" s="7"/>
      <c r="E321" s="7"/>
      <c r="F321" s="7"/>
      <c r="G321" s="7"/>
      <c r="H321" s="7"/>
      <c r="I321" s="7"/>
      <c r="J321" s="7"/>
      <c r="K321" s="7"/>
      <c r="L321" s="7"/>
      <c r="M321" s="7"/>
      <c r="N321" s="7"/>
      <c r="O321" s="7"/>
      <c r="P321" s="7"/>
      <c r="Q321" s="7"/>
      <c r="R321" s="64"/>
      <c r="S321" s="64"/>
      <c r="T321" s="64"/>
      <c r="U321" s="64"/>
      <c r="V321" s="64"/>
      <c r="W321" s="64"/>
    </row>
    <row r="322" spans="1:23" ht="30" customHeight="1">
      <c r="A322" s="8"/>
      <c r="B322" s="7"/>
      <c r="C322" s="33"/>
      <c r="D322" s="7"/>
      <c r="E322" s="7"/>
      <c r="F322" s="7"/>
      <c r="G322" s="7"/>
      <c r="H322" s="7"/>
      <c r="I322" s="7"/>
      <c r="J322" s="7"/>
      <c r="K322" s="7"/>
      <c r="L322" s="7"/>
      <c r="M322" s="7"/>
      <c r="N322" s="7"/>
      <c r="O322" s="7"/>
      <c r="P322" s="7"/>
      <c r="Q322" s="7"/>
      <c r="R322" s="64"/>
      <c r="S322" s="64"/>
      <c r="T322" s="64"/>
      <c r="U322" s="64"/>
      <c r="V322" s="64"/>
      <c r="W322" s="64"/>
    </row>
    <row r="323" spans="1:23" ht="30" customHeight="1">
      <c r="A323" s="8"/>
      <c r="B323" s="7"/>
      <c r="C323" s="33"/>
      <c r="D323" s="7"/>
      <c r="E323" s="7"/>
      <c r="F323" s="7"/>
      <c r="G323" s="7"/>
      <c r="H323" s="7"/>
      <c r="I323" s="7"/>
      <c r="J323" s="7"/>
      <c r="K323" s="7"/>
      <c r="L323" s="7"/>
      <c r="M323" s="7"/>
      <c r="N323" s="7"/>
      <c r="O323" s="7"/>
      <c r="P323" s="7"/>
      <c r="Q323" s="7"/>
      <c r="R323" s="64"/>
      <c r="S323" s="64"/>
      <c r="T323" s="64"/>
      <c r="U323" s="64"/>
      <c r="V323" s="64"/>
      <c r="W323" s="64"/>
    </row>
    <row r="324" spans="1:23" ht="30" customHeight="1">
      <c r="A324" s="8"/>
      <c r="B324" s="7"/>
      <c r="C324" s="33"/>
      <c r="D324" s="7"/>
      <c r="E324" s="7"/>
      <c r="F324" s="7"/>
      <c r="G324" s="7"/>
      <c r="H324" s="7"/>
      <c r="I324" s="7"/>
      <c r="J324" s="7"/>
      <c r="K324" s="7"/>
      <c r="L324" s="7"/>
      <c r="M324" s="7"/>
      <c r="N324" s="7"/>
      <c r="O324" s="7"/>
      <c r="P324" s="7"/>
      <c r="Q324" s="7"/>
      <c r="R324" s="64"/>
      <c r="S324" s="64"/>
      <c r="T324" s="64"/>
      <c r="U324" s="64"/>
      <c r="V324" s="64"/>
      <c r="W324" s="64"/>
    </row>
    <row r="325" spans="1:23" ht="30" customHeight="1">
      <c r="A325" s="8"/>
      <c r="B325" s="7"/>
      <c r="C325" s="33"/>
      <c r="D325" s="7"/>
      <c r="E325" s="7"/>
      <c r="F325" s="7"/>
      <c r="G325" s="7"/>
      <c r="H325" s="7"/>
      <c r="I325" s="7"/>
      <c r="J325" s="7"/>
      <c r="K325" s="7"/>
      <c r="L325" s="7"/>
      <c r="M325" s="7"/>
      <c r="N325" s="7"/>
      <c r="O325" s="7"/>
      <c r="P325" s="7"/>
      <c r="Q325" s="7"/>
      <c r="R325" s="64"/>
      <c r="S325" s="64"/>
      <c r="T325" s="64"/>
      <c r="U325" s="64"/>
      <c r="V325" s="64"/>
      <c r="W325" s="64"/>
    </row>
    <row r="326" spans="1:23" ht="30" customHeight="1">
      <c r="A326" s="8"/>
      <c r="B326" s="7"/>
      <c r="C326" s="33"/>
      <c r="D326" s="7"/>
      <c r="E326" s="7"/>
      <c r="F326" s="7"/>
      <c r="G326" s="7"/>
      <c r="H326" s="7"/>
      <c r="I326" s="7"/>
      <c r="J326" s="7"/>
      <c r="K326" s="7"/>
      <c r="L326" s="7"/>
      <c r="M326" s="7"/>
      <c r="N326" s="7"/>
      <c r="O326" s="7"/>
      <c r="P326" s="7"/>
      <c r="Q326" s="7"/>
      <c r="R326" s="64"/>
      <c r="S326" s="64"/>
      <c r="T326" s="64"/>
      <c r="U326" s="64"/>
      <c r="V326" s="64"/>
      <c r="W326" s="64"/>
    </row>
    <row r="327" spans="1:23" ht="30" customHeight="1">
      <c r="A327" s="8"/>
      <c r="B327" s="7"/>
      <c r="C327" s="33"/>
      <c r="D327" s="7"/>
      <c r="E327" s="7"/>
      <c r="F327" s="7"/>
      <c r="G327" s="7"/>
      <c r="H327" s="7"/>
      <c r="I327" s="7"/>
      <c r="J327" s="7"/>
      <c r="K327" s="7"/>
      <c r="L327" s="7"/>
      <c r="M327" s="7"/>
      <c r="N327" s="7"/>
      <c r="O327" s="7"/>
      <c r="P327" s="7"/>
      <c r="Q327" s="7"/>
      <c r="R327" s="64"/>
      <c r="S327" s="64"/>
      <c r="T327" s="64"/>
      <c r="U327" s="64"/>
      <c r="V327" s="64"/>
      <c r="W327" s="64"/>
    </row>
    <row r="328" spans="1:23" ht="30" customHeight="1">
      <c r="A328" s="8"/>
      <c r="B328" s="7"/>
      <c r="C328" s="33"/>
      <c r="D328" s="7"/>
      <c r="E328" s="7"/>
      <c r="F328" s="7"/>
      <c r="G328" s="7"/>
      <c r="H328" s="7"/>
      <c r="I328" s="7"/>
      <c r="J328" s="7"/>
      <c r="K328" s="7"/>
      <c r="L328" s="7"/>
      <c r="M328" s="7"/>
      <c r="N328" s="7"/>
      <c r="O328" s="7"/>
      <c r="P328" s="7"/>
      <c r="Q328" s="7"/>
      <c r="R328" s="64"/>
      <c r="S328" s="64"/>
      <c r="T328" s="64"/>
      <c r="U328" s="64"/>
      <c r="V328" s="64"/>
      <c r="W328" s="64"/>
    </row>
    <row r="329" spans="1:23" ht="30" customHeight="1">
      <c r="A329" s="8"/>
      <c r="B329" s="7"/>
      <c r="C329" s="33"/>
      <c r="D329" s="7"/>
      <c r="E329" s="7"/>
      <c r="F329" s="7"/>
      <c r="G329" s="7"/>
      <c r="H329" s="7"/>
      <c r="I329" s="7"/>
      <c r="J329" s="7"/>
      <c r="K329" s="7"/>
      <c r="L329" s="7"/>
      <c r="M329" s="7"/>
      <c r="N329" s="7"/>
      <c r="O329" s="7"/>
      <c r="P329" s="7"/>
      <c r="Q329" s="7"/>
      <c r="R329" s="64"/>
      <c r="S329" s="64"/>
      <c r="T329" s="64"/>
      <c r="U329" s="64"/>
      <c r="V329" s="64"/>
      <c r="W329" s="64"/>
    </row>
    <row r="330" spans="1:23" ht="30" customHeight="1">
      <c r="A330" s="8"/>
      <c r="B330" s="7"/>
      <c r="C330" s="33"/>
      <c r="D330" s="7"/>
      <c r="E330" s="7"/>
      <c r="F330" s="7"/>
      <c r="G330" s="7"/>
      <c r="H330" s="7"/>
      <c r="I330" s="7"/>
      <c r="J330" s="7"/>
      <c r="K330" s="7"/>
      <c r="L330" s="7"/>
      <c r="M330" s="7"/>
      <c r="N330" s="7"/>
      <c r="O330" s="7"/>
      <c r="P330" s="7"/>
      <c r="Q330" s="7"/>
      <c r="R330" s="64"/>
      <c r="S330" s="64"/>
      <c r="T330" s="64"/>
      <c r="U330" s="64"/>
      <c r="V330" s="64"/>
      <c r="W330" s="64"/>
    </row>
    <row r="331" spans="1:23" ht="30" customHeight="1">
      <c r="A331" s="8"/>
      <c r="B331" s="7"/>
      <c r="C331" s="33"/>
      <c r="D331" s="7"/>
      <c r="E331" s="7"/>
      <c r="F331" s="7"/>
      <c r="G331" s="7"/>
      <c r="H331" s="7"/>
      <c r="I331" s="7"/>
      <c r="J331" s="7"/>
      <c r="K331" s="7"/>
      <c r="L331" s="7"/>
      <c r="M331" s="7"/>
      <c r="N331" s="7"/>
      <c r="O331" s="7"/>
      <c r="P331" s="7"/>
      <c r="Q331" s="7"/>
      <c r="R331" s="64"/>
      <c r="S331" s="64"/>
      <c r="T331" s="64"/>
      <c r="U331" s="64"/>
      <c r="V331" s="64"/>
      <c r="W331" s="64"/>
    </row>
    <row r="332" spans="1:23" ht="30" customHeight="1">
      <c r="A332" s="8"/>
      <c r="B332" s="7"/>
      <c r="C332" s="33"/>
      <c r="D332" s="7"/>
      <c r="E332" s="7"/>
      <c r="F332" s="7"/>
      <c r="G332" s="7"/>
      <c r="H332" s="7"/>
      <c r="I332" s="7"/>
      <c r="J332" s="7"/>
      <c r="K332" s="7"/>
      <c r="L332" s="7"/>
      <c r="M332" s="7"/>
      <c r="N332" s="7"/>
      <c r="O332" s="7"/>
      <c r="P332" s="7"/>
      <c r="Q332" s="7"/>
      <c r="R332" s="64"/>
      <c r="S332" s="64"/>
      <c r="T332" s="64"/>
      <c r="U332" s="64"/>
      <c r="V332" s="64"/>
      <c r="W332" s="64"/>
    </row>
    <row r="333" spans="1:23" ht="30" customHeight="1">
      <c r="A333" s="8"/>
      <c r="B333" s="7"/>
      <c r="C333" s="33"/>
      <c r="D333" s="7"/>
      <c r="E333" s="7"/>
      <c r="F333" s="7"/>
      <c r="G333" s="7"/>
      <c r="H333" s="7"/>
      <c r="I333" s="7"/>
      <c r="J333" s="7"/>
      <c r="K333" s="7"/>
      <c r="L333" s="7"/>
      <c r="M333" s="7"/>
      <c r="N333" s="7"/>
      <c r="O333" s="7"/>
      <c r="P333" s="7"/>
      <c r="Q333" s="7"/>
      <c r="R333" s="64"/>
      <c r="S333" s="64"/>
      <c r="T333" s="64"/>
      <c r="U333" s="64"/>
      <c r="V333" s="64"/>
      <c r="W333" s="64"/>
    </row>
    <row r="334" spans="1:23" ht="30" customHeight="1">
      <c r="A334" s="8"/>
      <c r="B334" s="7"/>
      <c r="C334" s="33"/>
      <c r="D334" s="7"/>
      <c r="E334" s="7"/>
      <c r="F334" s="7"/>
      <c r="G334" s="7"/>
      <c r="H334" s="7"/>
      <c r="I334" s="7"/>
      <c r="J334" s="7"/>
      <c r="K334" s="7"/>
      <c r="L334" s="7"/>
      <c r="M334" s="7"/>
      <c r="N334" s="7"/>
      <c r="O334" s="7"/>
      <c r="P334" s="7"/>
      <c r="Q334" s="7"/>
      <c r="R334" s="64"/>
      <c r="S334" s="64"/>
      <c r="T334" s="64"/>
      <c r="U334" s="64"/>
      <c r="V334" s="64"/>
      <c r="W334" s="64"/>
    </row>
    <row r="335" spans="1:23" ht="30" customHeight="1">
      <c r="A335" s="8"/>
      <c r="B335" s="7"/>
      <c r="C335" s="33"/>
      <c r="D335" s="7"/>
      <c r="E335" s="7"/>
      <c r="F335" s="7"/>
      <c r="G335" s="7"/>
      <c r="H335" s="7"/>
      <c r="I335" s="7"/>
      <c r="J335" s="7"/>
      <c r="K335" s="7"/>
      <c r="L335" s="7"/>
      <c r="M335" s="7"/>
      <c r="N335" s="7"/>
      <c r="O335" s="7"/>
      <c r="P335" s="7"/>
      <c r="Q335" s="7"/>
      <c r="R335" s="64"/>
      <c r="S335" s="64"/>
      <c r="T335" s="64"/>
      <c r="U335" s="64"/>
      <c r="V335" s="64"/>
      <c r="W335" s="64"/>
    </row>
    <row r="336" spans="1:23" ht="30" customHeight="1">
      <c r="A336" s="8"/>
      <c r="B336" s="7"/>
      <c r="C336" s="33"/>
      <c r="D336" s="7"/>
      <c r="E336" s="7"/>
      <c r="F336" s="7"/>
      <c r="G336" s="7"/>
      <c r="H336" s="7"/>
      <c r="I336" s="7"/>
      <c r="J336" s="7"/>
      <c r="K336" s="7"/>
      <c r="L336" s="7"/>
      <c r="M336" s="7"/>
      <c r="N336" s="7"/>
      <c r="O336" s="7"/>
      <c r="P336" s="7"/>
      <c r="Q336" s="7"/>
      <c r="R336" s="64"/>
      <c r="S336" s="64"/>
      <c r="T336" s="64"/>
      <c r="U336" s="64"/>
      <c r="V336" s="64"/>
      <c r="W336" s="64"/>
    </row>
    <row r="337" spans="1:23" ht="30" customHeight="1">
      <c r="A337" s="8"/>
      <c r="B337" s="7"/>
      <c r="C337" s="33"/>
      <c r="D337" s="7"/>
      <c r="E337" s="7"/>
      <c r="F337" s="7"/>
      <c r="G337" s="7"/>
      <c r="H337" s="7"/>
      <c r="I337" s="7"/>
      <c r="J337" s="7"/>
      <c r="K337" s="7"/>
      <c r="L337" s="7"/>
      <c r="M337" s="7"/>
      <c r="N337" s="7"/>
      <c r="O337" s="7"/>
      <c r="P337" s="7"/>
      <c r="Q337" s="7"/>
      <c r="R337" s="64"/>
      <c r="S337" s="64"/>
      <c r="T337" s="64"/>
      <c r="U337" s="64"/>
      <c r="V337" s="64"/>
      <c r="W337" s="64"/>
    </row>
    <row r="338" spans="1:23" ht="30" customHeight="1">
      <c r="A338" s="8"/>
      <c r="B338" s="7"/>
      <c r="C338" s="33"/>
      <c r="D338" s="7"/>
      <c r="E338" s="7"/>
      <c r="F338" s="7"/>
      <c r="G338" s="7"/>
      <c r="H338" s="7"/>
      <c r="I338" s="7"/>
      <c r="J338" s="7"/>
      <c r="K338" s="7"/>
      <c r="L338" s="7"/>
      <c r="M338" s="7"/>
      <c r="N338" s="7"/>
      <c r="O338" s="7"/>
      <c r="P338" s="7"/>
      <c r="Q338" s="7"/>
      <c r="R338" s="64"/>
      <c r="S338" s="64"/>
      <c r="T338" s="64"/>
      <c r="U338" s="64"/>
      <c r="V338" s="64"/>
      <c r="W338" s="64"/>
    </row>
    <row r="339" spans="1:23" ht="30" customHeight="1">
      <c r="A339" s="8"/>
      <c r="B339" s="7"/>
      <c r="C339" s="33"/>
      <c r="D339" s="7"/>
      <c r="E339" s="7"/>
      <c r="F339" s="7"/>
      <c r="G339" s="7"/>
      <c r="H339" s="7"/>
      <c r="I339" s="7"/>
      <c r="J339" s="7"/>
      <c r="K339" s="7"/>
      <c r="L339" s="7"/>
      <c r="M339" s="7"/>
      <c r="N339" s="7"/>
      <c r="O339" s="7"/>
      <c r="P339" s="7"/>
      <c r="Q339" s="7"/>
      <c r="R339" s="64"/>
      <c r="S339" s="64"/>
      <c r="T339" s="64"/>
      <c r="U339" s="64"/>
      <c r="V339" s="64"/>
      <c r="W339" s="64"/>
    </row>
    <row r="340" spans="1:23" ht="30" customHeight="1">
      <c r="A340" s="8"/>
      <c r="B340" s="7"/>
      <c r="C340" s="33"/>
      <c r="D340" s="7"/>
      <c r="E340" s="7"/>
      <c r="F340" s="7"/>
      <c r="G340" s="7"/>
      <c r="H340" s="7"/>
      <c r="I340" s="7"/>
      <c r="J340" s="7"/>
      <c r="K340" s="7"/>
      <c r="L340" s="7"/>
      <c r="M340" s="7"/>
      <c r="N340" s="7"/>
      <c r="O340" s="7"/>
      <c r="P340" s="7"/>
      <c r="Q340" s="7"/>
      <c r="R340" s="64"/>
      <c r="S340" s="64"/>
      <c r="T340" s="64"/>
      <c r="U340" s="64"/>
      <c r="V340" s="64"/>
      <c r="W340" s="64"/>
    </row>
    <row r="341" spans="1:23" ht="30" customHeight="1">
      <c r="A341" s="8"/>
      <c r="B341" s="7"/>
      <c r="C341" s="33"/>
      <c r="D341" s="7"/>
      <c r="E341" s="7"/>
      <c r="F341" s="7"/>
      <c r="G341" s="7"/>
      <c r="H341" s="7"/>
      <c r="I341" s="7"/>
      <c r="J341" s="7"/>
      <c r="K341" s="7"/>
      <c r="L341" s="7"/>
      <c r="M341" s="7"/>
      <c r="N341" s="7"/>
      <c r="O341" s="7"/>
      <c r="P341" s="7"/>
      <c r="Q341" s="7"/>
      <c r="R341" s="64"/>
      <c r="S341" s="64"/>
      <c r="T341" s="64"/>
      <c r="U341" s="64"/>
      <c r="V341" s="64"/>
      <c r="W341" s="64"/>
    </row>
    <row r="342" spans="1:23" ht="30" customHeight="1">
      <c r="A342" s="8"/>
      <c r="B342" s="7"/>
      <c r="C342" s="33"/>
      <c r="D342" s="7"/>
      <c r="E342" s="7"/>
      <c r="F342" s="7"/>
      <c r="G342" s="7"/>
      <c r="H342" s="7"/>
      <c r="I342" s="7"/>
      <c r="J342" s="7"/>
      <c r="K342" s="7"/>
      <c r="L342" s="7"/>
      <c r="M342" s="7"/>
      <c r="N342" s="7"/>
      <c r="O342" s="7"/>
      <c r="P342" s="7"/>
      <c r="Q342" s="7"/>
      <c r="R342" s="64"/>
      <c r="S342" s="64"/>
      <c r="T342" s="64"/>
      <c r="U342" s="64"/>
      <c r="V342" s="64"/>
      <c r="W342" s="64"/>
    </row>
    <row r="343" spans="1:23" ht="30" customHeight="1">
      <c r="A343" s="8"/>
      <c r="B343" s="7"/>
      <c r="C343" s="33"/>
      <c r="D343" s="7"/>
      <c r="E343" s="7"/>
      <c r="F343" s="7"/>
      <c r="G343" s="7"/>
      <c r="H343" s="7"/>
      <c r="I343" s="7"/>
      <c r="J343" s="7"/>
      <c r="K343" s="7"/>
      <c r="L343" s="7"/>
      <c r="M343" s="7"/>
      <c r="N343" s="7"/>
      <c r="O343" s="7"/>
      <c r="P343" s="7"/>
      <c r="Q343" s="7"/>
      <c r="R343" s="64"/>
      <c r="S343" s="64"/>
      <c r="T343" s="64"/>
      <c r="U343" s="64"/>
      <c r="V343" s="64"/>
      <c r="W343" s="64"/>
    </row>
    <row r="344" spans="1:23" ht="30" customHeight="1">
      <c r="A344" s="8"/>
      <c r="B344" s="7"/>
      <c r="C344" s="33"/>
      <c r="D344" s="7"/>
      <c r="E344" s="7"/>
      <c r="F344" s="7"/>
      <c r="G344" s="7"/>
      <c r="H344" s="7"/>
      <c r="I344" s="7"/>
      <c r="J344" s="7"/>
      <c r="K344" s="7"/>
      <c r="L344" s="7"/>
      <c r="M344" s="7"/>
      <c r="N344" s="7"/>
      <c r="O344" s="7"/>
      <c r="P344" s="7"/>
      <c r="Q344" s="7"/>
      <c r="R344" s="64"/>
      <c r="S344" s="64"/>
      <c r="T344" s="64"/>
      <c r="U344" s="64"/>
      <c r="V344" s="64"/>
      <c r="W344" s="64"/>
    </row>
    <row r="345" spans="1:23" ht="30" customHeight="1">
      <c r="A345" s="8"/>
      <c r="B345" s="7"/>
      <c r="C345" s="33"/>
      <c r="D345" s="7"/>
      <c r="E345" s="7"/>
      <c r="F345" s="7"/>
      <c r="G345" s="7"/>
      <c r="H345" s="7"/>
      <c r="I345" s="7"/>
      <c r="J345" s="7"/>
      <c r="K345" s="7"/>
      <c r="L345" s="7"/>
      <c r="M345" s="7"/>
      <c r="N345" s="7"/>
      <c r="O345" s="7"/>
      <c r="P345" s="7"/>
      <c r="Q345" s="7"/>
      <c r="R345" s="64"/>
      <c r="S345" s="64"/>
      <c r="T345" s="64"/>
      <c r="U345" s="64"/>
      <c r="V345" s="64"/>
      <c r="W345" s="64"/>
    </row>
    <row r="346" spans="1:23" ht="30" customHeight="1">
      <c r="A346" s="8"/>
      <c r="B346" s="7"/>
      <c r="C346" s="33"/>
      <c r="D346" s="7"/>
      <c r="E346" s="7"/>
      <c r="F346" s="7"/>
      <c r="G346" s="7"/>
      <c r="H346" s="7"/>
      <c r="I346" s="7"/>
      <c r="J346" s="7"/>
      <c r="K346" s="7"/>
      <c r="L346" s="7"/>
      <c r="M346" s="7"/>
      <c r="N346" s="7"/>
      <c r="O346" s="7"/>
      <c r="P346" s="7"/>
      <c r="Q346" s="7"/>
      <c r="R346" s="64"/>
      <c r="S346" s="64"/>
      <c r="T346" s="64"/>
      <c r="U346" s="64"/>
      <c r="V346" s="64"/>
      <c r="W346" s="64"/>
    </row>
    <row r="347" spans="1:23" ht="30" customHeight="1">
      <c r="A347" s="8"/>
      <c r="B347" s="7"/>
      <c r="C347" s="33"/>
      <c r="D347" s="7"/>
      <c r="E347" s="7"/>
      <c r="F347" s="7"/>
      <c r="G347" s="7"/>
      <c r="H347" s="7"/>
      <c r="I347" s="7"/>
      <c r="J347" s="7"/>
      <c r="K347" s="7"/>
      <c r="L347" s="7"/>
      <c r="M347" s="7"/>
      <c r="N347" s="7"/>
      <c r="O347" s="7"/>
      <c r="P347" s="7"/>
      <c r="Q347" s="7"/>
      <c r="R347" s="64"/>
      <c r="S347" s="64"/>
      <c r="T347" s="64"/>
      <c r="U347" s="64"/>
      <c r="V347" s="64"/>
      <c r="W347" s="64"/>
    </row>
    <row r="348" spans="1:23" ht="30" customHeight="1">
      <c r="A348" s="8"/>
      <c r="B348" s="7"/>
      <c r="C348" s="33"/>
      <c r="D348" s="7"/>
      <c r="E348" s="7"/>
      <c r="F348" s="7"/>
      <c r="G348" s="7"/>
      <c r="H348" s="7"/>
      <c r="I348" s="7"/>
      <c r="J348" s="7"/>
      <c r="K348" s="7"/>
      <c r="L348" s="7"/>
      <c r="M348" s="7"/>
      <c r="N348" s="7"/>
      <c r="O348" s="7"/>
      <c r="P348" s="7"/>
      <c r="Q348" s="7"/>
      <c r="R348" s="64"/>
      <c r="S348" s="64"/>
      <c r="T348" s="64"/>
      <c r="U348" s="64"/>
      <c r="V348" s="64"/>
      <c r="W348" s="64"/>
    </row>
    <row r="349" spans="1:23" ht="30" customHeight="1">
      <c r="A349" s="8"/>
      <c r="B349" s="7"/>
      <c r="C349" s="33"/>
      <c r="D349" s="7"/>
      <c r="E349" s="7"/>
      <c r="F349" s="7"/>
      <c r="G349" s="7"/>
      <c r="H349" s="7"/>
      <c r="I349" s="7"/>
      <c r="J349" s="7"/>
      <c r="K349" s="7"/>
      <c r="L349" s="7"/>
      <c r="M349" s="7"/>
      <c r="N349" s="7"/>
      <c r="O349" s="7"/>
      <c r="P349" s="7"/>
      <c r="Q349" s="7"/>
      <c r="R349" s="64"/>
      <c r="S349" s="64"/>
      <c r="T349" s="64"/>
      <c r="U349" s="64"/>
      <c r="V349" s="64"/>
      <c r="W349" s="64"/>
    </row>
    <row r="350" spans="1:23" ht="30" customHeight="1">
      <c r="A350" s="8"/>
      <c r="B350" s="7"/>
      <c r="C350" s="33"/>
      <c r="D350" s="7"/>
      <c r="E350" s="7"/>
      <c r="F350" s="7"/>
      <c r="G350" s="7"/>
      <c r="H350" s="7"/>
      <c r="I350" s="7"/>
      <c r="J350" s="7"/>
      <c r="K350" s="7"/>
      <c r="L350" s="7"/>
      <c r="M350" s="7"/>
      <c r="N350" s="7"/>
      <c r="O350" s="7"/>
      <c r="P350" s="7"/>
      <c r="Q350" s="7"/>
      <c r="R350" s="64"/>
      <c r="S350" s="64"/>
      <c r="T350" s="64"/>
      <c r="U350" s="64"/>
      <c r="V350" s="64"/>
      <c r="W350" s="64"/>
    </row>
    <row r="351" spans="1:23" ht="30" customHeight="1">
      <c r="A351" s="8"/>
      <c r="B351" s="7"/>
      <c r="C351" s="33"/>
      <c r="D351" s="7"/>
      <c r="E351" s="7"/>
      <c r="F351" s="7"/>
      <c r="G351" s="7"/>
      <c r="H351" s="7"/>
      <c r="I351" s="7"/>
      <c r="J351" s="7"/>
      <c r="K351" s="7"/>
      <c r="L351" s="7"/>
      <c r="M351" s="7"/>
      <c r="N351" s="7"/>
      <c r="O351" s="7"/>
      <c r="P351" s="7"/>
      <c r="Q351" s="7"/>
      <c r="R351" s="64"/>
      <c r="S351" s="64"/>
      <c r="T351" s="64"/>
      <c r="U351" s="64"/>
      <c r="V351" s="64"/>
      <c r="W351" s="64"/>
    </row>
    <row r="352" spans="1:23" ht="30" customHeight="1">
      <c r="A352" s="8"/>
      <c r="B352" s="7"/>
      <c r="C352" s="33"/>
      <c r="D352" s="7"/>
      <c r="E352" s="7"/>
      <c r="F352" s="7"/>
      <c r="G352" s="7"/>
      <c r="H352" s="7"/>
      <c r="I352" s="7"/>
      <c r="J352" s="7"/>
      <c r="K352" s="7"/>
      <c r="L352" s="7"/>
      <c r="M352" s="7"/>
      <c r="N352" s="7"/>
      <c r="O352" s="7"/>
      <c r="P352" s="7"/>
      <c r="Q352" s="7"/>
      <c r="R352" s="64"/>
      <c r="S352" s="64"/>
      <c r="T352" s="64"/>
      <c r="U352" s="64"/>
      <c r="V352" s="64"/>
      <c r="W352" s="64"/>
    </row>
    <row r="353" spans="1:23" ht="30" customHeight="1">
      <c r="A353" s="8"/>
      <c r="B353" s="7"/>
      <c r="C353" s="33"/>
      <c r="D353" s="7"/>
      <c r="E353" s="7"/>
      <c r="F353" s="7"/>
      <c r="G353" s="7"/>
      <c r="H353" s="7"/>
      <c r="I353" s="7"/>
      <c r="J353" s="7"/>
      <c r="K353" s="7"/>
      <c r="L353" s="7"/>
      <c r="M353" s="7"/>
      <c r="N353" s="7"/>
      <c r="O353" s="7"/>
      <c r="P353" s="7"/>
      <c r="Q353" s="7"/>
      <c r="R353" s="64"/>
      <c r="S353" s="64"/>
      <c r="T353" s="64"/>
      <c r="U353" s="64"/>
      <c r="V353" s="64"/>
      <c r="W353" s="64"/>
    </row>
    <row r="354" spans="1:23" ht="30" customHeight="1">
      <c r="A354" s="8"/>
      <c r="B354" s="7"/>
      <c r="C354" s="33"/>
      <c r="D354" s="7"/>
      <c r="E354" s="7"/>
      <c r="F354" s="7"/>
      <c r="G354" s="7"/>
      <c r="H354" s="7"/>
      <c r="I354" s="7"/>
      <c r="J354" s="7"/>
      <c r="K354" s="7"/>
      <c r="L354" s="7"/>
      <c r="M354" s="7"/>
      <c r="N354" s="7"/>
      <c r="O354" s="7"/>
      <c r="P354" s="7"/>
      <c r="Q354" s="7"/>
      <c r="R354" s="64"/>
      <c r="S354" s="64"/>
      <c r="T354" s="64"/>
      <c r="U354" s="64"/>
      <c r="V354" s="64"/>
      <c r="W354" s="64"/>
    </row>
    <row r="355" spans="1:23" ht="30" customHeight="1">
      <c r="A355" s="8"/>
      <c r="B355" s="7"/>
      <c r="C355" s="33"/>
      <c r="D355" s="7"/>
      <c r="E355" s="7"/>
      <c r="F355" s="7"/>
      <c r="G355" s="7"/>
      <c r="H355" s="7"/>
      <c r="I355" s="7"/>
      <c r="J355" s="7"/>
      <c r="K355" s="7"/>
      <c r="L355" s="7"/>
      <c r="M355" s="7"/>
      <c r="N355" s="7"/>
      <c r="O355" s="7"/>
      <c r="P355" s="7"/>
      <c r="Q355" s="7"/>
      <c r="R355" s="64"/>
      <c r="S355" s="64"/>
      <c r="T355" s="64"/>
      <c r="U355" s="64"/>
      <c r="V355" s="64"/>
      <c r="W355" s="64"/>
    </row>
    <row r="356" spans="1:23" ht="30" customHeight="1">
      <c r="A356" s="8"/>
      <c r="B356" s="7"/>
      <c r="C356" s="33"/>
      <c r="D356" s="7"/>
      <c r="E356" s="7"/>
      <c r="F356" s="7"/>
      <c r="G356" s="7"/>
      <c r="H356" s="7"/>
      <c r="I356" s="7"/>
      <c r="J356" s="7"/>
      <c r="K356" s="7"/>
      <c r="L356" s="7"/>
      <c r="M356" s="7"/>
      <c r="N356" s="7"/>
      <c r="O356" s="7"/>
      <c r="P356" s="7"/>
      <c r="Q356" s="7"/>
      <c r="R356" s="64"/>
      <c r="S356" s="64"/>
      <c r="T356" s="64"/>
      <c r="U356" s="64"/>
      <c r="V356" s="64"/>
      <c r="W356" s="64"/>
    </row>
    <row r="357" spans="1:23" ht="30" customHeight="1">
      <c r="A357" s="8"/>
      <c r="B357" s="7"/>
      <c r="C357" s="33"/>
      <c r="D357" s="7"/>
      <c r="E357" s="7"/>
      <c r="F357" s="7"/>
      <c r="G357" s="7"/>
      <c r="H357" s="7"/>
      <c r="I357" s="7"/>
      <c r="J357" s="7"/>
      <c r="K357" s="7"/>
      <c r="L357" s="7"/>
      <c r="M357" s="7"/>
      <c r="N357" s="7"/>
      <c r="O357" s="7"/>
      <c r="P357" s="7"/>
      <c r="Q357" s="7"/>
      <c r="R357" s="64"/>
      <c r="S357" s="64"/>
      <c r="T357" s="64"/>
      <c r="U357" s="64"/>
      <c r="V357" s="64"/>
      <c r="W357" s="64"/>
    </row>
    <row r="358" spans="1:23" ht="30" customHeight="1">
      <c r="A358" s="8"/>
      <c r="B358" s="7"/>
      <c r="C358" s="33"/>
      <c r="D358" s="7"/>
      <c r="E358" s="7"/>
      <c r="F358" s="7"/>
      <c r="G358" s="7"/>
      <c r="H358" s="7"/>
      <c r="I358" s="7"/>
      <c r="J358" s="7"/>
      <c r="K358" s="7"/>
      <c r="L358" s="7"/>
      <c r="M358" s="7"/>
      <c r="N358" s="7"/>
      <c r="O358" s="7"/>
      <c r="P358" s="7"/>
      <c r="Q358" s="7"/>
      <c r="R358" s="64"/>
      <c r="S358" s="64"/>
      <c r="T358" s="64"/>
      <c r="U358" s="64"/>
      <c r="V358" s="64"/>
      <c r="W358" s="64"/>
    </row>
    <row r="359" spans="1:23" ht="30" customHeight="1">
      <c r="A359" s="8"/>
      <c r="B359" s="7"/>
      <c r="C359" s="33"/>
      <c r="D359" s="7"/>
      <c r="E359" s="7"/>
      <c r="F359" s="7"/>
      <c r="G359" s="7"/>
      <c r="H359" s="7"/>
      <c r="I359" s="7"/>
      <c r="J359" s="7"/>
      <c r="K359" s="7"/>
      <c r="L359" s="7"/>
      <c r="M359" s="7"/>
      <c r="N359" s="7"/>
      <c r="O359" s="7"/>
      <c r="P359" s="7"/>
      <c r="Q359" s="7"/>
      <c r="R359" s="64"/>
      <c r="S359" s="64"/>
      <c r="T359" s="64"/>
      <c r="U359" s="64"/>
      <c r="V359" s="64"/>
      <c r="W359" s="64"/>
    </row>
    <row r="360" spans="1:23" ht="30" customHeight="1">
      <c r="A360" s="8"/>
      <c r="B360" s="7"/>
      <c r="C360" s="33"/>
      <c r="D360" s="7"/>
      <c r="E360" s="7"/>
      <c r="F360" s="7"/>
      <c r="G360" s="7"/>
      <c r="H360" s="7"/>
      <c r="I360" s="7"/>
      <c r="J360" s="7"/>
      <c r="K360" s="7"/>
      <c r="L360" s="7"/>
      <c r="M360" s="7"/>
      <c r="N360" s="7"/>
      <c r="O360" s="7"/>
      <c r="P360" s="7"/>
      <c r="Q360" s="7"/>
      <c r="R360" s="64"/>
      <c r="S360" s="64"/>
      <c r="T360" s="64"/>
      <c r="U360" s="64"/>
      <c r="V360" s="64"/>
      <c r="W360" s="64"/>
    </row>
    <row r="361" spans="1:23" ht="30" customHeight="1">
      <c r="A361" s="8"/>
      <c r="B361" s="7"/>
      <c r="C361" s="33"/>
      <c r="D361" s="7"/>
      <c r="E361" s="7"/>
      <c r="F361" s="7"/>
      <c r="G361" s="7"/>
      <c r="H361" s="7"/>
      <c r="I361" s="7"/>
      <c r="J361" s="7"/>
      <c r="K361" s="7"/>
      <c r="L361" s="7"/>
      <c r="M361" s="7"/>
      <c r="N361" s="7"/>
      <c r="O361" s="7"/>
      <c r="P361" s="7"/>
      <c r="Q361" s="7"/>
      <c r="R361" s="64"/>
      <c r="S361" s="64"/>
      <c r="T361" s="64"/>
      <c r="U361" s="64"/>
      <c r="V361" s="64"/>
      <c r="W361" s="64"/>
    </row>
    <row r="362" spans="1:23" ht="30" customHeight="1">
      <c r="A362" s="8"/>
      <c r="B362" s="7"/>
      <c r="C362" s="33"/>
      <c r="D362" s="7"/>
      <c r="E362" s="7"/>
      <c r="F362" s="7"/>
      <c r="G362" s="7"/>
      <c r="H362" s="7"/>
      <c r="I362" s="7"/>
      <c r="J362" s="7"/>
      <c r="K362" s="7"/>
      <c r="L362" s="7"/>
      <c r="M362" s="7"/>
      <c r="N362" s="7"/>
      <c r="O362" s="7"/>
      <c r="P362" s="7"/>
      <c r="Q362" s="7"/>
      <c r="R362" s="64"/>
      <c r="S362" s="64"/>
      <c r="T362" s="64"/>
      <c r="U362" s="64"/>
      <c r="V362" s="64"/>
      <c r="W362" s="64"/>
    </row>
    <row r="363" spans="1:23" ht="30" customHeight="1">
      <c r="A363" s="8"/>
      <c r="B363" s="7"/>
      <c r="C363" s="33"/>
      <c r="D363" s="7"/>
      <c r="E363" s="7"/>
      <c r="F363" s="7"/>
      <c r="G363" s="7"/>
      <c r="H363" s="7"/>
      <c r="I363" s="7"/>
      <c r="J363" s="7"/>
      <c r="K363" s="7"/>
      <c r="L363" s="7"/>
      <c r="M363" s="7"/>
      <c r="N363" s="7"/>
      <c r="O363" s="7"/>
      <c r="P363" s="7"/>
      <c r="Q363" s="7"/>
      <c r="R363" s="64"/>
      <c r="S363" s="64"/>
      <c r="T363" s="64"/>
      <c r="U363" s="64"/>
      <c r="V363" s="64"/>
      <c r="W363" s="64"/>
    </row>
    <row r="364" spans="1:23" ht="30" customHeight="1">
      <c r="A364" s="8"/>
      <c r="B364" s="7"/>
      <c r="C364" s="33"/>
      <c r="D364" s="7"/>
      <c r="E364" s="7"/>
      <c r="F364" s="7"/>
      <c r="G364" s="7"/>
      <c r="H364" s="7"/>
      <c r="I364" s="7"/>
      <c r="J364" s="7"/>
      <c r="K364" s="7"/>
      <c r="L364" s="7"/>
      <c r="M364" s="7"/>
      <c r="N364" s="7"/>
      <c r="O364" s="7"/>
      <c r="P364" s="7"/>
      <c r="Q364" s="7"/>
      <c r="R364" s="64"/>
      <c r="S364" s="64"/>
      <c r="T364" s="64"/>
      <c r="U364" s="64"/>
      <c r="V364" s="64"/>
      <c r="W364" s="64"/>
    </row>
    <row r="365" spans="1:23" ht="30" customHeight="1">
      <c r="A365" s="8"/>
      <c r="B365" s="7"/>
      <c r="C365" s="33"/>
      <c r="D365" s="7"/>
      <c r="E365" s="7"/>
      <c r="F365" s="7"/>
      <c r="G365" s="7"/>
      <c r="H365" s="7"/>
      <c r="I365" s="7"/>
      <c r="J365" s="7"/>
      <c r="K365" s="7"/>
      <c r="L365" s="7"/>
      <c r="M365" s="7"/>
      <c r="N365" s="7"/>
      <c r="O365" s="7"/>
      <c r="P365" s="7"/>
      <c r="Q365" s="7"/>
      <c r="R365" s="64"/>
      <c r="S365" s="64"/>
      <c r="T365" s="64"/>
      <c r="U365" s="64"/>
      <c r="V365" s="64"/>
      <c r="W365" s="64"/>
    </row>
    <row r="366" spans="1:23" ht="30" customHeight="1">
      <c r="A366" s="8"/>
      <c r="B366" s="7"/>
      <c r="C366" s="33"/>
      <c r="D366" s="7"/>
      <c r="E366" s="7"/>
      <c r="F366" s="7"/>
      <c r="G366" s="7"/>
      <c r="H366" s="7"/>
      <c r="I366" s="7"/>
      <c r="J366" s="7"/>
      <c r="K366" s="7"/>
      <c r="L366" s="7"/>
      <c r="M366" s="7"/>
      <c r="N366" s="7"/>
      <c r="O366" s="7"/>
      <c r="P366" s="7"/>
      <c r="Q366" s="7"/>
      <c r="R366" s="64"/>
      <c r="S366" s="64"/>
      <c r="T366" s="64"/>
      <c r="U366" s="64"/>
      <c r="V366" s="64"/>
      <c r="W366" s="64"/>
    </row>
    <row r="367" spans="1:23" ht="30" customHeight="1">
      <c r="A367" s="8"/>
      <c r="B367" s="7"/>
      <c r="C367" s="33"/>
      <c r="D367" s="7"/>
      <c r="E367" s="7"/>
      <c r="F367" s="7"/>
      <c r="G367" s="7"/>
      <c r="H367" s="7"/>
      <c r="I367" s="7"/>
      <c r="J367" s="7"/>
      <c r="K367" s="7"/>
      <c r="L367" s="7"/>
      <c r="M367" s="7"/>
      <c r="N367" s="7"/>
      <c r="O367" s="7"/>
      <c r="P367" s="7"/>
      <c r="Q367" s="7"/>
      <c r="R367" s="64"/>
      <c r="S367" s="64"/>
      <c r="T367" s="64"/>
      <c r="U367" s="64"/>
      <c r="V367" s="64"/>
      <c r="W367" s="64"/>
    </row>
    <row r="368" spans="1:23" ht="30" customHeight="1">
      <c r="A368" s="8"/>
      <c r="B368" s="7"/>
      <c r="C368" s="33"/>
      <c r="D368" s="7"/>
      <c r="E368" s="7"/>
      <c r="F368" s="7"/>
      <c r="G368" s="7"/>
      <c r="H368" s="7"/>
      <c r="I368" s="7"/>
      <c r="J368" s="7"/>
      <c r="K368" s="7"/>
      <c r="L368" s="7"/>
      <c r="M368" s="7"/>
      <c r="N368" s="7"/>
      <c r="O368" s="7"/>
      <c r="P368" s="7"/>
      <c r="Q368" s="7"/>
      <c r="R368" s="64"/>
      <c r="S368" s="64"/>
      <c r="T368" s="64"/>
      <c r="U368" s="64"/>
      <c r="V368" s="64"/>
      <c r="W368" s="64"/>
    </row>
    <row r="369" spans="1:23" ht="30" customHeight="1">
      <c r="A369" s="8"/>
      <c r="B369" s="7"/>
      <c r="C369" s="33"/>
      <c r="D369" s="7"/>
      <c r="E369" s="7"/>
      <c r="F369" s="7"/>
      <c r="G369" s="7"/>
      <c r="H369" s="7"/>
      <c r="I369" s="7"/>
      <c r="J369" s="7"/>
      <c r="K369" s="7"/>
      <c r="L369" s="7"/>
      <c r="M369" s="7"/>
      <c r="N369" s="7"/>
      <c r="O369" s="7"/>
      <c r="P369" s="7"/>
      <c r="Q369" s="7"/>
      <c r="R369" s="64"/>
      <c r="S369" s="64"/>
      <c r="T369" s="64"/>
      <c r="U369" s="64"/>
      <c r="V369" s="64"/>
      <c r="W369" s="64"/>
    </row>
    <row r="370" spans="1:23" ht="30" customHeight="1">
      <c r="A370" s="8"/>
      <c r="B370" s="7"/>
      <c r="C370" s="33"/>
      <c r="D370" s="7"/>
      <c r="E370" s="7"/>
      <c r="F370" s="7"/>
      <c r="G370" s="7"/>
      <c r="H370" s="7"/>
      <c r="I370" s="7"/>
      <c r="J370" s="7"/>
      <c r="K370" s="7"/>
      <c r="L370" s="7"/>
      <c r="M370" s="7"/>
      <c r="N370" s="7"/>
      <c r="O370" s="7"/>
      <c r="P370" s="7"/>
      <c r="Q370" s="7"/>
      <c r="R370" s="64"/>
      <c r="S370" s="64"/>
      <c r="T370" s="64"/>
      <c r="U370" s="64"/>
      <c r="V370" s="64"/>
      <c r="W370" s="64"/>
    </row>
    <row r="371" spans="1:23" ht="30" customHeight="1">
      <c r="A371" s="8"/>
      <c r="B371" s="7"/>
      <c r="C371" s="33"/>
      <c r="D371" s="7"/>
      <c r="E371" s="7"/>
      <c r="F371" s="7"/>
      <c r="G371" s="7"/>
      <c r="H371" s="7"/>
      <c r="I371" s="7"/>
      <c r="J371" s="7"/>
      <c r="K371" s="7"/>
      <c r="L371" s="7"/>
      <c r="M371" s="7"/>
      <c r="N371" s="7"/>
      <c r="O371" s="7"/>
      <c r="P371" s="7"/>
      <c r="Q371" s="7"/>
      <c r="R371" s="64"/>
      <c r="S371" s="64"/>
      <c r="T371" s="64"/>
      <c r="U371" s="64"/>
      <c r="V371" s="64"/>
      <c r="W371" s="64"/>
    </row>
    <row r="372" spans="1:23" ht="30" customHeight="1">
      <c r="A372" s="8"/>
      <c r="B372" s="7"/>
      <c r="C372" s="33"/>
      <c r="D372" s="7"/>
      <c r="E372" s="7"/>
      <c r="F372" s="7"/>
      <c r="G372" s="7"/>
      <c r="H372" s="7"/>
      <c r="I372" s="7"/>
      <c r="J372" s="7"/>
      <c r="K372" s="7"/>
      <c r="L372" s="7"/>
      <c r="M372" s="7"/>
      <c r="N372" s="7"/>
      <c r="O372" s="7"/>
      <c r="P372" s="7"/>
      <c r="Q372" s="7"/>
      <c r="R372" s="64"/>
      <c r="S372" s="64"/>
      <c r="T372" s="64"/>
      <c r="U372" s="64"/>
      <c r="V372" s="64"/>
      <c r="W372" s="64"/>
    </row>
    <row r="373" spans="1:23" ht="30" customHeight="1">
      <c r="A373" s="8"/>
      <c r="B373" s="7"/>
      <c r="C373" s="33"/>
      <c r="D373" s="7"/>
      <c r="E373" s="7"/>
      <c r="F373" s="7"/>
      <c r="G373" s="7"/>
      <c r="H373" s="7"/>
      <c r="I373" s="7"/>
      <c r="J373" s="7"/>
      <c r="K373" s="7"/>
      <c r="L373" s="7"/>
      <c r="M373" s="7"/>
      <c r="N373" s="7"/>
      <c r="O373" s="7"/>
      <c r="P373" s="7"/>
      <c r="Q373" s="7"/>
      <c r="R373" s="64"/>
      <c r="S373" s="64"/>
      <c r="T373" s="64"/>
      <c r="U373" s="64"/>
      <c r="V373" s="64"/>
      <c r="W373" s="64"/>
    </row>
    <row r="374" spans="1:23" ht="30" customHeight="1">
      <c r="A374" s="8"/>
      <c r="B374" s="7"/>
      <c r="C374" s="33"/>
      <c r="D374" s="7"/>
      <c r="E374" s="7"/>
      <c r="F374" s="7"/>
      <c r="G374" s="7"/>
      <c r="H374" s="7"/>
      <c r="I374" s="7"/>
      <c r="J374" s="7"/>
      <c r="K374" s="7"/>
      <c r="L374" s="7"/>
      <c r="M374" s="7"/>
      <c r="N374" s="7"/>
      <c r="O374" s="7"/>
      <c r="P374" s="7"/>
      <c r="Q374" s="7"/>
      <c r="R374" s="64"/>
      <c r="S374" s="64"/>
      <c r="T374" s="64"/>
      <c r="U374" s="64"/>
      <c r="V374" s="64"/>
      <c r="W374" s="64"/>
    </row>
    <row r="375" spans="1:23" ht="30" customHeight="1">
      <c r="A375" s="8"/>
      <c r="B375" s="7"/>
      <c r="C375" s="33"/>
      <c r="D375" s="7"/>
      <c r="E375" s="7"/>
      <c r="F375" s="7"/>
      <c r="G375" s="7"/>
      <c r="H375" s="7"/>
      <c r="I375" s="7"/>
      <c r="J375" s="7"/>
      <c r="K375" s="7"/>
      <c r="L375" s="7"/>
      <c r="M375" s="7"/>
      <c r="N375" s="7"/>
      <c r="O375" s="7"/>
      <c r="P375" s="7"/>
      <c r="Q375" s="7"/>
      <c r="R375" s="64"/>
      <c r="S375" s="64"/>
      <c r="T375" s="64"/>
      <c r="U375" s="64"/>
      <c r="V375" s="64"/>
      <c r="W375" s="64"/>
    </row>
    <row r="376" spans="1:23" ht="30" customHeight="1">
      <c r="A376" s="8"/>
      <c r="B376" s="7"/>
      <c r="C376" s="33"/>
      <c r="D376" s="7"/>
      <c r="E376" s="7"/>
      <c r="F376" s="7"/>
      <c r="G376" s="7"/>
      <c r="H376" s="7"/>
      <c r="I376" s="7"/>
      <c r="J376" s="7"/>
      <c r="K376" s="7"/>
      <c r="L376" s="7"/>
      <c r="M376" s="7"/>
      <c r="N376" s="7"/>
      <c r="O376" s="7"/>
      <c r="P376" s="7"/>
      <c r="Q376" s="7"/>
      <c r="R376" s="64"/>
      <c r="S376" s="64"/>
      <c r="T376" s="64"/>
      <c r="U376" s="64"/>
      <c r="V376" s="64"/>
      <c r="W376" s="64"/>
    </row>
    <row r="377" spans="1:23" ht="30" customHeight="1">
      <c r="A377" s="8"/>
      <c r="B377" s="7"/>
      <c r="C377" s="33"/>
      <c r="D377" s="7"/>
      <c r="E377" s="7"/>
      <c r="F377" s="7"/>
      <c r="G377" s="7"/>
      <c r="H377" s="7"/>
      <c r="I377" s="7"/>
      <c r="J377" s="7"/>
      <c r="K377" s="7"/>
      <c r="L377" s="7"/>
      <c r="M377" s="7"/>
      <c r="N377" s="7"/>
      <c r="O377" s="7"/>
      <c r="P377" s="7"/>
      <c r="Q377" s="7"/>
      <c r="R377" s="64"/>
      <c r="S377" s="64"/>
      <c r="T377" s="64"/>
      <c r="U377" s="64"/>
      <c r="V377" s="64"/>
      <c r="W377" s="64"/>
    </row>
    <row r="378" spans="1:23" ht="30" customHeight="1">
      <c r="A378" s="8"/>
      <c r="B378" s="7"/>
      <c r="C378" s="33"/>
      <c r="D378" s="7"/>
      <c r="E378" s="7"/>
      <c r="F378" s="7"/>
      <c r="G378" s="7"/>
      <c r="H378" s="7"/>
      <c r="I378" s="7"/>
      <c r="J378" s="7"/>
      <c r="K378" s="7"/>
      <c r="L378" s="7"/>
      <c r="M378" s="7"/>
      <c r="N378" s="7"/>
      <c r="O378" s="7"/>
      <c r="P378" s="7"/>
      <c r="Q378" s="7"/>
      <c r="R378" s="64"/>
      <c r="S378" s="64"/>
      <c r="T378" s="64"/>
      <c r="U378" s="64"/>
      <c r="V378" s="64"/>
      <c r="W378" s="64"/>
    </row>
    <row r="379" spans="1:23" ht="30" customHeight="1">
      <c r="A379" s="8"/>
      <c r="B379" s="7"/>
      <c r="C379" s="33"/>
      <c r="D379" s="7"/>
      <c r="E379" s="7"/>
      <c r="F379" s="7"/>
      <c r="G379" s="7"/>
      <c r="H379" s="7"/>
      <c r="I379" s="7"/>
      <c r="J379" s="7"/>
      <c r="K379" s="7"/>
      <c r="L379" s="7"/>
      <c r="M379" s="7"/>
      <c r="N379" s="7"/>
      <c r="O379" s="7"/>
      <c r="P379" s="7"/>
      <c r="Q379" s="7"/>
      <c r="R379" s="64"/>
      <c r="S379" s="64"/>
      <c r="T379" s="64"/>
      <c r="U379" s="64"/>
      <c r="V379" s="64"/>
      <c r="W379" s="64"/>
    </row>
    <row r="380" spans="1:23" ht="30" customHeight="1">
      <c r="A380" s="8"/>
      <c r="B380" s="7"/>
      <c r="C380" s="33"/>
      <c r="D380" s="7"/>
      <c r="E380" s="7"/>
      <c r="F380" s="7"/>
      <c r="G380" s="7"/>
      <c r="H380" s="7"/>
      <c r="I380" s="7"/>
      <c r="J380" s="7"/>
      <c r="K380" s="7"/>
      <c r="L380" s="7"/>
      <c r="M380" s="7"/>
      <c r="N380" s="7"/>
      <c r="O380" s="7"/>
      <c r="P380" s="7"/>
      <c r="Q380" s="7"/>
      <c r="R380" s="64"/>
      <c r="S380" s="64"/>
      <c r="T380" s="64"/>
      <c r="U380" s="64"/>
      <c r="V380" s="64"/>
      <c r="W380" s="64"/>
    </row>
    <row r="381" spans="1:23" ht="30" customHeight="1">
      <c r="A381" s="8"/>
      <c r="B381" s="7"/>
      <c r="C381" s="33"/>
      <c r="D381" s="7"/>
      <c r="E381" s="7"/>
      <c r="F381" s="7"/>
      <c r="G381" s="7"/>
      <c r="H381" s="7"/>
      <c r="I381" s="7"/>
      <c r="J381" s="7"/>
      <c r="K381" s="7"/>
      <c r="L381" s="7"/>
      <c r="M381" s="7"/>
      <c r="N381" s="7"/>
      <c r="O381" s="7"/>
      <c r="P381" s="7"/>
      <c r="Q381" s="7"/>
      <c r="R381" s="64"/>
      <c r="S381" s="64"/>
      <c r="T381" s="64"/>
      <c r="U381" s="64"/>
      <c r="V381" s="64"/>
      <c r="W381" s="64"/>
    </row>
    <row r="382" spans="1:23" ht="30" customHeight="1">
      <c r="A382" s="8"/>
      <c r="B382" s="7"/>
      <c r="C382" s="33"/>
      <c r="D382" s="7"/>
      <c r="E382" s="7"/>
      <c r="F382" s="7"/>
      <c r="G382" s="7"/>
      <c r="H382" s="7"/>
      <c r="I382" s="7"/>
      <c r="J382" s="7"/>
      <c r="K382" s="7"/>
      <c r="L382" s="7"/>
      <c r="M382" s="7"/>
      <c r="N382" s="7"/>
      <c r="O382" s="7"/>
      <c r="P382" s="7"/>
      <c r="Q382" s="7"/>
      <c r="R382" s="64"/>
      <c r="S382" s="64"/>
      <c r="T382" s="64"/>
      <c r="U382" s="64"/>
      <c r="V382" s="64"/>
      <c r="W382" s="64"/>
    </row>
    <row r="383" spans="1:23" ht="30" customHeight="1">
      <c r="A383" s="8"/>
      <c r="B383" s="7"/>
      <c r="C383" s="33"/>
      <c r="D383" s="7"/>
      <c r="E383" s="7"/>
      <c r="F383" s="7"/>
      <c r="G383" s="7"/>
      <c r="H383" s="7"/>
      <c r="I383" s="7"/>
      <c r="J383" s="7"/>
      <c r="K383" s="7"/>
      <c r="L383" s="7"/>
      <c r="M383" s="7"/>
      <c r="N383" s="7"/>
      <c r="O383" s="7"/>
      <c r="P383" s="7"/>
      <c r="Q383" s="7"/>
      <c r="R383" s="64"/>
      <c r="S383" s="64"/>
      <c r="T383" s="64"/>
      <c r="U383" s="64"/>
      <c r="V383" s="64"/>
      <c r="W383" s="64"/>
    </row>
    <row r="384" spans="1:23" ht="30" customHeight="1">
      <c r="A384" s="8"/>
      <c r="B384" s="7"/>
      <c r="C384" s="33"/>
      <c r="D384" s="7"/>
      <c r="E384" s="7"/>
      <c r="F384" s="7"/>
      <c r="G384" s="7"/>
      <c r="H384" s="7"/>
      <c r="I384" s="7"/>
      <c r="J384" s="7"/>
      <c r="K384" s="7"/>
      <c r="L384" s="7"/>
      <c r="M384" s="7"/>
      <c r="N384" s="7"/>
      <c r="O384" s="7"/>
      <c r="P384" s="7"/>
      <c r="Q384" s="7"/>
      <c r="R384" s="64"/>
      <c r="S384" s="64"/>
      <c r="T384" s="64"/>
      <c r="U384" s="64"/>
      <c r="V384" s="64"/>
      <c r="W384" s="64"/>
    </row>
    <row r="385" spans="1:23" ht="30" customHeight="1">
      <c r="A385" s="8"/>
      <c r="B385" s="7"/>
      <c r="C385" s="33"/>
      <c r="D385" s="7"/>
      <c r="E385" s="7"/>
      <c r="F385" s="7"/>
      <c r="G385" s="7"/>
      <c r="H385" s="7"/>
      <c r="I385" s="7"/>
      <c r="J385" s="7"/>
      <c r="K385" s="7"/>
      <c r="L385" s="7"/>
      <c r="M385" s="7"/>
      <c r="N385" s="7"/>
      <c r="O385" s="7"/>
      <c r="P385" s="7"/>
      <c r="Q385" s="7"/>
      <c r="R385" s="64"/>
      <c r="S385" s="64"/>
      <c r="T385" s="64"/>
      <c r="U385" s="64"/>
      <c r="V385" s="64"/>
      <c r="W385" s="64"/>
    </row>
    <row r="386" spans="1:23" ht="30" customHeight="1">
      <c r="A386" s="8"/>
      <c r="B386" s="7"/>
      <c r="C386" s="33"/>
      <c r="D386" s="7"/>
      <c r="E386" s="7"/>
      <c r="F386" s="7"/>
      <c r="G386" s="7"/>
      <c r="H386" s="7"/>
      <c r="I386" s="7"/>
      <c r="J386" s="7"/>
      <c r="K386" s="7"/>
      <c r="L386" s="7"/>
      <c r="M386" s="7"/>
      <c r="N386" s="7"/>
      <c r="O386" s="7"/>
      <c r="P386" s="7"/>
      <c r="Q386" s="7"/>
      <c r="R386" s="64"/>
      <c r="S386" s="64"/>
      <c r="T386" s="64"/>
      <c r="U386" s="64"/>
      <c r="V386" s="64"/>
      <c r="W386" s="64"/>
    </row>
    <row r="387" spans="1:23" ht="30" customHeight="1">
      <c r="A387" s="8"/>
      <c r="B387" s="7"/>
      <c r="C387" s="33"/>
      <c r="D387" s="7"/>
      <c r="E387" s="7"/>
      <c r="F387" s="7"/>
      <c r="G387" s="7"/>
      <c r="H387" s="7"/>
      <c r="I387" s="7"/>
      <c r="J387" s="7"/>
      <c r="K387" s="7"/>
      <c r="L387" s="7"/>
      <c r="M387" s="7"/>
      <c r="N387" s="7"/>
      <c r="O387" s="7"/>
      <c r="P387" s="7"/>
      <c r="Q387" s="7"/>
      <c r="R387" s="64"/>
      <c r="S387" s="64"/>
      <c r="T387" s="64"/>
      <c r="U387" s="64"/>
      <c r="V387" s="64"/>
      <c r="W387" s="64"/>
    </row>
    <row r="388" spans="1:23" ht="30" customHeight="1">
      <c r="A388" s="8"/>
      <c r="B388" s="7"/>
      <c r="C388" s="33"/>
      <c r="D388" s="7"/>
      <c r="E388" s="7"/>
      <c r="F388" s="7"/>
      <c r="G388" s="7"/>
      <c r="H388" s="7"/>
      <c r="I388" s="7"/>
      <c r="J388" s="7"/>
      <c r="K388" s="7"/>
      <c r="L388" s="7"/>
      <c r="M388" s="7"/>
      <c r="N388" s="7"/>
      <c r="O388" s="7"/>
      <c r="P388" s="7"/>
      <c r="Q388" s="7"/>
      <c r="R388" s="64"/>
      <c r="S388" s="64"/>
      <c r="T388" s="64"/>
      <c r="U388" s="64"/>
      <c r="V388" s="64"/>
      <c r="W388" s="64"/>
    </row>
    <row r="389" spans="1:23" ht="30" customHeight="1">
      <c r="A389" s="8"/>
      <c r="B389" s="7"/>
      <c r="C389" s="33"/>
      <c r="D389" s="7"/>
      <c r="E389" s="7"/>
      <c r="F389" s="7"/>
      <c r="G389" s="7"/>
      <c r="H389" s="7"/>
      <c r="I389" s="7"/>
      <c r="J389" s="7"/>
      <c r="K389" s="7"/>
      <c r="L389" s="7"/>
      <c r="M389" s="7"/>
      <c r="N389" s="7"/>
      <c r="O389" s="7"/>
      <c r="P389" s="7"/>
      <c r="Q389" s="7"/>
      <c r="R389" s="64"/>
      <c r="S389" s="64"/>
      <c r="T389" s="64"/>
      <c r="U389" s="64"/>
      <c r="V389" s="64"/>
      <c r="W389" s="64"/>
    </row>
    <row r="390" spans="1:23" ht="30" customHeight="1">
      <c r="A390" s="8"/>
      <c r="B390" s="7"/>
      <c r="C390" s="33"/>
      <c r="D390" s="7"/>
      <c r="E390" s="7"/>
      <c r="F390" s="7"/>
      <c r="G390" s="7"/>
      <c r="H390" s="7"/>
      <c r="I390" s="7"/>
      <c r="J390" s="7"/>
      <c r="K390" s="7"/>
      <c r="L390" s="7"/>
      <c r="M390" s="7"/>
      <c r="N390" s="7"/>
      <c r="O390" s="7"/>
      <c r="P390" s="7"/>
      <c r="Q390" s="7"/>
      <c r="R390" s="64"/>
      <c r="S390" s="64"/>
      <c r="T390" s="64"/>
      <c r="U390" s="64"/>
      <c r="V390" s="64"/>
      <c r="W390" s="64"/>
    </row>
    <row r="391" spans="1:23" ht="30" customHeight="1">
      <c r="A391" s="8"/>
      <c r="B391" s="7"/>
      <c r="C391" s="33"/>
      <c r="D391" s="7"/>
      <c r="E391" s="7"/>
      <c r="F391" s="7"/>
      <c r="G391" s="7"/>
      <c r="H391" s="7"/>
      <c r="I391" s="7"/>
      <c r="J391" s="7"/>
      <c r="K391" s="7"/>
      <c r="L391" s="7"/>
      <c r="M391" s="7"/>
      <c r="N391" s="7"/>
      <c r="O391" s="7"/>
      <c r="P391" s="7"/>
      <c r="Q391" s="7"/>
      <c r="R391" s="64"/>
      <c r="S391" s="64"/>
      <c r="T391" s="64"/>
      <c r="U391" s="64"/>
      <c r="V391" s="64"/>
      <c r="W391" s="64"/>
    </row>
    <row r="392" spans="1:23" ht="30" customHeight="1">
      <c r="A392" s="8"/>
      <c r="B392" s="7"/>
      <c r="C392" s="33"/>
      <c r="D392" s="7"/>
      <c r="E392" s="7"/>
      <c r="F392" s="7"/>
      <c r="G392" s="7"/>
      <c r="H392" s="7"/>
      <c r="I392" s="7"/>
      <c r="J392" s="7"/>
      <c r="K392" s="7"/>
      <c r="L392" s="7"/>
      <c r="M392" s="7"/>
      <c r="N392" s="7"/>
      <c r="O392" s="7"/>
      <c r="P392" s="7"/>
      <c r="Q392" s="7"/>
      <c r="R392" s="64"/>
      <c r="S392" s="64"/>
      <c r="T392" s="64"/>
      <c r="U392" s="64"/>
      <c r="V392" s="64"/>
      <c r="W392" s="64"/>
    </row>
    <row r="393" spans="1:23" ht="30" customHeight="1">
      <c r="A393" s="8"/>
      <c r="B393" s="7"/>
      <c r="C393" s="33"/>
      <c r="D393" s="7"/>
      <c r="E393" s="7"/>
      <c r="F393" s="7"/>
      <c r="G393" s="7"/>
      <c r="H393" s="7"/>
      <c r="I393" s="7"/>
      <c r="J393" s="7"/>
      <c r="K393" s="7"/>
      <c r="L393" s="7"/>
      <c r="M393" s="7"/>
      <c r="N393" s="7"/>
      <c r="O393" s="7"/>
      <c r="P393" s="7"/>
      <c r="Q393" s="7"/>
      <c r="R393" s="64"/>
      <c r="S393" s="64"/>
      <c r="T393" s="64"/>
      <c r="U393" s="64"/>
      <c r="V393" s="64"/>
      <c r="W393" s="64"/>
    </row>
    <row r="394" spans="1:23" ht="30" customHeight="1">
      <c r="A394" s="8"/>
      <c r="B394" s="7"/>
      <c r="C394" s="33"/>
      <c r="D394" s="7"/>
      <c r="E394" s="7"/>
      <c r="F394" s="7"/>
      <c r="G394" s="7"/>
      <c r="H394" s="7"/>
      <c r="I394" s="7"/>
      <c r="J394" s="7"/>
      <c r="K394" s="7"/>
      <c r="L394" s="7"/>
      <c r="M394" s="7"/>
      <c r="N394" s="7"/>
      <c r="O394" s="7"/>
      <c r="P394" s="7"/>
      <c r="Q394" s="7"/>
      <c r="R394" s="64"/>
      <c r="S394" s="64"/>
      <c r="T394" s="64"/>
      <c r="U394" s="64"/>
      <c r="V394" s="64"/>
      <c r="W394" s="64"/>
    </row>
    <row r="395" spans="1:23" ht="30" customHeight="1">
      <c r="A395" s="8"/>
      <c r="B395" s="7"/>
      <c r="C395" s="33"/>
      <c r="D395" s="7"/>
      <c r="E395" s="7"/>
      <c r="F395" s="7"/>
      <c r="G395" s="7"/>
      <c r="H395" s="7"/>
      <c r="I395" s="7"/>
      <c r="J395" s="7"/>
      <c r="K395" s="7"/>
      <c r="L395" s="7"/>
      <c r="M395" s="7"/>
      <c r="N395" s="7"/>
      <c r="O395" s="7"/>
      <c r="P395" s="7"/>
      <c r="Q395" s="7"/>
      <c r="R395" s="64"/>
      <c r="S395" s="64"/>
      <c r="T395" s="64"/>
      <c r="U395" s="64"/>
      <c r="V395" s="64"/>
      <c r="W395" s="64"/>
    </row>
    <row r="396" spans="1:23" ht="30" customHeight="1">
      <c r="A396" s="8"/>
      <c r="B396" s="7"/>
      <c r="C396" s="33"/>
      <c r="D396" s="7"/>
      <c r="E396" s="7"/>
      <c r="F396" s="7"/>
      <c r="G396" s="7"/>
      <c r="H396" s="7"/>
      <c r="I396" s="7"/>
      <c r="J396" s="7"/>
      <c r="K396" s="7"/>
      <c r="L396" s="7"/>
      <c r="M396" s="7"/>
      <c r="N396" s="7"/>
      <c r="O396" s="7"/>
      <c r="P396" s="7"/>
      <c r="Q396" s="7"/>
      <c r="R396" s="64"/>
      <c r="S396" s="64"/>
      <c r="T396" s="64"/>
      <c r="U396" s="64"/>
      <c r="V396" s="64"/>
      <c r="W396" s="64"/>
    </row>
    <row r="397" spans="1:23" ht="30" customHeight="1">
      <c r="A397" s="8"/>
      <c r="B397" s="7"/>
      <c r="C397" s="33"/>
      <c r="D397" s="7"/>
      <c r="E397" s="7"/>
      <c r="F397" s="7"/>
      <c r="G397" s="7"/>
      <c r="H397" s="7"/>
      <c r="I397" s="7"/>
      <c r="J397" s="7"/>
      <c r="K397" s="7"/>
      <c r="L397" s="7"/>
      <c r="M397" s="7"/>
      <c r="N397" s="7"/>
      <c r="O397" s="7"/>
      <c r="P397" s="7"/>
      <c r="Q397" s="7"/>
      <c r="R397" s="64"/>
      <c r="S397" s="64"/>
      <c r="T397" s="64"/>
      <c r="U397" s="64"/>
      <c r="V397" s="64"/>
      <c r="W397" s="64"/>
    </row>
    <row r="398" spans="1:23" ht="30" customHeight="1">
      <c r="A398" s="8"/>
      <c r="B398" s="7"/>
      <c r="C398" s="33"/>
      <c r="D398" s="7"/>
      <c r="E398" s="7"/>
      <c r="F398" s="7"/>
      <c r="G398" s="7"/>
      <c r="H398" s="7"/>
      <c r="I398" s="7"/>
      <c r="J398" s="7"/>
      <c r="K398" s="7"/>
      <c r="L398" s="7"/>
      <c r="M398" s="7"/>
      <c r="N398" s="7"/>
      <c r="O398" s="7"/>
      <c r="P398" s="7"/>
      <c r="Q398" s="7"/>
      <c r="R398" s="64"/>
      <c r="S398" s="64"/>
      <c r="T398" s="64"/>
      <c r="U398" s="64"/>
      <c r="V398" s="64"/>
      <c r="W398" s="64"/>
    </row>
    <row r="399" spans="1:23" ht="30" customHeight="1">
      <c r="A399" s="8"/>
      <c r="B399" s="7"/>
      <c r="C399" s="33"/>
      <c r="D399" s="7"/>
      <c r="E399" s="7"/>
      <c r="F399" s="7"/>
      <c r="G399" s="7"/>
      <c r="H399" s="7"/>
      <c r="I399" s="7"/>
      <c r="J399" s="7"/>
      <c r="K399" s="7"/>
      <c r="L399" s="7"/>
      <c r="M399" s="7"/>
      <c r="N399" s="7"/>
      <c r="O399" s="7"/>
      <c r="P399" s="7"/>
      <c r="Q399" s="7"/>
      <c r="R399" s="64"/>
      <c r="S399" s="64"/>
      <c r="T399" s="64"/>
      <c r="U399" s="64"/>
      <c r="V399" s="64"/>
      <c r="W399" s="64"/>
    </row>
    <row r="400" spans="1:23" ht="30" customHeight="1">
      <c r="A400" s="8"/>
      <c r="B400" s="7"/>
      <c r="C400" s="33"/>
      <c r="D400" s="7"/>
      <c r="E400" s="7"/>
      <c r="F400" s="7"/>
      <c r="G400" s="7"/>
      <c r="H400" s="7"/>
      <c r="I400" s="7"/>
      <c r="J400" s="7"/>
      <c r="K400" s="7"/>
      <c r="L400" s="7"/>
      <c r="M400" s="7"/>
      <c r="N400" s="7"/>
      <c r="O400" s="7"/>
      <c r="P400" s="7"/>
      <c r="Q400" s="7"/>
      <c r="R400" s="64"/>
      <c r="S400" s="64"/>
      <c r="T400" s="64"/>
      <c r="U400" s="64"/>
      <c r="V400" s="64"/>
      <c r="W400" s="64"/>
    </row>
    <row r="401" spans="1:23" ht="30" customHeight="1">
      <c r="A401" s="8"/>
      <c r="B401" s="7"/>
      <c r="C401" s="33"/>
      <c r="D401" s="7"/>
      <c r="E401" s="7"/>
      <c r="F401" s="7"/>
      <c r="G401" s="7"/>
      <c r="H401" s="7"/>
      <c r="I401" s="7"/>
      <c r="J401" s="7"/>
      <c r="K401" s="7"/>
      <c r="L401" s="7"/>
      <c r="M401" s="7"/>
      <c r="N401" s="7"/>
      <c r="O401" s="7"/>
      <c r="P401" s="7"/>
      <c r="Q401" s="7"/>
      <c r="R401" s="64"/>
      <c r="S401" s="64"/>
      <c r="T401" s="64"/>
      <c r="U401" s="64"/>
      <c r="V401" s="64"/>
      <c r="W401" s="64"/>
    </row>
    <row r="402" spans="1:23" ht="30" customHeight="1">
      <c r="A402" s="8"/>
      <c r="B402" s="7"/>
      <c r="C402" s="33"/>
      <c r="D402" s="7"/>
      <c r="E402" s="7"/>
      <c r="F402" s="7"/>
      <c r="G402" s="7"/>
      <c r="H402" s="7"/>
      <c r="I402" s="7"/>
      <c r="J402" s="7"/>
      <c r="K402" s="7"/>
      <c r="L402" s="7"/>
      <c r="M402" s="7"/>
      <c r="N402" s="7"/>
      <c r="O402" s="7"/>
      <c r="P402" s="7"/>
      <c r="Q402" s="7"/>
      <c r="R402" s="64"/>
      <c r="S402" s="64"/>
      <c r="T402" s="64"/>
      <c r="U402" s="64"/>
      <c r="V402" s="64"/>
      <c r="W402" s="64"/>
    </row>
    <row r="403" spans="1:23" ht="30" customHeight="1">
      <c r="A403" s="8"/>
      <c r="B403" s="7"/>
      <c r="C403" s="33"/>
      <c r="D403" s="7"/>
      <c r="E403" s="7"/>
      <c r="F403" s="7"/>
      <c r="G403" s="7"/>
      <c r="H403" s="7"/>
      <c r="I403" s="7"/>
      <c r="J403" s="7"/>
      <c r="K403" s="7"/>
      <c r="L403" s="7"/>
      <c r="M403" s="7"/>
      <c r="N403" s="7"/>
      <c r="O403" s="7"/>
      <c r="P403" s="7"/>
      <c r="Q403" s="7"/>
      <c r="R403" s="64"/>
      <c r="S403" s="64"/>
      <c r="T403" s="64"/>
      <c r="U403" s="64"/>
      <c r="V403" s="64"/>
      <c r="W403" s="64"/>
    </row>
    <row r="404" spans="1:23" ht="30" customHeight="1">
      <c r="A404" s="8"/>
      <c r="B404" s="7"/>
      <c r="C404" s="33"/>
      <c r="D404" s="7"/>
      <c r="E404" s="7"/>
      <c r="F404" s="7"/>
      <c r="G404" s="7"/>
      <c r="H404" s="7"/>
      <c r="I404" s="7"/>
      <c r="J404" s="7"/>
      <c r="K404" s="7"/>
      <c r="L404" s="7"/>
      <c r="M404" s="7"/>
      <c r="N404" s="7"/>
      <c r="O404" s="7"/>
      <c r="P404" s="7"/>
      <c r="Q404" s="7"/>
      <c r="R404" s="64"/>
      <c r="S404" s="64"/>
      <c r="T404" s="64"/>
      <c r="U404" s="64"/>
      <c r="V404" s="64"/>
      <c r="W404" s="64"/>
    </row>
    <row r="405" spans="1:23" ht="30" customHeight="1">
      <c r="A405" s="8"/>
      <c r="B405" s="7"/>
      <c r="C405" s="33"/>
      <c r="D405" s="7"/>
      <c r="E405" s="7"/>
      <c r="F405" s="7"/>
      <c r="G405" s="7"/>
      <c r="H405" s="7"/>
      <c r="I405" s="7"/>
      <c r="J405" s="7"/>
      <c r="K405" s="7"/>
      <c r="L405" s="7"/>
      <c r="M405" s="7"/>
      <c r="N405" s="7"/>
      <c r="O405" s="7"/>
      <c r="P405" s="7"/>
      <c r="Q405" s="7"/>
      <c r="R405" s="64"/>
      <c r="S405" s="64"/>
      <c r="T405" s="64"/>
      <c r="U405" s="64"/>
      <c r="V405" s="64"/>
      <c r="W405" s="64"/>
    </row>
    <row r="406" spans="1:23" ht="30" customHeight="1">
      <c r="A406" s="8"/>
      <c r="B406" s="7"/>
      <c r="C406" s="33"/>
      <c r="D406" s="7"/>
      <c r="E406" s="7"/>
      <c r="F406" s="7"/>
      <c r="G406" s="7"/>
      <c r="H406" s="7"/>
      <c r="I406" s="7"/>
      <c r="J406" s="7"/>
      <c r="K406" s="7"/>
      <c r="L406" s="7"/>
      <c r="M406" s="7"/>
      <c r="N406" s="7"/>
      <c r="O406" s="7"/>
      <c r="P406" s="7"/>
      <c r="Q406" s="7"/>
      <c r="R406" s="64"/>
      <c r="S406" s="64"/>
      <c r="T406" s="64"/>
      <c r="U406" s="64"/>
      <c r="V406" s="64"/>
      <c r="W406" s="64"/>
    </row>
    <row r="407" spans="1:23" ht="30" customHeight="1">
      <c r="A407" s="8"/>
      <c r="B407" s="7"/>
      <c r="C407" s="33"/>
      <c r="D407" s="7"/>
      <c r="E407" s="7"/>
      <c r="F407" s="7"/>
      <c r="G407" s="7"/>
      <c r="H407" s="7"/>
      <c r="I407" s="7"/>
      <c r="J407" s="7"/>
      <c r="K407" s="7"/>
      <c r="L407" s="7"/>
      <c r="M407" s="7"/>
      <c r="N407" s="7"/>
      <c r="O407" s="7"/>
      <c r="P407" s="7"/>
      <c r="Q407" s="7"/>
      <c r="R407" s="64"/>
      <c r="S407" s="64"/>
      <c r="T407" s="64"/>
      <c r="U407" s="64"/>
      <c r="V407" s="64"/>
      <c r="W407" s="64"/>
    </row>
    <row r="408" spans="1:23" ht="30" customHeight="1">
      <c r="A408" s="8"/>
      <c r="B408" s="7"/>
      <c r="C408" s="33"/>
      <c r="D408" s="7"/>
      <c r="E408" s="7"/>
      <c r="F408" s="7"/>
      <c r="G408" s="7"/>
      <c r="H408" s="7"/>
      <c r="I408" s="7"/>
      <c r="J408" s="7"/>
      <c r="K408" s="7"/>
      <c r="L408" s="7"/>
      <c r="M408" s="7"/>
      <c r="N408" s="7"/>
      <c r="O408" s="7"/>
      <c r="P408" s="7"/>
      <c r="Q408" s="7"/>
      <c r="R408" s="64"/>
      <c r="S408" s="64"/>
      <c r="T408" s="64"/>
      <c r="U408" s="64"/>
      <c r="V408" s="64"/>
      <c r="W408" s="64"/>
    </row>
    <row r="409" spans="1:23" ht="30" customHeight="1">
      <c r="A409" s="8"/>
      <c r="B409" s="7"/>
      <c r="C409" s="33"/>
      <c r="D409" s="7"/>
      <c r="E409" s="7"/>
      <c r="F409" s="7"/>
      <c r="G409" s="7"/>
      <c r="H409" s="7"/>
      <c r="I409" s="7"/>
      <c r="J409" s="7"/>
      <c r="K409" s="7"/>
      <c r="L409" s="7"/>
      <c r="M409" s="7"/>
      <c r="N409" s="7"/>
      <c r="O409" s="7"/>
      <c r="P409" s="7"/>
      <c r="Q409" s="7"/>
      <c r="R409" s="64"/>
      <c r="S409" s="64"/>
      <c r="T409" s="64"/>
      <c r="U409" s="64"/>
      <c r="V409" s="64"/>
      <c r="W409" s="64"/>
    </row>
    <row r="410" spans="1:23" ht="30" customHeight="1">
      <c r="A410" s="8"/>
      <c r="B410" s="7"/>
      <c r="C410" s="33"/>
      <c r="D410" s="7"/>
      <c r="E410" s="7"/>
      <c r="F410" s="7"/>
      <c r="G410" s="7"/>
      <c r="H410" s="7"/>
      <c r="I410" s="7"/>
      <c r="J410" s="7"/>
      <c r="K410" s="7"/>
      <c r="L410" s="7"/>
      <c r="M410" s="7"/>
      <c r="N410" s="7"/>
      <c r="O410" s="7"/>
      <c r="P410" s="7"/>
      <c r="Q410" s="7"/>
      <c r="R410" s="64"/>
      <c r="S410" s="64"/>
      <c r="T410" s="64"/>
      <c r="U410" s="64"/>
      <c r="V410" s="64"/>
      <c r="W410" s="64"/>
    </row>
    <row r="411" spans="1:23" ht="30" customHeight="1">
      <c r="A411" s="8"/>
      <c r="B411" s="7"/>
      <c r="C411" s="33"/>
      <c r="D411" s="7"/>
      <c r="E411" s="7"/>
      <c r="F411" s="7"/>
      <c r="G411" s="7"/>
      <c r="H411" s="7"/>
      <c r="I411" s="7"/>
      <c r="J411" s="7"/>
      <c r="K411" s="7"/>
      <c r="L411" s="7"/>
      <c r="M411" s="7"/>
      <c r="N411" s="7"/>
      <c r="O411" s="7"/>
      <c r="P411" s="7"/>
      <c r="Q411" s="7"/>
      <c r="R411" s="64"/>
      <c r="S411" s="64"/>
      <c r="T411" s="64"/>
      <c r="U411" s="64"/>
      <c r="V411" s="64"/>
      <c r="W411" s="64"/>
    </row>
    <row r="412" spans="1:23" ht="30" customHeight="1">
      <c r="A412" s="8"/>
      <c r="B412" s="7"/>
      <c r="C412" s="33"/>
      <c r="D412" s="7"/>
      <c r="E412" s="7"/>
      <c r="F412" s="7"/>
      <c r="G412" s="7"/>
      <c r="H412" s="7"/>
      <c r="I412" s="7"/>
      <c r="J412" s="7"/>
      <c r="K412" s="7"/>
      <c r="L412" s="7"/>
      <c r="M412" s="7"/>
      <c r="N412" s="7"/>
      <c r="O412" s="7"/>
      <c r="P412" s="7"/>
      <c r="Q412" s="7"/>
      <c r="R412" s="64"/>
      <c r="S412" s="64"/>
      <c r="T412" s="64"/>
      <c r="U412" s="64"/>
      <c r="V412" s="64"/>
      <c r="W412" s="64"/>
    </row>
    <row r="413" spans="1:23" ht="30" customHeight="1">
      <c r="A413" s="8"/>
      <c r="B413" s="7"/>
      <c r="C413" s="33"/>
      <c r="D413" s="7"/>
      <c r="E413" s="7"/>
      <c r="F413" s="7"/>
      <c r="G413" s="7"/>
      <c r="H413" s="7"/>
      <c r="I413" s="7"/>
      <c r="J413" s="7"/>
      <c r="K413" s="7"/>
      <c r="L413" s="7"/>
      <c r="M413" s="7"/>
      <c r="N413" s="7"/>
      <c r="O413" s="7"/>
      <c r="P413" s="7"/>
      <c r="Q413" s="7"/>
      <c r="R413" s="64"/>
      <c r="S413" s="64"/>
      <c r="T413" s="64"/>
      <c r="U413" s="64"/>
      <c r="V413" s="64"/>
      <c r="W413" s="64"/>
    </row>
    <row r="414" spans="1:23" ht="30" customHeight="1">
      <c r="A414" s="8"/>
      <c r="B414" s="7"/>
      <c r="C414" s="33"/>
      <c r="D414" s="7"/>
      <c r="E414" s="7"/>
      <c r="F414" s="7"/>
      <c r="G414" s="7"/>
      <c r="H414" s="7"/>
      <c r="I414" s="7"/>
      <c r="J414" s="7"/>
      <c r="K414" s="7"/>
      <c r="L414" s="7"/>
      <c r="M414" s="7"/>
      <c r="N414" s="7"/>
      <c r="O414" s="7"/>
      <c r="P414" s="7"/>
      <c r="Q414" s="7"/>
      <c r="R414" s="64"/>
      <c r="S414" s="64"/>
      <c r="T414" s="64"/>
      <c r="U414" s="64"/>
      <c r="V414" s="64"/>
      <c r="W414" s="64"/>
    </row>
    <row r="415" spans="1:23" ht="30" customHeight="1">
      <c r="A415" s="8"/>
      <c r="B415" s="7"/>
      <c r="C415" s="33"/>
      <c r="D415" s="7"/>
      <c r="E415" s="7"/>
      <c r="F415" s="7"/>
      <c r="G415" s="7"/>
      <c r="H415" s="7"/>
      <c r="I415" s="7"/>
      <c r="J415" s="7"/>
      <c r="K415" s="7"/>
      <c r="L415" s="7"/>
      <c r="M415" s="7"/>
      <c r="N415" s="7"/>
      <c r="O415" s="7"/>
      <c r="P415" s="7"/>
      <c r="Q415" s="7"/>
      <c r="R415" s="64"/>
      <c r="S415" s="64"/>
      <c r="T415" s="64"/>
      <c r="U415" s="64"/>
      <c r="V415" s="64"/>
      <c r="W415" s="64"/>
    </row>
    <row r="416" spans="1:23" ht="30" customHeight="1">
      <c r="A416" s="8"/>
      <c r="B416" s="7"/>
      <c r="C416" s="33"/>
      <c r="D416" s="7"/>
      <c r="E416" s="7"/>
      <c r="F416" s="7"/>
      <c r="G416" s="7"/>
      <c r="H416" s="7"/>
      <c r="I416" s="7"/>
      <c r="J416" s="7"/>
      <c r="K416" s="7"/>
      <c r="L416" s="7"/>
      <c r="M416" s="7"/>
      <c r="N416" s="7"/>
      <c r="O416" s="7"/>
      <c r="P416" s="7"/>
      <c r="Q416" s="7"/>
      <c r="R416" s="64"/>
      <c r="S416" s="64"/>
      <c r="T416" s="64"/>
      <c r="U416" s="64"/>
      <c r="V416" s="64"/>
      <c r="W416" s="64"/>
    </row>
    <row r="417" spans="1:23" ht="30" customHeight="1">
      <c r="A417" s="8"/>
      <c r="B417" s="7"/>
      <c r="C417" s="33"/>
      <c r="D417" s="7"/>
      <c r="E417" s="7"/>
      <c r="F417" s="7"/>
      <c r="G417" s="7"/>
      <c r="H417" s="7"/>
      <c r="I417" s="7"/>
      <c r="J417" s="7"/>
      <c r="K417" s="7"/>
      <c r="L417" s="7"/>
      <c r="M417" s="7"/>
      <c r="N417" s="7"/>
      <c r="O417" s="7"/>
      <c r="P417" s="7"/>
      <c r="Q417" s="7"/>
      <c r="R417" s="64"/>
      <c r="S417" s="64"/>
      <c r="T417" s="64"/>
      <c r="U417" s="64"/>
      <c r="V417" s="64"/>
      <c r="W417" s="64"/>
    </row>
    <row r="418" spans="1:23" ht="30" customHeight="1">
      <c r="A418" s="8"/>
      <c r="B418" s="7"/>
      <c r="C418" s="33"/>
      <c r="D418" s="7"/>
      <c r="E418" s="7"/>
      <c r="F418" s="7"/>
      <c r="G418" s="7"/>
      <c r="H418" s="7"/>
      <c r="I418" s="7"/>
      <c r="J418" s="7"/>
      <c r="K418" s="7"/>
      <c r="L418" s="7"/>
      <c r="M418" s="7"/>
      <c r="N418" s="7"/>
      <c r="O418" s="7"/>
      <c r="P418" s="7"/>
      <c r="Q418" s="7"/>
      <c r="R418" s="64"/>
      <c r="S418" s="64"/>
      <c r="T418" s="64"/>
      <c r="U418" s="64"/>
      <c r="V418" s="64"/>
      <c r="W418" s="64"/>
    </row>
    <row r="419" spans="1:23" ht="30" customHeight="1">
      <c r="A419" s="8"/>
      <c r="B419" s="7"/>
      <c r="C419" s="33"/>
      <c r="D419" s="7"/>
      <c r="E419" s="7"/>
      <c r="F419" s="7"/>
      <c r="G419" s="7"/>
      <c r="H419" s="7"/>
      <c r="I419" s="7"/>
      <c r="J419" s="7"/>
      <c r="K419" s="7"/>
      <c r="L419" s="7"/>
      <c r="M419" s="7"/>
      <c r="N419" s="7"/>
      <c r="O419" s="7"/>
      <c r="P419" s="7"/>
      <c r="Q419" s="7"/>
      <c r="R419" s="64"/>
      <c r="S419" s="64"/>
      <c r="T419" s="64"/>
      <c r="U419" s="64"/>
      <c r="V419" s="64"/>
      <c r="W419" s="64"/>
    </row>
    <row r="420" spans="1:23" ht="30" customHeight="1">
      <c r="A420" s="8"/>
      <c r="B420" s="7"/>
      <c r="C420" s="33"/>
      <c r="D420" s="7"/>
      <c r="E420" s="7"/>
      <c r="F420" s="7"/>
      <c r="G420" s="7"/>
      <c r="H420" s="7"/>
      <c r="I420" s="7"/>
      <c r="J420" s="7"/>
      <c r="K420" s="7"/>
      <c r="L420" s="7"/>
      <c r="M420" s="7"/>
      <c r="N420" s="7"/>
      <c r="O420" s="7"/>
      <c r="P420" s="7"/>
      <c r="Q420" s="7"/>
      <c r="R420" s="64"/>
      <c r="S420" s="64"/>
      <c r="T420" s="64"/>
      <c r="U420" s="64"/>
      <c r="V420" s="64"/>
      <c r="W420" s="64"/>
    </row>
    <row r="421" spans="1:23" ht="30" customHeight="1">
      <c r="A421" s="8"/>
      <c r="B421" s="7"/>
      <c r="C421" s="33"/>
      <c r="D421" s="7"/>
      <c r="E421" s="7"/>
      <c r="F421" s="7"/>
      <c r="G421" s="7"/>
      <c r="H421" s="7"/>
      <c r="I421" s="7"/>
      <c r="J421" s="7"/>
      <c r="K421" s="7"/>
      <c r="L421" s="7"/>
      <c r="M421" s="7"/>
      <c r="N421" s="7"/>
      <c r="O421" s="7"/>
      <c r="P421" s="7"/>
      <c r="Q421" s="7"/>
      <c r="R421" s="64"/>
      <c r="S421" s="64"/>
      <c r="T421" s="64"/>
      <c r="U421" s="64"/>
      <c r="V421" s="64"/>
      <c r="W421" s="64"/>
    </row>
    <row r="422" spans="1:23" ht="30" customHeight="1">
      <c r="A422" s="8"/>
      <c r="B422" s="7"/>
      <c r="C422" s="33"/>
      <c r="D422" s="7"/>
      <c r="E422" s="7"/>
      <c r="F422" s="7"/>
      <c r="G422" s="7"/>
      <c r="H422" s="7"/>
      <c r="I422" s="7"/>
      <c r="J422" s="7"/>
      <c r="K422" s="7"/>
      <c r="L422" s="7"/>
      <c r="M422" s="7"/>
      <c r="N422" s="7"/>
      <c r="O422" s="7"/>
      <c r="P422" s="7"/>
      <c r="Q422" s="7"/>
      <c r="R422" s="64"/>
      <c r="S422" s="64"/>
      <c r="T422" s="64"/>
      <c r="U422" s="64"/>
      <c r="V422" s="64"/>
      <c r="W422" s="64"/>
    </row>
    <row r="423" spans="1:23" ht="30" customHeight="1">
      <c r="A423" s="8"/>
      <c r="B423" s="7"/>
      <c r="C423" s="33"/>
      <c r="D423" s="7"/>
      <c r="E423" s="7"/>
      <c r="F423" s="7"/>
      <c r="G423" s="7"/>
      <c r="H423" s="7"/>
      <c r="I423" s="7"/>
      <c r="J423" s="7"/>
      <c r="K423" s="7"/>
      <c r="L423" s="7"/>
      <c r="M423" s="7"/>
      <c r="N423" s="7"/>
      <c r="O423" s="7"/>
      <c r="P423" s="7"/>
      <c r="Q423" s="7"/>
      <c r="R423" s="64"/>
      <c r="S423" s="64"/>
      <c r="T423" s="64"/>
      <c r="U423" s="64"/>
      <c r="V423" s="64"/>
      <c r="W423" s="64"/>
    </row>
    <row r="424" spans="1:23" ht="30" customHeight="1">
      <c r="A424" s="8"/>
      <c r="B424" s="7"/>
      <c r="C424" s="33"/>
      <c r="D424" s="7"/>
      <c r="E424" s="7"/>
      <c r="F424" s="7"/>
      <c r="G424" s="7"/>
      <c r="H424" s="7"/>
      <c r="I424" s="7"/>
      <c r="J424" s="7"/>
      <c r="K424" s="7"/>
      <c r="L424" s="7"/>
      <c r="M424" s="7"/>
      <c r="N424" s="7"/>
      <c r="O424" s="7"/>
      <c r="P424" s="7"/>
      <c r="Q424" s="7"/>
      <c r="R424" s="64"/>
      <c r="S424" s="64"/>
      <c r="T424" s="64"/>
      <c r="U424" s="64"/>
      <c r="V424" s="64"/>
      <c r="W424" s="64"/>
    </row>
    <row r="425" spans="1:23" ht="30" customHeight="1">
      <c r="A425" s="8"/>
      <c r="B425" s="7"/>
      <c r="C425" s="33"/>
      <c r="D425" s="7"/>
      <c r="E425" s="7"/>
      <c r="F425" s="7"/>
      <c r="G425" s="7"/>
      <c r="H425" s="7"/>
      <c r="I425" s="7"/>
      <c r="J425" s="7"/>
      <c r="K425" s="7"/>
      <c r="L425" s="7"/>
      <c r="M425" s="7"/>
      <c r="N425" s="7"/>
      <c r="O425" s="7"/>
      <c r="P425" s="7"/>
      <c r="Q425" s="7"/>
      <c r="R425" s="64"/>
      <c r="S425" s="64"/>
      <c r="T425" s="64"/>
      <c r="U425" s="64"/>
      <c r="V425" s="64"/>
      <c r="W425" s="64"/>
    </row>
    <row r="426" spans="1:23" ht="30" customHeight="1">
      <c r="A426" s="8"/>
      <c r="B426" s="7"/>
      <c r="C426" s="33"/>
      <c r="D426" s="7"/>
      <c r="E426" s="7"/>
      <c r="F426" s="7"/>
      <c r="G426" s="7"/>
      <c r="H426" s="7"/>
      <c r="I426" s="7"/>
      <c r="J426" s="7"/>
      <c r="K426" s="7"/>
      <c r="L426" s="7"/>
      <c r="M426" s="7"/>
      <c r="N426" s="7"/>
      <c r="O426" s="7"/>
      <c r="P426" s="7"/>
      <c r="Q426" s="7"/>
      <c r="R426" s="64"/>
      <c r="S426" s="64"/>
      <c r="T426" s="64"/>
      <c r="U426" s="64"/>
      <c r="V426" s="64"/>
      <c r="W426" s="64"/>
    </row>
    <row r="427" spans="1:23" ht="30" customHeight="1">
      <c r="A427" s="8"/>
      <c r="B427" s="7"/>
      <c r="C427" s="33"/>
      <c r="D427" s="7"/>
      <c r="E427" s="7"/>
      <c r="F427" s="7"/>
      <c r="G427" s="7"/>
      <c r="H427" s="7"/>
      <c r="I427" s="7"/>
      <c r="J427" s="7"/>
      <c r="K427" s="7"/>
      <c r="L427" s="7"/>
      <c r="M427" s="7"/>
      <c r="N427" s="7"/>
      <c r="O427" s="7"/>
      <c r="P427" s="7"/>
      <c r="Q427" s="7"/>
      <c r="R427" s="64"/>
      <c r="S427" s="64"/>
      <c r="T427" s="64"/>
      <c r="U427" s="64"/>
      <c r="V427" s="64"/>
      <c r="W427" s="64"/>
    </row>
    <row r="428" spans="1:23" ht="30" customHeight="1">
      <c r="A428" s="8"/>
      <c r="B428" s="7"/>
      <c r="C428" s="33"/>
      <c r="D428" s="7"/>
      <c r="E428" s="7"/>
      <c r="F428" s="7"/>
      <c r="G428" s="7"/>
      <c r="H428" s="7"/>
      <c r="I428" s="7"/>
      <c r="J428" s="7"/>
      <c r="K428" s="7"/>
      <c r="L428" s="7"/>
      <c r="M428" s="7"/>
      <c r="N428" s="7"/>
      <c r="O428" s="7"/>
      <c r="P428" s="7"/>
      <c r="Q428" s="7"/>
      <c r="R428" s="64"/>
      <c r="S428" s="64"/>
      <c r="T428" s="64"/>
      <c r="U428" s="64"/>
      <c r="V428" s="64"/>
      <c r="W428" s="64"/>
    </row>
    <row r="429" spans="1:23" ht="30" customHeight="1">
      <c r="A429" s="8"/>
      <c r="B429" s="7"/>
      <c r="C429" s="33"/>
      <c r="D429" s="7"/>
      <c r="E429" s="7"/>
      <c r="F429" s="7"/>
      <c r="G429" s="7"/>
      <c r="H429" s="7"/>
      <c r="I429" s="7"/>
      <c r="J429" s="7"/>
      <c r="K429" s="7"/>
      <c r="L429" s="7"/>
      <c r="M429" s="7"/>
      <c r="N429" s="7"/>
      <c r="O429" s="7"/>
      <c r="P429" s="7"/>
      <c r="Q429" s="7"/>
      <c r="R429" s="64"/>
      <c r="S429" s="64"/>
      <c r="T429" s="64"/>
      <c r="U429" s="64"/>
      <c r="V429" s="64"/>
      <c r="W429" s="64"/>
    </row>
    <row r="430" spans="1:23" ht="30" customHeight="1">
      <c r="A430" s="8"/>
      <c r="B430" s="7"/>
      <c r="C430" s="33"/>
      <c r="D430" s="7"/>
      <c r="E430" s="7"/>
      <c r="F430" s="7"/>
      <c r="G430" s="7"/>
      <c r="H430" s="7"/>
      <c r="I430" s="7"/>
      <c r="J430" s="7"/>
      <c r="K430" s="7"/>
      <c r="L430" s="7"/>
      <c r="M430" s="7"/>
      <c r="N430" s="7"/>
      <c r="O430" s="7"/>
      <c r="P430" s="7"/>
      <c r="Q430" s="7"/>
      <c r="R430" s="64"/>
      <c r="S430" s="64"/>
      <c r="T430" s="64"/>
      <c r="U430" s="64"/>
      <c r="V430" s="64"/>
      <c r="W430" s="64"/>
    </row>
    <row r="431" spans="1:23" ht="30" customHeight="1">
      <c r="A431" s="8"/>
      <c r="B431" s="7"/>
      <c r="C431" s="33"/>
      <c r="D431" s="7"/>
      <c r="E431" s="7"/>
      <c r="F431" s="7"/>
      <c r="G431" s="7"/>
      <c r="H431" s="7"/>
      <c r="I431" s="7"/>
      <c r="J431" s="7"/>
      <c r="K431" s="7"/>
      <c r="L431" s="7"/>
      <c r="M431" s="7"/>
      <c r="N431" s="7"/>
      <c r="O431" s="7"/>
      <c r="P431" s="7"/>
      <c r="Q431" s="7"/>
      <c r="R431" s="64"/>
      <c r="S431" s="64"/>
      <c r="T431" s="64"/>
      <c r="U431" s="64"/>
      <c r="V431" s="64"/>
      <c r="W431" s="64"/>
    </row>
    <row r="432" spans="1:23" ht="30" customHeight="1">
      <c r="A432" s="8"/>
      <c r="B432" s="7"/>
      <c r="C432" s="33"/>
      <c r="D432" s="7"/>
      <c r="E432" s="7"/>
      <c r="F432" s="7"/>
      <c r="G432" s="7"/>
      <c r="H432" s="7"/>
      <c r="I432" s="7"/>
      <c r="J432" s="7"/>
      <c r="K432" s="7"/>
      <c r="L432" s="7"/>
      <c r="M432" s="7"/>
      <c r="N432" s="7"/>
      <c r="O432" s="7"/>
      <c r="P432" s="7"/>
      <c r="Q432" s="7"/>
      <c r="R432" s="64"/>
      <c r="S432" s="64"/>
      <c r="T432" s="64"/>
      <c r="U432" s="64"/>
      <c r="V432" s="64"/>
      <c r="W432" s="64"/>
    </row>
    <row r="433" spans="1:23" ht="30" customHeight="1">
      <c r="A433" s="8"/>
      <c r="B433" s="7"/>
      <c r="C433" s="33"/>
      <c r="D433" s="7"/>
      <c r="E433" s="7"/>
      <c r="F433" s="7"/>
      <c r="G433" s="7"/>
      <c r="H433" s="7"/>
      <c r="I433" s="7"/>
      <c r="J433" s="7"/>
      <c r="K433" s="7"/>
      <c r="L433" s="7"/>
      <c r="M433" s="7"/>
      <c r="N433" s="7"/>
      <c r="O433" s="7"/>
      <c r="P433" s="7"/>
      <c r="Q433" s="7"/>
      <c r="R433" s="64"/>
      <c r="S433" s="64"/>
      <c r="T433" s="64"/>
      <c r="U433" s="64"/>
      <c r="V433" s="64"/>
      <c r="W433" s="64"/>
    </row>
    <row r="434" spans="1:23" ht="30" customHeight="1">
      <c r="A434" s="8"/>
      <c r="B434" s="7"/>
      <c r="C434" s="33"/>
      <c r="D434" s="7"/>
      <c r="E434" s="7"/>
      <c r="F434" s="7"/>
      <c r="G434" s="7"/>
      <c r="H434" s="7"/>
      <c r="I434" s="7"/>
      <c r="J434" s="7"/>
      <c r="K434" s="7"/>
      <c r="L434" s="7"/>
      <c r="M434" s="7"/>
      <c r="N434" s="7"/>
      <c r="O434" s="7"/>
      <c r="P434" s="7"/>
      <c r="Q434" s="7"/>
      <c r="R434" s="64"/>
      <c r="S434" s="64"/>
      <c r="T434" s="64"/>
      <c r="U434" s="64"/>
      <c r="V434" s="64"/>
      <c r="W434" s="64"/>
    </row>
    <row r="435" spans="1:23" ht="30" customHeight="1">
      <c r="A435" s="8"/>
      <c r="B435" s="7"/>
      <c r="C435" s="33"/>
      <c r="D435" s="7"/>
      <c r="E435" s="7"/>
      <c r="F435" s="7"/>
      <c r="G435" s="7"/>
      <c r="H435" s="7"/>
      <c r="I435" s="7"/>
      <c r="J435" s="7"/>
      <c r="K435" s="7"/>
      <c r="L435" s="7"/>
      <c r="M435" s="7"/>
      <c r="N435" s="7"/>
      <c r="O435" s="7"/>
      <c r="P435" s="7"/>
      <c r="Q435" s="7"/>
      <c r="R435" s="64"/>
      <c r="S435" s="64"/>
      <c r="T435" s="64"/>
      <c r="U435" s="64"/>
      <c r="V435" s="64"/>
      <c r="W435" s="64"/>
    </row>
    <row r="436" spans="1:23" ht="30" customHeight="1">
      <c r="A436" s="8"/>
      <c r="B436" s="7"/>
      <c r="C436" s="33"/>
      <c r="D436" s="7"/>
      <c r="E436" s="7"/>
      <c r="F436" s="7"/>
      <c r="G436" s="7"/>
      <c r="H436" s="7"/>
      <c r="I436" s="7"/>
      <c r="J436" s="7"/>
      <c r="K436" s="7"/>
      <c r="L436" s="7"/>
      <c r="M436" s="7"/>
      <c r="N436" s="7"/>
      <c r="O436" s="7"/>
      <c r="P436" s="7"/>
      <c r="Q436" s="7"/>
      <c r="R436" s="64"/>
      <c r="S436" s="64"/>
      <c r="T436" s="64"/>
      <c r="U436" s="64"/>
      <c r="V436" s="64"/>
      <c r="W436" s="64"/>
    </row>
    <row r="437" spans="1:23" ht="30" customHeight="1">
      <c r="A437" s="8"/>
      <c r="B437" s="7"/>
      <c r="C437" s="33"/>
      <c r="D437" s="7"/>
      <c r="E437" s="7"/>
      <c r="F437" s="7"/>
      <c r="G437" s="7"/>
      <c r="H437" s="7"/>
      <c r="I437" s="7"/>
      <c r="J437" s="7"/>
      <c r="K437" s="7"/>
      <c r="L437" s="7"/>
      <c r="M437" s="7"/>
      <c r="N437" s="7"/>
      <c r="O437" s="7"/>
      <c r="P437" s="7"/>
      <c r="Q437" s="7"/>
      <c r="R437" s="64"/>
      <c r="S437" s="64"/>
      <c r="T437" s="64"/>
      <c r="U437" s="64"/>
      <c r="V437" s="64"/>
      <c r="W437" s="64"/>
    </row>
    <row r="438" spans="1:23" ht="30" customHeight="1">
      <c r="A438" s="8"/>
      <c r="B438" s="7"/>
      <c r="C438" s="33"/>
      <c r="D438" s="7"/>
      <c r="E438" s="7"/>
      <c r="F438" s="7"/>
      <c r="G438" s="7"/>
      <c r="H438" s="7"/>
      <c r="I438" s="7"/>
      <c r="J438" s="7"/>
      <c r="K438" s="7"/>
      <c r="L438" s="7"/>
      <c r="M438" s="7"/>
      <c r="N438" s="7"/>
      <c r="O438" s="7"/>
      <c r="P438" s="7"/>
      <c r="Q438" s="7"/>
      <c r="R438" s="64"/>
      <c r="S438" s="64"/>
      <c r="T438" s="64"/>
      <c r="U438" s="64"/>
      <c r="V438" s="64"/>
      <c r="W438" s="64"/>
    </row>
    <row r="439" spans="1:23" ht="30" customHeight="1">
      <c r="A439" s="8"/>
      <c r="B439" s="7"/>
      <c r="C439" s="33"/>
      <c r="D439" s="7"/>
      <c r="E439" s="7"/>
      <c r="F439" s="7"/>
      <c r="G439" s="7"/>
      <c r="H439" s="7"/>
      <c r="I439" s="7"/>
      <c r="J439" s="7"/>
      <c r="K439" s="7"/>
      <c r="L439" s="7"/>
      <c r="M439" s="7"/>
      <c r="N439" s="7"/>
      <c r="O439" s="7"/>
      <c r="P439" s="7"/>
      <c r="Q439" s="7"/>
      <c r="R439" s="64"/>
      <c r="S439" s="64"/>
      <c r="T439" s="64"/>
      <c r="U439" s="64"/>
      <c r="V439" s="64"/>
      <c r="W439" s="64"/>
    </row>
    <row r="440" spans="1:23" ht="30" customHeight="1">
      <c r="A440" s="8"/>
      <c r="B440" s="7"/>
      <c r="C440" s="33"/>
      <c r="D440" s="7"/>
      <c r="E440" s="7"/>
      <c r="F440" s="7"/>
      <c r="G440" s="7"/>
      <c r="H440" s="7"/>
      <c r="I440" s="7"/>
      <c r="J440" s="7"/>
      <c r="K440" s="7"/>
      <c r="L440" s="7"/>
      <c r="M440" s="7"/>
      <c r="N440" s="7"/>
      <c r="O440" s="7"/>
      <c r="P440" s="7"/>
      <c r="Q440" s="7"/>
      <c r="R440" s="64"/>
      <c r="S440" s="64"/>
      <c r="T440" s="64"/>
      <c r="U440" s="64"/>
      <c r="V440" s="64"/>
      <c r="W440" s="64"/>
    </row>
    <row r="441" spans="1:23" ht="30" customHeight="1">
      <c r="A441" s="8"/>
      <c r="B441" s="7"/>
      <c r="C441" s="33"/>
      <c r="D441" s="7"/>
      <c r="E441" s="7"/>
      <c r="F441" s="7"/>
      <c r="G441" s="7"/>
      <c r="H441" s="7"/>
      <c r="I441" s="7"/>
      <c r="J441" s="7"/>
      <c r="K441" s="7"/>
      <c r="L441" s="7"/>
      <c r="M441" s="7"/>
      <c r="N441" s="7"/>
      <c r="O441" s="7"/>
      <c r="P441" s="7"/>
      <c r="Q441" s="7"/>
      <c r="R441" s="64"/>
      <c r="S441" s="64"/>
      <c r="T441" s="64"/>
      <c r="U441" s="64"/>
      <c r="V441" s="64"/>
      <c r="W441" s="64"/>
    </row>
    <row r="442" spans="1:23" ht="30" customHeight="1">
      <c r="A442" s="8"/>
      <c r="B442" s="7"/>
      <c r="C442" s="33"/>
      <c r="D442" s="7"/>
      <c r="E442" s="7"/>
      <c r="F442" s="7"/>
      <c r="G442" s="7"/>
      <c r="H442" s="7"/>
      <c r="I442" s="7"/>
      <c r="J442" s="7"/>
      <c r="K442" s="7"/>
      <c r="L442" s="7"/>
      <c r="M442" s="7"/>
      <c r="N442" s="7"/>
      <c r="O442" s="7"/>
      <c r="P442" s="7"/>
      <c r="Q442" s="7"/>
      <c r="R442" s="64"/>
      <c r="S442" s="64"/>
      <c r="T442" s="64"/>
      <c r="U442" s="64"/>
      <c r="V442" s="64"/>
      <c r="W442" s="64"/>
    </row>
    <row r="443" spans="1:23" ht="30" customHeight="1">
      <c r="A443" s="8"/>
      <c r="B443" s="7"/>
      <c r="C443" s="33"/>
      <c r="D443" s="7"/>
      <c r="E443" s="7"/>
      <c r="F443" s="7"/>
      <c r="G443" s="7"/>
      <c r="H443" s="7"/>
      <c r="I443" s="7"/>
      <c r="J443" s="7"/>
      <c r="K443" s="7"/>
      <c r="L443" s="7"/>
      <c r="M443" s="7"/>
      <c r="N443" s="7"/>
      <c r="O443" s="7"/>
      <c r="P443" s="7"/>
      <c r="Q443" s="7"/>
      <c r="R443" s="64"/>
      <c r="S443" s="64"/>
      <c r="T443" s="64"/>
      <c r="U443" s="64"/>
      <c r="V443" s="64"/>
      <c r="W443" s="64"/>
    </row>
    <row r="444" spans="1:23" ht="30" customHeight="1">
      <c r="A444" s="8"/>
      <c r="B444" s="7"/>
      <c r="C444" s="33"/>
      <c r="D444" s="7"/>
      <c r="E444" s="7"/>
      <c r="F444" s="7"/>
      <c r="G444" s="7"/>
      <c r="H444" s="7"/>
      <c r="I444" s="7"/>
      <c r="J444" s="7"/>
      <c r="K444" s="7"/>
      <c r="L444" s="7"/>
      <c r="M444" s="7"/>
      <c r="N444" s="7"/>
      <c r="O444" s="7"/>
      <c r="P444" s="7"/>
      <c r="Q444" s="7"/>
      <c r="R444" s="64"/>
      <c r="S444" s="64"/>
      <c r="T444" s="64"/>
      <c r="U444" s="64"/>
      <c r="V444" s="64"/>
      <c r="W444" s="64"/>
    </row>
    <row r="445" spans="1:23" ht="30" customHeight="1">
      <c r="A445" s="8"/>
      <c r="B445" s="7"/>
      <c r="C445" s="33"/>
      <c r="D445" s="7"/>
      <c r="E445" s="7"/>
      <c r="F445" s="7"/>
      <c r="G445" s="7"/>
      <c r="H445" s="7"/>
      <c r="I445" s="7"/>
      <c r="J445" s="7"/>
      <c r="K445" s="7"/>
      <c r="L445" s="7"/>
      <c r="M445" s="7"/>
      <c r="N445" s="7"/>
      <c r="O445" s="7"/>
      <c r="P445" s="7"/>
      <c r="Q445" s="7"/>
      <c r="R445" s="64"/>
      <c r="S445" s="64"/>
      <c r="T445" s="64"/>
      <c r="U445" s="64"/>
      <c r="V445" s="64"/>
      <c r="W445" s="64"/>
    </row>
    <row r="446" spans="1:23" ht="30" customHeight="1">
      <c r="A446" s="8"/>
      <c r="B446" s="7"/>
      <c r="C446" s="33"/>
      <c r="D446" s="7"/>
      <c r="E446" s="7"/>
      <c r="F446" s="7"/>
      <c r="G446" s="7"/>
      <c r="H446" s="7"/>
      <c r="I446" s="7"/>
      <c r="J446" s="7"/>
      <c r="K446" s="7"/>
      <c r="L446" s="7"/>
      <c r="M446" s="7"/>
      <c r="N446" s="7"/>
      <c r="O446" s="7"/>
      <c r="P446" s="7"/>
      <c r="Q446" s="7"/>
      <c r="R446" s="64"/>
      <c r="S446" s="64"/>
      <c r="T446" s="64"/>
      <c r="U446" s="64"/>
      <c r="V446" s="64"/>
      <c r="W446" s="64"/>
    </row>
    <row r="447" spans="1:23" ht="30" customHeight="1">
      <c r="A447" s="8"/>
      <c r="B447" s="7"/>
      <c r="C447" s="33"/>
      <c r="D447" s="7"/>
      <c r="E447" s="7"/>
      <c r="F447" s="7"/>
      <c r="G447" s="7"/>
      <c r="H447" s="7"/>
      <c r="I447" s="7"/>
      <c r="J447" s="7"/>
      <c r="K447" s="7"/>
      <c r="L447" s="7"/>
      <c r="M447" s="7"/>
      <c r="N447" s="7"/>
      <c r="O447" s="7"/>
      <c r="P447" s="7"/>
      <c r="Q447" s="7"/>
      <c r="R447" s="64"/>
      <c r="S447" s="64"/>
      <c r="T447" s="64"/>
      <c r="U447" s="64"/>
      <c r="V447" s="64"/>
      <c r="W447" s="64"/>
    </row>
    <row r="448" spans="1:23" ht="30" customHeight="1">
      <c r="A448" s="8"/>
      <c r="B448" s="7"/>
      <c r="C448" s="33"/>
      <c r="D448" s="7"/>
      <c r="E448" s="7"/>
      <c r="F448" s="7"/>
      <c r="G448" s="7"/>
      <c r="H448" s="7"/>
      <c r="I448" s="7"/>
      <c r="J448" s="7"/>
      <c r="K448" s="7"/>
      <c r="L448" s="7"/>
      <c r="M448" s="7"/>
      <c r="N448" s="7"/>
      <c r="O448" s="7"/>
      <c r="P448" s="7"/>
      <c r="Q448" s="7"/>
      <c r="R448" s="64"/>
      <c r="S448" s="64"/>
      <c r="T448" s="64"/>
      <c r="U448" s="64"/>
      <c r="V448" s="64"/>
      <c r="W448" s="64"/>
    </row>
    <row r="449" spans="1:23" ht="30" customHeight="1">
      <c r="A449" s="8"/>
      <c r="B449" s="7"/>
      <c r="C449" s="33"/>
      <c r="D449" s="7"/>
      <c r="E449" s="7"/>
      <c r="F449" s="7"/>
      <c r="G449" s="7"/>
      <c r="H449" s="7"/>
      <c r="I449" s="7"/>
      <c r="J449" s="7"/>
      <c r="K449" s="7"/>
      <c r="L449" s="7"/>
      <c r="M449" s="7"/>
      <c r="N449" s="7"/>
      <c r="O449" s="7"/>
      <c r="P449" s="7"/>
      <c r="Q449" s="7"/>
      <c r="R449" s="64"/>
      <c r="S449" s="64"/>
      <c r="T449" s="64"/>
      <c r="U449" s="64"/>
      <c r="V449" s="64"/>
      <c r="W449" s="64"/>
    </row>
    <row r="450" spans="1:23" ht="30" customHeight="1">
      <c r="A450" s="8"/>
      <c r="B450" s="7"/>
      <c r="C450" s="33"/>
      <c r="D450" s="7"/>
      <c r="E450" s="7"/>
      <c r="F450" s="7"/>
      <c r="G450" s="7"/>
      <c r="H450" s="7"/>
      <c r="I450" s="7"/>
      <c r="J450" s="7"/>
      <c r="K450" s="7"/>
      <c r="L450" s="7"/>
      <c r="M450" s="7"/>
      <c r="N450" s="7"/>
      <c r="O450" s="7"/>
      <c r="P450" s="7"/>
      <c r="Q450" s="7"/>
      <c r="R450" s="64"/>
      <c r="S450" s="64"/>
      <c r="T450" s="64"/>
      <c r="U450" s="64"/>
      <c r="V450" s="64"/>
      <c r="W450" s="64"/>
    </row>
    <row r="451" spans="1:23" ht="30" customHeight="1">
      <c r="A451" s="8"/>
      <c r="B451" s="7"/>
      <c r="C451" s="33"/>
      <c r="D451" s="7"/>
      <c r="E451" s="7"/>
      <c r="F451" s="7"/>
      <c r="G451" s="7"/>
      <c r="H451" s="7"/>
      <c r="I451" s="7"/>
      <c r="J451" s="7"/>
      <c r="K451" s="7"/>
      <c r="L451" s="7"/>
      <c r="M451" s="7"/>
      <c r="N451" s="7"/>
      <c r="O451" s="7"/>
      <c r="P451" s="7"/>
      <c r="Q451" s="7"/>
      <c r="R451" s="64"/>
      <c r="S451" s="64"/>
      <c r="T451" s="64"/>
      <c r="U451" s="64"/>
      <c r="V451" s="64"/>
      <c r="W451" s="64"/>
    </row>
    <row r="452" spans="1:23" ht="30" customHeight="1">
      <c r="A452" s="8"/>
      <c r="B452" s="7"/>
      <c r="C452" s="33"/>
      <c r="D452" s="7"/>
      <c r="E452" s="7"/>
      <c r="F452" s="7"/>
      <c r="G452" s="7"/>
      <c r="H452" s="7"/>
      <c r="I452" s="7"/>
      <c r="J452" s="7"/>
      <c r="K452" s="7"/>
      <c r="L452" s="7"/>
      <c r="M452" s="7"/>
      <c r="N452" s="7"/>
      <c r="O452" s="7"/>
      <c r="P452" s="7"/>
      <c r="Q452" s="7"/>
      <c r="R452" s="64"/>
      <c r="S452" s="64"/>
      <c r="T452" s="64"/>
      <c r="U452" s="64"/>
      <c r="V452" s="64"/>
      <c r="W452" s="64"/>
    </row>
    <row r="453" spans="1:23" ht="30" customHeight="1">
      <c r="A453" s="8"/>
      <c r="B453" s="7"/>
      <c r="C453" s="33"/>
      <c r="D453" s="7"/>
      <c r="E453" s="7"/>
      <c r="F453" s="7"/>
      <c r="G453" s="7"/>
      <c r="H453" s="7"/>
      <c r="I453" s="7"/>
      <c r="J453" s="7"/>
      <c r="K453" s="7"/>
      <c r="L453" s="7"/>
      <c r="M453" s="7"/>
      <c r="N453" s="7"/>
      <c r="O453" s="7"/>
      <c r="P453" s="7"/>
      <c r="Q453" s="7"/>
      <c r="R453" s="64"/>
      <c r="S453" s="64"/>
      <c r="T453" s="64"/>
      <c r="U453" s="64"/>
      <c r="V453" s="64"/>
      <c r="W453" s="64"/>
    </row>
    <row r="454" spans="1:23" ht="30" customHeight="1">
      <c r="A454" s="8"/>
      <c r="B454" s="7"/>
      <c r="C454" s="33"/>
      <c r="D454" s="7"/>
      <c r="E454" s="7"/>
      <c r="F454" s="7"/>
      <c r="G454" s="7"/>
      <c r="H454" s="7"/>
      <c r="I454" s="7"/>
      <c r="J454" s="7"/>
      <c r="K454" s="7"/>
      <c r="L454" s="7"/>
      <c r="M454" s="7"/>
      <c r="N454" s="7"/>
      <c r="O454" s="7"/>
      <c r="P454" s="7"/>
      <c r="Q454" s="7"/>
      <c r="R454" s="64"/>
      <c r="S454" s="64"/>
      <c r="T454" s="64"/>
      <c r="U454" s="64"/>
      <c r="V454" s="64"/>
      <c r="W454" s="64"/>
    </row>
    <row r="455" spans="1:23" ht="30" customHeight="1">
      <c r="A455" s="8"/>
      <c r="B455" s="7"/>
      <c r="C455" s="33"/>
      <c r="D455" s="7"/>
      <c r="E455" s="7"/>
      <c r="F455" s="7"/>
      <c r="G455" s="7"/>
      <c r="H455" s="7"/>
      <c r="I455" s="7"/>
      <c r="J455" s="7"/>
      <c r="K455" s="7"/>
      <c r="L455" s="7"/>
      <c r="M455" s="7"/>
      <c r="N455" s="7"/>
      <c r="O455" s="7"/>
      <c r="P455" s="7"/>
      <c r="Q455" s="7"/>
      <c r="R455" s="64"/>
      <c r="S455" s="64"/>
      <c r="T455" s="64"/>
      <c r="U455" s="64"/>
      <c r="V455" s="64"/>
      <c r="W455" s="64"/>
    </row>
    <row r="456" spans="1:23" ht="30" customHeight="1">
      <c r="A456" s="8"/>
      <c r="B456" s="7"/>
      <c r="C456" s="33"/>
      <c r="D456" s="7"/>
      <c r="E456" s="7"/>
      <c r="F456" s="7"/>
      <c r="G456" s="7"/>
      <c r="H456" s="7"/>
      <c r="I456" s="7"/>
      <c r="J456" s="7"/>
      <c r="K456" s="7"/>
      <c r="L456" s="7"/>
      <c r="M456" s="7"/>
      <c r="N456" s="7"/>
      <c r="O456" s="7"/>
      <c r="P456" s="7"/>
      <c r="Q456" s="7"/>
      <c r="R456" s="64"/>
      <c r="S456" s="64"/>
      <c r="T456" s="64"/>
      <c r="U456" s="64"/>
      <c r="V456" s="64"/>
      <c r="W456" s="64"/>
    </row>
    <row r="457" spans="1:23" ht="30" customHeight="1">
      <c r="A457" s="8"/>
      <c r="B457" s="7"/>
      <c r="C457" s="33"/>
      <c r="D457" s="7"/>
      <c r="E457" s="7"/>
      <c r="F457" s="7"/>
      <c r="G457" s="7"/>
      <c r="H457" s="7"/>
      <c r="I457" s="7"/>
      <c r="J457" s="7"/>
      <c r="K457" s="7"/>
      <c r="L457" s="7"/>
      <c r="M457" s="7"/>
      <c r="N457" s="7"/>
      <c r="O457" s="7"/>
      <c r="P457" s="7"/>
      <c r="Q457" s="7"/>
      <c r="R457" s="64"/>
      <c r="S457" s="64"/>
      <c r="T457" s="64"/>
      <c r="U457" s="64"/>
      <c r="V457" s="64"/>
      <c r="W457" s="64"/>
    </row>
    <row r="458" spans="1:23" ht="30" customHeight="1">
      <c r="A458" s="8"/>
      <c r="B458" s="7"/>
      <c r="C458" s="33"/>
      <c r="D458" s="7"/>
      <c r="E458" s="7"/>
      <c r="F458" s="7"/>
      <c r="G458" s="7"/>
      <c r="H458" s="7"/>
      <c r="I458" s="7"/>
      <c r="J458" s="7"/>
      <c r="K458" s="7"/>
      <c r="L458" s="7"/>
      <c r="M458" s="7"/>
      <c r="N458" s="7"/>
      <c r="O458" s="7"/>
      <c r="P458" s="7"/>
      <c r="Q458" s="7"/>
      <c r="R458" s="64"/>
      <c r="S458" s="64"/>
      <c r="T458" s="64"/>
      <c r="U458" s="64"/>
      <c r="V458" s="64"/>
      <c r="W458" s="64"/>
    </row>
    <row r="459" spans="1:23" ht="30" customHeight="1">
      <c r="A459" s="8"/>
      <c r="B459" s="7"/>
      <c r="C459" s="33"/>
      <c r="D459" s="7"/>
      <c r="E459" s="7"/>
      <c r="F459" s="7"/>
      <c r="G459" s="7"/>
      <c r="H459" s="7"/>
      <c r="I459" s="7"/>
      <c r="J459" s="7"/>
      <c r="K459" s="7"/>
      <c r="L459" s="7"/>
      <c r="M459" s="7"/>
      <c r="N459" s="7"/>
      <c r="O459" s="7"/>
      <c r="P459" s="7"/>
      <c r="Q459" s="7"/>
      <c r="R459" s="64"/>
      <c r="S459" s="64"/>
      <c r="T459" s="64"/>
      <c r="U459" s="64"/>
      <c r="V459" s="64"/>
      <c r="W459" s="64"/>
    </row>
    <row r="460" spans="1:23" ht="30" customHeight="1">
      <c r="A460" s="8"/>
      <c r="B460" s="7"/>
      <c r="C460" s="33"/>
      <c r="D460" s="7"/>
      <c r="E460" s="7"/>
      <c r="F460" s="7"/>
      <c r="G460" s="7"/>
      <c r="H460" s="7"/>
      <c r="I460" s="7"/>
      <c r="J460" s="7"/>
      <c r="K460" s="7"/>
      <c r="L460" s="7"/>
      <c r="M460" s="7"/>
      <c r="N460" s="7"/>
      <c r="O460" s="7"/>
      <c r="P460" s="7"/>
      <c r="Q460" s="7"/>
      <c r="R460" s="64"/>
      <c r="S460" s="64"/>
      <c r="T460" s="64"/>
      <c r="U460" s="64"/>
      <c r="V460" s="64"/>
      <c r="W460" s="64"/>
    </row>
    <row r="461" spans="1:23" ht="30" customHeight="1">
      <c r="A461" s="8"/>
      <c r="B461" s="7"/>
      <c r="C461" s="33"/>
      <c r="D461" s="7"/>
      <c r="E461" s="7"/>
      <c r="F461" s="7"/>
      <c r="G461" s="7"/>
      <c r="H461" s="7"/>
      <c r="I461" s="7"/>
      <c r="J461" s="7"/>
      <c r="K461" s="7"/>
      <c r="L461" s="7"/>
      <c r="M461" s="7"/>
      <c r="N461" s="7"/>
      <c r="O461" s="7"/>
      <c r="P461" s="7"/>
      <c r="Q461" s="7"/>
      <c r="R461" s="64"/>
      <c r="S461" s="64"/>
      <c r="T461" s="64"/>
      <c r="U461" s="64"/>
      <c r="V461" s="64"/>
      <c r="W461" s="64"/>
    </row>
    <row r="462" spans="1:23" ht="30" customHeight="1">
      <c r="A462" s="8"/>
      <c r="B462" s="7"/>
      <c r="C462" s="33"/>
      <c r="D462" s="7"/>
      <c r="E462" s="7"/>
      <c r="F462" s="7"/>
      <c r="G462" s="7"/>
      <c r="H462" s="7"/>
      <c r="I462" s="7"/>
      <c r="J462" s="7"/>
      <c r="K462" s="7"/>
      <c r="L462" s="7"/>
      <c r="M462" s="7"/>
      <c r="N462" s="7"/>
      <c r="O462" s="7"/>
      <c r="P462" s="7"/>
      <c r="Q462" s="7"/>
      <c r="R462" s="64"/>
      <c r="S462" s="64"/>
      <c r="T462" s="64"/>
      <c r="U462" s="64"/>
      <c r="V462" s="64"/>
      <c r="W462" s="64"/>
    </row>
    <row r="463" spans="1:23" ht="30" customHeight="1">
      <c r="A463" s="8"/>
      <c r="B463" s="7"/>
      <c r="C463" s="33"/>
      <c r="D463" s="7"/>
      <c r="E463" s="7"/>
      <c r="F463" s="7"/>
      <c r="G463" s="7"/>
      <c r="H463" s="7"/>
      <c r="I463" s="7"/>
      <c r="J463" s="7"/>
      <c r="K463" s="7"/>
      <c r="L463" s="7"/>
      <c r="M463" s="7"/>
      <c r="N463" s="7"/>
      <c r="O463" s="7"/>
      <c r="P463" s="7"/>
      <c r="Q463" s="7"/>
      <c r="R463" s="64"/>
      <c r="S463" s="64"/>
      <c r="T463" s="64"/>
      <c r="U463" s="64"/>
      <c r="V463" s="64"/>
      <c r="W463" s="64"/>
    </row>
    <row r="464" spans="1:23" ht="30" customHeight="1">
      <c r="A464" s="8"/>
      <c r="B464" s="7"/>
      <c r="C464" s="33"/>
      <c r="D464" s="7"/>
      <c r="E464" s="7"/>
      <c r="F464" s="7"/>
      <c r="G464" s="7"/>
      <c r="H464" s="7"/>
      <c r="I464" s="7"/>
      <c r="J464" s="7"/>
      <c r="K464" s="7"/>
      <c r="L464" s="7"/>
      <c r="M464" s="7"/>
      <c r="N464" s="7"/>
      <c r="O464" s="7"/>
      <c r="P464" s="7"/>
      <c r="Q464" s="7"/>
      <c r="R464" s="64"/>
      <c r="S464" s="64"/>
      <c r="T464" s="64"/>
      <c r="U464" s="64"/>
      <c r="V464" s="64"/>
      <c r="W464" s="64"/>
    </row>
    <row r="465" spans="1:23" ht="30" customHeight="1">
      <c r="A465" s="8"/>
      <c r="B465" s="7"/>
      <c r="C465" s="33"/>
      <c r="D465" s="7"/>
      <c r="E465" s="7"/>
      <c r="F465" s="7"/>
      <c r="G465" s="7"/>
      <c r="H465" s="7"/>
      <c r="I465" s="7"/>
      <c r="J465" s="7"/>
      <c r="K465" s="7"/>
      <c r="L465" s="7"/>
      <c r="M465" s="7"/>
      <c r="N465" s="7"/>
      <c r="O465" s="7"/>
      <c r="P465" s="7"/>
      <c r="Q465" s="7"/>
      <c r="R465" s="64"/>
      <c r="S465" s="64"/>
      <c r="T465" s="64"/>
      <c r="U465" s="64"/>
      <c r="V465" s="64"/>
      <c r="W465" s="64"/>
    </row>
    <row r="466" spans="1:23" ht="30" customHeight="1">
      <c r="A466" s="8"/>
      <c r="B466" s="7"/>
      <c r="C466" s="33"/>
      <c r="D466" s="7"/>
      <c r="E466" s="7"/>
      <c r="F466" s="7"/>
      <c r="G466" s="7"/>
      <c r="H466" s="7"/>
      <c r="I466" s="7"/>
      <c r="J466" s="7"/>
      <c r="K466" s="7"/>
      <c r="L466" s="7"/>
      <c r="M466" s="7"/>
      <c r="N466" s="7"/>
      <c r="O466" s="7"/>
      <c r="P466" s="7"/>
      <c r="Q466" s="7"/>
      <c r="R466" s="64"/>
      <c r="S466" s="64"/>
      <c r="T466" s="64"/>
      <c r="U466" s="64"/>
      <c r="V466" s="64"/>
      <c r="W466" s="64"/>
    </row>
    <row r="467" spans="1:23" ht="30" customHeight="1">
      <c r="A467" s="8"/>
      <c r="B467" s="7"/>
      <c r="C467" s="33"/>
      <c r="D467" s="7"/>
      <c r="E467" s="7"/>
      <c r="F467" s="7"/>
      <c r="G467" s="7"/>
      <c r="H467" s="7"/>
      <c r="I467" s="7"/>
      <c r="J467" s="7"/>
      <c r="K467" s="7"/>
      <c r="L467" s="7"/>
      <c r="M467" s="7"/>
      <c r="N467" s="7"/>
      <c r="O467" s="7"/>
      <c r="P467" s="7"/>
      <c r="Q467" s="7"/>
      <c r="R467" s="64"/>
      <c r="S467" s="64"/>
      <c r="T467" s="64"/>
      <c r="U467" s="64"/>
      <c r="V467" s="64"/>
      <c r="W467" s="64"/>
    </row>
    <row r="468" spans="1:23" ht="30" customHeight="1">
      <c r="A468" s="8"/>
      <c r="B468" s="7"/>
      <c r="C468" s="33"/>
      <c r="D468" s="7"/>
      <c r="E468" s="7"/>
      <c r="F468" s="7"/>
      <c r="G468" s="7"/>
      <c r="H468" s="7"/>
      <c r="I468" s="7"/>
      <c r="J468" s="7"/>
      <c r="K468" s="7"/>
      <c r="L468" s="7"/>
      <c r="M468" s="7"/>
      <c r="N468" s="7"/>
      <c r="O468" s="7"/>
      <c r="P468" s="7"/>
      <c r="Q468" s="7"/>
      <c r="R468" s="64"/>
      <c r="S468" s="64"/>
      <c r="T468" s="64"/>
      <c r="U468" s="64"/>
      <c r="V468" s="64"/>
      <c r="W468" s="64"/>
    </row>
    <row r="469" spans="1:23" ht="30" customHeight="1">
      <c r="A469" s="8"/>
      <c r="B469" s="7"/>
      <c r="C469" s="33"/>
      <c r="D469" s="7"/>
      <c r="E469" s="7"/>
      <c r="F469" s="7"/>
      <c r="G469" s="7"/>
      <c r="H469" s="7"/>
      <c r="I469" s="7"/>
      <c r="J469" s="7"/>
      <c r="K469" s="7"/>
      <c r="L469" s="7"/>
      <c r="M469" s="7"/>
      <c r="N469" s="7"/>
      <c r="O469" s="7"/>
      <c r="P469" s="7"/>
      <c r="Q469" s="7"/>
      <c r="R469" s="64"/>
      <c r="S469" s="64"/>
      <c r="T469" s="64"/>
      <c r="U469" s="64"/>
      <c r="V469" s="64"/>
      <c r="W469" s="64"/>
    </row>
    <row r="470" spans="1:23" ht="30" customHeight="1">
      <c r="A470" s="8"/>
      <c r="B470" s="7"/>
      <c r="C470" s="33"/>
      <c r="D470" s="7"/>
      <c r="E470" s="7"/>
      <c r="F470" s="7"/>
      <c r="G470" s="7"/>
      <c r="H470" s="7"/>
      <c r="I470" s="7"/>
      <c r="J470" s="7"/>
      <c r="K470" s="7"/>
      <c r="L470" s="7"/>
      <c r="M470" s="7"/>
      <c r="N470" s="7"/>
      <c r="O470" s="7"/>
      <c r="P470" s="7"/>
      <c r="Q470" s="7"/>
      <c r="R470" s="64"/>
      <c r="S470" s="64"/>
      <c r="T470" s="64"/>
      <c r="U470" s="64"/>
      <c r="V470" s="64"/>
      <c r="W470" s="64"/>
    </row>
    <row r="471" spans="1:23" ht="30" customHeight="1">
      <c r="A471" s="8"/>
      <c r="B471" s="7"/>
      <c r="C471" s="33"/>
      <c r="D471" s="7"/>
      <c r="E471" s="7"/>
      <c r="F471" s="7"/>
      <c r="G471" s="7"/>
      <c r="H471" s="7"/>
      <c r="I471" s="7"/>
      <c r="J471" s="7"/>
      <c r="K471" s="7"/>
      <c r="L471" s="7"/>
      <c r="M471" s="7"/>
      <c r="N471" s="7"/>
      <c r="O471" s="7"/>
      <c r="P471" s="7"/>
      <c r="Q471" s="7"/>
      <c r="R471" s="64"/>
      <c r="S471" s="64"/>
      <c r="T471" s="64"/>
      <c r="U471" s="64"/>
      <c r="V471" s="64"/>
      <c r="W471" s="64"/>
    </row>
    <row r="472" spans="1:23" ht="30" customHeight="1">
      <c r="A472" s="8"/>
      <c r="B472" s="7"/>
      <c r="C472" s="33"/>
      <c r="D472" s="7"/>
      <c r="E472" s="7"/>
      <c r="F472" s="7"/>
      <c r="G472" s="7"/>
      <c r="H472" s="7"/>
      <c r="I472" s="7"/>
      <c r="J472" s="7"/>
      <c r="K472" s="7"/>
      <c r="L472" s="7"/>
      <c r="M472" s="7"/>
      <c r="N472" s="7"/>
      <c r="O472" s="7"/>
      <c r="P472" s="7"/>
      <c r="Q472" s="7"/>
      <c r="R472" s="64"/>
      <c r="S472" s="64"/>
      <c r="T472" s="64"/>
      <c r="U472" s="64"/>
      <c r="V472" s="64"/>
      <c r="W472" s="64"/>
    </row>
    <row r="473" spans="1:23" ht="30" customHeight="1">
      <c r="A473" s="8"/>
      <c r="B473" s="7"/>
      <c r="C473" s="33"/>
      <c r="D473" s="7"/>
      <c r="E473" s="7"/>
      <c r="F473" s="7"/>
      <c r="G473" s="7"/>
      <c r="H473" s="7"/>
      <c r="I473" s="7"/>
      <c r="J473" s="7"/>
      <c r="K473" s="7"/>
      <c r="L473" s="7"/>
      <c r="M473" s="7"/>
      <c r="N473" s="7"/>
      <c r="O473" s="7"/>
      <c r="P473" s="7"/>
      <c r="Q473" s="7"/>
      <c r="R473" s="64"/>
      <c r="S473" s="64"/>
      <c r="T473" s="64"/>
      <c r="U473" s="64"/>
      <c r="V473" s="64"/>
      <c r="W473" s="64"/>
    </row>
    <row r="474" spans="1:23" ht="30" customHeight="1">
      <c r="A474" s="8"/>
      <c r="B474" s="7"/>
      <c r="C474" s="33"/>
      <c r="D474" s="7"/>
      <c r="E474" s="7"/>
      <c r="F474" s="7"/>
      <c r="G474" s="7"/>
      <c r="H474" s="7"/>
      <c r="I474" s="7"/>
      <c r="J474" s="7"/>
      <c r="K474" s="7"/>
      <c r="L474" s="7"/>
      <c r="M474" s="7"/>
      <c r="N474" s="7"/>
      <c r="O474" s="7"/>
      <c r="P474" s="7"/>
      <c r="Q474" s="7"/>
      <c r="R474" s="64"/>
      <c r="S474" s="64"/>
      <c r="T474" s="64"/>
      <c r="U474" s="64"/>
      <c r="V474" s="64"/>
      <c r="W474" s="64"/>
    </row>
    <row r="475" spans="1:23" ht="30" customHeight="1">
      <c r="A475" s="8"/>
      <c r="B475" s="7"/>
      <c r="C475" s="33"/>
      <c r="D475" s="7"/>
      <c r="E475" s="7"/>
      <c r="F475" s="7"/>
      <c r="G475" s="7"/>
      <c r="H475" s="7"/>
      <c r="I475" s="7"/>
      <c r="J475" s="7"/>
      <c r="K475" s="7"/>
      <c r="L475" s="7"/>
      <c r="M475" s="7"/>
      <c r="N475" s="7"/>
      <c r="O475" s="7"/>
      <c r="P475" s="7"/>
      <c r="Q475" s="7"/>
      <c r="R475" s="64"/>
      <c r="S475" s="64"/>
      <c r="T475" s="64"/>
      <c r="U475" s="64"/>
      <c r="V475" s="64"/>
      <c r="W475" s="64"/>
    </row>
    <row r="476" spans="1:23" ht="30" customHeight="1">
      <c r="A476" s="8"/>
      <c r="B476" s="7"/>
      <c r="C476" s="33"/>
      <c r="D476" s="7"/>
      <c r="E476" s="7"/>
      <c r="F476" s="7"/>
      <c r="G476" s="7"/>
      <c r="H476" s="7"/>
      <c r="I476" s="7"/>
      <c r="J476" s="7"/>
      <c r="K476" s="7"/>
      <c r="L476" s="7"/>
      <c r="M476" s="7"/>
      <c r="N476" s="7"/>
      <c r="O476" s="7"/>
      <c r="P476" s="7"/>
      <c r="Q476" s="7"/>
      <c r="R476" s="64"/>
      <c r="S476" s="64"/>
      <c r="T476" s="64"/>
      <c r="U476" s="64"/>
      <c r="V476" s="64"/>
      <c r="W476" s="64"/>
    </row>
    <row r="477" spans="1:23" ht="30" customHeight="1">
      <c r="A477" s="8"/>
      <c r="B477" s="7"/>
      <c r="C477" s="33"/>
      <c r="D477" s="7"/>
      <c r="E477" s="7"/>
      <c r="F477" s="7"/>
      <c r="G477" s="7"/>
      <c r="H477" s="7"/>
      <c r="I477" s="7"/>
      <c r="J477" s="7"/>
      <c r="K477" s="7"/>
      <c r="L477" s="7"/>
      <c r="M477" s="7"/>
      <c r="N477" s="7"/>
      <c r="O477" s="7"/>
      <c r="P477" s="7"/>
      <c r="Q477" s="7"/>
      <c r="R477" s="64"/>
      <c r="S477" s="64"/>
      <c r="T477" s="64"/>
      <c r="U477" s="64"/>
      <c r="V477" s="64"/>
      <c r="W477" s="64"/>
    </row>
    <row r="478" spans="1:23" ht="30" customHeight="1">
      <c r="A478" s="8"/>
      <c r="B478" s="7"/>
      <c r="C478" s="33"/>
      <c r="D478" s="7"/>
      <c r="E478" s="7"/>
      <c r="F478" s="7"/>
      <c r="G478" s="7"/>
      <c r="H478" s="7"/>
      <c r="I478" s="7"/>
      <c r="J478" s="7"/>
      <c r="K478" s="7"/>
      <c r="L478" s="7"/>
      <c r="M478" s="7"/>
      <c r="N478" s="7"/>
      <c r="O478" s="7"/>
      <c r="P478" s="7"/>
      <c r="Q478" s="7"/>
      <c r="R478" s="64"/>
      <c r="S478" s="64"/>
      <c r="T478" s="64"/>
      <c r="U478" s="64"/>
      <c r="V478" s="64"/>
      <c r="W478" s="64"/>
    </row>
    <row r="479" spans="1:23" ht="30" customHeight="1">
      <c r="A479" s="8"/>
      <c r="B479" s="7"/>
      <c r="C479" s="33"/>
      <c r="D479" s="7"/>
      <c r="E479" s="7"/>
      <c r="F479" s="7"/>
      <c r="G479" s="7"/>
      <c r="H479" s="7"/>
      <c r="I479" s="7"/>
      <c r="J479" s="7"/>
      <c r="K479" s="7"/>
      <c r="L479" s="7"/>
      <c r="M479" s="7"/>
      <c r="N479" s="7"/>
      <c r="O479" s="7"/>
      <c r="P479" s="7"/>
      <c r="Q479" s="7"/>
      <c r="R479" s="64"/>
      <c r="S479" s="64"/>
      <c r="T479" s="64"/>
      <c r="U479" s="64"/>
      <c r="V479" s="64"/>
      <c r="W479" s="64"/>
    </row>
    <row r="480" spans="1:23" ht="30" customHeight="1">
      <c r="A480" s="8"/>
      <c r="B480" s="7"/>
      <c r="C480" s="33"/>
      <c r="D480" s="7"/>
      <c r="E480" s="7"/>
      <c r="F480" s="7"/>
      <c r="G480" s="7"/>
      <c r="H480" s="7"/>
      <c r="I480" s="7"/>
      <c r="J480" s="7"/>
      <c r="K480" s="7"/>
      <c r="L480" s="7"/>
      <c r="M480" s="7"/>
      <c r="N480" s="7"/>
      <c r="O480" s="7"/>
      <c r="P480" s="7"/>
      <c r="Q480" s="7"/>
      <c r="R480" s="64"/>
      <c r="S480" s="64"/>
      <c r="T480" s="64"/>
      <c r="U480" s="64"/>
      <c r="V480" s="64"/>
      <c r="W480" s="64"/>
    </row>
    <row r="481" spans="1:23" ht="30" customHeight="1">
      <c r="A481" s="8"/>
      <c r="B481" s="7"/>
      <c r="C481" s="33"/>
      <c r="D481" s="7"/>
      <c r="E481" s="7"/>
      <c r="F481" s="7"/>
      <c r="G481" s="7"/>
      <c r="H481" s="7"/>
      <c r="I481" s="7"/>
      <c r="J481" s="7"/>
      <c r="K481" s="7"/>
      <c r="L481" s="7"/>
      <c r="M481" s="7"/>
      <c r="N481" s="7"/>
      <c r="O481" s="7"/>
      <c r="P481" s="7"/>
      <c r="Q481" s="7"/>
      <c r="R481" s="64"/>
      <c r="S481" s="64"/>
      <c r="T481" s="64"/>
      <c r="U481" s="64"/>
      <c r="V481" s="64"/>
      <c r="W481" s="64"/>
    </row>
    <row r="482" spans="1:23" ht="30" customHeight="1">
      <c r="A482" s="8"/>
      <c r="B482" s="7"/>
      <c r="C482" s="33"/>
      <c r="D482" s="7"/>
      <c r="E482" s="7"/>
      <c r="F482" s="7"/>
      <c r="G482" s="7"/>
      <c r="H482" s="7"/>
      <c r="I482" s="7"/>
      <c r="J482" s="7"/>
      <c r="K482" s="7"/>
      <c r="L482" s="7"/>
      <c r="M482" s="7"/>
      <c r="N482" s="7"/>
      <c r="O482" s="7"/>
      <c r="P482" s="7"/>
      <c r="Q482" s="7"/>
      <c r="R482" s="64"/>
      <c r="S482" s="64"/>
      <c r="T482" s="64"/>
      <c r="U482" s="64"/>
      <c r="V482" s="64"/>
      <c r="W482" s="64"/>
    </row>
    <row r="483" spans="1:23" ht="30" customHeight="1">
      <c r="A483" s="8"/>
      <c r="B483" s="7"/>
      <c r="C483" s="33"/>
      <c r="D483" s="7"/>
      <c r="E483" s="7"/>
      <c r="F483" s="7"/>
      <c r="G483" s="7"/>
      <c r="H483" s="7"/>
      <c r="I483" s="7"/>
      <c r="J483" s="7"/>
      <c r="K483" s="7"/>
      <c r="L483" s="7"/>
      <c r="M483" s="7"/>
      <c r="N483" s="7"/>
      <c r="O483" s="7"/>
      <c r="P483" s="7"/>
      <c r="Q483" s="7"/>
      <c r="R483" s="64"/>
      <c r="S483" s="64"/>
      <c r="T483" s="64"/>
      <c r="U483" s="64"/>
      <c r="V483" s="64"/>
      <c r="W483" s="64"/>
    </row>
    <row r="484" spans="1:23" ht="30" customHeight="1">
      <c r="A484" s="8"/>
      <c r="B484" s="7"/>
      <c r="C484" s="33"/>
      <c r="D484" s="7"/>
      <c r="E484" s="7"/>
      <c r="F484" s="7"/>
      <c r="G484" s="7"/>
      <c r="H484" s="7"/>
      <c r="I484" s="7"/>
      <c r="J484" s="7"/>
      <c r="K484" s="7"/>
      <c r="L484" s="7"/>
      <c r="M484" s="7"/>
      <c r="N484" s="7"/>
      <c r="O484" s="7"/>
      <c r="P484" s="7"/>
      <c r="Q484" s="7"/>
      <c r="R484" s="64"/>
      <c r="S484" s="64"/>
      <c r="T484" s="64"/>
      <c r="U484" s="64"/>
      <c r="V484" s="64"/>
      <c r="W484" s="64"/>
    </row>
    <row r="485" spans="1:23" ht="30" customHeight="1">
      <c r="A485" s="8"/>
      <c r="B485" s="7"/>
      <c r="C485" s="33"/>
      <c r="D485" s="7"/>
      <c r="E485" s="7"/>
      <c r="F485" s="7"/>
      <c r="G485" s="7"/>
      <c r="H485" s="7"/>
      <c r="I485" s="7"/>
      <c r="J485" s="7"/>
      <c r="K485" s="7"/>
      <c r="L485" s="7"/>
      <c r="M485" s="7"/>
      <c r="N485" s="7"/>
      <c r="O485" s="7"/>
      <c r="P485" s="7"/>
      <c r="Q485" s="7"/>
      <c r="R485" s="64"/>
      <c r="S485" s="64"/>
      <c r="T485" s="64"/>
      <c r="U485" s="64"/>
      <c r="V485" s="64"/>
      <c r="W485" s="64"/>
    </row>
    <row r="486" spans="1:23" ht="30" customHeight="1">
      <c r="A486" s="8"/>
      <c r="B486" s="7"/>
      <c r="C486" s="33"/>
      <c r="D486" s="7"/>
      <c r="E486" s="7"/>
      <c r="F486" s="7"/>
      <c r="G486" s="7"/>
      <c r="H486" s="7"/>
      <c r="I486" s="7"/>
      <c r="J486" s="7"/>
      <c r="K486" s="7"/>
      <c r="L486" s="7"/>
      <c r="M486" s="7"/>
      <c r="N486" s="7"/>
      <c r="O486" s="7"/>
      <c r="P486" s="7"/>
      <c r="Q486" s="7"/>
      <c r="R486" s="64"/>
      <c r="S486" s="64"/>
      <c r="T486" s="64"/>
      <c r="U486" s="64"/>
      <c r="V486" s="64"/>
      <c r="W486" s="64"/>
    </row>
    <row r="487" spans="1:23" ht="30" customHeight="1">
      <c r="A487" s="8"/>
      <c r="B487" s="7"/>
      <c r="C487" s="33"/>
      <c r="D487" s="7"/>
      <c r="E487" s="7"/>
      <c r="F487" s="7"/>
      <c r="G487" s="7"/>
      <c r="H487" s="7"/>
      <c r="I487" s="7"/>
      <c r="J487" s="7"/>
      <c r="K487" s="7"/>
      <c r="L487" s="7"/>
      <c r="M487" s="7"/>
      <c r="N487" s="7"/>
      <c r="O487" s="7"/>
      <c r="P487" s="7"/>
      <c r="Q487" s="7"/>
      <c r="R487" s="64"/>
      <c r="S487" s="64"/>
      <c r="T487" s="64"/>
      <c r="U487" s="64"/>
      <c r="V487" s="64"/>
      <c r="W487" s="64"/>
    </row>
    <row r="488" spans="1:23" ht="30" customHeight="1">
      <c r="A488" s="8"/>
      <c r="B488" s="7"/>
      <c r="C488" s="33"/>
      <c r="D488" s="7"/>
      <c r="E488" s="7"/>
      <c r="F488" s="7"/>
      <c r="G488" s="7"/>
      <c r="H488" s="7"/>
      <c r="I488" s="7"/>
      <c r="J488" s="7"/>
      <c r="K488" s="7"/>
      <c r="L488" s="7"/>
      <c r="M488" s="7"/>
      <c r="N488" s="7"/>
      <c r="O488" s="7"/>
      <c r="P488" s="7"/>
      <c r="Q488" s="7"/>
      <c r="R488" s="64"/>
      <c r="S488" s="64"/>
      <c r="T488" s="64"/>
      <c r="U488" s="64"/>
      <c r="V488" s="64"/>
      <c r="W488" s="64"/>
    </row>
    <row r="489" spans="1:23" ht="30" customHeight="1">
      <c r="A489" s="8"/>
      <c r="B489" s="7"/>
      <c r="C489" s="33"/>
      <c r="D489" s="7"/>
      <c r="E489" s="7"/>
      <c r="F489" s="7"/>
      <c r="G489" s="7"/>
      <c r="H489" s="7"/>
      <c r="I489" s="7"/>
      <c r="J489" s="7"/>
      <c r="K489" s="7"/>
      <c r="L489" s="7"/>
      <c r="M489" s="7"/>
      <c r="N489" s="7"/>
      <c r="O489" s="7"/>
      <c r="P489" s="7"/>
      <c r="Q489" s="7"/>
      <c r="R489" s="64"/>
      <c r="S489" s="64"/>
      <c r="T489" s="64"/>
      <c r="U489" s="64"/>
      <c r="V489" s="64"/>
      <c r="W489" s="64"/>
    </row>
    <row r="490" spans="1:23" ht="30" customHeight="1">
      <c r="A490" s="8"/>
      <c r="B490" s="7"/>
      <c r="C490" s="33"/>
      <c r="D490" s="7"/>
      <c r="E490" s="7"/>
      <c r="F490" s="7"/>
      <c r="G490" s="7"/>
      <c r="H490" s="7"/>
      <c r="I490" s="7"/>
      <c r="J490" s="7"/>
      <c r="K490" s="7"/>
      <c r="L490" s="7"/>
      <c r="M490" s="7"/>
      <c r="N490" s="7"/>
      <c r="O490" s="7"/>
      <c r="P490" s="7"/>
      <c r="Q490" s="7"/>
      <c r="R490" s="64"/>
      <c r="S490" s="64"/>
      <c r="T490" s="64"/>
      <c r="U490" s="64"/>
      <c r="V490" s="64"/>
      <c r="W490" s="64"/>
    </row>
    <row r="491" spans="1:23" ht="30" customHeight="1">
      <c r="A491" s="8"/>
      <c r="B491" s="7"/>
      <c r="C491" s="33"/>
      <c r="D491" s="7"/>
      <c r="E491" s="7"/>
      <c r="F491" s="7"/>
      <c r="G491" s="7"/>
      <c r="H491" s="7"/>
      <c r="I491" s="7"/>
      <c r="J491" s="7"/>
      <c r="K491" s="7"/>
      <c r="L491" s="7"/>
      <c r="M491" s="7"/>
      <c r="N491" s="7"/>
      <c r="O491" s="7"/>
      <c r="P491" s="7"/>
      <c r="Q491" s="7"/>
      <c r="R491" s="64"/>
      <c r="S491" s="64"/>
      <c r="T491" s="64"/>
      <c r="U491" s="64"/>
      <c r="V491" s="64"/>
      <c r="W491" s="64"/>
    </row>
    <row r="492" spans="1:23" ht="30" customHeight="1">
      <c r="A492" s="8"/>
      <c r="B492" s="7"/>
      <c r="C492" s="33"/>
      <c r="D492" s="7"/>
      <c r="E492" s="7"/>
      <c r="F492" s="7"/>
      <c r="G492" s="7"/>
      <c r="H492" s="7"/>
      <c r="I492" s="7"/>
      <c r="J492" s="7"/>
      <c r="K492" s="7"/>
      <c r="L492" s="7"/>
      <c r="M492" s="7"/>
      <c r="N492" s="7"/>
      <c r="O492" s="7"/>
      <c r="P492" s="7"/>
      <c r="Q492" s="7"/>
      <c r="R492" s="64"/>
      <c r="S492" s="64"/>
      <c r="T492" s="64"/>
      <c r="U492" s="64"/>
      <c r="V492" s="64"/>
      <c r="W492" s="64"/>
    </row>
    <row r="493" spans="1:23" ht="30" customHeight="1">
      <c r="A493" s="8"/>
      <c r="B493" s="7"/>
      <c r="C493" s="33"/>
      <c r="D493" s="7"/>
      <c r="E493" s="7"/>
      <c r="F493" s="7"/>
      <c r="G493" s="7"/>
      <c r="H493" s="7"/>
      <c r="I493" s="7"/>
      <c r="J493" s="7"/>
      <c r="K493" s="7"/>
      <c r="L493" s="7"/>
      <c r="M493" s="7"/>
      <c r="N493" s="7"/>
      <c r="O493" s="7"/>
      <c r="P493" s="7"/>
      <c r="Q493" s="7"/>
      <c r="R493" s="64"/>
      <c r="S493" s="64"/>
      <c r="T493" s="64"/>
      <c r="U493" s="64"/>
      <c r="V493" s="64"/>
      <c r="W493" s="64"/>
    </row>
    <row r="494" spans="1:23" ht="30" customHeight="1">
      <c r="A494" s="8"/>
      <c r="B494" s="7"/>
      <c r="C494" s="33"/>
      <c r="D494" s="7"/>
      <c r="E494" s="7"/>
      <c r="F494" s="7"/>
      <c r="G494" s="7"/>
      <c r="H494" s="7"/>
      <c r="I494" s="7"/>
      <c r="J494" s="7"/>
      <c r="K494" s="7"/>
      <c r="L494" s="7"/>
      <c r="M494" s="7"/>
      <c r="N494" s="7"/>
      <c r="O494" s="7"/>
      <c r="P494" s="7"/>
      <c r="Q494" s="7"/>
      <c r="R494" s="64"/>
      <c r="S494" s="64"/>
      <c r="T494" s="64"/>
      <c r="U494" s="64"/>
      <c r="V494" s="64"/>
      <c r="W494" s="64"/>
    </row>
    <row r="495" spans="1:23" ht="30" customHeight="1">
      <c r="A495" s="8"/>
      <c r="B495" s="7"/>
      <c r="C495" s="33"/>
      <c r="D495" s="7"/>
      <c r="E495" s="7"/>
      <c r="F495" s="7"/>
      <c r="G495" s="7"/>
      <c r="H495" s="7"/>
      <c r="I495" s="7"/>
      <c r="J495" s="7"/>
      <c r="K495" s="7"/>
      <c r="L495" s="7"/>
      <c r="M495" s="7"/>
      <c r="N495" s="7"/>
      <c r="O495" s="7"/>
      <c r="P495" s="7"/>
      <c r="Q495" s="7"/>
      <c r="R495" s="64"/>
      <c r="S495" s="64"/>
      <c r="T495" s="64"/>
      <c r="U495" s="64"/>
      <c r="V495" s="64"/>
      <c r="W495" s="64"/>
    </row>
    <row r="496" spans="1:23" ht="30" customHeight="1">
      <c r="A496" s="8"/>
      <c r="B496" s="7"/>
      <c r="C496" s="33"/>
      <c r="D496" s="7"/>
      <c r="E496" s="7"/>
      <c r="F496" s="7"/>
      <c r="G496" s="7"/>
      <c r="H496" s="7"/>
      <c r="I496" s="7"/>
      <c r="J496" s="7"/>
      <c r="K496" s="7"/>
      <c r="L496" s="7"/>
      <c r="M496" s="7"/>
      <c r="N496" s="7"/>
      <c r="O496" s="7"/>
      <c r="P496" s="7"/>
      <c r="Q496" s="7"/>
      <c r="R496" s="64"/>
      <c r="S496" s="64"/>
      <c r="T496" s="64"/>
      <c r="U496" s="64"/>
      <c r="V496" s="64"/>
      <c r="W496" s="64"/>
    </row>
    <row r="497" spans="1:23" ht="30" customHeight="1">
      <c r="A497" s="8"/>
      <c r="B497" s="7"/>
      <c r="C497" s="33"/>
      <c r="D497" s="7"/>
      <c r="E497" s="7"/>
      <c r="F497" s="7"/>
      <c r="G497" s="7"/>
      <c r="H497" s="7"/>
      <c r="I497" s="7"/>
      <c r="J497" s="7"/>
      <c r="K497" s="7"/>
      <c r="L497" s="7"/>
      <c r="M497" s="7"/>
      <c r="N497" s="7"/>
      <c r="O497" s="7"/>
      <c r="P497" s="7"/>
      <c r="Q497" s="7"/>
      <c r="R497" s="64"/>
      <c r="S497" s="64"/>
      <c r="T497" s="64"/>
      <c r="U497" s="64"/>
      <c r="V497" s="64"/>
      <c r="W497" s="64"/>
    </row>
    <row r="498" spans="1:23" ht="30" customHeight="1">
      <c r="A498" s="8"/>
      <c r="B498" s="7"/>
      <c r="C498" s="33"/>
      <c r="D498" s="7"/>
      <c r="E498" s="7"/>
      <c r="F498" s="7"/>
      <c r="G498" s="7"/>
      <c r="H498" s="7"/>
      <c r="I498" s="7"/>
      <c r="J498" s="7"/>
      <c r="K498" s="7"/>
      <c r="L498" s="7"/>
      <c r="M498" s="7"/>
      <c r="N498" s="7"/>
      <c r="O498" s="7"/>
      <c r="P498" s="7"/>
      <c r="Q498" s="7"/>
      <c r="R498" s="64"/>
      <c r="S498" s="64"/>
      <c r="T498" s="64"/>
      <c r="U498" s="64"/>
      <c r="V498" s="64"/>
      <c r="W498" s="64"/>
    </row>
    <row r="499" spans="1:23" ht="30" customHeight="1">
      <c r="A499" s="8"/>
      <c r="B499" s="7"/>
      <c r="C499" s="33"/>
      <c r="D499" s="7"/>
      <c r="E499" s="7"/>
      <c r="F499" s="7"/>
      <c r="G499" s="7"/>
      <c r="H499" s="7"/>
      <c r="I499" s="7"/>
      <c r="J499" s="7"/>
      <c r="K499" s="7"/>
      <c r="L499" s="7"/>
      <c r="M499" s="7"/>
      <c r="N499" s="7"/>
      <c r="O499" s="7"/>
      <c r="P499" s="7"/>
      <c r="Q499" s="7"/>
      <c r="R499" s="64"/>
      <c r="S499" s="64"/>
      <c r="T499" s="64"/>
      <c r="U499" s="64"/>
      <c r="V499" s="64"/>
      <c r="W499" s="64"/>
    </row>
    <row r="500" spans="1:23" ht="30" customHeight="1">
      <c r="A500" s="8"/>
      <c r="B500" s="7"/>
      <c r="C500" s="33"/>
      <c r="D500" s="7"/>
      <c r="E500" s="7"/>
      <c r="F500" s="7"/>
      <c r="G500" s="7"/>
      <c r="H500" s="7"/>
      <c r="I500" s="7"/>
      <c r="J500" s="7"/>
      <c r="K500" s="7"/>
      <c r="L500" s="7"/>
      <c r="M500" s="7"/>
      <c r="N500" s="7"/>
      <c r="O500" s="7"/>
      <c r="P500" s="7"/>
      <c r="Q500" s="7"/>
      <c r="R500" s="64"/>
      <c r="S500" s="64"/>
      <c r="T500" s="64"/>
      <c r="U500" s="64"/>
      <c r="V500" s="64"/>
      <c r="W500" s="64"/>
    </row>
    <row r="501" spans="1:23" ht="30" customHeight="1">
      <c r="A501" s="8"/>
      <c r="B501" s="7"/>
      <c r="C501" s="33"/>
      <c r="D501" s="7"/>
      <c r="E501" s="7"/>
      <c r="F501" s="7"/>
      <c r="G501" s="7"/>
      <c r="H501" s="7"/>
      <c r="I501" s="7"/>
      <c r="J501" s="7"/>
      <c r="K501" s="7"/>
      <c r="L501" s="7"/>
      <c r="M501" s="7"/>
      <c r="N501" s="7"/>
      <c r="O501" s="7"/>
      <c r="P501" s="7"/>
      <c r="Q501" s="7"/>
      <c r="R501" s="64"/>
      <c r="S501" s="64"/>
      <c r="T501" s="64"/>
      <c r="U501" s="64"/>
      <c r="V501" s="64"/>
      <c r="W501" s="64"/>
    </row>
    <row r="502" spans="1:23" ht="30" customHeight="1">
      <c r="A502" s="8"/>
      <c r="B502" s="7"/>
      <c r="C502" s="33"/>
      <c r="D502" s="7"/>
      <c r="E502" s="7"/>
      <c r="F502" s="7"/>
      <c r="G502" s="7"/>
      <c r="H502" s="7"/>
      <c r="I502" s="7"/>
      <c r="J502" s="7"/>
      <c r="K502" s="7"/>
      <c r="L502" s="7"/>
      <c r="M502" s="7"/>
      <c r="N502" s="7"/>
      <c r="O502" s="7"/>
      <c r="P502" s="7"/>
      <c r="Q502" s="7"/>
      <c r="R502" s="64"/>
      <c r="S502" s="64"/>
      <c r="T502" s="64"/>
      <c r="U502" s="64"/>
      <c r="V502" s="64"/>
      <c r="W502" s="64"/>
    </row>
    <row r="503" spans="1:23" ht="30" customHeight="1">
      <c r="A503" s="8"/>
      <c r="B503" s="7"/>
      <c r="C503" s="33"/>
      <c r="D503" s="7"/>
      <c r="E503" s="7"/>
      <c r="F503" s="7"/>
      <c r="G503" s="7"/>
      <c r="H503" s="7"/>
      <c r="I503" s="7"/>
      <c r="J503" s="7"/>
      <c r="K503" s="7"/>
      <c r="L503" s="7"/>
      <c r="M503" s="7"/>
      <c r="N503" s="7"/>
      <c r="O503" s="7"/>
      <c r="P503" s="7"/>
      <c r="Q503" s="7"/>
      <c r="R503" s="64"/>
      <c r="S503" s="64"/>
      <c r="T503" s="64"/>
      <c r="U503" s="64"/>
      <c r="V503" s="64"/>
      <c r="W503" s="64"/>
    </row>
    <row r="504" spans="1:23" ht="30" customHeight="1">
      <c r="A504" s="8"/>
      <c r="B504" s="7"/>
      <c r="C504" s="33"/>
      <c r="D504" s="7"/>
      <c r="E504" s="7"/>
      <c r="F504" s="7"/>
      <c r="G504" s="7"/>
      <c r="H504" s="7"/>
      <c r="I504" s="7"/>
      <c r="J504" s="7"/>
      <c r="K504" s="7"/>
      <c r="L504" s="7"/>
      <c r="M504" s="7"/>
      <c r="N504" s="7"/>
      <c r="O504" s="7"/>
      <c r="P504" s="7"/>
      <c r="Q504" s="7"/>
      <c r="R504" s="64"/>
      <c r="S504" s="64"/>
      <c r="T504" s="64"/>
      <c r="U504" s="64"/>
      <c r="V504" s="64"/>
      <c r="W504" s="64"/>
    </row>
    <row r="505" spans="1:23" ht="30" customHeight="1">
      <c r="A505" s="8"/>
      <c r="B505" s="7"/>
      <c r="C505" s="33"/>
      <c r="D505" s="7"/>
      <c r="E505" s="7"/>
      <c r="F505" s="7"/>
      <c r="G505" s="7"/>
      <c r="H505" s="7"/>
      <c r="I505" s="7"/>
      <c r="J505" s="7"/>
      <c r="K505" s="7"/>
      <c r="L505" s="7"/>
      <c r="M505" s="7"/>
      <c r="N505" s="7"/>
      <c r="O505" s="7"/>
      <c r="P505" s="7"/>
      <c r="Q505" s="7"/>
      <c r="R505" s="64"/>
      <c r="S505" s="64"/>
      <c r="T505" s="64"/>
      <c r="U505" s="64"/>
      <c r="V505" s="64"/>
      <c r="W505" s="64"/>
    </row>
    <row r="506" spans="1:23" ht="30" customHeight="1">
      <c r="A506" s="8"/>
      <c r="B506" s="7"/>
      <c r="C506" s="33"/>
      <c r="D506" s="7"/>
      <c r="E506" s="7"/>
      <c r="F506" s="7"/>
      <c r="G506" s="7"/>
      <c r="H506" s="7"/>
      <c r="I506" s="7"/>
      <c r="J506" s="7"/>
      <c r="K506" s="7"/>
      <c r="L506" s="7"/>
      <c r="M506" s="7"/>
      <c r="N506" s="7"/>
      <c r="O506" s="7"/>
      <c r="P506" s="7"/>
      <c r="Q506" s="7"/>
      <c r="R506" s="64"/>
      <c r="S506" s="64"/>
      <c r="T506" s="64"/>
      <c r="U506" s="64"/>
      <c r="V506" s="64"/>
      <c r="W506" s="64"/>
    </row>
    <row r="507" spans="1:23" ht="30" customHeight="1">
      <c r="A507" s="8"/>
      <c r="B507" s="7"/>
      <c r="C507" s="33"/>
      <c r="D507" s="7"/>
      <c r="E507" s="7"/>
      <c r="F507" s="7"/>
      <c r="G507" s="7"/>
      <c r="H507" s="7"/>
      <c r="I507" s="7"/>
      <c r="J507" s="7"/>
      <c r="K507" s="7"/>
      <c r="L507" s="7"/>
      <c r="M507" s="7"/>
      <c r="N507" s="7"/>
      <c r="O507" s="7"/>
      <c r="P507" s="7"/>
      <c r="Q507" s="7"/>
      <c r="R507" s="64"/>
      <c r="S507" s="64"/>
      <c r="T507" s="64"/>
      <c r="U507" s="64"/>
      <c r="V507" s="64"/>
      <c r="W507" s="64"/>
    </row>
    <row r="508" spans="1:23" ht="30" customHeight="1">
      <c r="A508" s="8"/>
      <c r="B508" s="7"/>
      <c r="C508" s="33"/>
      <c r="D508" s="7"/>
      <c r="E508" s="7"/>
      <c r="F508" s="7"/>
      <c r="G508" s="7"/>
      <c r="H508" s="7"/>
      <c r="I508" s="7"/>
      <c r="J508" s="7"/>
      <c r="K508" s="7"/>
      <c r="L508" s="7"/>
      <c r="M508" s="7"/>
      <c r="N508" s="7"/>
      <c r="O508" s="7"/>
      <c r="P508" s="7"/>
      <c r="Q508" s="7"/>
      <c r="R508" s="64"/>
      <c r="S508" s="64"/>
      <c r="T508" s="64"/>
      <c r="U508" s="64"/>
      <c r="V508" s="64"/>
      <c r="W508" s="64"/>
    </row>
    <row r="509" spans="1:23" ht="30" customHeight="1">
      <c r="A509" s="8"/>
      <c r="B509" s="7"/>
      <c r="C509" s="33"/>
      <c r="D509" s="7"/>
      <c r="E509" s="7"/>
      <c r="F509" s="7"/>
      <c r="G509" s="7"/>
      <c r="H509" s="7"/>
      <c r="I509" s="7"/>
      <c r="J509" s="7"/>
      <c r="K509" s="7"/>
      <c r="L509" s="7"/>
      <c r="M509" s="7"/>
      <c r="N509" s="7"/>
      <c r="O509" s="7"/>
      <c r="P509" s="7"/>
      <c r="Q509" s="7"/>
      <c r="R509" s="64"/>
      <c r="S509" s="64"/>
      <c r="T509" s="64"/>
      <c r="U509" s="64"/>
      <c r="V509" s="64"/>
      <c r="W509" s="64"/>
    </row>
    <row r="510" spans="1:23" ht="30" customHeight="1">
      <c r="A510" s="8"/>
      <c r="B510" s="7"/>
      <c r="C510" s="33"/>
      <c r="D510" s="7"/>
      <c r="E510" s="7"/>
      <c r="F510" s="7"/>
      <c r="G510" s="7"/>
      <c r="H510" s="7"/>
      <c r="I510" s="7"/>
      <c r="J510" s="7"/>
      <c r="K510" s="7"/>
      <c r="L510" s="7"/>
      <c r="M510" s="7"/>
      <c r="N510" s="7"/>
      <c r="O510" s="7"/>
      <c r="P510" s="7"/>
      <c r="Q510" s="7"/>
      <c r="R510" s="64"/>
      <c r="S510" s="64"/>
      <c r="T510" s="64"/>
      <c r="U510" s="64"/>
      <c r="V510" s="64"/>
      <c r="W510" s="64"/>
    </row>
    <row r="511" spans="1:23" ht="30" customHeight="1">
      <c r="A511" s="8"/>
      <c r="B511" s="7"/>
      <c r="C511" s="33"/>
      <c r="D511" s="7"/>
      <c r="E511" s="7"/>
      <c r="F511" s="7"/>
      <c r="G511" s="7"/>
      <c r="H511" s="7"/>
      <c r="I511" s="7"/>
      <c r="J511" s="7"/>
      <c r="K511" s="7"/>
      <c r="L511" s="7"/>
      <c r="M511" s="7"/>
      <c r="N511" s="7"/>
      <c r="O511" s="7"/>
      <c r="P511" s="7"/>
      <c r="Q511" s="7"/>
      <c r="R511" s="64"/>
      <c r="S511" s="64"/>
      <c r="T511" s="64"/>
      <c r="U511" s="64"/>
      <c r="V511" s="64"/>
      <c r="W511" s="64"/>
    </row>
    <row r="512" spans="1:23" ht="30" customHeight="1">
      <c r="A512" s="8"/>
      <c r="B512" s="7"/>
      <c r="C512" s="33"/>
      <c r="D512" s="7"/>
      <c r="E512" s="7"/>
      <c r="F512" s="7"/>
      <c r="G512" s="7"/>
      <c r="H512" s="7"/>
      <c r="I512" s="7"/>
      <c r="J512" s="7"/>
      <c r="K512" s="7"/>
      <c r="L512" s="7"/>
      <c r="M512" s="7"/>
      <c r="N512" s="7"/>
      <c r="O512" s="7"/>
      <c r="P512" s="7"/>
      <c r="Q512" s="7"/>
      <c r="R512" s="64"/>
      <c r="S512" s="64"/>
      <c r="T512" s="64"/>
      <c r="U512" s="64"/>
      <c r="V512" s="64"/>
      <c r="W512" s="64"/>
    </row>
    <row r="513" spans="1:23" ht="30" customHeight="1">
      <c r="A513" s="8"/>
      <c r="B513" s="7"/>
      <c r="C513" s="33"/>
      <c r="D513" s="7"/>
      <c r="E513" s="7"/>
      <c r="F513" s="7"/>
      <c r="G513" s="7"/>
      <c r="H513" s="7"/>
      <c r="I513" s="7"/>
      <c r="J513" s="7"/>
      <c r="K513" s="7"/>
      <c r="L513" s="7"/>
      <c r="M513" s="7"/>
      <c r="N513" s="7"/>
      <c r="O513" s="7"/>
      <c r="P513" s="7"/>
      <c r="Q513" s="7"/>
      <c r="R513" s="64"/>
      <c r="S513" s="64"/>
      <c r="T513" s="64"/>
      <c r="U513" s="64"/>
      <c r="V513" s="64"/>
      <c r="W513" s="64"/>
    </row>
    <row r="514" spans="1:23" ht="30" customHeight="1">
      <c r="A514" s="8"/>
      <c r="B514" s="7"/>
      <c r="C514" s="33"/>
      <c r="D514" s="7"/>
      <c r="E514" s="7"/>
      <c r="F514" s="7"/>
      <c r="G514" s="7"/>
      <c r="H514" s="7"/>
      <c r="I514" s="7"/>
      <c r="J514" s="7"/>
      <c r="K514" s="7"/>
      <c r="L514" s="7"/>
      <c r="M514" s="7"/>
      <c r="N514" s="7"/>
      <c r="O514" s="7"/>
      <c r="P514" s="7"/>
      <c r="Q514" s="7"/>
      <c r="R514" s="64"/>
      <c r="S514" s="64"/>
      <c r="T514" s="64"/>
      <c r="U514" s="64"/>
      <c r="V514" s="64"/>
      <c r="W514" s="64"/>
    </row>
    <row r="515" spans="1:23" ht="30" customHeight="1">
      <c r="A515" s="8"/>
      <c r="B515" s="7"/>
      <c r="C515" s="33"/>
      <c r="D515" s="7"/>
      <c r="E515" s="7"/>
      <c r="F515" s="7"/>
      <c r="G515" s="7"/>
      <c r="H515" s="7"/>
      <c r="I515" s="7"/>
      <c r="J515" s="7"/>
      <c r="K515" s="7"/>
      <c r="L515" s="7"/>
      <c r="M515" s="7"/>
      <c r="N515" s="7"/>
      <c r="O515" s="7"/>
      <c r="P515" s="7"/>
      <c r="Q515" s="7"/>
      <c r="R515" s="64"/>
      <c r="S515" s="64"/>
      <c r="T515" s="64"/>
      <c r="U515" s="64"/>
      <c r="V515" s="64"/>
      <c r="W515" s="64"/>
    </row>
    <row r="516" spans="1:23" ht="30" customHeight="1">
      <c r="A516" s="8"/>
      <c r="B516" s="7"/>
      <c r="C516" s="33"/>
      <c r="D516" s="7"/>
      <c r="E516" s="7"/>
      <c r="F516" s="7"/>
      <c r="G516" s="7"/>
      <c r="H516" s="7"/>
      <c r="I516" s="7"/>
      <c r="J516" s="7"/>
      <c r="K516" s="7"/>
      <c r="L516" s="7"/>
      <c r="M516" s="7"/>
      <c r="N516" s="7"/>
      <c r="O516" s="7"/>
      <c r="P516" s="7"/>
      <c r="Q516" s="7"/>
      <c r="R516" s="64"/>
      <c r="S516" s="64"/>
      <c r="T516" s="64"/>
      <c r="U516" s="64"/>
      <c r="V516" s="64"/>
      <c r="W516" s="64"/>
    </row>
    <row r="517" spans="1:23" ht="30" customHeight="1">
      <c r="A517" s="8"/>
      <c r="B517" s="7"/>
      <c r="C517" s="33"/>
      <c r="D517" s="7"/>
      <c r="E517" s="7"/>
      <c r="F517" s="7"/>
      <c r="G517" s="7"/>
      <c r="H517" s="7"/>
      <c r="I517" s="7"/>
      <c r="J517" s="7"/>
      <c r="K517" s="7"/>
      <c r="L517" s="7"/>
      <c r="M517" s="7"/>
      <c r="N517" s="7"/>
      <c r="O517" s="7"/>
      <c r="P517" s="7"/>
      <c r="Q517" s="7"/>
      <c r="R517" s="64"/>
      <c r="S517" s="64"/>
      <c r="T517" s="64"/>
      <c r="U517" s="64"/>
      <c r="V517" s="64"/>
      <c r="W517" s="64"/>
    </row>
    <row r="518" spans="1:23" ht="30" customHeight="1">
      <c r="A518" s="8"/>
      <c r="B518" s="7"/>
      <c r="C518" s="33"/>
      <c r="D518" s="7"/>
      <c r="E518" s="7"/>
      <c r="F518" s="7"/>
      <c r="G518" s="7"/>
      <c r="H518" s="7"/>
      <c r="I518" s="7"/>
      <c r="J518" s="7"/>
      <c r="K518" s="7"/>
      <c r="L518" s="7"/>
      <c r="M518" s="7"/>
      <c r="N518" s="7"/>
      <c r="O518" s="7"/>
      <c r="P518" s="7"/>
      <c r="Q518" s="7"/>
      <c r="R518" s="64"/>
      <c r="S518" s="64"/>
      <c r="T518" s="64"/>
      <c r="U518" s="64"/>
      <c r="V518" s="64"/>
      <c r="W518" s="64"/>
    </row>
    <row r="519" spans="1:23" ht="30" customHeight="1">
      <c r="A519" s="8"/>
      <c r="B519" s="7"/>
      <c r="C519" s="33"/>
      <c r="D519" s="7"/>
      <c r="E519" s="7"/>
      <c r="F519" s="7"/>
      <c r="G519" s="7"/>
      <c r="H519" s="7"/>
      <c r="I519" s="7"/>
      <c r="J519" s="7"/>
      <c r="K519" s="7"/>
      <c r="L519" s="7"/>
      <c r="M519" s="7"/>
      <c r="N519" s="7"/>
      <c r="O519" s="7"/>
      <c r="P519" s="7"/>
      <c r="Q519" s="7"/>
      <c r="R519" s="64"/>
      <c r="S519" s="64"/>
      <c r="T519" s="64"/>
      <c r="U519" s="64"/>
      <c r="V519" s="64"/>
      <c r="W519" s="64"/>
    </row>
    <row r="520" spans="1:23" ht="30" customHeight="1">
      <c r="A520" s="8"/>
      <c r="B520" s="7"/>
      <c r="C520" s="33"/>
      <c r="D520" s="7"/>
      <c r="E520" s="7"/>
      <c r="F520" s="7"/>
      <c r="G520" s="7"/>
      <c r="H520" s="7"/>
      <c r="I520" s="7"/>
      <c r="J520" s="7"/>
      <c r="K520" s="7"/>
      <c r="L520" s="7"/>
      <c r="M520" s="7"/>
      <c r="N520" s="7"/>
      <c r="O520" s="7"/>
      <c r="P520" s="7"/>
      <c r="Q520" s="7"/>
      <c r="R520" s="64"/>
      <c r="S520" s="64"/>
      <c r="T520" s="64"/>
      <c r="U520" s="64"/>
      <c r="V520" s="64"/>
      <c r="W520" s="64"/>
    </row>
    <row r="521" spans="1:23" ht="30" customHeight="1">
      <c r="A521" s="8"/>
      <c r="B521" s="7"/>
      <c r="C521" s="33"/>
      <c r="D521" s="7"/>
      <c r="E521" s="7"/>
      <c r="F521" s="7"/>
      <c r="G521" s="7"/>
      <c r="H521" s="7"/>
      <c r="I521" s="7"/>
      <c r="J521" s="7"/>
      <c r="K521" s="7"/>
      <c r="L521" s="7"/>
      <c r="M521" s="7"/>
      <c r="N521" s="7"/>
      <c r="O521" s="7"/>
      <c r="P521" s="7"/>
      <c r="Q521" s="7"/>
      <c r="R521" s="64"/>
      <c r="S521" s="64"/>
      <c r="T521" s="64"/>
      <c r="U521" s="64"/>
      <c r="V521" s="64"/>
      <c r="W521" s="64"/>
    </row>
    <row r="522" spans="1:23" ht="30" customHeight="1">
      <c r="A522" s="8"/>
      <c r="B522" s="7"/>
      <c r="C522" s="33"/>
      <c r="D522" s="7"/>
      <c r="E522" s="7"/>
      <c r="F522" s="7"/>
      <c r="G522" s="7"/>
      <c r="H522" s="7"/>
      <c r="I522" s="7"/>
      <c r="J522" s="7"/>
      <c r="K522" s="7"/>
      <c r="L522" s="7"/>
      <c r="M522" s="7"/>
      <c r="N522" s="7"/>
      <c r="O522" s="7"/>
      <c r="P522" s="7"/>
      <c r="Q522" s="7"/>
      <c r="R522" s="64"/>
      <c r="S522" s="64"/>
      <c r="T522" s="64"/>
      <c r="U522" s="64"/>
      <c r="V522" s="64"/>
      <c r="W522" s="64"/>
    </row>
    <row r="523" spans="1:23" ht="30" customHeight="1">
      <c r="A523" s="8"/>
      <c r="B523" s="7"/>
      <c r="C523" s="33"/>
      <c r="D523" s="7"/>
      <c r="E523" s="7"/>
      <c r="F523" s="7"/>
      <c r="G523" s="7"/>
      <c r="H523" s="7"/>
      <c r="I523" s="7"/>
      <c r="J523" s="7"/>
      <c r="K523" s="7"/>
      <c r="L523" s="7"/>
      <c r="M523" s="7"/>
      <c r="N523" s="7"/>
      <c r="O523" s="7"/>
      <c r="P523" s="7"/>
      <c r="Q523" s="7"/>
      <c r="R523" s="64"/>
      <c r="S523" s="64"/>
      <c r="T523" s="64"/>
      <c r="U523" s="64"/>
      <c r="V523" s="64"/>
      <c r="W523" s="64"/>
    </row>
    <row r="524" spans="1:23" ht="30" customHeight="1">
      <c r="A524" s="8"/>
      <c r="B524" s="7"/>
      <c r="C524" s="33"/>
      <c r="D524" s="7"/>
      <c r="E524" s="7"/>
      <c r="F524" s="7"/>
      <c r="G524" s="7"/>
      <c r="H524" s="7"/>
      <c r="I524" s="7"/>
      <c r="J524" s="7"/>
      <c r="K524" s="7"/>
      <c r="L524" s="7"/>
      <c r="M524" s="7"/>
      <c r="N524" s="7"/>
      <c r="O524" s="7"/>
      <c r="P524" s="7"/>
      <c r="Q524" s="7"/>
      <c r="R524" s="64"/>
      <c r="S524" s="64"/>
      <c r="T524" s="64"/>
      <c r="U524" s="64"/>
      <c r="V524" s="64"/>
      <c r="W524" s="64"/>
    </row>
    <row r="525" spans="1:23" ht="30" customHeight="1">
      <c r="A525" s="8"/>
      <c r="B525" s="7"/>
      <c r="C525" s="33"/>
      <c r="D525" s="7"/>
      <c r="E525" s="7"/>
      <c r="F525" s="7"/>
      <c r="G525" s="7"/>
      <c r="H525" s="7"/>
      <c r="I525" s="7"/>
      <c r="J525" s="7"/>
      <c r="K525" s="7"/>
      <c r="L525" s="7"/>
      <c r="M525" s="7"/>
      <c r="N525" s="7"/>
      <c r="O525" s="7"/>
      <c r="P525" s="7"/>
      <c r="Q525" s="7"/>
      <c r="R525" s="64"/>
      <c r="S525" s="64"/>
      <c r="T525" s="64"/>
      <c r="U525" s="64"/>
      <c r="V525" s="64"/>
      <c r="W525" s="64"/>
    </row>
    <row r="526" spans="1:23" ht="30" customHeight="1">
      <c r="A526" s="8"/>
      <c r="B526" s="7"/>
      <c r="C526" s="33"/>
      <c r="D526" s="7"/>
      <c r="E526" s="7"/>
      <c r="F526" s="7"/>
      <c r="G526" s="7"/>
      <c r="H526" s="7"/>
      <c r="I526" s="7"/>
      <c r="J526" s="7"/>
      <c r="K526" s="7"/>
      <c r="L526" s="7"/>
      <c r="M526" s="7"/>
      <c r="N526" s="7"/>
      <c r="O526" s="7"/>
      <c r="P526" s="7"/>
      <c r="Q526" s="7"/>
      <c r="R526" s="64"/>
      <c r="S526" s="64"/>
      <c r="T526" s="64"/>
      <c r="U526" s="64"/>
      <c r="V526" s="64"/>
      <c r="W526" s="64"/>
    </row>
    <row r="527" spans="1:23" ht="30" customHeight="1">
      <c r="A527" s="8"/>
      <c r="B527" s="7"/>
      <c r="C527" s="33"/>
      <c r="D527" s="7"/>
      <c r="E527" s="7"/>
      <c r="F527" s="7"/>
      <c r="G527" s="7"/>
      <c r="H527" s="7"/>
      <c r="I527" s="7"/>
      <c r="J527" s="7"/>
      <c r="K527" s="7"/>
      <c r="L527" s="7"/>
      <c r="M527" s="7"/>
      <c r="N527" s="7"/>
      <c r="O527" s="7"/>
      <c r="P527" s="7"/>
      <c r="Q527" s="7"/>
      <c r="R527" s="64"/>
      <c r="S527" s="64"/>
      <c r="T527" s="64"/>
      <c r="U527" s="64"/>
      <c r="V527" s="64"/>
      <c r="W527" s="64"/>
    </row>
    <row r="528" spans="1:23" ht="30" customHeight="1">
      <c r="A528" s="8"/>
      <c r="B528" s="7"/>
      <c r="C528" s="33"/>
      <c r="D528" s="7"/>
      <c r="E528" s="7"/>
      <c r="F528" s="7"/>
      <c r="G528" s="7"/>
      <c r="H528" s="7"/>
      <c r="I528" s="7"/>
      <c r="J528" s="7"/>
      <c r="K528" s="7"/>
      <c r="L528" s="7"/>
      <c r="M528" s="7"/>
      <c r="N528" s="7"/>
      <c r="O528" s="7"/>
      <c r="P528" s="7"/>
      <c r="Q528" s="7"/>
      <c r="R528" s="64"/>
      <c r="S528" s="64"/>
      <c r="T528" s="64"/>
      <c r="U528" s="64"/>
      <c r="V528" s="64"/>
      <c r="W528" s="64"/>
    </row>
    <row r="529" spans="1:23" ht="30" customHeight="1">
      <c r="A529" s="8"/>
      <c r="B529" s="7"/>
      <c r="C529" s="33"/>
      <c r="D529" s="7"/>
      <c r="E529" s="7"/>
      <c r="F529" s="7"/>
      <c r="G529" s="7"/>
      <c r="H529" s="7"/>
      <c r="I529" s="7"/>
      <c r="J529" s="7"/>
      <c r="K529" s="7"/>
      <c r="L529" s="7"/>
      <c r="M529" s="7"/>
      <c r="N529" s="7"/>
      <c r="O529" s="7"/>
      <c r="P529" s="7"/>
      <c r="Q529" s="7"/>
      <c r="R529" s="64"/>
      <c r="S529" s="64"/>
      <c r="T529" s="64"/>
      <c r="U529" s="64"/>
      <c r="V529" s="64"/>
      <c r="W529" s="64"/>
    </row>
    <row r="530" spans="1:23" ht="30" customHeight="1">
      <c r="A530" s="8"/>
      <c r="B530" s="7"/>
      <c r="C530" s="33"/>
      <c r="D530" s="7"/>
      <c r="E530" s="7"/>
      <c r="F530" s="7"/>
      <c r="G530" s="7"/>
      <c r="H530" s="7"/>
      <c r="I530" s="7"/>
      <c r="J530" s="7"/>
      <c r="K530" s="7"/>
      <c r="L530" s="7"/>
      <c r="M530" s="7"/>
      <c r="N530" s="7"/>
      <c r="O530" s="7"/>
      <c r="P530" s="7"/>
      <c r="Q530" s="7"/>
      <c r="R530" s="64"/>
      <c r="S530" s="64"/>
      <c r="T530" s="64"/>
      <c r="U530" s="64"/>
      <c r="V530" s="64"/>
      <c r="W530" s="64"/>
    </row>
    <row r="531" spans="1:23" ht="30" customHeight="1">
      <c r="A531" s="8"/>
      <c r="B531" s="7"/>
      <c r="C531" s="33"/>
      <c r="D531" s="7"/>
      <c r="E531" s="7"/>
      <c r="F531" s="7"/>
      <c r="G531" s="7"/>
      <c r="H531" s="7"/>
      <c r="I531" s="7"/>
      <c r="J531" s="7"/>
      <c r="K531" s="7"/>
      <c r="L531" s="7"/>
      <c r="M531" s="7"/>
      <c r="N531" s="7"/>
      <c r="O531" s="7"/>
      <c r="P531" s="7"/>
      <c r="Q531" s="7"/>
      <c r="R531" s="64"/>
      <c r="S531" s="64"/>
      <c r="T531" s="64"/>
      <c r="U531" s="64"/>
      <c r="V531" s="64"/>
      <c r="W531" s="64"/>
    </row>
    <row r="532" spans="1:23" ht="30" customHeight="1">
      <c r="A532" s="8"/>
      <c r="B532" s="7"/>
      <c r="C532" s="33"/>
      <c r="D532" s="7"/>
      <c r="E532" s="7"/>
      <c r="F532" s="7"/>
      <c r="G532" s="7"/>
      <c r="H532" s="7"/>
      <c r="I532" s="7"/>
      <c r="J532" s="7"/>
      <c r="K532" s="7"/>
      <c r="L532" s="7"/>
      <c r="M532" s="7"/>
      <c r="N532" s="7"/>
      <c r="O532" s="7"/>
      <c r="P532" s="7"/>
      <c r="Q532" s="7"/>
      <c r="R532" s="64"/>
      <c r="S532" s="64"/>
      <c r="T532" s="64"/>
      <c r="U532" s="64"/>
      <c r="V532" s="64"/>
      <c r="W532" s="64"/>
    </row>
    <row r="533" spans="1:23" ht="30" customHeight="1">
      <c r="A533" s="8"/>
      <c r="B533" s="7"/>
      <c r="C533" s="33"/>
      <c r="D533" s="7"/>
      <c r="E533" s="7"/>
      <c r="F533" s="7"/>
      <c r="G533" s="7"/>
      <c r="H533" s="7"/>
      <c r="I533" s="7"/>
      <c r="J533" s="7"/>
      <c r="K533" s="7"/>
      <c r="L533" s="7"/>
      <c r="M533" s="7"/>
      <c r="N533" s="7"/>
      <c r="O533" s="7"/>
      <c r="P533" s="7"/>
      <c r="Q533" s="7"/>
      <c r="R533" s="64"/>
      <c r="S533" s="64"/>
      <c r="T533" s="64"/>
      <c r="U533" s="64"/>
      <c r="V533" s="64"/>
      <c r="W533" s="64"/>
    </row>
    <row r="534" spans="1:23" ht="30" customHeight="1">
      <c r="A534" s="8"/>
      <c r="B534" s="7"/>
      <c r="C534" s="33"/>
      <c r="D534" s="7"/>
      <c r="E534" s="7"/>
      <c r="F534" s="7"/>
      <c r="G534" s="7"/>
      <c r="H534" s="7"/>
      <c r="I534" s="7"/>
      <c r="J534" s="7"/>
      <c r="K534" s="7"/>
      <c r="L534" s="7"/>
      <c r="M534" s="7"/>
      <c r="N534" s="7"/>
      <c r="O534" s="7"/>
      <c r="P534" s="7"/>
      <c r="Q534" s="7"/>
      <c r="R534" s="64"/>
      <c r="S534" s="64"/>
      <c r="T534" s="64"/>
      <c r="U534" s="64"/>
      <c r="V534" s="64"/>
      <c r="W534" s="64"/>
    </row>
    <row r="535" spans="1:23" ht="30" customHeight="1">
      <c r="A535" s="8"/>
      <c r="B535" s="7"/>
      <c r="C535" s="33"/>
      <c r="D535" s="7"/>
      <c r="E535" s="7"/>
      <c r="F535" s="7"/>
      <c r="G535" s="7"/>
      <c r="H535" s="7"/>
      <c r="I535" s="7"/>
      <c r="J535" s="7"/>
      <c r="K535" s="7"/>
      <c r="L535" s="7"/>
      <c r="M535" s="7"/>
      <c r="N535" s="7"/>
      <c r="O535" s="7"/>
      <c r="P535" s="7"/>
      <c r="Q535" s="7"/>
      <c r="R535" s="64"/>
      <c r="S535" s="64"/>
      <c r="T535" s="64"/>
      <c r="U535" s="64"/>
      <c r="V535" s="64"/>
      <c r="W535" s="64"/>
    </row>
    <row r="536" spans="1:23" ht="30" customHeight="1">
      <c r="A536" s="8"/>
      <c r="B536" s="7"/>
      <c r="C536" s="33"/>
      <c r="D536" s="7"/>
      <c r="E536" s="7"/>
      <c r="F536" s="7"/>
      <c r="G536" s="7"/>
      <c r="H536" s="7"/>
      <c r="I536" s="7"/>
      <c r="J536" s="7"/>
      <c r="K536" s="7"/>
      <c r="L536" s="7"/>
      <c r="M536" s="7"/>
      <c r="N536" s="7"/>
      <c r="O536" s="7"/>
      <c r="P536" s="7"/>
      <c r="Q536" s="7"/>
      <c r="R536" s="64"/>
      <c r="S536" s="64"/>
      <c r="T536" s="64"/>
      <c r="U536" s="64"/>
      <c r="V536" s="64"/>
      <c r="W536" s="64"/>
    </row>
    <row r="537" spans="1:23" ht="30" customHeight="1">
      <c r="A537" s="8"/>
      <c r="B537" s="7"/>
      <c r="C537" s="33"/>
      <c r="D537" s="7"/>
      <c r="E537" s="7"/>
      <c r="F537" s="7"/>
      <c r="G537" s="7"/>
      <c r="H537" s="7"/>
      <c r="I537" s="7"/>
      <c r="J537" s="7"/>
      <c r="K537" s="7"/>
      <c r="L537" s="7"/>
      <c r="M537" s="7"/>
      <c r="N537" s="7"/>
      <c r="O537" s="7"/>
      <c r="P537" s="7"/>
      <c r="Q537" s="7"/>
      <c r="R537" s="64"/>
      <c r="S537" s="64"/>
      <c r="T537" s="64"/>
      <c r="U537" s="64"/>
      <c r="V537" s="64"/>
      <c r="W537" s="64"/>
    </row>
    <row r="538" spans="1:23" ht="30" customHeight="1">
      <c r="A538" s="8"/>
      <c r="B538" s="7"/>
      <c r="C538" s="33"/>
      <c r="D538" s="7"/>
      <c r="E538" s="7"/>
      <c r="F538" s="7"/>
      <c r="G538" s="7"/>
      <c r="H538" s="7"/>
      <c r="I538" s="7"/>
      <c r="J538" s="7"/>
      <c r="K538" s="7"/>
      <c r="L538" s="7"/>
      <c r="M538" s="7"/>
      <c r="N538" s="7"/>
      <c r="O538" s="7"/>
      <c r="P538" s="7"/>
      <c r="Q538" s="7"/>
      <c r="R538" s="64"/>
      <c r="S538" s="64"/>
      <c r="T538" s="64"/>
      <c r="U538" s="64"/>
      <c r="V538" s="64"/>
      <c r="W538" s="64"/>
    </row>
    <row r="539" spans="1:23" ht="30" customHeight="1">
      <c r="A539" s="8"/>
      <c r="B539" s="7"/>
      <c r="C539" s="33"/>
      <c r="D539" s="7"/>
      <c r="E539" s="7"/>
      <c r="F539" s="7"/>
      <c r="G539" s="7"/>
      <c r="H539" s="7"/>
      <c r="I539" s="7"/>
      <c r="J539" s="7"/>
      <c r="K539" s="7"/>
      <c r="L539" s="7"/>
      <c r="M539" s="7"/>
      <c r="N539" s="7"/>
      <c r="O539" s="7"/>
      <c r="P539" s="7"/>
      <c r="Q539" s="7"/>
      <c r="R539" s="64"/>
      <c r="S539" s="64"/>
      <c r="T539" s="64"/>
      <c r="U539" s="64"/>
      <c r="V539" s="64"/>
      <c r="W539" s="64"/>
    </row>
    <row r="540" spans="1:23" ht="30" customHeight="1">
      <c r="A540" s="8"/>
      <c r="B540" s="7"/>
      <c r="C540" s="33"/>
      <c r="D540" s="7"/>
      <c r="E540" s="7"/>
      <c r="F540" s="7"/>
      <c r="G540" s="7"/>
      <c r="H540" s="7"/>
      <c r="I540" s="7"/>
      <c r="J540" s="7"/>
      <c r="K540" s="7"/>
      <c r="L540" s="7"/>
      <c r="M540" s="7"/>
      <c r="N540" s="7"/>
      <c r="O540" s="7"/>
      <c r="P540" s="7"/>
      <c r="Q540" s="7"/>
      <c r="R540" s="64"/>
      <c r="S540" s="64"/>
      <c r="T540" s="64"/>
      <c r="U540" s="64"/>
      <c r="V540" s="64"/>
      <c r="W540" s="64"/>
    </row>
    <row r="541" spans="1:23" ht="30" customHeight="1">
      <c r="A541" s="8"/>
      <c r="B541" s="7"/>
      <c r="C541" s="33"/>
      <c r="D541" s="7"/>
      <c r="E541" s="7"/>
      <c r="F541" s="7"/>
      <c r="G541" s="7"/>
      <c r="H541" s="7"/>
      <c r="I541" s="7"/>
      <c r="J541" s="7"/>
      <c r="K541" s="7"/>
      <c r="L541" s="7"/>
      <c r="M541" s="7"/>
      <c r="N541" s="7"/>
      <c r="O541" s="7"/>
      <c r="P541" s="7"/>
      <c r="Q541" s="7"/>
      <c r="R541" s="64"/>
      <c r="S541" s="64"/>
      <c r="T541" s="64"/>
      <c r="U541" s="64"/>
      <c r="V541" s="64"/>
      <c r="W541" s="64"/>
    </row>
    <row r="542" spans="1:23" ht="30" customHeight="1">
      <c r="A542" s="8"/>
      <c r="B542" s="7"/>
      <c r="C542" s="33"/>
      <c r="D542" s="7"/>
      <c r="E542" s="7"/>
      <c r="F542" s="7"/>
      <c r="G542" s="7"/>
      <c r="H542" s="7"/>
      <c r="I542" s="7"/>
      <c r="J542" s="7"/>
      <c r="K542" s="7"/>
      <c r="L542" s="7"/>
      <c r="M542" s="7"/>
      <c r="N542" s="7"/>
      <c r="O542" s="7"/>
      <c r="P542" s="7"/>
      <c r="Q542" s="7"/>
      <c r="R542" s="64"/>
      <c r="S542" s="64"/>
      <c r="T542" s="64"/>
      <c r="U542" s="64"/>
      <c r="V542" s="64"/>
      <c r="W542" s="64"/>
    </row>
    <row r="543" spans="1:23" ht="30" customHeight="1">
      <c r="A543" s="8"/>
      <c r="B543" s="7"/>
      <c r="C543" s="33"/>
      <c r="D543" s="7"/>
      <c r="E543" s="7"/>
      <c r="F543" s="7"/>
      <c r="G543" s="7"/>
      <c r="H543" s="7"/>
      <c r="I543" s="7"/>
      <c r="J543" s="7"/>
      <c r="K543" s="7"/>
      <c r="L543" s="7"/>
      <c r="M543" s="7"/>
      <c r="N543" s="7"/>
      <c r="O543" s="7"/>
      <c r="P543" s="7"/>
      <c r="Q543" s="7"/>
      <c r="R543" s="64"/>
      <c r="S543" s="64"/>
      <c r="T543" s="64"/>
      <c r="U543" s="64"/>
      <c r="V543" s="64"/>
      <c r="W543" s="64"/>
    </row>
    <row r="544" spans="1:23" ht="30" customHeight="1">
      <c r="A544" s="8"/>
      <c r="B544" s="7"/>
      <c r="C544" s="33"/>
      <c r="D544" s="7"/>
      <c r="E544" s="7"/>
      <c r="F544" s="7"/>
      <c r="G544" s="7"/>
      <c r="H544" s="7"/>
      <c r="I544" s="7"/>
      <c r="J544" s="7"/>
      <c r="K544" s="7"/>
      <c r="L544" s="7"/>
      <c r="M544" s="7"/>
      <c r="N544" s="7"/>
      <c r="O544" s="7"/>
      <c r="P544" s="7"/>
      <c r="Q544" s="7"/>
      <c r="R544" s="64"/>
      <c r="S544" s="64"/>
      <c r="T544" s="64"/>
      <c r="U544" s="64"/>
      <c r="V544" s="64"/>
      <c r="W544" s="64"/>
    </row>
    <row r="545" spans="1:23" ht="30" customHeight="1">
      <c r="A545" s="8"/>
      <c r="B545" s="7"/>
      <c r="C545" s="33"/>
      <c r="D545" s="7"/>
      <c r="E545" s="7"/>
      <c r="F545" s="7"/>
      <c r="G545" s="7"/>
      <c r="H545" s="7"/>
      <c r="I545" s="7"/>
      <c r="J545" s="7"/>
      <c r="K545" s="7"/>
      <c r="L545" s="7"/>
      <c r="M545" s="7"/>
      <c r="N545" s="7"/>
      <c r="O545" s="7"/>
      <c r="P545" s="7"/>
      <c r="Q545" s="7"/>
      <c r="R545" s="64"/>
      <c r="S545" s="64"/>
      <c r="T545" s="64"/>
      <c r="U545" s="64"/>
      <c r="V545" s="64"/>
      <c r="W545" s="64"/>
    </row>
    <row r="546" spans="1:23" ht="30" customHeight="1">
      <c r="A546" s="8"/>
      <c r="B546" s="7"/>
      <c r="C546" s="33"/>
      <c r="D546" s="7"/>
      <c r="E546" s="7"/>
      <c r="F546" s="7"/>
      <c r="G546" s="7"/>
      <c r="H546" s="7"/>
      <c r="I546" s="7"/>
      <c r="J546" s="7"/>
      <c r="K546" s="7"/>
      <c r="L546" s="7"/>
      <c r="M546" s="7"/>
      <c r="N546" s="7"/>
      <c r="O546" s="7"/>
      <c r="P546" s="7"/>
      <c r="Q546" s="7"/>
      <c r="R546" s="64"/>
      <c r="S546" s="64"/>
      <c r="T546" s="64"/>
      <c r="U546" s="64"/>
      <c r="V546" s="64"/>
      <c r="W546" s="64"/>
    </row>
    <row r="547" spans="1:23" ht="30" customHeight="1">
      <c r="A547" s="8"/>
      <c r="B547" s="7"/>
      <c r="C547" s="33"/>
      <c r="D547" s="7"/>
      <c r="E547" s="7"/>
      <c r="F547" s="7"/>
      <c r="G547" s="7"/>
      <c r="H547" s="7"/>
      <c r="I547" s="7"/>
      <c r="J547" s="7"/>
      <c r="K547" s="7"/>
      <c r="L547" s="7"/>
      <c r="M547" s="7"/>
      <c r="N547" s="7"/>
      <c r="O547" s="7"/>
      <c r="P547" s="7"/>
      <c r="Q547" s="7"/>
      <c r="R547" s="64"/>
      <c r="S547" s="64"/>
      <c r="T547" s="64"/>
      <c r="U547" s="64"/>
      <c r="V547" s="64"/>
      <c r="W547" s="64"/>
    </row>
    <row r="548" spans="1:23" ht="30" customHeight="1">
      <c r="A548" s="8"/>
      <c r="B548" s="7"/>
      <c r="C548" s="33"/>
      <c r="D548" s="7"/>
      <c r="E548" s="7"/>
      <c r="F548" s="7"/>
      <c r="G548" s="7"/>
      <c r="H548" s="7"/>
      <c r="I548" s="7"/>
      <c r="J548" s="7"/>
      <c r="K548" s="7"/>
      <c r="L548" s="7"/>
      <c r="M548" s="7"/>
      <c r="N548" s="7"/>
      <c r="O548" s="7"/>
      <c r="P548" s="7"/>
      <c r="Q548" s="7"/>
      <c r="R548" s="64"/>
      <c r="S548" s="64"/>
      <c r="T548" s="64"/>
      <c r="U548" s="64"/>
      <c r="V548" s="64"/>
      <c r="W548" s="64"/>
    </row>
    <row r="549" spans="1:23" ht="30" customHeight="1">
      <c r="A549" s="8"/>
      <c r="B549" s="7"/>
      <c r="C549" s="33"/>
      <c r="D549" s="7"/>
      <c r="E549" s="7"/>
      <c r="F549" s="7"/>
      <c r="G549" s="7"/>
      <c r="H549" s="7"/>
      <c r="I549" s="7"/>
      <c r="J549" s="7"/>
      <c r="K549" s="7"/>
      <c r="L549" s="7"/>
      <c r="M549" s="7"/>
      <c r="N549" s="7"/>
      <c r="O549" s="7"/>
      <c r="P549" s="7"/>
      <c r="Q549" s="7"/>
      <c r="R549" s="64"/>
      <c r="S549" s="64"/>
      <c r="T549" s="64"/>
      <c r="U549" s="64"/>
      <c r="V549" s="64"/>
      <c r="W549" s="64"/>
    </row>
    <row r="550" spans="1:23" ht="30" customHeight="1">
      <c r="A550" s="8"/>
      <c r="B550" s="7"/>
      <c r="C550" s="33"/>
      <c r="D550" s="7"/>
      <c r="E550" s="7"/>
      <c r="F550" s="7"/>
      <c r="G550" s="7"/>
      <c r="H550" s="7"/>
      <c r="I550" s="7"/>
      <c r="J550" s="7"/>
      <c r="K550" s="7"/>
      <c r="L550" s="7"/>
      <c r="M550" s="7"/>
      <c r="N550" s="7"/>
      <c r="O550" s="7"/>
      <c r="P550" s="7"/>
      <c r="Q550" s="7"/>
      <c r="R550" s="64"/>
      <c r="S550" s="64"/>
      <c r="T550" s="64"/>
      <c r="U550" s="64"/>
      <c r="V550" s="64"/>
      <c r="W550" s="64"/>
    </row>
    <row r="551" spans="1:23" ht="30" customHeight="1">
      <c r="A551" s="8"/>
      <c r="B551" s="7"/>
      <c r="C551" s="33"/>
      <c r="D551" s="7"/>
      <c r="E551" s="7"/>
      <c r="F551" s="7"/>
      <c r="G551" s="7"/>
      <c r="H551" s="7"/>
      <c r="I551" s="7"/>
      <c r="J551" s="7"/>
      <c r="K551" s="7"/>
      <c r="L551" s="7"/>
      <c r="M551" s="7"/>
      <c r="N551" s="7"/>
      <c r="O551" s="7"/>
      <c r="P551" s="7"/>
      <c r="Q551" s="7"/>
      <c r="R551" s="64"/>
      <c r="S551" s="64"/>
      <c r="T551" s="64"/>
      <c r="U551" s="64"/>
      <c r="V551" s="64"/>
      <c r="W551" s="64"/>
    </row>
    <row r="552" spans="1:23" ht="30" customHeight="1">
      <c r="A552" s="8"/>
      <c r="B552" s="7"/>
      <c r="C552" s="33"/>
      <c r="D552" s="7"/>
      <c r="E552" s="7"/>
      <c r="F552" s="7"/>
      <c r="G552" s="7"/>
      <c r="H552" s="7"/>
      <c r="I552" s="7"/>
      <c r="J552" s="7"/>
      <c r="K552" s="7"/>
      <c r="L552" s="7"/>
      <c r="M552" s="7"/>
      <c r="N552" s="7"/>
      <c r="O552" s="7"/>
      <c r="P552" s="7"/>
      <c r="Q552" s="7"/>
      <c r="R552" s="64"/>
      <c r="S552" s="64"/>
      <c r="T552" s="64"/>
      <c r="U552" s="64"/>
      <c r="V552" s="64"/>
      <c r="W552" s="64"/>
    </row>
    <row r="553" spans="1:23" ht="30" customHeight="1">
      <c r="A553" s="8"/>
      <c r="B553" s="7"/>
      <c r="C553" s="33"/>
      <c r="D553" s="7"/>
      <c r="E553" s="7"/>
      <c r="F553" s="7"/>
      <c r="G553" s="7"/>
      <c r="H553" s="7"/>
      <c r="I553" s="7"/>
      <c r="J553" s="7"/>
      <c r="K553" s="7"/>
      <c r="L553" s="7"/>
      <c r="M553" s="7"/>
      <c r="N553" s="7"/>
      <c r="O553" s="7"/>
      <c r="P553" s="7"/>
      <c r="Q553" s="7"/>
      <c r="R553" s="64"/>
      <c r="S553" s="64"/>
      <c r="T553" s="64"/>
      <c r="U553" s="64"/>
      <c r="V553" s="64"/>
      <c r="W553" s="64"/>
    </row>
    <row r="554" spans="1:23" ht="30" customHeight="1">
      <c r="A554" s="8"/>
      <c r="B554" s="7"/>
      <c r="C554" s="33"/>
      <c r="D554" s="7"/>
      <c r="E554" s="7"/>
      <c r="F554" s="7"/>
      <c r="G554" s="7"/>
      <c r="H554" s="7"/>
      <c r="I554" s="7"/>
      <c r="J554" s="7"/>
      <c r="K554" s="7"/>
      <c r="L554" s="7"/>
      <c r="M554" s="7"/>
      <c r="N554" s="7"/>
      <c r="O554" s="7"/>
      <c r="P554" s="7"/>
      <c r="Q554" s="7"/>
      <c r="R554" s="64"/>
      <c r="S554" s="64"/>
      <c r="T554" s="64"/>
      <c r="U554" s="64"/>
      <c r="V554" s="64"/>
      <c r="W554" s="64"/>
    </row>
    <row r="555" spans="1:23" ht="30" customHeight="1">
      <c r="A555" s="8"/>
      <c r="B555" s="7"/>
      <c r="C555" s="33"/>
      <c r="D555" s="7"/>
      <c r="E555" s="7"/>
      <c r="F555" s="7"/>
      <c r="G555" s="7"/>
      <c r="H555" s="7"/>
      <c r="I555" s="7"/>
      <c r="J555" s="7"/>
      <c r="K555" s="7"/>
      <c r="L555" s="7"/>
      <c r="M555" s="7"/>
      <c r="N555" s="7"/>
      <c r="O555" s="7"/>
      <c r="P555" s="7"/>
      <c r="Q555" s="7"/>
      <c r="R555" s="64"/>
      <c r="S555" s="64"/>
      <c r="T555" s="64"/>
      <c r="U555" s="64"/>
      <c r="V555" s="64"/>
      <c r="W555" s="64"/>
    </row>
    <row r="556" spans="1:23" ht="30" customHeight="1">
      <c r="A556" s="8"/>
      <c r="B556" s="7"/>
      <c r="C556" s="33"/>
      <c r="D556" s="7"/>
      <c r="E556" s="7"/>
      <c r="F556" s="7"/>
      <c r="G556" s="7"/>
      <c r="H556" s="7"/>
      <c r="I556" s="7"/>
      <c r="J556" s="7"/>
      <c r="K556" s="7"/>
      <c r="L556" s="7"/>
      <c r="M556" s="7"/>
      <c r="N556" s="7"/>
      <c r="O556" s="7"/>
      <c r="P556" s="7"/>
      <c r="Q556" s="7"/>
      <c r="R556" s="64"/>
      <c r="S556" s="64"/>
      <c r="T556" s="64"/>
      <c r="U556" s="64"/>
      <c r="V556" s="64"/>
      <c r="W556" s="64"/>
    </row>
    <row r="557" spans="1:23" ht="30" customHeight="1">
      <c r="A557" s="8"/>
      <c r="B557" s="7"/>
      <c r="C557" s="33"/>
      <c r="D557" s="7"/>
      <c r="E557" s="7"/>
      <c r="F557" s="7"/>
      <c r="G557" s="7"/>
      <c r="H557" s="7"/>
      <c r="I557" s="7"/>
      <c r="J557" s="7"/>
      <c r="K557" s="7"/>
      <c r="L557" s="7"/>
      <c r="M557" s="7"/>
      <c r="N557" s="7"/>
      <c r="O557" s="7"/>
      <c r="P557" s="7"/>
      <c r="Q557" s="7"/>
      <c r="R557" s="64"/>
      <c r="S557" s="64"/>
      <c r="T557" s="64"/>
      <c r="U557" s="64"/>
      <c r="V557" s="64"/>
      <c r="W557" s="64"/>
    </row>
    <row r="558" spans="1:23" ht="30" customHeight="1">
      <c r="A558" s="8"/>
      <c r="B558" s="7"/>
      <c r="C558" s="33"/>
      <c r="D558" s="7"/>
      <c r="E558" s="7"/>
      <c r="F558" s="7"/>
      <c r="G558" s="7"/>
      <c r="H558" s="7"/>
      <c r="I558" s="7"/>
      <c r="J558" s="7"/>
      <c r="K558" s="7"/>
      <c r="L558" s="7"/>
      <c r="M558" s="7"/>
      <c r="N558" s="7"/>
      <c r="O558" s="7"/>
      <c r="P558" s="7"/>
      <c r="Q558" s="7"/>
      <c r="R558" s="64"/>
      <c r="S558" s="64"/>
      <c r="T558" s="64"/>
      <c r="U558" s="64"/>
      <c r="V558" s="64"/>
      <c r="W558" s="64"/>
    </row>
    <row r="559" spans="1:23" ht="30" customHeight="1">
      <c r="A559" s="8"/>
      <c r="B559" s="7"/>
      <c r="C559" s="33"/>
      <c r="D559" s="7"/>
      <c r="E559" s="7"/>
      <c r="F559" s="7"/>
      <c r="G559" s="7"/>
      <c r="H559" s="7"/>
      <c r="I559" s="7"/>
      <c r="J559" s="7"/>
      <c r="K559" s="7"/>
      <c r="L559" s="7"/>
      <c r="M559" s="7"/>
      <c r="N559" s="7"/>
      <c r="O559" s="7"/>
      <c r="P559" s="7"/>
      <c r="Q559" s="7"/>
      <c r="R559" s="64"/>
      <c r="S559" s="64"/>
      <c r="T559" s="64"/>
      <c r="U559" s="64"/>
      <c r="V559" s="64"/>
      <c r="W559" s="64"/>
    </row>
    <row r="560" spans="1:23" ht="30" customHeight="1">
      <c r="A560" s="8"/>
      <c r="B560" s="7"/>
      <c r="C560" s="33"/>
      <c r="D560" s="7"/>
      <c r="E560" s="7"/>
      <c r="F560" s="7"/>
      <c r="G560" s="7"/>
      <c r="H560" s="7"/>
      <c r="I560" s="7"/>
      <c r="J560" s="7"/>
      <c r="K560" s="7"/>
      <c r="L560" s="7"/>
      <c r="M560" s="7"/>
      <c r="N560" s="7"/>
      <c r="O560" s="7"/>
      <c r="P560" s="7"/>
      <c r="Q560" s="7"/>
      <c r="R560" s="64"/>
      <c r="S560" s="64"/>
      <c r="T560" s="64"/>
      <c r="U560" s="64"/>
      <c r="V560" s="64"/>
      <c r="W560" s="64"/>
    </row>
    <row r="561" spans="1:23" ht="30" customHeight="1">
      <c r="A561" s="8"/>
      <c r="B561" s="7"/>
      <c r="C561" s="33"/>
      <c r="D561" s="7"/>
      <c r="E561" s="7"/>
      <c r="F561" s="7"/>
      <c r="G561" s="7"/>
      <c r="H561" s="7"/>
      <c r="I561" s="7"/>
      <c r="J561" s="7"/>
      <c r="K561" s="7"/>
      <c r="L561" s="7"/>
      <c r="M561" s="7"/>
      <c r="N561" s="7"/>
      <c r="O561" s="7"/>
      <c r="P561" s="7"/>
      <c r="Q561" s="7"/>
      <c r="R561" s="64"/>
      <c r="S561" s="64"/>
      <c r="T561" s="64"/>
      <c r="U561" s="64"/>
      <c r="V561" s="64"/>
      <c r="W561" s="64"/>
    </row>
    <row r="562" spans="1:23" ht="30" customHeight="1">
      <c r="A562" s="8"/>
      <c r="B562" s="7"/>
      <c r="C562" s="33"/>
      <c r="D562" s="7"/>
      <c r="E562" s="7"/>
      <c r="F562" s="7"/>
      <c r="G562" s="7"/>
      <c r="H562" s="7"/>
      <c r="I562" s="7"/>
      <c r="J562" s="7"/>
      <c r="K562" s="7"/>
      <c r="L562" s="7"/>
      <c r="M562" s="7"/>
      <c r="N562" s="7"/>
      <c r="O562" s="7"/>
      <c r="P562" s="7"/>
      <c r="Q562" s="7"/>
      <c r="R562" s="64"/>
      <c r="S562" s="64"/>
      <c r="T562" s="64"/>
      <c r="U562" s="64"/>
      <c r="V562" s="64"/>
      <c r="W562" s="64"/>
    </row>
    <row r="563" spans="1:23" ht="30" customHeight="1">
      <c r="A563" s="8"/>
      <c r="B563" s="7"/>
      <c r="C563" s="33"/>
      <c r="D563" s="7"/>
      <c r="E563" s="7"/>
      <c r="F563" s="7"/>
      <c r="G563" s="7"/>
      <c r="H563" s="7"/>
      <c r="I563" s="7"/>
      <c r="J563" s="7"/>
      <c r="K563" s="7"/>
      <c r="L563" s="7"/>
      <c r="M563" s="7"/>
      <c r="N563" s="7"/>
      <c r="O563" s="7"/>
      <c r="P563" s="7"/>
      <c r="Q563" s="7"/>
      <c r="R563" s="64"/>
      <c r="S563" s="64"/>
      <c r="T563" s="64"/>
      <c r="U563" s="64"/>
      <c r="V563" s="64"/>
      <c r="W563" s="64"/>
    </row>
    <row r="564" spans="1:23" ht="30" customHeight="1">
      <c r="A564" s="8"/>
      <c r="B564" s="7"/>
      <c r="C564" s="33"/>
      <c r="D564" s="7"/>
      <c r="E564" s="7"/>
      <c r="F564" s="7"/>
      <c r="G564" s="7"/>
      <c r="H564" s="7"/>
      <c r="I564" s="7"/>
      <c r="J564" s="7"/>
      <c r="K564" s="7"/>
      <c r="L564" s="7"/>
      <c r="M564" s="7"/>
      <c r="N564" s="7"/>
      <c r="O564" s="7"/>
      <c r="P564" s="7"/>
      <c r="Q564" s="7"/>
      <c r="R564" s="64"/>
      <c r="S564" s="64"/>
      <c r="T564" s="64"/>
      <c r="U564" s="64"/>
      <c r="V564" s="64"/>
      <c r="W564" s="64"/>
    </row>
    <row r="565" spans="1:23" ht="30" customHeight="1">
      <c r="A565" s="8"/>
      <c r="B565" s="7"/>
      <c r="C565" s="33"/>
      <c r="D565" s="7"/>
      <c r="E565" s="7"/>
      <c r="F565" s="7"/>
      <c r="G565" s="7"/>
      <c r="H565" s="7"/>
      <c r="I565" s="7"/>
      <c r="J565" s="7"/>
      <c r="K565" s="7"/>
      <c r="L565" s="7"/>
      <c r="M565" s="7"/>
      <c r="N565" s="7"/>
      <c r="O565" s="7"/>
      <c r="P565" s="7"/>
      <c r="Q565" s="7"/>
      <c r="R565" s="64"/>
      <c r="S565" s="64"/>
      <c r="T565" s="64"/>
      <c r="U565" s="64"/>
      <c r="V565" s="64"/>
      <c r="W565" s="64"/>
    </row>
    <row r="566" spans="1:23" ht="30" customHeight="1">
      <c r="A566" s="8"/>
      <c r="B566" s="7"/>
      <c r="C566" s="33"/>
      <c r="D566" s="7"/>
      <c r="E566" s="7"/>
      <c r="F566" s="7"/>
      <c r="G566" s="7"/>
      <c r="H566" s="7"/>
      <c r="I566" s="7"/>
      <c r="J566" s="7"/>
      <c r="K566" s="7"/>
      <c r="L566" s="7"/>
      <c r="M566" s="7"/>
      <c r="N566" s="7"/>
      <c r="O566" s="7"/>
      <c r="P566" s="7"/>
      <c r="Q566" s="7"/>
      <c r="R566" s="64"/>
      <c r="S566" s="64"/>
      <c r="T566" s="64"/>
      <c r="U566" s="64"/>
      <c r="V566" s="64"/>
      <c r="W566" s="64"/>
    </row>
    <row r="567" spans="1:23" ht="30" customHeight="1">
      <c r="A567" s="8"/>
      <c r="B567" s="7"/>
      <c r="C567" s="33"/>
      <c r="D567" s="7"/>
      <c r="E567" s="7"/>
      <c r="F567" s="7"/>
      <c r="G567" s="7"/>
      <c r="H567" s="7"/>
      <c r="I567" s="7"/>
      <c r="J567" s="7"/>
      <c r="K567" s="7"/>
      <c r="L567" s="7"/>
      <c r="M567" s="7"/>
      <c r="N567" s="7"/>
      <c r="O567" s="7"/>
      <c r="P567" s="7"/>
      <c r="Q567" s="7"/>
      <c r="R567" s="64"/>
      <c r="S567" s="64"/>
      <c r="T567" s="64"/>
      <c r="U567" s="64"/>
      <c r="V567" s="64"/>
      <c r="W567" s="64"/>
    </row>
    <row r="568" spans="1:23" ht="30" customHeight="1">
      <c r="A568" s="8"/>
      <c r="B568" s="7"/>
      <c r="C568" s="33"/>
      <c r="D568" s="7"/>
      <c r="E568" s="7"/>
      <c r="F568" s="7"/>
      <c r="G568" s="7"/>
      <c r="H568" s="7"/>
      <c r="I568" s="7"/>
      <c r="J568" s="7"/>
      <c r="K568" s="7"/>
      <c r="L568" s="7"/>
      <c r="M568" s="7"/>
      <c r="N568" s="7"/>
      <c r="O568" s="7"/>
      <c r="P568" s="7"/>
      <c r="Q568" s="7"/>
      <c r="R568" s="64"/>
      <c r="S568" s="64"/>
      <c r="T568" s="64"/>
      <c r="U568" s="64"/>
      <c r="V568" s="64"/>
      <c r="W568" s="64"/>
    </row>
    <row r="569" spans="1:23" ht="30" customHeight="1">
      <c r="A569" s="8"/>
      <c r="B569" s="7"/>
      <c r="C569" s="33"/>
      <c r="D569" s="7"/>
      <c r="E569" s="7"/>
      <c r="F569" s="7"/>
      <c r="G569" s="7"/>
      <c r="H569" s="7"/>
      <c r="I569" s="7"/>
      <c r="J569" s="7"/>
      <c r="K569" s="7"/>
      <c r="L569" s="7"/>
      <c r="M569" s="7"/>
      <c r="N569" s="7"/>
      <c r="O569" s="7"/>
      <c r="P569" s="7"/>
      <c r="Q569" s="7"/>
      <c r="R569" s="64"/>
      <c r="S569" s="64"/>
      <c r="T569" s="64"/>
      <c r="U569" s="64"/>
      <c r="V569" s="64"/>
      <c r="W569" s="64"/>
    </row>
    <row r="570" spans="1:23" ht="30" customHeight="1">
      <c r="A570" s="8"/>
      <c r="B570" s="7"/>
      <c r="C570" s="33"/>
      <c r="D570" s="7"/>
      <c r="E570" s="7"/>
      <c r="F570" s="7"/>
      <c r="G570" s="7"/>
      <c r="H570" s="7"/>
      <c r="I570" s="7"/>
      <c r="J570" s="7"/>
      <c r="K570" s="7"/>
      <c r="L570" s="7"/>
      <c r="M570" s="7"/>
      <c r="N570" s="7"/>
      <c r="O570" s="7"/>
      <c r="P570" s="7"/>
      <c r="Q570" s="7"/>
      <c r="R570" s="64"/>
      <c r="S570" s="64"/>
      <c r="T570" s="64"/>
      <c r="U570" s="64"/>
      <c r="V570" s="64"/>
      <c r="W570" s="64"/>
    </row>
    <row r="571" spans="1:23" ht="30" customHeight="1">
      <c r="A571" s="8"/>
      <c r="B571" s="7"/>
      <c r="C571" s="33"/>
      <c r="D571" s="7"/>
      <c r="E571" s="7"/>
      <c r="F571" s="7"/>
      <c r="G571" s="7"/>
      <c r="H571" s="7"/>
      <c r="I571" s="7"/>
      <c r="J571" s="7"/>
      <c r="K571" s="7"/>
      <c r="L571" s="7"/>
      <c r="M571" s="7"/>
      <c r="N571" s="7"/>
      <c r="O571" s="7"/>
      <c r="P571" s="7"/>
      <c r="Q571" s="7"/>
      <c r="R571" s="64"/>
      <c r="S571" s="64"/>
      <c r="T571" s="64"/>
      <c r="U571" s="64"/>
      <c r="V571" s="64"/>
      <c r="W571" s="64"/>
    </row>
    <row r="572" spans="1:23" ht="30" customHeight="1">
      <c r="A572" s="8"/>
      <c r="B572" s="7"/>
      <c r="C572" s="33"/>
      <c r="D572" s="7"/>
      <c r="E572" s="7"/>
      <c r="F572" s="7"/>
      <c r="G572" s="7"/>
      <c r="H572" s="7"/>
      <c r="I572" s="7"/>
      <c r="J572" s="7"/>
      <c r="K572" s="7"/>
      <c r="L572" s="7"/>
      <c r="M572" s="7"/>
      <c r="N572" s="7"/>
      <c r="O572" s="7"/>
      <c r="P572" s="7"/>
      <c r="Q572" s="7"/>
      <c r="R572" s="64"/>
      <c r="S572" s="64"/>
      <c r="T572" s="64"/>
      <c r="U572" s="64"/>
      <c r="V572" s="64"/>
      <c r="W572" s="64"/>
    </row>
    <row r="573" spans="1:23" ht="30" customHeight="1">
      <c r="A573" s="8"/>
      <c r="B573" s="7"/>
      <c r="C573" s="33"/>
      <c r="D573" s="7"/>
      <c r="E573" s="7"/>
      <c r="F573" s="7"/>
      <c r="G573" s="7"/>
      <c r="H573" s="7"/>
      <c r="I573" s="7"/>
      <c r="J573" s="7"/>
      <c r="K573" s="7"/>
      <c r="L573" s="7"/>
      <c r="M573" s="7"/>
      <c r="N573" s="7"/>
      <c r="O573" s="7"/>
      <c r="P573" s="7"/>
      <c r="Q573" s="7"/>
      <c r="R573" s="64"/>
      <c r="S573" s="64"/>
      <c r="T573" s="64"/>
      <c r="U573" s="64"/>
      <c r="V573" s="64"/>
      <c r="W573" s="64"/>
    </row>
    <row r="574" spans="1:23" ht="30" customHeight="1">
      <c r="A574" s="8"/>
      <c r="B574" s="7"/>
      <c r="C574" s="33"/>
      <c r="D574" s="7"/>
      <c r="E574" s="7"/>
      <c r="F574" s="7"/>
      <c r="G574" s="7"/>
      <c r="H574" s="7"/>
      <c r="I574" s="7"/>
      <c r="J574" s="7"/>
      <c r="K574" s="7"/>
      <c r="L574" s="7"/>
      <c r="M574" s="7"/>
      <c r="N574" s="7"/>
      <c r="O574" s="7"/>
      <c r="P574" s="7"/>
      <c r="Q574" s="7"/>
      <c r="R574" s="64"/>
      <c r="S574" s="64"/>
      <c r="T574" s="64"/>
      <c r="U574" s="64"/>
      <c r="V574" s="64"/>
      <c r="W574" s="64"/>
    </row>
    <row r="575" spans="1:23" ht="30" customHeight="1">
      <c r="A575" s="8"/>
      <c r="B575" s="7"/>
      <c r="C575" s="33"/>
      <c r="D575" s="7"/>
      <c r="E575" s="7"/>
      <c r="F575" s="7"/>
      <c r="G575" s="7"/>
      <c r="H575" s="7"/>
      <c r="I575" s="7"/>
      <c r="J575" s="7"/>
      <c r="K575" s="7"/>
      <c r="L575" s="7"/>
      <c r="M575" s="7"/>
      <c r="N575" s="7"/>
      <c r="O575" s="7"/>
      <c r="P575" s="7"/>
      <c r="Q575" s="7"/>
      <c r="R575" s="64"/>
      <c r="S575" s="64"/>
      <c r="T575" s="64"/>
      <c r="U575" s="64"/>
      <c r="V575" s="64"/>
      <c r="W575" s="64"/>
    </row>
    <row r="576" spans="1:23" ht="30" customHeight="1">
      <c r="A576" s="8"/>
      <c r="B576" s="7"/>
      <c r="C576" s="33"/>
      <c r="D576" s="7"/>
      <c r="E576" s="7"/>
      <c r="F576" s="7"/>
      <c r="G576" s="7"/>
      <c r="H576" s="7"/>
      <c r="I576" s="7"/>
      <c r="J576" s="7"/>
      <c r="K576" s="7"/>
      <c r="L576" s="7"/>
      <c r="M576" s="7"/>
      <c r="N576" s="7"/>
      <c r="O576" s="7"/>
      <c r="P576" s="7"/>
      <c r="Q576" s="7"/>
      <c r="R576" s="64"/>
      <c r="S576" s="64"/>
      <c r="T576" s="64"/>
      <c r="U576" s="64"/>
      <c r="V576" s="64"/>
      <c r="W576" s="64"/>
    </row>
    <row r="577" spans="1:23" ht="30" customHeight="1">
      <c r="A577" s="8"/>
      <c r="B577" s="7"/>
      <c r="C577" s="33"/>
      <c r="D577" s="7"/>
      <c r="E577" s="7"/>
      <c r="F577" s="7"/>
      <c r="G577" s="7"/>
      <c r="H577" s="7"/>
      <c r="I577" s="7"/>
      <c r="J577" s="7"/>
      <c r="K577" s="7"/>
      <c r="L577" s="7"/>
      <c r="M577" s="7"/>
      <c r="N577" s="7"/>
      <c r="O577" s="7"/>
      <c r="P577" s="7"/>
      <c r="Q577" s="7"/>
      <c r="R577" s="64"/>
      <c r="S577" s="64"/>
      <c r="T577" s="64"/>
      <c r="U577" s="64"/>
      <c r="V577" s="64"/>
      <c r="W577" s="64"/>
    </row>
    <row r="578" spans="1:23" ht="30" customHeight="1">
      <c r="A578" s="8"/>
      <c r="B578" s="7"/>
      <c r="C578" s="33"/>
      <c r="D578" s="7"/>
      <c r="E578" s="7"/>
      <c r="F578" s="7"/>
      <c r="G578" s="7"/>
      <c r="H578" s="7"/>
      <c r="I578" s="7"/>
      <c r="J578" s="7"/>
      <c r="K578" s="7"/>
      <c r="L578" s="7"/>
      <c r="M578" s="7"/>
      <c r="N578" s="7"/>
      <c r="O578" s="7"/>
      <c r="P578" s="7"/>
      <c r="Q578" s="7"/>
      <c r="R578" s="64"/>
      <c r="S578" s="64"/>
      <c r="T578" s="64"/>
      <c r="U578" s="64"/>
      <c r="V578" s="64"/>
      <c r="W578" s="64"/>
    </row>
    <row r="579" spans="1:23" ht="30" customHeight="1">
      <c r="A579" s="8"/>
      <c r="B579" s="7"/>
      <c r="C579" s="33"/>
      <c r="D579" s="7"/>
      <c r="E579" s="7"/>
      <c r="F579" s="7"/>
      <c r="G579" s="7"/>
      <c r="H579" s="7"/>
      <c r="I579" s="7"/>
      <c r="J579" s="7"/>
      <c r="K579" s="7"/>
      <c r="L579" s="7"/>
      <c r="M579" s="7"/>
      <c r="N579" s="7"/>
      <c r="O579" s="7"/>
      <c r="P579" s="7"/>
      <c r="Q579" s="7"/>
      <c r="R579" s="64"/>
      <c r="S579" s="64"/>
      <c r="T579" s="64"/>
      <c r="U579" s="64"/>
      <c r="V579" s="64"/>
      <c r="W579" s="64"/>
    </row>
    <row r="580" spans="1:23" ht="30" customHeight="1">
      <c r="A580" s="8"/>
      <c r="B580" s="7"/>
      <c r="C580" s="33"/>
      <c r="D580" s="7"/>
      <c r="E580" s="7"/>
      <c r="F580" s="7"/>
      <c r="G580" s="7"/>
      <c r="H580" s="7"/>
      <c r="I580" s="7"/>
      <c r="J580" s="7"/>
      <c r="K580" s="7"/>
      <c r="L580" s="7"/>
      <c r="M580" s="7"/>
      <c r="N580" s="7"/>
      <c r="O580" s="7"/>
      <c r="P580" s="7"/>
      <c r="Q580" s="7"/>
      <c r="R580" s="64"/>
      <c r="S580" s="64"/>
      <c r="T580" s="64"/>
      <c r="U580" s="64"/>
      <c r="V580" s="64"/>
      <c r="W580" s="64"/>
    </row>
    <row r="581" spans="1:23" ht="30" customHeight="1">
      <c r="A581" s="8"/>
      <c r="B581" s="7"/>
      <c r="C581" s="33"/>
      <c r="D581" s="7"/>
      <c r="E581" s="7"/>
      <c r="F581" s="7"/>
      <c r="G581" s="7"/>
      <c r="H581" s="7"/>
      <c r="I581" s="7"/>
      <c r="J581" s="7"/>
      <c r="K581" s="7"/>
      <c r="L581" s="7"/>
      <c r="M581" s="7"/>
      <c r="N581" s="7"/>
      <c r="O581" s="7"/>
      <c r="P581" s="7"/>
      <c r="Q581" s="7"/>
      <c r="R581" s="64"/>
      <c r="S581" s="64"/>
      <c r="T581" s="64"/>
      <c r="U581" s="64"/>
      <c r="V581" s="64"/>
      <c r="W581" s="64"/>
    </row>
    <row r="582" spans="1:23" ht="30" customHeight="1">
      <c r="A582" s="8"/>
      <c r="B582" s="7"/>
      <c r="C582" s="33"/>
      <c r="D582" s="7"/>
      <c r="E582" s="7"/>
      <c r="F582" s="7"/>
      <c r="G582" s="7"/>
      <c r="H582" s="7"/>
      <c r="I582" s="7"/>
      <c r="J582" s="7"/>
      <c r="K582" s="7"/>
      <c r="L582" s="7"/>
      <c r="M582" s="7"/>
      <c r="N582" s="7"/>
      <c r="O582" s="7"/>
      <c r="P582" s="7"/>
      <c r="Q582" s="7"/>
      <c r="R582" s="64"/>
      <c r="S582" s="64"/>
      <c r="T582" s="64"/>
      <c r="U582" s="64"/>
      <c r="V582" s="64"/>
      <c r="W582" s="64"/>
    </row>
    <row r="583" spans="1:23" ht="30" customHeight="1">
      <c r="A583" s="8"/>
      <c r="B583" s="7"/>
      <c r="C583" s="33"/>
      <c r="D583" s="7"/>
      <c r="E583" s="7"/>
      <c r="F583" s="7"/>
      <c r="G583" s="7"/>
      <c r="H583" s="7"/>
      <c r="I583" s="7"/>
      <c r="J583" s="7"/>
      <c r="K583" s="7"/>
      <c r="L583" s="7"/>
      <c r="M583" s="7"/>
      <c r="N583" s="7"/>
      <c r="O583" s="7"/>
      <c r="P583" s="7"/>
      <c r="Q583" s="7"/>
      <c r="R583" s="64"/>
      <c r="S583" s="64"/>
      <c r="T583" s="64"/>
      <c r="U583" s="64"/>
      <c r="V583" s="64"/>
      <c r="W583" s="64"/>
    </row>
    <row r="584" spans="1:23" ht="30" customHeight="1">
      <c r="A584" s="8"/>
      <c r="B584" s="7"/>
      <c r="C584" s="33"/>
      <c r="D584" s="7"/>
      <c r="E584" s="7"/>
      <c r="F584" s="7"/>
      <c r="G584" s="7"/>
      <c r="H584" s="7"/>
      <c r="I584" s="7"/>
      <c r="J584" s="7"/>
      <c r="K584" s="7"/>
      <c r="L584" s="7"/>
      <c r="M584" s="7"/>
      <c r="N584" s="7"/>
      <c r="O584" s="7"/>
      <c r="P584" s="7"/>
      <c r="Q584" s="7"/>
      <c r="R584" s="64"/>
      <c r="S584" s="64"/>
      <c r="T584" s="64"/>
      <c r="U584" s="64"/>
      <c r="V584" s="64"/>
      <c r="W584" s="64"/>
    </row>
    <row r="585" spans="1:23" ht="30" customHeight="1">
      <c r="A585" s="8"/>
      <c r="B585" s="7"/>
      <c r="C585" s="33"/>
      <c r="D585" s="7"/>
      <c r="E585" s="7"/>
      <c r="F585" s="7"/>
      <c r="G585" s="7"/>
      <c r="H585" s="7"/>
      <c r="I585" s="7"/>
      <c r="J585" s="7"/>
      <c r="K585" s="7"/>
      <c r="L585" s="7"/>
      <c r="M585" s="7"/>
      <c r="N585" s="7"/>
      <c r="O585" s="7"/>
      <c r="P585" s="7"/>
      <c r="Q585" s="7"/>
      <c r="R585" s="64"/>
      <c r="S585" s="64"/>
      <c r="T585" s="64"/>
      <c r="U585" s="64"/>
      <c r="V585" s="64"/>
      <c r="W585" s="64"/>
    </row>
    <row r="586" spans="1:23" ht="30" customHeight="1">
      <c r="A586" s="8"/>
      <c r="B586" s="7"/>
      <c r="C586" s="33"/>
      <c r="D586" s="7"/>
      <c r="E586" s="7"/>
      <c r="F586" s="7"/>
      <c r="G586" s="7"/>
      <c r="H586" s="7"/>
      <c r="I586" s="7"/>
      <c r="J586" s="7"/>
      <c r="K586" s="7"/>
      <c r="L586" s="7"/>
      <c r="M586" s="7"/>
      <c r="N586" s="7"/>
      <c r="O586" s="7"/>
      <c r="P586" s="7"/>
      <c r="Q586" s="7"/>
      <c r="R586" s="64"/>
      <c r="S586" s="64"/>
      <c r="T586" s="64"/>
      <c r="U586" s="64"/>
      <c r="V586" s="64"/>
      <c r="W586" s="64"/>
    </row>
    <row r="587" spans="1:23" ht="30" customHeight="1">
      <c r="A587" s="8"/>
      <c r="B587" s="7"/>
      <c r="C587" s="33"/>
      <c r="D587" s="7"/>
      <c r="E587" s="7"/>
      <c r="F587" s="7"/>
      <c r="G587" s="7"/>
      <c r="H587" s="7"/>
      <c r="I587" s="7"/>
      <c r="J587" s="7"/>
      <c r="K587" s="7"/>
      <c r="L587" s="7"/>
      <c r="M587" s="7"/>
      <c r="N587" s="7"/>
      <c r="O587" s="7"/>
      <c r="P587" s="7"/>
      <c r="Q587" s="7"/>
      <c r="R587" s="64"/>
      <c r="S587" s="64"/>
      <c r="T587" s="64"/>
      <c r="U587" s="64"/>
      <c r="V587" s="64"/>
      <c r="W587" s="64"/>
    </row>
    <row r="588" spans="1:23" ht="30" customHeight="1">
      <c r="A588" s="8"/>
      <c r="B588" s="7"/>
      <c r="C588" s="33"/>
      <c r="D588" s="7"/>
      <c r="E588" s="7"/>
      <c r="F588" s="7"/>
      <c r="G588" s="7"/>
      <c r="H588" s="7"/>
      <c r="I588" s="7"/>
      <c r="J588" s="7"/>
      <c r="K588" s="7"/>
      <c r="L588" s="7"/>
      <c r="M588" s="7"/>
      <c r="N588" s="7"/>
      <c r="O588" s="7"/>
      <c r="P588" s="7"/>
      <c r="Q588" s="7"/>
      <c r="R588" s="64"/>
      <c r="S588" s="64"/>
      <c r="T588" s="64"/>
      <c r="U588" s="64"/>
      <c r="V588" s="64"/>
      <c r="W588" s="64"/>
    </row>
    <row r="589" spans="1:23" ht="30" customHeight="1">
      <c r="A589" s="8"/>
      <c r="B589" s="7"/>
      <c r="C589" s="33"/>
      <c r="D589" s="7"/>
      <c r="E589" s="7"/>
      <c r="F589" s="7"/>
      <c r="G589" s="7"/>
      <c r="H589" s="7"/>
      <c r="I589" s="7"/>
      <c r="J589" s="7"/>
      <c r="K589" s="7"/>
      <c r="L589" s="7"/>
      <c r="M589" s="7"/>
      <c r="N589" s="7"/>
      <c r="O589" s="7"/>
      <c r="P589" s="7"/>
      <c r="Q589" s="7"/>
      <c r="R589" s="64"/>
      <c r="S589" s="64"/>
      <c r="T589" s="64"/>
      <c r="U589" s="64"/>
      <c r="V589" s="64"/>
      <c r="W589" s="64"/>
    </row>
    <row r="590" spans="1:23" ht="30" customHeight="1">
      <c r="A590" s="8"/>
      <c r="B590" s="7"/>
      <c r="C590" s="33"/>
      <c r="D590" s="7"/>
      <c r="E590" s="7"/>
      <c r="F590" s="7"/>
      <c r="G590" s="7"/>
      <c r="H590" s="7"/>
      <c r="I590" s="7"/>
      <c r="J590" s="7"/>
      <c r="K590" s="7"/>
      <c r="L590" s="7"/>
      <c r="M590" s="7"/>
      <c r="N590" s="7"/>
      <c r="O590" s="7"/>
      <c r="P590" s="7"/>
      <c r="Q590" s="7"/>
      <c r="R590" s="64"/>
      <c r="S590" s="64"/>
      <c r="T590" s="64"/>
      <c r="U590" s="64"/>
      <c r="V590" s="64"/>
      <c r="W590" s="64"/>
    </row>
    <row r="591" spans="1:23" ht="30" customHeight="1">
      <c r="A591" s="8"/>
      <c r="B591" s="7"/>
      <c r="C591" s="33"/>
      <c r="D591" s="7"/>
      <c r="E591" s="7"/>
      <c r="F591" s="7"/>
      <c r="G591" s="7"/>
      <c r="H591" s="7"/>
      <c r="I591" s="7"/>
      <c r="J591" s="7"/>
      <c r="K591" s="7"/>
      <c r="L591" s="7"/>
      <c r="M591" s="7"/>
      <c r="N591" s="7"/>
      <c r="O591" s="7"/>
      <c r="P591" s="7"/>
      <c r="Q591" s="7"/>
      <c r="R591" s="64"/>
      <c r="S591" s="64"/>
      <c r="T591" s="64"/>
      <c r="U591" s="64"/>
      <c r="V591" s="64"/>
      <c r="W591" s="64"/>
    </row>
    <row r="592" spans="1:23" ht="30" customHeight="1">
      <c r="A592" s="8"/>
      <c r="B592" s="7"/>
      <c r="C592" s="33"/>
      <c r="D592" s="7"/>
      <c r="E592" s="7"/>
      <c r="F592" s="7"/>
      <c r="G592" s="7"/>
      <c r="H592" s="7"/>
      <c r="I592" s="7"/>
      <c r="J592" s="7"/>
      <c r="K592" s="7"/>
      <c r="L592" s="7"/>
      <c r="M592" s="7"/>
      <c r="N592" s="7"/>
      <c r="O592" s="7"/>
      <c r="P592" s="7"/>
      <c r="Q592" s="7"/>
      <c r="R592" s="64"/>
      <c r="S592" s="64"/>
      <c r="T592" s="64"/>
      <c r="U592" s="64"/>
      <c r="V592" s="64"/>
      <c r="W592" s="64"/>
    </row>
    <row r="593" spans="1:23" ht="30" customHeight="1">
      <c r="A593" s="8"/>
      <c r="B593" s="7"/>
      <c r="C593" s="33"/>
      <c r="D593" s="7"/>
      <c r="E593" s="7"/>
      <c r="F593" s="7"/>
      <c r="G593" s="7"/>
      <c r="H593" s="7"/>
      <c r="I593" s="7"/>
      <c r="J593" s="7"/>
      <c r="K593" s="7"/>
      <c r="L593" s="7"/>
      <c r="M593" s="7"/>
      <c r="N593" s="7"/>
      <c r="O593" s="7"/>
      <c r="P593" s="7"/>
      <c r="Q593" s="7"/>
      <c r="R593" s="64"/>
      <c r="S593" s="64"/>
      <c r="T593" s="64"/>
      <c r="U593" s="64"/>
      <c r="V593" s="64"/>
      <c r="W593" s="64"/>
    </row>
    <row r="594" spans="1:23" ht="30" customHeight="1">
      <c r="A594" s="8"/>
      <c r="B594" s="7"/>
      <c r="C594" s="33"/>
      <c r="D594" s="7"/>
      <c r="E594" s="7"/>
      <c r="F594" s="7"/>
      <c r="G594" s="7"/>
      <c r="H594" s="7"/>
      <c r="I594" s="7"/>
      <c r="J594" s="7"/>
      <c r="K594" s="7"/>
      <c r="L594" s="7"/>
      <c r="M594" s="7"/>
      <c r="N594" s="7"/>
      <c r="O594" s="7"/>
      <c r="P594" s="7"/>
      <c r="Q594" s="7"/>
      <c r="R594" s="64"/>
      <c r="S594" s="64"/>
      <c r="T594" s="64"/>
      <c r="U594" s="64"/>
      <c r="V594" s="64"/>
      <c r="W594" s="64"/>
    </row>
    <row r="595" spans="1:23" ht="30" customHeight="1">
      <c r="A595" s="8"/>
      <c r="B595" s="7"/>
      <c r="C595" s="33"/>
      <c r="D595" s="7"/>
      <c r="E595" s="7"/>
      <c r="F595" s="7"/>
      <c r="G595" s="7"/>
      <c r="H595" s="7"/>
      <c r="I595" s="7"/>
      <c r="J595" s="7"/>
      <c r="K595" s="7"/>
      <c r="L595" s="7"/>
      <c r="M595" s="7"/>
      <c r="N595" s="7"/>
      <c r="O595" s="7"/>
      <c r="P595" s="7"/>
      <c r="Q595" s="7"/>
      <c r="R595" s="64"/>
      <c r="S595" s="64"/>
      <c r="T595" s="64"/>
      <c r="U595" s="64"/>
      <c r="V595" s="64"/>
      <c r="W595" s="64"/>
    </row>
    <row r="596" spans="1:23" ht="30" customHeight="1">
      <c r="A596" s="8"/>
      <c r="B596" s="7"/>
      <c r="C596" s="33"/>
      <c r="D596" s="7"/>
      <c r="E596" s="7"/>
      <c r="F596" s="7"/>
      <c r="G596" s="7"/>
      <c r="H596" s="7"/>
      <c r="I596" s="7"/>
      <c r="J596" s="7"/>
      <c r="K596" s="7"/>
      <c r="L596" s="7"/>
      <c r="M596" s="7"/>
      <c r="N596" s="7"/>
      <c r="O596" s="7"/>
      <c r="P596" s="7"/>
      <c r="Q596" s="7"/>
      <c r="R596" s="64"/>
      <c r="S596" s="64"/>
      <c r="T596" s="64"/>
      <c r="U596" s="64"/>
      <c r="V596" s="64"/>
      <c r="W596" s="64"/>
    </row>
    <row r="597" spans="1:23" ht="30" customHeight="1">
      <c r="A597" s="8"/>
      <c r="B597" s="7"/>
      <c r="C597" s="33"/>
      <c r="D597" s="7"/>
      <c r="E597" s="7"/>
      <c r="F597" s="7"/>
      <c r="G597" s="7"/>
      <c r="H597" s="7"/>
      <c r="I597" s="7"/>
      <c r="J597" s="7"/>
      <c r="K597" s="7"/>
      <c r="L597" s="7"/>
      <c r="M597" s="7"/>
      <c r="N597" s="7"/>
      <c r="O597" s="7"/>
      <c r="P597" s="7"/>
      <c r="Q597" s="7"/>
      <c r="R597" s="64"/>
      <c r="S597" s="64"/>
      <c r="T597" s="64"/>
      <c r="U597" s="64"/>
      <c r="V597" s="64"/>
      <c r="W597" s="64"/>
    </row>
    <row r="598" spans="1:23" ht="30" customHeight="1">
      <c r="A598" s="8"/>
      <c r="B598" s="7"/>
      <c r="C598" s="33"/>
      <c r="D598" s="7"/>
      <c r="E598" s="7"/>
      <c r="F598" s="7"/>
      <c r="G598" s="7"/>
      <c r="H598" s="7"/>
      <c r="I598" s="7"/>
      <c r="J598" s="7"/>
      <c r="K598" s="7"/>
      <c r="L598" s="7"/>
      <c r="M598" s="7"/>
      <c r="N598" s="7"/>
      <c r="O598" s="7"/>
      <c r="P598" s="7"/>
      <c r="Q598" s="7"/>
      <c r="R598" s="64"/>
      <c r="S598" s="64"/>
      <c r="T598" s="64"/>
      <c r="U598" s="64"/>
      <c r="V598" s="64"/>
      <c r="W598" s="64"/>
    </row>
    <row r="599" spans="1:23" ht="30" customHeight="1">
      <c r="A599" s="8"/>
      <c r="B599" s="7"/>
      <c r="C599" s="33"/>
      <c r="D599" s="7"/>
      <c r="E599" s="7"/>
      <c r="F599" s="7"/>
      <c r="G599" s="7"/>
      <c r="H599" s="7"/>
      <c r="I599" s="7"/>
      <c r="J599" s="7"/>
      <c r="K599" s="7"/>
      <c r="L599" s="7"/>
      <c r="M599" s="7"/>
      <c r="N599" s="7"/>
      <c r="O599" s="7"/>
      <c r="P599" s="7"/>
      <c r="Q599" s="7"/>
      <c r="R599" s="64"/>
      <c r="S599" s="64"/>
      <c r="T599" s="64"/>
      <c r="U599" s="64"/>
      <c r="V599" s="64"/>
      <c r="W599" s="64"/>
    </row>
    <row r="600" spans="1:23" ht="30" customHeight="1">
      <c r="A600" s="8"/>
      <c r="B600" s="7"/>
      <c r="C600" s="33"/>
      <c r="D600" s="7"/>
      <c r="E600" s="7"/>
      <c r="F600" s="7"/>
      <c r="G600" s="7"/>
      <c r="H600" s="7"/>
      <c r="I600" s="7"/>
      <c r="J600" s="7"/>
      <c r="K600" s="7"/>
      <c r="L600" s="7"/>
      <c r="M600" s="7"/>
      <c r="N600" s="7"/>
      <c r="O600" s="7"/>
      <c r="P600" s="7"/>
      <c r="Q600" s="7"/>
      <c r="R600" s="64"/>
      <c r="S600" s="64"/>
      <c r="T600" s="64"/>
      <c r="U600" s="64"/>
      <c r="V600" s="64"/>
      <c r="W600" s="64"/>
    </row>
    <row r="601" spans="1:23" ht="30" customHeight="1">
      <c r="A601" s="8"/>
      <c r="B601" s="7"/>
      <c r="C601" s="33"/>
      <c r="D601" s="7"/>
      <c r="E601" s="7"/>
      <c r="F601" s="7"/>
      <c r="G601" s="7"/>
      <c r="H601" s="7"/>
      <c r="I601" s="7"/>
      <c r="J601" s="7"/>
      <c r="K601" s="7"/>
      <c r="L601" s="7"/>
      <c r="M601" s="7"/>
      <c r="N601" s="7"/>
      <c r="O601" s="7"/>
      <c r="P601" s="7"/>
      <c r="Q601" s="7"/>
      <c r="R601" s="64"/>
      <c r="S601" s="64"/>
      <c r="T601" s="64"/>
      <c r="U601" s="64"/>
      <c r="V601" s="64"/>
      <c r="W601" s="64"/>
    </row>
    <row r="602" spans="1:23" ht="30" customHeight="1">
      <c r="A602" s="8"/>
      <c r="B602" s="7"/>
      <c r="C602" s="33"/>
      <c r="D602" s="7"/>
      <c r="E602" s="7"/>
      <c r="F602" s="7"/>
      <c r="G602" s="7"/>
      <c r="H602" s="7"/>
      <c r="I602" s="7"/>
      <c r="J602" s="7"/>
      <c r="K602" s="7"/>
      <c r="L602" s="7"/>
      <c r="M602" s="7"/>
      <c r="N602" s="7"/>
      <c r="O602" s="7"/>
      <c r="P602" s="7"/>
      <c r="Q602" s="7"/>
      <c r="R602" s="64"/>
      <c r="S602" s="64"/>
      <c r="T602" s="64"/>
      <c r="U602" s="64"/>
      <c r="V602" s="64"/>
      <c r="W602" s="64"/>
    </row>
    <row r="603" spans="1:23" ht="30" customHeight="1">
      <c r="A603" s="8"/>
      <c r="B603" s="7"/>
      <c r="C603" s="33"/>
      <c r="D603" s="7"/>
      <c r="E603" s="7"/>
      <c r="F603" s="7"/>
      <c r="G603" s="7"/>
      <c r="H603" s="7"/>
      <c r="I603" s="7"/>
      <c r="J603" s="7"/>
      <c r="K603" s="7"/>
      <c r="L603" s="7"/>
      <c r="M603" s="7"/>
      <c r="N603" s="7"/>
      <c r="O603" s="7"/>
      <c r="P603" s="7"/>
      <c r="Q603" s="7"/>
      <c r="R603" s="64"/>
      <c r="S603" s="64"/>
      <c r="T603" s="64"/>
      <c r="U603" s="64"/>
      <c r="V603" s="64"/>
      <c r="W603" s="64"/>
    </row>
    <row r="604" spans="1:23" ht="30" customHeight="1">
      <c r="A604" s="8"/>
      <c r="B604" s="7"/>
      <c r="C604" s="33"/>
      <c r="D604" s="7"/>
      <c r="E604" s="7"/>
      <c r="F604" s="7"/>
      <c r="G604" s="7"/>
      <c r="H604" s="7"/>
      <c r="I604" s="7"/>
      <c r="J604" s="7"/>
      <c r="K604" s="7"/>
      <c r="L604" s="7"/>
      <c r="M604" s="7"/>
      <c r="N604" s="7"/>
      <c r="O604" s="7"/>
      <c r="P604" s="7"/>
      <c r="Q604" s="7"/>
      <c r="R604" s="64"/>
      <c r="S604" s="64"/>
      <c r="T604" s="64"/>
      <c r="U604" s="64"/>
      <c r="V604" s="64"/>
      <c r="W604" s="64"/>
    </row>
    <row r="605" spans="1:23" ht="30" customHeight="1">
      <c r="A605" s="8"/>
      <c r="B605" s="7"/>
      <c r="C605" s="33"/>
      <c r="D605" s="7"/>
      <c r="E605" s="7"/>
      <c r="F605" s="7"/>
      <c r="G605" s="7"/>
      <c r="H605" s="7"/>
      <c r="I605" s="7"/>
      <c r="J605" s="7"/>
      <c r="K605" s="7"/>
      <c r="L605" s="7"/>
      <c r="M605" s="7"/>
      <c r="N605" s="7"/>
      <c r="O605" s="7"/>
      <c r="P605" s="7"/>
      <c r="Q605" s="7"/>
      <c r="R605" s="64"/>
      <c r="S605" s="64"/>
      <c r="T605" s="64"/>
      <c r="U605" s="64"/>
      <c r="V605" s="64"/>
      <c r="W605" s="64"/>
    </row>
    <row r="606" spans="1:23" ht="30" customHeight="1">
      <c r="A606" s="8"/>
      <c r="B606" s="7"/>
      <c r="C606" s="33"/>
      <c r="D606" s="7"/>
      <c r="E606" s="7"/>
      <c r="F606" s="7"/>
      <c r="G606" s="7"/>
      <c r="H606" s="7"/>
      <c r="I606" s="7"/>
      <c r="J606" s="7"/>
      <c r="K606" s="7"/>
      <c r="L606" s="7"/>
      <c r="M606" s="7"/>
      <c r="N606" s="7"/>
      <c r="O606" s="7"/>
      <c r="P606" s="7"/>
      <c r="Q606" s="7"/>
      <c r="R606" s="64"/>
      <c r="S606" s="64"/>
      <c r="T606" s="64"/>
      <c r="U606" s="64"/>
      <c r="V606" s="64"/>
      <c r="W606" s="64"/>
    </row>
    <row r="607" spans="1:23" ht="30" customHeight="1">
      <c r="A607" s="8"/>
      <c r="B607" s="7"/>
      <c r="C607" s="33"/>
      <c r="D607" s="7"/>
      <c r="E607" s="7"/>
      <c r="F607" s="7"/>
      <c r="G607" s="7"/>
      <c r="H607" s="7"/>
      <c r="I607" s="7"/>
      <c r="J607" s="7"/>
      <c r="K607" s="7"/>
      <c r="L607" s="7"/>
      <c r="M607" s="7"/>
      <c r="N607" s="7"/>
      <c r="O607" s="7"/>
      <c r="P607" s="7"/>
      <c r="Q607" s="7"/>
      <c r="R607" s="64"/>
      <c r="S607" s="64"/>
      <c r="T607" s="64"/>
      <c r="U607" s="64"/>
      <c r="V607" s="64"/>
      <c r="W607" s="64"/>
    </row>
    <row r="608" spans="1:23" ht="30" customHeight="1">
      <c r="A608" s="8"/>
      <c r="B608" s="7"/>
      <c r="C608" s="33"/>
      <c r="D608" s="7"/>
      <c r="E608" s="7"/>
      <c r="F608" s="7"/>
      <c r="G608" s="7"/>
      <c r="H608" s="7"/>
      <c r="I608" s="7"/>
      <c r="J608" s="7"/>
      <c r="K608" s="7"/>
      <c r="L608" s="7"/>
      <c r="M608" s="7"/>
      <c r="N608" s="7"/>
      <c r="O608" s="7"/>
      <c r="P608" s="7"/>
      <c r="Q608" s="7"/>
      <c r="R608" s="64"/>
      <c r="S608" s="64"/>
      <c r="T608" s="64"/>
      <c r="U608" s="64"/>
      <c r="V608" s="64"/>
      <c r="W608" s="64"/>
    </row>
    <row r="609" spans="1:23" ht="30" customHeight="1">
      <c r="A609" s="8"/>
      <c r="B609" s="7"/>
      <c r="C609" s="33"/>
      <c r="D609" s="7"/>
      <c r="E609" s="7"/>
      <c r="F609" s="7"/>
      <c r="G609" s="7"/>
      <c r="H609" s="7"/>
      <c r="I609" s="7"/>
      <c r="J609" s="7"/>
      <c r="K609" s="7"/>
      <c r="L609" s="7"/>
      <c r="M609" s="7"/>
      <c r="N609" s="7"/>
      <c r="O609" s="7"/>
      <c r="P609" s="7"/>
      <c r="Q609" s="7"/>
      <c r="R609" s="64"/>
      <c r="S609" s="64"/>
      <c r="T609" s="64"/>
      <c r="U609" s="64"/>
      <c r="V609" s="64"/>
      <c r="W609" s="64"/>
    </row>
    <row r="610" spans="1:23" ht="30" customHeight="1">
      <c r="A610" s="8"/>
      <c r="B610" s="7"/>
      <c r="C610" s="33"/>
      <c r="D610" s="7"/>
      <c r="E610" s="7"/>
      <c r="F610" s="7"/>
      <c r="G610" s="7"/>
      <c r="H610" s="7"/>
      <c r="I610" s="7"/>
      <c r="J610" s="7"/>
      <c r="K610" s="7"/>
      <c r="L610" s="7"/>
      <c r="M610" s="7"/>
      <c r="N610" s="7"/>
      <c r="O610" s="7"/>
      <c r="P610" s="7"/>
      <c r="Q610" s="7"/>
      <c r="R610" s="64"/>
      <c r="S610" s="64"/>
      <c r="T610" s="64"/>
      <c r="U610" s="64"/>
      <c r="V610" s="64"/>
      <c r="W610" s="64"/>
    </row>
    <row r="611" spans="1:23" ht="30" customHeight="1">
      <c r="A611" s="8"/>
      <c r="B611" s="7"/>
      <c r="C611" s="33"/>
      <c r="D611" s="7"/>
      <c r="E611" s="7"/>
      <c r="F611" s="7"/>
      <c r="G611" s="7"/>
      <c r="H611" s="7"/>
      <c r="I611" s="7"/>
      <c r="J611" s="7"/>
      <c r="K611" s="7"/>
      <c r="L611" s="7"/>
      <c r="M611" s="7"/>
      <c r="N611" s="7"/>
      <c r="O611" s="7"/>
      <c r="P611" s="7"/>
      <c r="Q611" s="7"/>
      <c r="R611" s="64"/>
      <c r="S611" s="64"/>
      <c r="T611" s="64"/>
      <c r="U611" s="64"/>
      <c r="V611" s="64"/>
      <c r="W611" s="64"/>
    </row>
    <row r="612" spans="1:23" ht="30" customHeight="1">
      <c r="A612" s="8"/>
      <c r="B612" s="7"/>
      <c r="C612" s="33"/>
      <c r="D612" s="7"/>
      <c r="E612" s="7"/>
      <c r="F612" s="7"/>
      <c r="G612" s="7"/>
      <c r="H612" s="7"/>
      <c r="I612" s="7"/>
      <c r="J612" s="7"/>
      <c r="K612" s="7"/>
      <c r="L612" s="7"/>
      <c r="M612" s="7"/>
      <c r="N612" s="7"/>
      <c r="O612" s="7"/>
      <c r="P612" s="7"/>
      <c r="Q612" s="7"/>
      <c r="R612" s="64"/>
      <c r="S612" s="64"/>
      <c r="T612" s="64"/>
      <c r="U612" s="64"/>
      <c r="V612" s="64"/>
      <c r="W612" s="64"/>
    </row>
    <row r="613" spans="1:23" ht="30" customHeight="1">
      <c r="A613" s="8"/>
      <c r="B613" s="7"/>
      <c r="C613" s="33"/>
      <c r="D613" s="7"/>
      <c r="E613" s="7"/>
      <c r="F613" s="7"/>
      <c r="G613" s="7"/>
      <c r="H613" s="7"/>
      <c r="I613" s="7"/>
      <c r="J613" s="7"/>
      <c r="K613" s="7"/>
      <c r="L613" s="7"/>
      <c r="M613" s="7"/>
      <c r="N613" s="7"/>
      <c r="O613" s="7"/>
      <c r="P613" s="7"/>
      <c r="Q613" s="7"/>
      <c r="R613" s="64"/>
      <c r="S613" s="64"/>
      <c r="T613" s="64"/>
      <c r="U613" s="64"/>
      <c r="V613" s="64"/>
      <c r="W613" s="64"/>
    </row>
    <row r="614" spans="1:23" ht="30" customHeight="1">
      <c r="A614" s="8"/>
      <c r="B614" s="7"/>
      <c r="C614" s="33"/>
      <c r="D614" s="7"/>
      <c r="E614" s="7"/>
      <c r="F614" s="7"/>
      <c r="G614" s="7"/>
      <c r="H614" s="7"/>
      <c r="I614" s="7"/>
      <c r="J614" s="7"/>
      <c r="K614" s="7"/>
      <c r="L614" s="7"/>
      <c r="M614" s="7"/>
      <c r="N614" s="7"/>
      <c r="O614" s="7"/>
      <c r="P614" s="7"/>
      <c r="Q614" s="7"/>
      <c r="R614" s="64"/>
      <c r="S614" s="64"/>
      <c r="T614" s="64"/>
      <c r="U614" s="64"/>
      <c r="V614" s="64"/>
      <c r="W614" s="64"/>
    </row>
    <row r="615" spans="1:23" ht="30" customHeight="1">
      <c r="A615" s="8"/>
      <c r="B615" s="7"/>
      <c r="C615" s="33"/>
      <c r="D615" s="7"/>
      <c r="E615" s="7"/>
      <c r="F615" s="7"/>
      <c r="G615" s="7"/>
      <c r="H615" s="7"/>
      <c r="I615" s="7"/>
      <c r="J615" s="7"/>
      <c r="K615" s="7"/>
      <c r="L615" s="7"/>
      <c r="M615" s="7"/>
      <c r="N615" s="7"/>
      <c r="O615" s="7"/>
      <c r="P615" s="7"/>
      <c r="Q615" s="7"/>
      <c r="R615" s="64"/>
      <c r="S615" s="64"/>
      <c r="T615" s="64"/>
      <c r="U615" s="64"/>
      <c r="V615" s="64"/>
      <c r="W615" s="64"/>
    </row>
    <row r="616" spans="1:23" ht="30" customHeight="1">
      <c r="A616" s="8"/>
      <c r="B616" s="7"/>
      <c r="C616" s="33"/>
      <c r="D616" s="7"/>
      <c r="E616" s="7"/>
      <c r="F616" s="7"/>
      <c r="G616" s="7"/>
      <c r="H616" s="7"/>
      <c r="I616" s="7"/>
      <c r="J616" s="7"/>
      <c r="K616" s="7"/>
      <c r="L616" s="7"/>
      <c r="M616" s="7"/>
      <c r="N616" s="7"/>
      <c r="O616" s="7"/>
      <c r="P616" s="7"/>
      <c r="Q616" s="7"/>
      <c r="R616" s="64"/>
      <c r="S616" s="64"/>
      <c r="T616" s="64"/>
      <c r="U616" s="64"/>
      <c r="V616" s="64"/>
      <c r="W616" s="64"/>
    </row>
    <row r="617" spans="1:23" ht="30" customHeight="1">
      <c r="A617" s="8"/>
      <c r="B617" s="7"/>
      <c r="C617" s="33"/>
      <c r="D617" s="7"/>
      <c r="E617" s="7"/>
      <c r="F617" s="7"/>
      <c r="G617" s="7"/>
      <c r="H617" s="7"/>
      <c r="I617" s="7"/>
      <c r="J617" s="7"/>
      <c r="K617" s="7"/>
      <c r="L617" s="7"/>
      <c r="M617" s="7"/>
      <c r="N617" s="7"/>
      <c r="O617" s="7"/>
      <c r="P617" s="7"/>
      <c r="Q617" s="7"/>
      <c r="R617" s="64"/>
      <c r="S617" s="64"/>
      <c r="T617" s="64"/>
      <c r="U617" s="64"/>
      <c r="V617" s="64"/>
      <c r="W617" s="64"/>
    </row>
    <row r="618" spans="1:23" ht="30" customHeight="1">
      <c r="A618" s="8"/>
      <c r="B618" s="7"/>
      <c r="C618" s="33"/>
      <c r="D618" s="7"/>
      <c r="E618" s="7"/>
      <c r="F618" s="7"/>
      <c r="G618" s="7"/>
      <c r="H618" s="7"/>
      <c r="I618" s="7"/>
      <c r="J618" s="7"/>
      <c r="K618" s="7"/>
      <c r="L618" s="7"/>
      <c r="M618" s="7"/>
      <c r="N618" s="7"/>
      <c r="O618" s="7"/>
      <c r="P618" s="7"/>
      <c r="Q618" s="7"/>
      <c r="R618" s="64"/>
      <c r="S618" s="64"/>
      <c r="T618" s="64"/>
      <c r="U618" s="64"/>
      <c r="V618" s="64"/>
      <c r="W618" s="64"/>
    </row>
    <row r="619" spans="1:23" ht="30" customHeight="1">
      <c r="A619" s="8"/>
      <c r="B619" s="7"/>
      <c r="C619" s="33"/>
      <c r="D619" s="7"/>
      <c r="E619" s="7"/>
      <c r="F619" s="7"/>
      <c r="G619" s="7"/>
      <c r="H619" s="7"/>
      <c r="I619" s="7"/>
      <c r="J619" s="7"/>
      <c r="K619" s="7"/>
      <c r="L619" s="7"/>
      <c r="M619" s="7"/>
      <c r="N619" s="7"/>
      <c r="O619" s="7"/>
      <c r="P619" s="7"/>
      <c r="Q619" s="7"/>
      <c r="R619" s="64"/>
      <c r="S619" s="64"/>
      <c r="T619" s="64"/>
      <c r="U619" s="64"/>
      <c r="V619" s="64"/>
      <c r="W619" s="64"/>
    </row>
    <row r="620" spans="1:23" ht="30" customHeight="1">
      <c r="A620" s="8"/>
      <c r="B620" s="7"/>
      <c r="C620" s="33"/>
      <c r="D620" s="7"/>
      <c r="E620" s="7"/>
      <c r="F620" s="7"/>
      <c r="G620" s="7"/>
      <c r="H620" s="7"/>
      <c r="I620" s="7"/>
      <c r="J620" s="7"/>
      <c r="K620" s="7"/>
      <c r="L620" s="7"/>
      <c r="M620" s="7"/>
      <c r="N620" s="7"/>
      <c r="O620" s="7"/>
      <c r="P620" s="7"/>
      <c r="Q620" s="7"/>
      <c r="R620" s="64"/>
      <c r="S620" s="64"/>
      <c r="T620" s="64"/>
      <c r="U620" s="64"/>
      <c r="V620" s="64"/>
      <c r="W620" s="64"/>
    </row>
    <row r="621" spans="1:23" ht="30" customHeight="1">
      <c r="A621" s="8"/>
      <c r="B621" s="7"/>
      <c r="C621" s="33"/>
      <c r="D621" s="7"/>
      <c r="E621" s="7"/>
      <c r="F621" s="7"/>
      <c r="G621" s="7"/>
      <c r="H621" s="7"/>
      <c r="I621" s="7"/>
      <c r="J621" s="7"/>
      <c r="K621" s="7"/>
      <c r="L621" s="7"/>
      <c r="M621" s="7"/>
      <c r="N621" s="7"/>
      <c r="O621" s="7"/>
      <c r="P621" s="7"/>
      <c r="Q621" s="7"/>
      <c r="R621" s="64"/>
      <c r="S621" s="64"/>
      <c r="T621" s="64"/>
      <c r="U621" s="64"/>
      <c r="V621" s="64"/>
      <c r="W621" s="64"/>
    </row>
    <row r="622" spans="1:23" ht="30" customHeight="1">
      <c r="A622" s="8"/>
      <c r="B622" s="7"/>
      <c r="C622" s="33"/>
      <c r="D622" s="7"/>
      <c r="E622" s="7"/>
      <c r="F622" s="7"/>
      <c r="G622" s="7"/>
      <c r="H622" s="7"/>
      <c r="I622" s="7"/>
      <c r="J622" s="7"/>
      <c r="K622" s="7"/>
      <c r="L622" s="7"/>
      <c r="M622" s="7"/>
      <c r="N622" s="7"/>
      <c r="O622" s="7"/>
      <c r="P622" s="7"/>
      <c r="Q622" s="7"/>
      <c r="R622" s="64"/>
      <c r="S622" s="64"/>
      <c r="T622" s="64"/>
      <c r="U622" s="64"/>
      <c r="V622" s="64"/>
      <c r="W622" s="64"/>
    </row>
    <row r="623" spans="1:23" ht="30" customHeight="1">
      <c r="A623" s="8"/>
      <c r="B623" s="7"/>
      <c r="C623" s="33"/>
      <c r="D623" s="7"/>
      <c r="E623" s="7"/>
      <c r="F623" s="7"/>
      <c r="G623" s="7"/>
      <c r="H623" s="7"/>
      <c r="I623" s="7"/>
      <c r="J623" s="7"/>
      <c r="K623" s="7"/>
      <c r="L623" s="7"/>
      <c r="M623" s="7"/>
      <c r="N623" s="7"/>
      <c r="O623" s="7"/>
      <c r="P623" s="7"/>
      <c r="Q623" s="7"/>
      <c r="R623" s="64"/>
      <c r="S623" s="64"/>
      <c r="T623" s="64"/>
      <c r="U623" s="64"/>
      <c r="V623" s="64"/>
      <c r="W623" s="64"/>
    </row>
    <row r="624" spans="1:23" ht="30" customHeight="1">
      <c r="A624" s="8"/>
      <c r="B624" s="7"/>
      <c r="C624" s="33"/>
      <c r="D624" s="7"/>
      <c r="E624" s="7"/>
      <c r="F624" s="7"/>
      <c r="G624" s="7"/>
      <c r="H624" s="7"/>
      <c r="I624" s="7"/>
      <c r="J624" s="7"/>
      <c r="K624" s="7"/>
      <c r="L624" s="7"/>
      <c r="M624" s="7"/>
      <c r="N624" s="7"/>
      <c r="O624" s="7"/>
      <c r="P624" s="7"/>
      <c r="Q624" s="7"/>
      <c r="R624" s="64"/>
      <c r="S624" s="64"/>
      <c r="T624" s="64"/>
      <c r="U624" s="64"/>
      <c r="V624" s="64"/>
      <c r="W624" s="64"/>
    </row>
    <row r="625" spans="1:23" ht="30" customHeight="1">
      <c r="A625" s="8"/>
      <c r="B625" s="7"/>
      <c r="C625" s="33"/>
      <c r="D625" s="7"/>
      <c r="E625" s="7"/>
      <c r="F625" s="7"/>
      <c r="G625" s="7"/>
      <c r="H625" s="7"/>
      <c r="I625" s="7"/>
      <c r="J625" s="7"/>
      <c r="K625" s="7"/>
      <c r="L625" s="7"/>
      <c r="M625" s="7"/>
      <c r="N625" s="7"/>
      <c r="O625" s="7"/>
      <c r="P625" s="7"/>
      <c r="Q625" s="7"/>
      <c r="R625" s="64"/>
      <c r="S625" s="64"/>
      <c r="T625" s="64"/>
      <c r="U625" s="64"/>
      <c r="V625" s="64"/>
      <c r="W625" s="64"/>
    </row>
    <row r="626" spans="1:23" ht="30" customHeight="1">
      <c r="A626" s="8"/>
      <c r="B626" s="7"/>
      <c r="C626" s="33"/>
      <c r="D626" s="7"/>
      <c r="E626" s="7"/>
      <c r="F626" s="7"/>
      <c r="G626" s="7"/>
      <c r="H626" s="7"/>
      <c r="I626" s="7"/>
      <c r="J626" s="7"/>
      <c r="K626" s="7"/>
      <c r="L626" s="7"/>
      <c r="M626" s="7"/>
      <c r="N626" s="7"/>
      <c r="O626" s="7"/>
      <c r="P626" s="7"/>
      <c r="Q626" s="7"/>
      <c r="R626" s="64"/>
      <c r="S626" s="64"/>
      <c r="T626" s="64"/>
      <c r="U626" s="64"/>
      <c r="V626" s="64"/>
      <c r="W626" s="64"/>
    </row>
    <row r="627" spans="1:23" ht="30" customHeight="1">
      <c r="A627" s="8"/>
      <c r="B627" s="7"/>
      <c r="C627" s="33"/>
      <c r="D627" s="7"/>
      <c r="E627" s="7"/>
      <c r="F627" s="7"/>
      <c r="G627" s="7"/>
      <c r="H627" s="7"/>
      <c r="I627" s="7"/>
      <c r="J627" s="7"/>
      <c r="K627" s="7"/>
      <c r="L627" s="7"/>
      <c r="M627" s="7"/>
      <c r="N627" s="7"/>
      <c r="O627" s="7"/>
      <c r="P627" s="7"/>
      <c r="Q627" s="7"/>
      <c r="R627" s="64"/>
      <c r="S627" s="64"/>
      <c r="T627" s="64"/>
      <c r="U627" s="64"/>
      <c r="V627" s="64"/>
      <c r="W627" s="64"/>
    </row>
    <row r="628" spans="1:23" ht="30" customHeight="1">
      <c r="A628" s="8"/>
      <c r="B628" s="7"/>
      <c r="C628" s="33"/>
      <c r="D628" s="7"/>
      <c r="E628" s="7"/>
      <c r="F628" s="7"/>
      <c r="G628" s="7"/>
      <c r="H628" s="7"/>
      <c r="I628" s="7"/>
      <c r="J628" s="7"/>
      <c r="K628" s="7"/>
      <c r="L628" s="7"/>
      <c r="M628" s="7"/>
      <c r="N628" s="7"/>
      <c r="O628" s="7"/>
      <c r="P628" s="7"/>
      <c r="Q628" s="7"/>
      <c r="R628" s="64"/>
      <c r="S628" s="64"/>
      <c r="T628" s="64"/>
      <c r="U628" s="64"/>
      <c r="V628" s="64"/>
      <c r="W628" s="64"/>
    </row>
    <row r="629" spans="1:23" ht="30" customHeight="1">
      <c r="A629" s="8"/>
      <c r="B629" s="7"/>
      <c r="C629" s="33"/>
      <c r="D629" s="7"/>
      <c r="E629" s="7"/>
      <c r="F629" s="7"/>
      <c r="G629" s="7"/>
      <c r="H629" s="7"/>
      <c r="I629" s="7"/>
      <c r="J629" s="7"/>
      <c r="K629" s="7"/>
      <c r="L629" s="7"/>
      <c r="M629" s="7"/>
      <c r="N629" s="7"/>
      <c r="O629" s="7"/>
      <c r="P629" s="7"/>
      <c r="Q629" s="7"/>
      <c r="R629" s="64"/>
      <c r="S629" s="64"/>
      <c r="T629" s="64"/>
      <c r="U629" s="64"/>
      <c r="V629" s="64"/>
      <c r="W629" s="64"/>
    </row>
    <row r="630" spans="1:23" ht="30" customHeight="1">
      <c r="A630" s="8"/>
      <c r="B630" s="7"/>
      <c r="C630" s="33"/>
      <c r="D630" s="7"/>
      <c r="E630" s="7"/>
      <c r="F630" s="7"/>
      <c r="G630" s="7"/>
      <c r="H630" s="7"/>
      <c r="I630" s="7"/>
      <c r="J630" s="7"/>
      <c r="K630" s="7"/>
      <c r="L630" s="7"/>
      <c r="M630" s="7"/>
      <c r="N630" s="7"/>
      <c r="O630" s="7"/>
      <c r="P630" s="7"/>
      <c r="Q630" s="7"/>
      <c r="R630" s="64"/>
      <c r="S630" s="64"/>
      <c r="T630" s="64"/>
      <c r="U630" s="64"/>
      <c r="V630" s="64"/>
      <c r="W630" s="64"/>
    </row>
    <row r="631" spans="1:23" ht="30" customHeight="1">
      <c r="A631" s="8"/>
      <c r="B631" s="7"/>
      <c r="C631" s="33"/>
      <c r="D631" s="7"/>
      <c r="E631" s="7"/>
      <c r="F631" s="7"/>
      <c r="G631" s="7"/>
      <c r="H631" s="7"/>
      <c r="I631" s="7"/>
      <c r="J631" s="7"/>
      <c r="K631" s="7"/>
      <c r="L631" s="7"/>
      <c r="M631" s="7"/>
      <c r="N631" s="7"/>
      <c r="O631" s="7"/>
      <c r="P631" s="7"/>
      <c r="Q631" s="7"/>
      <c r="R631" s="64"/>
      <c r="S631" s="64"/>
      <c r="T631" s="64"/>
      <c r="U631" s="64"/>
      <c r="V631" s="64"/>
      <c r="W631" s="64"/>
    </row>
    <row r="632" spans="1:23" ht="30" customHeight="1">
      <c r="A632" s="8"/>
      <c r="B632" s="7"/>
      <c r="C632" s="33"/>
      <c r="D632" s="7"/>
      <c r="E632" s="7"/>
      <c r="F632" s="7"/>
      <c r="G632" s="7"/>
      <c r="H632" s="7"/>
      <c r="I632" s="7"/>
      <c r="J632" s="7"/>
      <c r="K632" s="7"/>
      <c r="L632" s="7"/>
      <c r="M632" s="7"/>
      <c r="N632" s="7"/>
      <c r="O632" s="7"/>
      <c r="P632" s="7"/>
      <c r="Q632" s="7"/>
      <c r="R632" s="64"/>
      <c r="S632" s="64"/>
      <c r="T632" s="64"/>
      <c r="U632" s="64"/>
      <c r="V632" s="64"/>
      <c r="W632" s="64"/>
    </row>
    <row r="633" spans="1:23" ht="30" customHeight="1">
      <c r="A633" s="8"/>
      <c r="B633" s="7"/>
      <c r="C633" s="33"/>
      <c r="D633" s="7"/>
      <c r="E633" s="7"/>
      <c r="F633" s="7"/>
      <c r="G633" s="7"/>
      <c r="H633" s="7"/>
      <c r="I633" s="7"/>
      <c r="J633" s="7"/>
      <c r="K633" s="7"/>
      <c r="L633" s="7"/>
      <c r="M633" s="7"/>
      <c r="N633" s="7"/>
      <c r="O633" s="7"/>
      <c r="P633" s="7"/>
      <c r="Q633" s="7"/>
      <c r="R633" s="64"/>
      <c r="S633" s="64"/>
      <c r="T633" s="64"/>
      <c r="U633" s="64"/>
      <c r="V633" s="64"/>
      <c r="W633" s="64"/>
    </row>
    <row r="634" spans="1:23" ht="30" customHeight="1">
      <c r="A634" s="8"/>
      <c r="B634" s="7"/>
      <c r="C634" s="33"/>
      <c r="D634" s="7"/>
      <c r="E634" s="7"/>
      <c r="F634" s="7"/>
      <c r="G634" s="7"/>
      <c r="H634" s="7"/>
      <c r="I634" s="7"/>
      <c r="J634" s="7"/>
      <c r="K634" s="7"/>
      <c r="L634" s="7"/>
      <c r="M634" s="7"/>
      <c r="N634" s="7"/>
      <c r="O634" s="7"/>
      <c r="P634" s="7"/>
      <c r="Q634" s="7"/>
      <c r="R634" s="64"/>
      <c r="S634" s="64"/>
      <c r="T634" s="64"/>
      <c r="U634" s="64"/>
      <c r="V634" s="64"/>
      <c r="W634" s="64"/>
    </row>
    <row r="635" spans="1:23" ht="30" customHeight="1">
      <c r="A635" s="8"/>
      <c r="B635" s="7"/>
      <c r="C635" s="33"/>
      <c r="D635" s="7"/>
      <c r="E635" s="7"/>
      <c r="F635" s="7"/>
      <c r="G635" s="7"/>
      <c r="H635" s="7"/>
      <c r="I635" s="7"/>
      <c r="J635" s="7"/>
      <c r="K635" s="7"/>
      <c r="L635" s="7"/>
      <c r="M635" s="7"/>
      <c r="N635" s="7"/>
      <c r="O635" s="7"/>
      <c r="P635" s="7"/>
      <c r="Q635" s="7"/>
      <c r="R635" s="64"/>
      <c r="S635" s="64"/>
      <c r="T635" s="64"/>
      <c r="U635" s="64"/>
      <c r="V635" s="64"/>
      <c r="W635" s="64"/>
    </row>
    <row r="636" spans="1:23" ht="30" customHeight="1">
      <c r="A636" s="8"/>
      <c r="B636" s="7"/>
      <c r="C636" s="33"/>
      <c r="D636" s="7"/>
      <c r="E636" s="7"/>
      <c r="F636" s="7"/>
      <c r="G636" s="7"/>
      <c r="H636" s="7"/>
      <c r="I636" s="7"/>
      <c r="J636" s="7"/>
      <c r="K636" s="7"/>
      <c r="L636" s="7"/>
      <c r="M636" s="7"/>
      <c r="N636" s="7"/>
      <c r="O636" s="7"/>
      <c r="P636" s="7"/>
      <c r="Q636" s="7"/>
      <c r="R636" s="64"/>
      <c r="S636" s="64"/>
      <c r="T636" s="64"/>
      <c r="U636" s="64"/>
      <c r="V636" s="64"/>
      <c r="W636" s="64"/>
    </row>
    <row r="637" spans="1:23" ht="30" customHeight="1">
      <c r="A637" s="8"/>
      <c r="B637" s="7"/>
      <c r="C637" s="33"/>
      <c r="D637" s="7"/>
      <c r="E637" s="7"/>
      <c r="F637" s="7"/>
      <c r="G637" s="7"/>
      <c r="H637" s="7"/>
      <c r="I637" s="7"/>
      <c r="J637" s="7"/>
      <c r="K637" s="7"/>
      <c r="L637" s="7"/>
      <c r="M637" s="7"/>
      <c r="N637" s="7"/>
      <c r="O637" s="7"/>
      <c r="P637" s="7"/>
      <c r="Q637" s="7"/>
      <c r="R637" s="64"/>
      <c r="S637" s="64"/>
      <c r="T637" s="64"/>
      <c r="U637" s="64"/>
      <c r="V637" s="64"/>
      <c r="W637" s="64"/>
    </row>
    <row r="638" spans="1:23" ht="30" customHeight="1">
      <c r="A638" s="8"/>
      <c r="B638" s="7"/>
      <c r="C638" s="33"/>
      <c r="D638" s="7"/>
      <c r="E638" s="7"/>
      <c r="F638" s="7"/>
      <c r="G638" s="7"/>
      <c r="H638" s="7"/>
      <c r="I638" s="7"/>
      <c r="J638" s="7"/>
      <c r="K638" s="7"/>
      <c r="L638" s="7"/>
      <c r="M638" s="7"/>
      <c r="N638" s="7"/>
      <c r="O638" s="7"/>
      <c r="P638" s="7"/>
      <c r="Q638" s="7"/>
      <c r="R638" s="64"/>
      <c r="S638" s="64"/>
      <c r="T638" s="64"/>
      <c r="U638" s="64"/>
      <c r="V638" s="64"/>
      <c r="W638" s="64"/>
    </row>
    <row r="639" spans="1:23" ht="30" customHeight="1">
      <c r="A639" s="8"/>
      <c r="B639" s="7"/>
      <c r="C639" s="33"/>
      <c r="D639" s="7"/>
      <c r="E639" s="7"/>
      <c r="F639" s="7"/>
      <c r="G639" s="7"/>
      <c r="H639" s="7"/>
      <c r="I639" s="7"/>
      <c r="J639" s="7"/>
      <c r="K639" s="7"/>
      <c r="L639" s="7"/>
      <c r="M639" s="7"/>
      <c r="N639" s="7"/>
      <c r="O639" s="7"/>
      <c r="P639" s="7"/>
      <c r="Q639" s="7"/>
      <c r="R639" s="64"/>
      <c r="S639" s="64"/>
      <c r="T639" s="64"/>
      <c r="U639" s="64"/>
      <c r="V639" s="64"/>
      <c r="W639" s="64"/>
    </row>
    <row r="640" spans="1:23" ht="30" customHeight="1">
      <c r="A640" s="8"/>
      <c r="B640" s="7"/>
      <c r="C640" s="33"/>
      <c r="D640" s="7"/>
      <c r="E640" s="7"/>
      <c r="F640" s="7"/>
      <c r="G640" s="7"/>
      <c r="H640" s="7"/>
      <c r="I640" s="7"/>
      <c r="J640" s="7"/>
      <c r="K640" s="7"/>
      <c r="L640" s="7"/>
      <c r="M640" s="7"/>
      <c r="N640" s="7"/>
      <c r="O640" s="7"/>
      <c r="P640" s="7"/>
      <c r="Q640" s="7"/>
      <c r="R640" s="64"/>
      <c r="S640" s="64"/>
      <c r="T640" s="64"/>
      <c r="U640" s="64"/>
      <c r="V640" s="64"/>
      <c r="W640" s="64"/>
    </row>
    <row r="641" spans="1:23" ht="30" customHeight="1">
      <c r="A641" s="8"/>
      <c r="B641" s="7"/>
      <c r="C641" s="33"/>
      <c r="D641" s="7"/>
      <c r="E641" s="7"/>
      <c r="F641" s="7"/>
      <c r="G641" s="7"/>
      <c r="H641" s="7"/>
      <c r="I641" s="7"/>
      <c r="J641" s="7"/>
      <c r="K641" s="7"/>
      <c r="L641" s="7"/>
      <c r="M641" s="7"/>
      <c r="N641" s="7"/>
      <c r="O641" s="7"/>
      <c r="P641" s="7"/>
      <c r="Q641" s="7"/>
      <c r="R641" s="64"/>
      <c r="S641" s="64"/>
      <c r="T641" s="64"/>
      <c r="U641" s="64"/>
      <c r="V641" s="64"/>
      <c r="W641" s="64"/>
    </row>
    <row r="642" spans="1:23" ht="30" customHeight="1">
      <c r="A642" s="8"/>
      <c r="B642" s="7"/>
      <c r="C642" s="33"/>
      <c r="D642" s="7"/>
      <c r="E642" s="7"/>
      <c r="F642" s="7"/>
      <c r="G642" s="7"/>
      <c r="H642" s="7"/>
      <c r="I642" s="7"/>
      <c r="J642" s="7"/>
      <c r="K642" s="7"/>
      <c r="L642" s="7"/>
      <c r="M642" s="7"/>
      <c r="N642" s="7"/>
      <c r="O642" s="7"/>
      <c r="P642" s="7"/>
      <c r="Q642" s="7"/>
      <c r="R642" s="64"/>
      <c r="S642" s="64"/>
      <c r="T642" s="64"/>
      <c r="U642" s="64"/>
      <c r="V642" s="64"/>
      <c r="W642" s="64"/>
    </row>
    <row r="643" spans="1:23" ht="30" customHeight="1">
      <c r="A643" s="8"/>
      <c r="B643" s="7"/>
      <c r="C643" s="33"/>
      <c r="D643" s="7"/>
      <c r="E643" s="7"/>
      <c r="F643" s="7"/>
      <c r="G643" s="7"/>
      <c r="H643" s="7"/>
      <c r="I643" s="7"/>
      <c r="J643" s="7"/>
      <c r="K643" s="7"/>
      <c r="L643" s="7"/>
      <c r="M643" s="7"/>
      <c r="N643" s="7"/>
      <c r="O643" s="7"/>
      <c r="P643" s="7"/>
      <c r="Q643" s="7"/>
      <c r="R643" s="64"/>
      <c r="S643" s="64"/>
      <c r="T643" s="64"/>
      <c r="U643" s="64"/>
      <c r="V643" s="64"/>
      <c r="W643" s="64"/>
    </row>
    <row r="644" spans="1:23" ht="30" customHeight="1">
      <c r="A644" s="8"/>
      <c r="B644" s="7"/>
      <c r="C644" s="33"/>
      <c r="D644" s="7"/>
      <c r="E644" s="7"/>
      <c r="F644" s="7"/>
      <c r="G644" s="7"/>
      <c r="H644" s="7"/>
      <c r="I644" s="7"/>
      <c r="J644" s="7"/>
      <c r="K644" s="7"/>
      <c r="L644" s="7"/>
      <c r="M644" s="7"/>
      <c r="N644" s="7"/>
      <c r="O644" s="7"/>
      <c r="P644" s="7"/>
      <c r="Q644" s="7"/>
      <c r="R644" s="64"/>
      <c r="S644" s="64"/>
      <c r="T644" s="64"/>
      <c r="U644" s="64"/>
      <c r="V644" s="64"/>
      <c r="W644" s="64"/>
    </row>
    <row r="645" spans="1:23" ht="30" customHeight="1">
      <c r="A645" s="8"/>
      <c r="B645" s="7"/>
      <c r="C645" s="33"/>
      <c r="D645" s="7"/>
      <c r="E645" s="7"/>
      <c r="F645" s="7"/>
      <c r="G645" s="7"/>
      <c r="H645" s="7"/>
      <c r="I645" s="7"/>
      <c r="J645" s="7"/>
      <c r="K645" s="7"/>
      <c r="L645" s="7"/>
      <c r="M645" s="7"/>
      <c r="N645" s="7"/>
      <c r="O645" s="7"/>
      <c r="P645" s="7"/>
      <c r="Q645" s="7"/>
      <c r="R645" s="64"/>
      <c r="S645" s="64"/>
      <c r="T645" s="64"/>
      <c r="U645" s="64"/>
      <c r="V645" s="64"/>
      <c r="W645" s="64"/>
    </row>
    <row r="646" spans="1:23" ht="30" customHeight="1">
      <c r="A646" s="8"/>
      <c r="B646" s="7"/>
      <c r="C646" s="33"/>
      <c r="D646" s="7"/>
      <c r="E646" s="7"/>
      <c r="F646" s="7"/>
      <c r="G646" s="7"/>
      <c r="H646" s="7"/>
      <c r="I646" s="7"/>
      <c r="J646" s="7"/>
      <c r="K646" s="7"/>
      <c r="L646" s="7"/>
      <c r="M646" s="7"/>
      <c r="N646" s="7"/>
      <c r="O646" s="7"/>
      <c r="P646" s="7"/>
      <c r="Q646" s="7"/>
      <c r="R646" s="64"/>
      <c r="S646" s="64"/>
      <c r="T646" s="64"/>
      <c r="U646" s="64"/>
      <c r="V646" s="64"/>
      <c r="W646" s="64"/>
    </row>
    <row r="647" spans="1:23" ht="30" customHeight="1">
      <c r="A647" s="8"/>
      <c r="B647" s="7"/>
      <c r="C647" s="33"/>
      <c r="D647" s="7"/>
      <c r="E647" s="7"/>
      <c r="F647" s="7"/>
      <c r="G647" s="7"/>
      <c r="H647" s="7"/>
      <c r="I647" s="7"/>
      <c r="J647" s="7"/>
      <c r="K647" s="7"/>
      <c r="L647" s="7"/>
      <c r="M647" s="7"/>
      <c r="N647" s="7"/>
      <c r="O647" s="7"/>
      <c r="P647" s="7"/>
      <c r="Q647" s="7"/>
      <c r="R647" s="64"/>
      <c r="S647" s="64"/>
      <c r="T647" s="64"/>
      <c r="U647" s="64"/>
      <c r="V647" s="64"/>
      <c r="W647" s="64"/>
    </row>
    <row r="648" spans="1:23" ht="30" customHeight="1">
      <c r="A648" s="8"/>
      <c r="B648" s="7"/>
      <c r="C648" s="33"/>
      <c r="D648" s="7"/>
      <c r="E648" s="7"/>
      <c r="F648" s="7"/>
      <c r="G648" s="7"/>
      <c r="H648" s="7"/>
      <c r="I648" s="7"/>
      <c r="J648" s="7"/>
      <c r="K648" s="7"/>
      <c r="L648" s="7"/>
      <c r="M648" s="7"/>
      <c r="N648" s="7"/>
      <c r="O648" s="7"/>
      <c r="P648" s="7"/>
      <c r="Q648" s="7"/>
      <c r="R648" s="64"/>
      <c r="S648" s="64"/>
      <c r="T648" s="64"/>
      <c r="U648" s="64"/>
      <c r="V648" s="64"/>
      <c r="W648" s="64"/>
    </row>
    <row r="649" spans="1:23" ht="30" customHeight="1">
      <c r="A649" s="8"/>
      <c r="B649" s="7"/>
      <c r="C649" s="33"/>
      <c r="D649" s="7"/>
      <c r="E649" s="7"/>
      <c r="F649" s="7"/>
      <c r="G649" s="7"/>
      <c r="H649" s="7"/>
      <c r="I649" s="7"/>
      <c r="J649" s="7"/>
      <c r="K649" s="7"/>
      <c r="L649" s="7"/>
      <c r="M649" s="7"/>
      <c r="N649" s="7"/>
      <c r="O649" s="7"/>
      <c r="P649" s="7"/>
      <c r="Q649" s="7"/>
      <c r="R649" s="64"/>
      <c r="S649" s="64"/>
      <c r="T649" s="64"/>
      <c r="U649" s="64"/>
      <c r="V649" s="64"/>
      <c r="W649" s="64"/>
    </row>
    <row r="650" spans="1:23" ht="30" customHeight="1">
      <c r="A650" s="8"/>
      <c r="B650" s="7"/>
      <c r="C650" s="33"/>
      <c r="D650" s="7"/>
      <c r="E650" s="7"/>
      <c r="F650" s="7"/>
      <c r="G650" s="7"/>
      <c r="H650" s="7"/>
      <c r="I650" s="7"/>
      <c r="J650" s="7"/>
      <c r="K650" s="7"/>
      <c r="L650" s="7"/>
      <c r="M650" s="7"/>
      <c r="N650" s="7"/>
      <c r="O650" s="7"/>
      <c r="P650" s="7"/>
      <c r="Q650" s="7"/>
      <c r="R650" s="64"/>
      <c r="S650" s="64"/>
      <c r="T650" s="64"/>
      <c r="U650" s="64"/>
      <c r="V650" s="64"/>
      <c r="W650" s="64"/>
    </row>
    <row r="651" spans="1:23" ht="30" customHeight="1">
      <c r="A651" s="8"/>
      <c r="B651" s="7"/>
      <c r="C651" s="33"/>
      <c r="D651" s="7"/>
      <c r="E651" s="7"/>
      <c r="F651" s="7"/>
      <c r="G651" s="7"/>
      <c r="H651" s="7"/>
      <c r="I651" s="7"/>
      <c r="J651" s="7"/>
      <c r="K651" s="7"/>
      <c r="L651" s="7"/>
      <c r="M651" s="7"/>
      <c r="N651" s="7"/>
      <c r="O651" s="7"/>
      <c r="P651" s="7"/>
      <c r="Q651" s="7"/>
      <c r="R651" s="64"/>
      <c r="S651" s="64"/>
      <c r="T651" s="64"/>
      <c r="U651" s="64"/>
      <c r="V651" s="64"/>
      <c r="W651" s="64"/>
    </row>
    <row r="652" spans="1:23" ht="30" customHeight="1">
      <c r="A652" s="8"/>
      <c r="B652" s="7"/>
      <c r="C652" s="33"/>
      <c r="D652" s="7"/>
      <c r="E652" s="7"/>
      <c r="F652" s="7"/>
      <c r="G652" s="7"/>
      <c r="H652" s="7"/>
      <c r="I652" s="7"/>
      <c r="J652" s="7"/>
      <c r="K652" s="7"/>
      <c r="L652" s="7"/>
      <c r="M652" s="7"/>
      <c r="N652" s="7"/>
      <c r="O652" s="7"/>
      <c r="P652" s="7"/>
      <c r="Q652" s="7"/>
      <c r="R652" s="64"/>
      <c r="S652" s="64"/>
      <c r="T652" s="64"/>
      <c r="U652" s="64"/>
      <c r="V652" s="64"/>
      <c r="W652" s="64"/>
    </row>
    <row r="653" spans="1:23" ht="30" customHeight="1">
      <c r="A653" s="8"/>
      <c r="B653" s="7"/>
      <c r="C653" s="33"/>
      <c r="D653" s="7"/>
      <c r="E653" s="7"/>
      <c r="F653" s="7"/>
      <c r="G653" s="7"/>
      <c r="H653" s="7"/>
      <c r="I653" s="7"/>
      <c r="J653" s="7"/>
      <c r="K653" s="7"/>
      <c r="L653" s="7"/>
      <c r="M653" s="7"/>
      <c r="N653" s="7"/>
      <c r="O653" s="7"/>
      <c r="P653" s="7"/>
      <c r="Q653" s="7"/>
      <c r="R653" s="64"/>
      <c r="S653" s="64"/>
      <c r="T653" s="64"/>
      <c r="U653" s="64"/>
      <c r="V653" s="64"/>
      <c r="W653" s="64"/>
    </row>
    <row r="654" spans="1:23" ht="30" customHeight="1">
      <c r="A654" s="8"/>
      <c r="B654" s="7"/>
      <c r="C654" s="33"/>
      <c r="D654" s="7"/>
      <c r="E654" s="7"/>
      <c r="F654" s="7"/>
      <c r="G654" s="7"/>
      <c r="H654" s="7"/>
      <c r="I654" s="7"/>
      <c r="J654" s="7"/>
      <c r="K654" s="7"/>
      <c r="L654" s="7"/>
      <c r="M654" s="7"/>
      <c r="N654" s="7"/>
      <c r="O654" s="7"/>
      <c r="P654" s="7"/>
      <c r="Q654" s="7"/>
      <c r="R654" s="64"/>
      <c r="S654" s="64"/>
      <c r="T654" s="64"/>
      <c r="U654" s="64"/>
      <c r="V654" s="64"/>
      <c r="W654" s="64"/>
    </row>
    <row r="655" spans="1:23" ht="30" customHeight="1">
      <c r="A655" s="8"/>
      <c r="B655" s="7"/>
      <c r="C655" s="33"/>
      <c r="D655" s="7"/>
      <c r="E655" s="7"/>
      <c r="F655" s="7"/>
      <c r="G655" s="7"/>
      <c r="H655" s="7"/>
      <c r="I655" s="7"/>
      <c r="J655" s="7"/>
      <c r="K655" s="7"/>
      <c r="L655" s="7"/>
      <c r="M655" s="7"/>
      <c r="N655" s="7"/>
      <c r="O655" s="7"/>
      <c r="P655" s="7"/>
      <c r="Q655" s="7"/>
      <c r="R655" s="64"/>
      <c r="S655" s="64"/>
      <c r="T655" s="64"/>
      <c r="U655" s="64"/>
      <c r="V655" s="64"/>
      <c r="W655" s="64"/>
    </row>
    <row r="656" spans="1:23" ht="30" customHeight="1">
      <c r="A656" s="8"/>
      <c r="B656" s="7"/>
      <c r="C656" s="33"/>
      <c r="D656" s="7"/>
      <c r="E656" s="7"/>
      <c r="F656" s="7"/>
      <c r="G656" s="7"/>
      <c r="H656" s="7"/>
      <c r="I656" s="7"/>
      <c r="J656" s="7"/>
      <c r="K656" s="7"/>
      <c r="L656" s="7"/>
      <c r="M656" s="7"/>
      <c r="N656" s="7"/>
      <c r="O656" s="7"/>
      <c r="P656" s="7"/>
      <c r="Q656" s="7"/>
      <c r="R656" s="64"/>
      <c r="S656" s="64"/>
      <c r="T656" s="64"/>
      <c r="U656" s="64"/>
      <c r="V656" s="64"/>
      <c r="W656" s="64"/>
    </row>
    <row r="657" spans="1:23" ht="30" customHeight="1">
      <c r="A657" s="8"/>
      <c r="B657" s="7"/>
      <c r="C657" s="33"/>
      <c r="D657" s="7"/>
      <c r="E657" s="7"/>
      <c r="F657" s="7"/>
      <c r="G657" s="7"/>
      <c r="H657" s="7"/>
      <c r="I657" s="7"/>
      <c r="J657" s="7"/>
      <c r="K657" s="7"/>
      <c r="L657" s="7"/>
      <c r="M657" s="7"/>
      <c r="N657" s="7"/>
      <c r="O657" s="7"/>
      <c r="P657" s="7"/>
      <c r="Q657" s="7"/>
      <c r="R657" s="64"/>
      <c r="S657" s="64"/>
      <c r="T657" s="64"/>
      <c r="U657" s="64"/>
      <c r="V657" s="64"/>
      <c r="W657" s="64"/>
    </row>
    <row r="658" spans="1:23" ht="30" customHeight="1">
      <c r="A658" s="8"/>
      <c r="B658" s="7"/>
      <c r="C658" s="33"/>
      <c r="D658" s="7"/>
      <c r="E658" s="7"/>
      <c r="F658" s="7"/>
      <c r="G658" s="7"/>
      <c r="H658" s="7"/>
      <c r="I658" s="7"/>
      <c r="J658" s="7"/>
      <c r="K658" s="7"/>
      <c r="L658" s="7"/>
      <c r="M658" s="7"/>
      <c r="N658" s="7"/>
      <c r="O658" s="7"/>
      <c r="P658" s="7"/>
      <c r="Q658" s="7"/>
      <c r="R658" s="64"/>
      <c r="S658" s="64"/>
      <c r="T658" s="64"/>
      <c r="U658" s="64"/>
      <c r="V658" s="64"/>
      <c r="W658" s="64"/>
    </row>
    <row r="659" spans="1:23" ht="30" customHeight="1">
      <c r="A659" s="8"/>
      <c r="B659" s="7"/>
      <c r="C659" s="33"/>
      <c r="D659" s="7"/>
      <c r="E659" s="7"/>
      <c r="F659" s="7"/>
      <c r="G659" s="7"/>
      <c r="H659" s="7"/>
      <c r="I659" s="7"/>
      <c r="J659" s="7"/>
      <c r="K659" s="7"/>
      <c r="L659" s="7"/>
      <c r="M659" s="7"/>
      <c r="N659" s="7"/>
      <c r="O659" s="7"/>
      <c r="P659" s="7"/>
      <c r="Q659" s="7"/>
      <c r="R659" s="64"/>
      <c r="S659" s="64"/>
      <c r="T659" s="64"/>
      <c r="U659" s="64"/>
      <c r="V659" s="64"/>
      <c r="W659" s="64"/>
    </row>
    <row r="660" spans="1:23" ht="30" customHeight="1">
      <c r="A660" s="8"/>
      <c r="B660" s="7"/>
      <c r="C660" s="33"/>
      <c r="D660" s="7"/>
      <c r="E660" s="7"/>
      <c r="F660" s="7"/>
      <c r="G660" s="7"/>
      <c r="H660" s="7"/>
      <c r="I660" s="7"/>
      <c r="J660" s="7"/>
      <c r="K660" s="7"/>
      <c r="L660" s="7"/>
      <c r="M660" s="7"/>
      <c r="N660" s="7"/>
      <c r="O660" s="7"/>
      <c r="P660" s="7"/>
      <c r="Q660" s="7"/>
      <c r="R660" s="64"/>
      <c r="S660" s="64"/>
      <c r="T660" s="64"/>
      <c r="U660" s="64"/>
      <c r="V660" s="64"/>
      <c r="W660" s="64"/>
    </row>
    <row r="661" spans="1:23" ht="30" customHeight="1">
      <c r="A661" s="8"/>
      <c r="B661" s="7"/>
      <c r="C661" s="33"/>
      <c r="D661" s="7"/>
      <c r="E661" s="7"/>
      <c r="F661" s="7"/>
      <c r="G661" s="7"/>
      <c r="H661" s="7"/>
      <c r="I661" s="7"/>
      <c r="J661" s="7"/>
      <c r="K661" s="7"/>
      <c r="L661" s="7"/>
      <c r="M661" s="7"/>
      <c r="N661" s="7"/>
      <c r="O661" s="7"/>
      <c r="P661" s="7"/>
      <c r="Q661" s="7"/>
      <c r="R661" s="64"/>
      <c r="S661" s="64"/>
      <c r="T661" s="64"/>
      <c r="U661" s="64"/>
      <c r="V661" s="64"/>
      <c r="W661" s="64"/>
    </row>
    <row r="662" spans="1:23" ht="30" customHeight="1">
      <c r="A662" s="8"/>
      <c r="B662" s="7"/>
      <c r="C662" s="33"/>
      <c r="D662" s="7"/>
      <c r="E662" s="7"/>
      <c r="F662" s="7"/>
      <c r="G662" s="7"/>
      <c r="H662" s="7"/>
      <c r="I662" s="7"/>
      <c r="J662" s="7"/>
      <c r="K662" s="7"/>
      <c r="L662" s="7"/>
      <c r="M662" s="7"/>
      <c r="N662" s="7"/>
      <c r="O662" s="7"/>
      <c r="P662" s="7"/>
      <c r="Q662" s="7"/>
      <c r="R662" s="64"/>
      <c r="S662" s="64"/>
      <c r="T662" s="64"/>
      <c r="U662" s="64"/>
      <c r="V662" s="64"/>
      <c r="W662" s="64"/>
    </row>
    <row r="663" spans="1:23" ht="30" customHeight="1">
      <c r="A663" s="8"/>
      <c r="B663" s="7"/>
      <c r="C663" s="33"/>
      <c r="D663" s="7"/>
      <c r="E663" s="7"/>
      <c r="F663" s="7"/>
      <c r="G663" s="7"/>
      <c r="H663" s="7"/>
      <c r="I663" s="7"/>
      <c r="J663" s="7"/>
      <c r="K663" s="7"/>
      <c r="L663" s="7"/>
      <c r="M663" s="7"/>
      <c r="N663" s="7"/>
      <c r="O663" s="7"/>
      <c r="P663" s="7"/>
      <c r="Q663" s="7"/>
      <c r="R663" s="64"/>
      <c r="S663" s="64"/>
      <c r="T663" s="64"/>
      <c r="U663" s="64"/>
      <c r="V663" s="64"/>
      <c r="W663" s="64"/>
    </row>
    <row r="664" spans="1:23" ht="30" customHeight="1">
      <c r="A664" s="8"/>
      <c r="B664" s="7"/>
      <c r="C664" s="33"/>
      <c r="D664" s="7"/>
      <c r="E664" s="7"/>
      <c r="F664" s="7"/>
      <c r="G664" s="7"/>
      <c r="H664" s="7"/>
      <c r="I664" s="7"/>
      <c r="J664" s="7"/>
      <c r="K664" s="7"/>
      <c r="L664" s="7"/>
      <c r="M664" s="7"/>
      <c r="N664" s="7"/>
      <c r="O664" s="7"/>
      <c r="P664" s="7"/>
      <c r="Q664" s="7"/>
      <c r="R664" s="64"/>
      <c r="S664" s="64"/>
      <c r="T664" s="64"/>
      <c r="U664" s="64"/>
      <c r="V664" s="64"/>
      <c r="W664" s="64"/>
    </row>
    <row r="665" spans="1:23" ht="30" customHeight="1">
      <c r="A665" s="8"/>
      <c r="B665" s="7"/>
      <c r="C665" s="33"/>
      <c r="D665" s="7"/>
      <c r="E665" s="7"/>
      <c r="F665" s="7"/>
      <c r="G665" s="7"/>
      <c r="H665" s="7"/>
      <c r="I665" s="7"/>
      <c r="J665" s="7"/>
      <c r="K665" s="7"/>
      <c r="L665" s="7"/>
      <c r="M665" s="7"/>
      <c r="N665" s="7"/>
      <c r="O665" s="7"/>
      <c r="P665" s="7"/>
      <c r="Q665" s="7"/>
      <c r="R665" s="64"/>
      <c r="S665" s="64"/>
      <c r="T665" s="64"/>
      <c r="U665" s="64"/>
      <c r="V665" s="64"/>
      <c r="W665" s="64"/>
    </row>
    <row r="666" spans="1:23" ht="30" customHeight="1">
      <c r="A666" s="8"/>
      <c r="B666" s="7"/>
      <c r="C666" s="33"/>
      <c r="D666" s="7"/>
      <c r="E666" s="7"/>
      <c r="F666" s="7"/>
      <c r="G666" s="7"/>
      <c r="H666" s="7"/>
      <c r="I666" s="7"/>
      <c r="J666" s="7"/>
      <c r="K666" s="7"/>
      <c r="L666" s="7"/>
      <c r="M666" s="7"/>
      <c r="N666" s="7"/>
      <c r="O666" s="7"/>
      <c r="P666" s="7"/>
      <c r="Q666" s="7"/>
      <c r="R666" s="64"/>
      <c r="S666" s="64"/>
      <c r="T666" s="64"/>
      <c r="U666" s="64"/>
      <c r="V666" s="64"/>
      <c r="W666" s="64"/>
    </row>
    <row r="667" spans="1:23" ht="30" customHeight="1">
      <c r="A667" s="8"/>
      <c r="B667" s="7"/>
      <c r="C667" s="33"/>
      <c r="D667" s="7"/>
      <c r="E667" s="7"/>
      <c r="F667" s="7"/>
      <c r="G667" s="7"/>
      <c r="H667" s="7"/>
      <c r="I667" s="7"/>
      <c r="J667" s="7"/>
      <c r="K667" s="7"/>
      <c r="L667" s="7"/>
      <c r="M667" s="7"/>
      <c r="N667" s="7"/>
      <c r="O667" s="7"/>
      <c r="P667" s="7"/>
      <c r="Q667" s="7"/>
      <c r="R667" s="64"/>
      <c r="S667" s="64"/>
      <c r="T667" s="64"/>
      <c r="U667" s="64"/>
      <c r="V667" s="64"/>
      <c r="W667" s="64"/>
    </row>
    <row r="668" spans="1:23" ht="30" customHeight="1">
      <c r="A668" s="8"/>
      <c r="B668" s="7"/>
      <c r="C668" s="33"/>
      <c r="D668" s="7"/>
      <c r="E668" s="7"/>
      <c r="F668" s="7"/>
      <c r="G668" s="7"/>
      <c r="H668" s="7"/>
      <c r="I668" s="7"/>
      <c r="J668" s="7"/>
      <c r="K668" s="7"/>
      <c r="L668" s="7"/>
      <c r="M668" s="7"/>
      <c r="N668" s="7"/>
      <c r="O668" s="7"/>
      <c r="P668" s="7"/>
      <c r="Q668" s="7"/>
      <c r="R668" s="64"/>
      <c r="S668" s="64"/>
      <c r="T668" s="64"/>
      <c r="U668" s="64"/>
      <c r="V668" s="64"/>
      <c r="W668" s="64"/>
    </row>
    <row r="669" spans="1:23" ht="30" customHeight="1">
      <c r="A669" s="8"/>
      <c r="B669" s="7"/>
      <c r="C669" s="33"/>
      <c r="D669" s="7"/>
      <c r="E669" s="7"/>
      <c r="F669" s="7"/>
      <c r="G669" s="7"/>
      <c r="H669" s="7"/>
      <c r="I669" s="7"/>
      <c r="J669" s="7"/>
      <c r="K669" s="7"/>
      <c r="L669" s="7"/>
      <c r="M669" s="7"/>
      <c r="N669" s="7"/>
      <c r="O669" s="7"/>
      <c r="P669" s="7"/>
      <c r="Q669" s="7"/>
      <c r="R669" s="64"/>
      <c r="S669" s="64"/>
      <c r="T669" s="64"/>
      <c r="U669" s="64"/>
      <c r="V669" s="64"/>
      <c r="W669" s="64"/>
    </row>
    <row r="670" spans="1:23" ht="30" customHeight="1">
      <c r="A670" s="8"/>
      <c r="B670" s="7"/>
      <c r="C670" s="33"/>
      <c r="D670" s="7"/>
      <c r="E670" s="7"/>
      <c r="F670" s="7"/>
      <c r="G670" s="7"/>
      <c r="H670" s="7"/>
      <c r="I670" s="7"/>
      <c r="J670" s="7"/>
      <c r="K670" s="7"/>
      <c r="L670" s="7"/>
      <c r="M670" s="7"/>
      <c r="N670" s="7"/>
      <c r="O670" s="7"/>
      <c r="P670" s="7"/>
      <c r="Q670" s="7"/>
      <c r="R670" s="64"/>
      <c r="S670" s="64"/>
      <c r="T670" s="64"/>
      <c r="U670" s="64"/>
      <c r="V670" s="64"/>
      <c r="W670" s="64"/>
    </row>
    <row r="671" spans="1:23" ht="30" customHeight="1">
      <c r="A671" s="8"/>
      <c r="B671" s="7"/>
      <c r="C671" s="33"/>
      <c r="D671" s="7"/>
      <c r="E671" s="7"/>
      <c r="F671" s="7"/>
      <c r="G671" s="7"/>
      <c r="H671" s="7"/>
      <c r="I671" s="7"/>
      <c r="J671" s="7"/>
      <c r="K671" s="7"/>
      <c r="L671" s="7"/>
      <c r="M671" s="7"/>
      <c r="N671" s="7"/>
      <c r="O671" s="7"/>
      <c r="P671" s="7"/>
      <c r="Q671" s="7"/>
      <c r="R671" s="64"/>
      <c r="S671" s="64"/>
      <c r="T671" s="64"/>
      <c r="U671" s="64"/>
      <c r="V671" s="64"/>
      <c r="W671" s="64"/>
    </row>
    <row r="672" spans="1:23" ht="30" customHeight="1">
      <c r="A672" s="8"/>
      <c r="B672" s="7"/>
      <c r="C672" s="33"/>
      <c r="D672" s="7"/>
      <c r="E672" s="7"/>
      <c r="F672" s="7"/>
      <c r="G672" s="7"/>
      <c r="H672" s="7"/>
      <c r="I672" s="7"/>
      <c r="J672" s="7"/>
      <c r="K672" s="7"/>
      <c r="L672" s="7"/>
      <c r="M672" s="7"/>
      <c r="N672" s="7"/>
      <c r="O672" s="7"/>
      <c r="P672" s="7"/>
      <c r="Q672" s="7"/>
      <c r="R672" s="64"/>
      <c r="S672" s="64"/>
      <c r="T672" s="64"/>
      <c r="U672" s="64"/>
      <c r="V672" s="64"/>
      <c r="W672" s="64"/>
    </row>
    <row r="673" spans="1:23" ht="30" customHeight="1">
      <c r="A673" s="8"/>
      <c r="B673" s="7"/>
      <c r="C673" s="33"/>
      <c r="D673" s="7"/>
      <c r="E673" s="7"/>
      <c r="F673" s="7"/>
      <c r="G673" s="7"/>
      <c r="H673" s="7"/>
      <c r="I673" s="7"/>
      <c r="J673" s="7"/>
      <c r="K673" s="7"/>
      <c r="L673" s="7"/>
      <c r="M673" s="7"/>
      <c r="N673" s="7"/>
      <c r="O673" s="7"/>
      <c r="P673" s="7"/>
      <c r="Q673" s="7"/>
      <c r="R673" s="64"/>
      <c r="S673" s="64"/>
      <c r="T673" s="64"/>
      <c r="U673" s="64"/>
      <c r="V673" s="64"/>
      <c r="W673" s="64"/>
    </row>
    <row r="674" spans="1:23" ht="30" customHeight="1">
      <c r="A674" s="8"/>
      <c r="B674" s="7"/>
      <c r="C674" s="33"/>
      <c r="D674" s="7"/>
      <c r="E674" s="7"/>
      <c r="F674" s="7"/>
      <c r="G674" s="7"/>
      <c r="H674" s="7"/>
      <c r="I674" s="7"/>
      <c r="J674" s="7"/>
      <c r="K674" s="7"/>
      <c r="L674" s="7"/>
      <c r="M674" s="7"/>
      <c r="N674" s="7"/>
      <c r="O674" s="7"/>
      <c r="P674" s="7"/>
      <c r="Q674" s="7"/>
      <c r="R674" s="64"/>
      <c r="S674" s="64"/>
      <c r="T674" s="64"/>
      <c r="U674" s="64"/>
      <c r="V674" s="64"/>
      <c r="W674" s="64"/>
    </row>
    <row r="675" spans="1:23" ht="30" customHeight="1">
      <c r="A675" s="8"/>
      <c r="B675" s="7"/>
      <c r="C675" s="33"/>
      <c r="D675" s="7"/>
      <c r="E675" s="7"/>
      <c r="F675" s="7"/>
      <c r="G675" s="7"/>
      <c r="H675" s="7"/>
      <c r="I675" s="7"/>
      <c r="J675" s="7"/>
      <c r="K675" s="7"/>
      <c r="L675" s="7"/>
      <c r="M675" s="7"/>
      <c r="N675" s="7"/>
      <c r="O675" s="7"/>
      <c r="P675" s="7"/>
      <c r="Q675" s="7"/>
      <c r="R675" s="64"/>
      <c r="S675" s="64"/>
      <c r="T675" s="64"/>
      <c r="U675" s="64"/>
      <c r="V675" s="64"/>
      <c r="W675" s="64"/>
    </row>
    <row r="676" spans="1:23" ht="30" customHeight="1">
      <c r="A676" s="8"/>
      <c r="B676" s="7"/>
      <c r="C676" s="33"/>
      <c r="D676" s="7"/>
      <c r="E676" s="7"/>
      <c r="F676" s="7"/>
      <c r="G676" s="7"/>
      <c r="H676" s="7"/>
      <c r="I676" s="7"/>
      <c r="J676" s="7"/>
      <c r="K676" s="7"/>
      <c r="L676" s="7"/>
      <c r="M676" s="7"/>
      <c r="N676" s="7"/>
      <c r="O676" s="7"/>
      <c r="P676" s="7"/>
      <c r="Q676" s="7"/>
      <c r="R676" s="64"/>
      <c r="S676" s="64"/>
      <c r="T676" s="64"/>
      <c r="U676" s="64"/>
      <c r="V676" s="64"/>
      <c r="W676" s="64"/>
    </row>
    <row r="677" spans="1:23" ht="30" customHeight="1">
      <c r="A677" s="8"/>
      <c r="B677" s="7"/>
      <c r="C677" s="33"/>
      <c r="D677" s="7"/>
      <c r="E677" s="7"/>
      <c r="F677" s="7"/>
      <c r="G677" s="7"/>
      <c r="H677" s="7"/>
      <c r="I677" s="7"/>
      <c r="J677" s="7"/>
      <c r="K677" s="7"/>
      <c r="L677" s="7"/>
      <c r="M677" s="7"/>
      <c r="N677" s="7"/>
      <c r="O677" s="7"/>
      <c r="P677" s="7"/>
      <c r="Q677" s="7"/>
      <c r="R677" s="64"/>
      <c r="S677" s="64"/>
      <c r="T677" s="64"/>
      <c r="U677" s="64"/>
      <c r="V677" s="64"/>
      <c r="W677" s="64"/>
    </row>
    <row r="678" spans="1:23" ht="30" customHeight="1">
      <c r="A678" s="8"/>
      <c r="B678" s="7"/>
      <c r="C678" s="33"/>
      <c r="D678" s="7"/>
      <c r="E678" s="7"/>
      <c r="F678" s="7"/>
      <c r="G678" s="7"/>
      <c r="H678" s="7"/>
      <c r="I678" s="7"/>
      <c r="J678" s="7"/>
      <c r="K678" s="7"/>
      <c r="L678" s="7"/>
      <c r="M678" s="7"/>
      <c r="N678" s="7"/>
      <c r="O678" s="7"/>
      <c r="P678" s="7"/>
      <c r="Q678" s="7"/>
      <c r="R678" s="64"/>
      <c r="S678" s="64"/>
      <c r="T678" s="64"/>
      <c r="U678" s="64"/>
      <c r="V678" s="64"/>
      <c r="W678" s="64"/>
    </row>
    <row r="679" spans="1:23" ht="30" customHeight="1">
      <c r="A679" s="8"/>
      <c r="B679" s="7"/>
      <c r="C679" s="33"/>
      <c r="D679" s="7"/>
      <c r="E679" s="7"/>
      <c r="F679" s="7"/>
      <c r="G679" s="7"/>
      <c r="H679" s="7"/>
      <c r="I679" s="7"/>
      <c r="J679" s="7"/>
      <c r="K679" s="7"/>
      <c r="L679" s="7"/>
      <c r="M679" s="7"/>
      <c r="N679" s="7"/>
      <c r="O679" s="7"/>
      <c r="P679" s="7"/>
      <c r="Q679" s="7"/>
      <c r="R679" s="64"/>
      <c r="S679" s="64"/>
      <c r="T679" s="64"/>
      <c r="U679" s="64"/>
      <c r="V679" s="64"/>
      <c r="W679" s="64"/>
    </row>
    <row r="680" spans="1:23" ht="30" customHeight="1">
      <c r="A680" s="8"/>
      <c r="B680" s="7"/>
      <c r="C680" s="33"/>
      <c r="D680" s="7"/>
      <c r="E680" s="7"/>
      <c r="F680" s="7"/>
      <c r="G680" s="7"/>
      <c r="H680" s="7"/>
      <c r="I680" s="7"/>
      <c r="J680" s="7"/>
      <c r="K680" s="7"/>
      <c r="L680" s="7"/>
      <c r="M680" s="7"/>
      <c r="N680" s="7"/>
      <c r="O680" s="7"/>
      <c r="P680" s="7"/>
      <c r="Q680" s="7"/>
      <c r="R680" s="64"/>
      <c r="S680" s="64"/>
      <c r="T680" s="64"/>
      <c r="U680" s="64"/>
      <c r="V680" s="64"/>
      <c r="W680" s="64"/>
    </row>
    <row r="681" spans="1:23" ht="30" customHeight="1">
      <c r="A681" s="8"/>
      <c r="B681" s="7"/>
      <c r="C681" s="33"/>
      <c r="D681" s="7"/>
      <c r="E681" s="7"/>
      <c r="F681" s="7"/>
      <c r="G681" s="7"/>
      <c r="H681" s="7"/>
      <c r="I681" s="7"/>
      <c r="J681" s="7"/>
      <c r="K681" s="7"/>
      <c r="L681" s="7"/>
      <c r="M681" s="7"/>
      <c r="N681" s="7"/>
      <c r="O681" s="7"/>
      <c r="P681" s="7"/>
      <c r="Q681" s="7"/>
      <c r="R681" s="64"/>
      <c r="S681" s="64"/>
      <c r="T681" s="64"/>
      <c r="U681" s="64"/>
      <c r="V681" s="64"/>
      <c r="W681" s="64"/>
    </row>
    <row r="682" spans="1:23" ht="30" customHeight="1">
      <c r="A682" s="8"/>
      <c r="B682" s="7"/>
      <c r="C682" s="33"/>
      <c r="D682" s="7"/>
      <c r="E682" s="7"/>
      <c r="F682" s="7"/>
      <c r="G682" s="7"/>
      <c r="H682" s="7"/>
      <c r="I682" s="7"/>
      <c r="J682" s="7"/>
      <c r="K682" s="7"/>
      <c r="L682" s="7"/>
      <c r="M682" s="7"/>
      <c r="N682" s="7"/>
      <c r="O682" s="7"/>
      <c r="P682" s="7"/>
      <c r="Q682" s="7"/>
      <c r="R682" s="64"/>
      <c r="S682" s="64"/>
      <c r="T682" s="64"/>
      <c r="U682" s="64"/>
      <c r="V682" s="64"/>
      <c r="W682" s="64"/>
    </row>
    <row r="683" spans="1:23" ht="30" customHeight="1">
      <c r="A683" s="8"/>
      <c r="B683" s="7"/>
      <c r="C683" s="33"/>
      <c r="D683" s="7"/>
      <c r="E683" s="7"/>
      <c r="F683" s="7"/>
      <c r="G683" s="7"/>
      <c r="H683" s="7"/>
      <c r="I683" s="7"/>
      <c r="J683" s="7"/>
      <c r="K683" s="7"/>
      <c r="L683" s="7"/>
      <c r="M683" s="7"/>
      <c r="N683" s="7"/>
      <c r="O683" s="7"/>
      <c r="P683" s="7"/>
      <c r="Q683" s="7"/>
      <c r="R683" s="64"/>
      <c r="S683" s="64"/>
      <c r="T683" s="64"/>
      <c r="U683" s="64"/>
      <c r="V683" s="64"/>
      <c r="W683" s="64"/>
    </row>
    <row r="684" spans="1:23" ht="30" customHeight="1">
      <c r="A684" s="8"/>
      <c r="B684" s="7"/>
      <c r="C684" s="33"/>
      <c r="D684" s="7"/>
      <c r="E684" s="7"/>
      <c r="F684" s="7"/>
      <c r="G684" s="7"/>
      <c r="H684" s="7"/>
      <c r="I684" s="7"/>
      <c r="J684" s="7"/>
      <c r="K684" s="7"/>
      <c r="L684" s="7"/>
      <c r="M684" s="7"/>
      <c r="N684" s="7"/>
      <c r="O684" s="7"/>
      <c r="P684" s="7"/>
      <c r="Q684" s="7"/>
      <c r="R684" s="64"/>
      <c r="S684" s="64"/>
      <c r="T684" s="64"/>
      <c r="U684" s="64"/>
      <c r="V684" s="64"/>
      <c r="W684" s="64"/>
    </row>
    <row r="685" spans="1:23" ht="30" customHeight="1">
      <c r="A685" s="8"/>
      <c r="B685" s="7"/>
      <c r="C685" s="33"/>
      <c r="D685" s="7"/>
      <c r="E685" s="7"/>
      <c r="F685" s="7"/>
      <c r="G685" s="7"/>
      <c r="H685" s="7"/>
      <c r="I685" s="7"/>
      <c r="J685" s="7"/>
      <c r="K685" s="7"/>
      <c r="L685" s="7"/>
      <c r="M685" s="7"/>
      <c r="N685" s="7"/>
      <c r="O685" s="7"/>
      <c r="P685" s="7"/>
      <c r="Q685" s="7"/>
      <c r="R685" s="64"/>
      <c r="S685" s="64"/>
      <c r="T685" s="64"/>
      <c r="U685" s="64"/>
      <c r="V685" s="64"/>
      <c r="W685" s="64"/>
    </row>
    <row r="686" spans="1:23" ht="30" customHeight="1">
      <c r="A686" s="8"/>
      <c r="B686" s="7"/>
      <c r="C686" s="33"/>
      <c r="D686" s="7"/>
      <c r="E686" s="7"/>
      <c r="F686" s="7"/>
      <c r="G686" s="7"/>
      <c r="H686" s="7"/>
      <c r="I686" s="7"/>
      <c r="J686" s="7"/>
      <c r="K686" s="7"/>
      <c r="L686" s="7"/>
      <c r="M686" s="7"/>
      <c r="N686" s="7"/>
      <c r="O686" s="7"/>
      <c r="P686" s="7"/>
      <c r="Q686" s="7"/>
      <c r="R686" s="64"/>
      <c r="S686" s="64"/>
      <c r="T686" s="64"/>
      <c r="U686" s="64"/>
      <c r="V686" s="64"/>
      <c r="W686" s="64"/>
    </row>
    <row r="687" spans="1:23" ht="30" customHeight="1">
      <c r="A687" s="8"/>
      <c r="B687" s="7"/>
      <c r="C687" s="33"/>
      <c r="D687" s="7"/>
      <c r="E687" s="7"/>
      <c r="F687" s="7"/>
      <c r="G687" s="7"/>
      <c r="H687" s="7"/>
      <c r="I687" s="7"/>
      <c r="J687" s="7"/>
      <c r="K687" s="7"/>
      <c r="L687" s="7"/>
      <c r="M687" s="7"/>
      <c r="N687" s="7"/>
      <c r="O687" s="7"/>
      <c r="P687" s="7"/>
      <c r="Q687" s="7"/>
      <c r="R687" s="64"/>
      <c r="S687" s="64"/>
      <c r="T687" s="64"/>
      <c r="U687" s="64"/>
      <c r="V687" s="64"/>
      <c r="W687" s="64"/>
    </row>
    <row r="688" spans="1:23" ht="30" customHeight="1">
      <c r="A688" s="8"/>
      <c r="B688" s="7"/>
      <c r="C688" s="33"/>
      <c r="D688" s="7"/>
      <c r="E688" s="7"/>
      <c r="F688" s="7"/>
      <c r="G688" s="7"/>
      <c r="H688" s="7"/>
      <c r="I688" s="7"/>
      <c r="J688" s="7"/>
      <c r="K688" s="7"/>
      <c r="L688" s="7"/>
      <c r="M688" s="7"/>
      <c r="N688" s="7"/>
      <c r="O688" s="7"/>
      <c r="P688" s="7"/>
      <c r="Q688" s="7"/>
      <c r="R688" s="64"/>
      <c r="S688" s="64"/>
      <c r="T688" s="64"/>
      <c r="U688" s="64"/>
      <c r="V688" s="64"/>
      <c r="W688" s="64"/>
    </row>
    <row r="689" spans="1:23" ht="30" customHeight="1">
      <c r="A689" s="8"/>
      <c r="B689" s="7"/>
      <c r="C689" s="33"/>
      <c r="D689" s="7"/>
      <c r="E689" s="7"/>
      <c r="F689" s="7"/>
      <c r="G689" s="7"/>
      <c r="H689" s="7"/>
      <c r="I689" s="7"/>
      <c r="J689" s="7"/>
      <c r="K689" s="7"/>
      <c r="L689" s="7"/>
      <c r="M689" s="7"/>
      <c r="N689" s="7"/>
      <c r="O689" s="7"/>
      <c r="P689" s="7"/>
      <c r="Q689" s="7"/>
      <c r="R689" s="64"/>
      <c r="S689" s="64"/>
      <c r="T689" s="64"/>
      <c r="U689" s="64"/>
      <c r="V689" s="64"/>
      <c r="W689" s="64"/>
    </row>
    <row r="690" spans="1:23" ht="30" customHeight="1">
      <c r="A690" s="8"/>
      <c r="B690" s="7"/>
      <c r="C690" s="33"/>
      <c r="D690" s="7"/>
      <c r="E690" s="7"/>
      <c r="F690" s="7"/>
      <c r="G690" s="7"/>
      <c r="H690" s="7"/>
      <c r="I690" s="7"/>
      <c r="J690" s="7"/>
      <c r="K690" s="7"/>
      <c r="L690" s="7"/>
      <c r="M690" s="7"/>
      <c r="N690" s="7"/>
      <c r="O690" s="7"/>
      <c r="P690" s="7"/>
      <c r="Q690" s="7"/>
      <c r="R690" s="64"/>
      <c r="S690" s="64"/>
      <c r="T690" s="64"/>
      <c r="U690" s="64"/>
      <c r="V690" s="64"/>
      <c r="W690" s="64"/>
    </row>
    <row r="691" spans="1:23" ht="30" customHeight="1">
      <c r="A691" s="8"/>
      <c r="B691" s="7"/>
      <c r="C691" s="33"/>
      <c r="D691" s="7"/>
      <c r="E691" s="7"/>
      <c r="F691" s="7"/>
      <c r="G691" s="7"/>
      <c r="H691" s="7"/>
      <c r="I691" s="7"/>
      <c r="J691" s="7"/>
      <c r="K691" s="7"/>
      <c r="L691" s="7"/>
      <c r="M691" s="7"/>
      <c r="N691" s="7"/>
      <c r="O691" s="7"/>
      <c r="P691" s="7"/>
      <c r="Q691" s="7"/>
      <c r="R691" s="64"/>
      <c r="S691" s="64"/>
      <c r="T691" s="64"/>
      <c r="U691" s="64"/>
      <c r="V691" s="64"/>
      <c r="W691" s="64"/>
    </row>
    <row r="692" spans="1:23" ht="30" customHeight="1">
      <c r="A692" s="8"/>
      <c r="B692" s="7"/>
      <c r="C692" s="33"/>
      <c r="D692" s="7"/>
      <c r="E692" s="7"/>
      <c r="F692" s="7"/>
      <c r="G692" s="7"/>
      <c r="H692" s="7"/>
      <c r="I692" s="7"/>
      <c r="J692" s="7"/>
      <c r="K692" s="7"/>
      <c r="L692" s="7"/>
      <c r="M692" s="7"/>
      <c r="N692" s="7"/>
      <c r="O692" s="7"/>
      <c r="P692" s="7"/>
      <c r="Q692" s="7"/>
      <c r="R692" s="64"/>
      <c r="S692" s="64"/>
      <c r="T692" s="64"/>
      <c r="U692" s="64"/>
      <c r="V692" s="64"/>
      <c r="W692" s="64"/>
    </row>
    <row r="693" spans="1:23" ht="30" customHeight="1">
      <c r="A693" s="8"/>
      <c r="B693" s="7"/>
      <c r="C693" s="33"/>
      <c r="D693" s="7"/>
      <c r="E693" s="7"/>
      <c r="F693" s="7"/>
      <c r="G693" s="7"/>
      <c r="H693" s="7"/>
      <c r="I693" s="7"/>
      <c r="J693" s="7"/>
      <c r="K693" s="7"/>
      <c r="L693" s="7"/>
      <c r="M693" s="7"/>
      <c r="N693" s="7"/>
      <c r="O693" s="7"/>
      <c r="P693" s="7"/>
      <c r="Q693" s="7"/>
      <c r="R693" s="64"/>
      <c r="S693" s="64"/>
      <c r="T693" s="64"/>
      <c r="U693" s="64"/>
      <c r="V693" s="64"/>
      <c r="W693" s="64"/>
    </row>
    <row r="694" spans="1:23" ht="30" customHeight="1">
      <c r="A694" s="8"/>
      <c r="B694" s="7"/>
      <c r="C694" s="33"/>
      <c r="D694" s="7"/>
      <c r="E694" s="7"/>
      <c r="F694" s="7"/>
      <c r="G694" s="7"/>
      <c r="H694" s="7"/>
      <c r="I694" s="7"/>
      <c r="J694" s="7"/>
      <c r="K694" s="7"/>
      <c r="L694" s="7"/>
      <c r="M694" s="7"/>
      <c r="N694" s="7"/>
      <c r="O694" s="7"/>
      <c r="P694" s="7"/>
      <c r="Q694" s="7"/>
      <c r="R694" s="64"/>
      <c r="S694" s="64"/>
      <c r="T694" s="64"/>
      <c r="U694" s="64"/>
      <c r="V694" s="64"/>
      <c r="W694" s="64"/>
    </row>
    <row r="695" spans="1:23" ht="30" customHeight="1">
      <c r="A695" s="8"/>
      <c r="B695" s="7"/>
      <c r="C695" s="33"/>
      <c r="D695" s="7"/>
      <c r="E695" s="7"/>
      <c r="F695" s="7"/>
      <c r="G695" s="7"/>
      <c r="H695" s="7"/>
      <c r="I695" s="7"/>
      <c r="J695" s="7"/>
      <c r="K695" s="7"/>
      <c r="L695" s="7"/>
      <c r="M695" s="7"/>
      <c r="N695" s="7"/>
      <c r="O695" s="7"/>
      <c r="P695" s="7"/>
      <c r="Q695" s="7"/>
      <c r="R695" s="64"/>
      <c r="S695" s="64"/>
      <c r="T695" s="64"/>
      <c r="U695" s="64"/>
      <c r="V695" s="64"/>
      <c r="W695" s="64"/>
    </row>
    <row r="696" spans="1:23" ht="30" customHeight="1">
      <c r="A696" s="8"/>
      <c r="B696" s="7"/>
      <c r="C696" s="33"/>
      <c r="D696" s="7"/>
      <c r="E696" s="7"/>
      <c r="F696" s="7"/>
      <c r="G696" s="7"/>
      <c r="H696" s="7"/>
      <c r="I696" s="7"/>
      <c r="J696" s="7"/>
      <c r="K696" s="7"/>
      <c r="L696" s="7"/>
      <c r="M696" s="7"/>
      <c r="N696" s="7"/>
      <c r="O696" s="7"/>
      <c r="P696" s="7"/>
      <c r="Q696" s="7"/>
      <c r="R696" s="64"/>
      <c r="S696" s="64"/>
      <c r="T696" s="64"/>
      <c r="U696" s="64"/>
      <c r="V696" s="64"/>
      <c r="W696" s="64"/>
    </row>
    <row r="697" spans="1:23" ht="30" customHeight="1">
      <c r="A697" s="8"/>
      <c r="B697" s="7"/>
      <c r="C697" s="33"/>
      <c r="D697" s="7"/>
      <c r="E697" s="7"/>
      <c r="F697" s="7"/>
      <c r="G697" s="7"/>
      <c r="H697" s="7"/>
      <c r="I697" s="7"/>
      <c r="J697" s="7"/>
      <c r="K697" s="7"/>
      <c r="L697" s="7"/>
      <c r="M697" s="7"/>
      <c r="N697" s="7"/>
      <c r="O697" s="7"/>
      <c r="P697" s="7"/>
      <c r="Q697" s="7"/>
      <c r="R697" s="64"/>
      <c r="S697" s="64"/>
      <c r="T697" s="64"/>
      <c r="U697" s="64"/>
      <c r="V697" s="64"/>
      <c r="W697" s="64"/>
    </row>
    <row r="698" spans="1:23" ht="30" customHeight="1">
      <c r="A698" s="8"/>
      <c r="B698" s="7"/>
      <c r="C698" s="33"/>
      <c r="D698" s="7"/>
      <c r="E698" s="7"/>
      <c r="F698" s="7"/>
      <c r="G698" s="7"/>
      <c r="H698" s="7"/>
      <c r="I698" s="7"/>
      <c r="J698" s="7"/>
      <c r="K698" s="7"/>
      <c r="L698" s="7"/>
      <c r="M698" s="7"/>
      <c r="N698" s="7"/>
      <c r="O698" s="7"/>
      <c r="P698" s="7"/>
      <c r="Q698" s="7"/>
      <c r="R698" s="64"/>
      <c r="S698" s="64"/>
      <c r="T698" s="64"/>
      <c r="U698" s="64"/>
      <c r="V698" s="64"/>
      <c r="W698" s="64"/>
    </row>
    <row r="699" spans="1:23" ht="30" customHeight="1">
      <c r="A699" s="8"/>
      <c r="B699" s="7"/>
      <c r="C699" s="33"/>
      <c r="D699" s="7"/>
      <c r="E699" s="7"/>
      <c r="F699" s="7"/>
      <c r="G699" s="7"/>
      <c r="H699" s="7"/>
      <c r="I699" s="7"/>
      <c r="J699" s="7"/>
      <c r="K699" s="7"/>
      <c r="L699" s="7"/>
      <c r="M699" s="7"/>
      <c r="N699" s="7"/>
      <c r="O699" s="7"/>
      <c r="P699" s="7"/>
      <c r="Q699" s="7"/>
      <c r="R699" s="64"/>
      <c r="S699" s="64"/>
      <c r="T699" s="64"/>
      <c r="U699" s="64"/>
      <c r="V699" s="64"/>
      <c r="W699" s="64"/>
    </row>
    <row r="700" spans="1:23" ht="30" customHeight="1">
      <c r="A700" s="8"/>
      <c r="B700" s="7"/>
      <c r="C700" s="33"/>
      <c r="D700" s="7"/>
      <c r="E700" s="7"/>
      <c r="F700" s="7"/>
      <c r="G700" s="7"/>
      <c r="H700" s="7"/>
      <c r="I700" s="7"/>
      <c r="J700" s="7"/>
      <c r="K700" s="7"/>
      <c r="L700" s="7"/>
      <c r="M700" s="7"/>
      <c r="N700" s="7"/>
      <c r="O700" s="7"/>
      <c r="P700" s="7"/>
      <c r="Q700" s="7"/>
      <c r="R700" s="64"/>
      <c r="S700" s="64"/>
      <c r="T700" s="64"/>
      <c r="U700" s="64"/>
      <c r="V700" s="64"/>
      <c r="W700" s="64"/>
    </row>
    <row r="701" spans="1:23" ht="30" customHeight="1">
      <c r="A701" s="8"/>
      <c r="B701" s="7"/>
      <c r="C701" s="33"/>
      <c r="D701" s="7"/>
      <c r="E701" s="7"/>
      <c r="F701" s="7"/>
      <c r="G701" s="7"/>
      <c r="H701" s="7"/>
      <c r="I701" s="7"/>
      <c r="J701" s="7"/>
      <c r="K701" s="7"/>
      <c r="L701" s="7"/>
      <c r="M701" s="7"/>
      <c r="N701" s="7"/>
      <c r="O701" s="7"/>
      <c r="P701" s="7"/>
      <c r="Q701" s="7"/>
      <c r="R701" s="64"/>
      <c r="S701" s="64"/>
      <c r="T701" s="64"/>
      <c r="U701" s="64"/>
      <c r="V701" s="64"/>
      <c r="W701" s="64"/>
    </row>
    <row r="702" spans="1:23" ht="30" customHeight="1">
      <c r="A702" s="8"/>
      <c r="B702" s="7"/>
      <c r="C702" s="33"/>
      <c r="D702" s="7"/>
      <c r="E702" s="7"/>
      <c r="F702" s="7"/>
      <c r="G702" s="7"/>
      <c r="H702" s="7"/>
      <c r="I702" s="7"/>
      <c r="J702" s="7"/>
      <c r="K702" s="7"/>
      <c r="L702" s="7"/>
      <c r="M702" s="7"/>
      <c r="N702" s="7"/>
      <c r="O702" s="7"/>
      <c r="P702" s="7"/>
      <c r="Q702" s="7"/>
      <c r="R702" s="64"/>
      <c r="S702" s="64"/>
      <c r="T702" s="64"/>
      <c r="U702" s="64"/>
      <c r="V702" s="64"/>
      <c r="W702" s="64"/>
    </row>
    <row r="703" spans="1:23" ht="30" customHeight="1">
      <c r="A703" s="8"/>
      <c r="B703" s="7"/>
      <c r="C703" s="33"/>
      <c r="D703" s="7"/>
      <c r="E703" s="7"/>
      <c r="F703" s="7"/>
      <c r="G703" s="7"/>
      <c r="H703" s="7"/>
      <c r="I703" s="7"/>
      <c r="J703" s="7"/>
      <c r="K703" s="7"/>
      <c r="L703" s="7"/>
      <c r="M703" s="7"/>
      <c r="N703" s="7"/>
      <c r="O703" s="7"/>
      <c r="P703" s="7"/>
      <c r="Q703" s="7"/>
      <c r="R703" s="64"/>
      <c r="S703" s="64"/>
      <c r="T703" s="64"/>
      <c r="U703" s="64"/>
      <c r="V703" s="64"/>
      <c r="W703" s="64"/>
    </row>
    <row r="704" spans="1:23" ht="30" customHeight="1">
      <c r="A704" s="8"/>
      <c r="B704" s="7"/>
      <c r="C704" s="33"/>
      <c r="D704" s="7"/>
      <c r="E704" s="7"/>
      <c r="F704" s="7"/>
      <c r="G704" s="7"/>
      <c r="H704" s="7"/>
      <c r="I704" s="7"/>
      <c r="J704" s="7"/>
      <c r="K704" s="7"/>
      <c r="L704" s="7"/>
      <c r="M704" s="7"/>
      <c r="N704" s="7"/>
      <c r="O704" s="7"/>
      <c r="P704" s="7"/>
      <c r="Q704" s="7"/>
      <c r="R704" s="64"/>
      <c r="S704" s="64"/>
      <c r="T704" s="64"/>
      <c r="U704" s="64"/>
      <c r="V704" s="64"/>
      <c r="W704" s="64"/>
    </row>
    <row r="705" spans="1:23" ht="30" customHeight="1">
      <c r="A705" s="8"/>
      <c r="B705" s="7"/>
      <c r="C705" s="33"/>
      <c r="D705" s="7"/>
      <c r="E705" s="7"/>
      <c r="F705" s="7"/>
      <c r="G705" s="7"/>
      <c r="H705" s="7"/>
      <c r="I705" s="7"/>
      <c r="J705" s="7"/>
      <c r="K705" s="7"/>
      <c r="L705" s="7"/>
      <c r="M705" s="7"/>
      <c r="N705" s="7"/>
      <c r="O705" s="7"/>
      <c r="P705" s="7"/>
      <c r="Q705" s="7"/>
      <c r="R705" s="64"/>
      <c r="S705" s="64"/>
      <c r="T705" s="64"/>
      <c r="U705" s="64"/>
      <c r="V705" s="64"/>
      <c r="W705" s="64"/>
    </row>
    <row r="706" spans="1:23" ht="30" customHeight="1">
      <c r="A706" s="8"/>
      <c r="B706" s="7"/>
      <c r="C706" s="33"/>
      <c r="D706" s="7"/>
      <c r="E706" s="7"/>
      <c r="F706" s="7"/>
      <c r="G706" s="7"/>
      <c r="H706" s="7"/>
      <c r="I706" s="7"/>
      <c r="J706" s="7"/>
      <c r="K706" s="7"/>
      <c r="L706" s="7"/>
      <c r="M706" s="7"/>
      <c r="N706" s="7"/>
      <c r="O706" s="7"/>
      <c r="P706" s="7"/>
      <c r="Q706" s="7"/>
      <c r="R706" s="64"/>
      <c r="S706" s="64"/>
      <c r="T706" s="64"/>
      <c r="U706" s="64"/>
      <c r="V706" s="64"/>
      <c r="W706" s="64"/>
    </row>
    <row r="707" spans="1:23" ht="30" customHeight="1">
      <c r="A707" s="8"/>
      <c r="B707" s="7"/>
      <c r="C707" s="33"/>
      <c r="D707" s="7"/>
      <c r="E707" s="7"/>
      <c r="F707" s="7"/>
      <c r="G707" s="7"/>
      <c r="H707" s="7"/>
      <c r="I707" s="7"/>
      <c r="J707" s="7"/>
      <c r="K707" s="7"/>
      <c r="L707" s="7"/>
      <c r="M707" s="7"/>
      <c r="N707" s="7"/>
      <c r="O707" s="7"/>
      <c r="P707" s="7"/>
      <c r="Q707" s="7"/>
      <c r="R707" s="64"/>
      <c r="S707" s="64"/>
      <c r="T707" s="64"/>
      <c r="U707" s="64"/>
      <c r="V707" s="64"/>
      <c r="W707" s="64"/>
    </row>
    <row r="708" spans="1:23" ht="30" customHeight="1">
      <c r="A708" s="8"/>
      <c r="B708" s="7"/>
      <c r="C708" s="33"/>
      <c r="D708" s="7"/>
      <c r="E708" s="7"/>
      <c r="F708" s="7"/>
      <c r="G708" s="7"/>
      <c r="H708" s="7"/>
      <c r="I708" s="7"/>
      <c r="J708" s="7"/>
      <c r="K708" s="7"/>
      <c r="L708" s="7"/>
      <c r="M708" s="7"/>
      <c r="N708" s="7"/>
      <c r="O708" s="7"/>
      <c r="P708" s="7"/>
      <c r="Q708" s="7"/>
      <c r="R708" s="64"/>
      <c r="S708" s="64"/>
      <c r="T708" s="64"/>
      <c r="U708" s="64"/>
      <c r="V708" s="64"/>
      <c r="W708" s="64"/>
    </row>
    <row r="709" spans="1:23" ht="30" customHeight="1">
      <c r="A709" s="8"/>
      <c r="B709" s="7"/>
      <c r="C709" s="33"/>
      <c r="D709" s="7"/>
      <c r="E709" s="7"/>
      <c r="F709" s="7"/>
      <c r="G709" s="7"/>
      <c r="H709" s="7"/>
      <c r="I709" s="7"/>
      <c r="J709" s="7"/>
      <c r="K709" s="7"/>
      <c r="L709" s="7"/>
      <c r="M709" s="7"/>
      <c r="N709" s="7"/>
      <c r="O709" s="7"/>
      <c r="P709" s="7"/>
      <c r="Q709" s="7"/>
      <c r="R709" s="64"/>
      <c r="S709" s="64"/>
      <c r="T709" s="64"/>
      <c r="U709" s="64"/>
      <c r="V709" s="64"/>
      <c r="W709" s="64"/>
    </row>
    <row r="710" spans="1:23" ht="30" customHeight="1">
      <c r="A710" s="8"/>
      <c r="B710" s="7"/>
      <c r="C710" s="33"/>
      <c r="D710" s="7"/>
      <c r="E710" s="7"/>
      <c r="F710" s="7"/>
      <c r="G710" s="7"/>
      <c r="H710" s="7"/>
      <c r="I710" s="7"/>
      <c r="J710" s="7"/>
      <c r="K710" s="7"/>
      <c r="L710" s="7"/>
      <c r="M710" s="7"/>
      <c r="N710" s="7"/>
      <c r="O710" s="7"/>
      <c r="P710" s="7"/>
      <c r="Q710" s="7"/>
      <c r="R710" s="64"/>
      <c r="S710" s="64"/>
      <c r="T710" s="64"/>
      <c r="U710" s="64"/>
      <c r="V710" s="64"/>
      <c r="W710" s="64"/>
    </row>
    <row r="711" spans="1:23" ht="30" customHeight="1">
      <c r="A711" s="8"/>
      <c r="B711" s="7"/>
      <c r="C711" s="33"/>
      <c r="D711" s="7"/>
      <c r="E711" s="7"/>
      <c r="F711" s="7"/>
      <c r="G711" s="7"/>
      <c r="H711" s="7"/>
      <c r="I711" s="7"/>
      <c r="J711" s="7"/>
      <c r="K711" s="7"/>
      <c r="L711" s="7"/>
      <c r="M711" s="7"/>
      <c r="N711" s="7"/>
      <c r="O711" s="7"/>
      <c r="P711" s="7"/>
      <c r="Q711" s="7"/>
      <c r="R711" s="64"/>
      <c r="S711" s="64"/>
      <c r="T711" s="64"/>
      <c r="U711" s="64"/>
      <c r="V711" s="64"/>
      <c r="W711" s="64"/>
    </row>
    <row r="712" spans="1:23" ht="30" customHeight="1">
      <c r="A712" s="8"/>
      <c r="B712" s="7"/>
      <c r="C712" s="33"/>
      <c r="D712" s="7"/>
      <c r="E712" s="7"/>
      <c r="F712" s="7"/>
      <c r="G712" s="7"/>
      <c r="H712" s="7"/>
      <c r="I712" s="7"/>
      <c r="J712" s="7"/>
      <c r="K712" s="7"/>
      <c r="L712" s="7"/>
      <c r="M712" s="7"/>
      <c r="N712" s="7"/>
      <c r="O712" s="7"/>
      <c r="P712" s="7"/>
      <c r="Q712" s="7"/>
      <c r="R712" s="64"/>
      <c r="S712" s="64"/>
      <c r="T712" s="64"/>
      <c r="U712" s="64"/>
      <c r="V712" s="64"/>
      <c r="W712" s="64"/>
    </row>
    <row r="713" spans="1:23" ht="30" customHeight="1">
      <c r="A713" s="8"/>
      <c r="B713" s="7"/>
      <c r="C713" s="33"/>
      <c r="D713" s="7"/>
      <c r="E713" s="7"/>
      <c r="F713" s="7"/>
      <c r="G713" s="7"/>
      <c r="H713" s="7"/>
      <c r="I713" s="7"/>
      <c r="J713" s="7"/>
      <c r="K713" s="7"/>
      <c r="L713" s="7"/>
      <c r="M713" s="7"/>
      <c r="N713" s="7"/>
      <c r="O713" s="7"/>
      <c r="P713" s="7"/>
      <c r="Q713" s="7"/>
      <c r="R713" s="64"/>
      <c r="S713" s="64"/>
      <c r="T713" s="64"/>
      <c r="U713" s="64"/>
      <c r="V713" s="64"/>
      <c r="W713" s="64"/>
    </row>
    <row r="714" spans="1:23" ht="30" customHeight="1">
      <c r="A714" s="8"/>
      <c r="B714" s="7"/>
      <c r="C714" s="33"/>
      <c r="D714" s="7"/>
      <c r="E714" s="7"/>
      <c r="F714" s="7"/>
      <c r="G714" s="7"/>
      <c r="H714" s="7"/>
      <c r="I714" s="7"/>
      <c r="J714" s="7"/>
      <c r="K714" s="7"/>
      <c r="L714" s="7"/>
      <c r="M714" s="7"/>
      <c r="N714" s="7"/>
      <c r="O714" s="7"/>
      <c r="P714" s="7"/>
      <c r="Q714" s="7"/>
      <c r="R714" s="64"/>
      <c r="S714" s="64"/>
      <c r="T714" s="64"/>
      <c r="U714" s="64"/>
      <c r="V714" s="64"/>
      <c r="W714" s="64"/>
    </row>
    <row r="715" spans="1:23" ht="30" customHeight="1">
      <c r="A715" s="8"/>
      <c r="B715" s="7"/>
      <c r="C715" s="33"/>
      <c r="D715" s="7"/>
      <c r="E715" s="7"/>
      <c r="F715" s="7"/>
      <c r="G715" s="7"/>
      <c r="H715" s="7"/>
      <c r="I715" s="7"/>
      <c r="J715" s="7"/>
      <c r="K715" s="7"/>
      <c r="L715" s="7"/>
      <c r="M715" s="7"/>
      <c r="N715" s="7"/>
      <c r="O715" s="7"/>
      <c r="P715" s="7"/>
      <c r="Q715" s="7"/>
      <c r="R715" s="64"/>
      <c r="S715" s="64"/>
      <c r="T715" s="64"/>
      <c r="U715" s="64"/>
      <c r="V715" s="64"/>
      <c r="W715" s="64"/>
    </row>
    <row r="716" spans="1:23" ht="30" customHeight="1">
      <c r="A716" s="8"/>
      <c r="B716" s="7"/>
      <c r="C716" s="33"/>
      <c r="D716" s="7"/>
      <c r="E716" s="7"/>
      <c r="F716" s="7"/>
      <c r="G716" s="7"/>
      <c r="H716" s="7"/>
      <c r="I716" s="7"/>
      <c r="J716" s="7"/>
      <c r="K716" s="7"/>
      <c r="L716" s="7"/>
      <c r="M716" s="7"/>
      <c r="N716" s="7"/>
      <c r="O716" s="7"/>
      <c r="P716" s="7"/>
      <c r="Q716" s="7"/>
      <c r="R716" s="64"/>
      <c r="S716" s="64"/>
      <c r="T716" s="64"/>
      <c r="U716" s="64"/>
      <c r="V716" s="64"/>
      <c r="W716" s="64"/>
    </row>
    <row r="717" spans="1:23" ht="30" customHeight="1">
      <c r="A717" s="8"/>
      <c r="B717" s="7"/>
      <c r="C717" s="33"/>
      <c r="D717" s="7"/>
      <c r="E717" s="7"/>
      <c r="F717" s="7"/>
      <c r="G717" s="7"/>
      <c r="H717" s="7"/>
      <c r="I717" s="7"/>
      <c r="J717" s="7"/>
      <c r="K717" s="7"/>
      <c r="L717" s="7"/>
      <c r="M717" s="7"/>
      <c r="N717" s="7"/>
      <c r="O717" s="7"/>
      <c r="P717" s="7"/>
      <c r="Q717" s="7"/>
      <c r="R717" s="64"/>
      <c r="S717" s="64"/>
      <c r="T717" s="64"/>
      <c r="U717" s="64"/>
      <c r="V717" s="64"/>
      <c r="W717" s="64"/>
    </row>
    <row r="718" spans="1:23" ht="30" customHeight="1">
      <c r="A718" s="8"/>
      <c r="B718" s="7"/>
      <c r="C718" s="33"/>
      <c r="D718" s="7"/>
      <c r="E718" s="7"/>
      <c r="F718" s="7"/>
      <c r="G718" s="7"/>
      <c r="H718" s="7"/>
      <c r="I718" s="7"/>
      <c r="J718" s="7"/>
      <c r="K718" s="7"/>
      <c r="L718" s="7"/>
      <c r="M718" s="7"/>
      <c r="N718" s="7"/>
      <c r="O718" s="7"/>
      <c r="P718" s="7"/>
      <c r="Q718" s="7"/>
      <c r="R718" s="64"/>
      <c r="S718" s="64"/>
      <c r="T718" s="64"/>
      <c r="U718" s="64"/>
      <c r="V718" s="64"/>
      <c r="W718" s="64"/>
    </row>
    <row r="719" spans="1:23" ht="30" customHeight="1">
      <c r="A719" s="8"/>
      <c r="B719" s="7"/>
      <c r="C719" s="33"/>
      <c r="D719" s="7"/>
      <c r="E719" s="7"/>
      <c r="F719" s="7"/>
      <c r="G719" s="7"/>
      <c r="H719" s="7"/>
      <c r="I719" s="7"/>
      <c r="J719" s="7"/>
      <c r="K719" s="7"/>
      <c r="L719" s="7"/>
      <c r="M719" s="7"/>
      <c r="N719" s="7"/>
      <c r="O719" s="7"/>
      <c r="P719" s="7"/>
      <c r="Q719" s="7"/>
      <c r="R719" s="64"/>
      <c r="S719" s="64"/>
      <c r="T719" s="64"/>
      <c r="U719" s="64"/>
      <c r="V719" s="64"/>
      <c r="W719" s="64"/>
    </row>
    <row r="720" spans="1:23" ht="30" customHeight="1">
      <c r="A720" s="8"/>
      <c r="B720" s="7"/>
      <c r="C720" s="33"/>
      <c r="D720" s="7"/>
      <c r="E720" s="7"/>
      <c r="F720" s="7"/>
      <c r="G720" s="7"/>
      <c r="H720" s="7"/>
      <c r="I720" s="7"/>
      <c r="J720" s="7"/>
      <c r="K720" s="7"/>
      <c r="L720" s="7"/>
      <c r="M720" s="7"/>
      <c r="N720" s="7"/>
      <c r="O720" s="7"/>
      <c r="P720" s="7"/>
      <c r="Q720" s="7"/>
      <c r="R720" s="64"/>
      <c r="S720" s="64"/>
      <c r="T720" s="64"/>
      <c r="U720" s="64"/>
      <c r="V720" s="64"/>
      <c r="W720" s="64"/>
    </row>
    <row r="721" spans="1:23" ht="30" customHeight="1">
      <c r="A721" s="8"/>
      <c r="B721" s="7"/>
      <c r="C721" s="33"/>
      <c r="D721" s="7"/>
      <c r="E721" s="7"/>
      <c r="F721" s="7"/>
      <c r="G721" s="7"/>
      <c r="H721" s="7"/>
      <c r="I721" s="7"/>
      <c r="J721" s="7"/>
      <c r="K721" s="7"/>
      <c r="L721" s="7"/>
      <c r="M721" s="7"/>
      <c r="N721" s="7"/>
      <c r="O721" s="7"/>
      <c r="P721" s="7"/>
      <c r="Q721" s="7"/>
      <c r="R721" s="64"/>
      <c r="S721" s="64"/>
      <c r="T721" s="64"/>
      <c r="U721" s="64"/>
      <c r="V721" s="64"/>
      <c r="W721" s="64"/>
    </row>
    <row r="722" spans="1:23" ht="30" customHeight="1">
      <c r="A722" s="8"/>
      <c r="B722" s="7"/>
      <c r="C722" s="33"/>
      <c r="D722" s="7"/>
      <c r="E722" s="7"/>
      <c r="F722" s="7"/>
      <c r="G722" s="7"/>
      <c r="H722" s="7"/>
      <c r="I722" s="7"/>
      <c r="J722" s="7"/>
      <c r="K722" s="7"/>
      <c r="L722" s="7"/>
      <c r="M722" s="7"/>
      <c r="N722" s="7"/>
      <c r="O722" s="7"/>
      <c r="P722" s="7"/>
      <c r="Q722" s="7"/>
      <c r="R722" s="64"/>
      <c r="S722" s="64"/>
      <c r="T722" s="64"/>
      <c r="U722" s="64"/>
      <c r="V722" s="64"/>
      <c r="W722" s="64"/>
    </row>
    <row r="723" spans="1:23" ht="30" customHeight="1">
      <c r="A723" s="8"/>
      <c r="B723" s="7"/>
      <c r="C723" s="33"/>
      <c r="D723" s="7"/>
      <c r="E723" s="7"/>
      <c r="F723" s="7"/>
      <c r="G723" s="7"/>
      <c r="H723" s="7"/>
      <c r="I723" s="7"/>
      <c r="J723" s="7"/>
      <c r="K723" s="7"/>
      <c r="L723" s="7"/>
      <c r="M723" s="7"/>
      <c r="N723" s="7"/>
      <c r="O723" s="7"/>
      <c r="P723" s="7"/>
      <c r="Q723" s="7"/>
      <c r="R723" s="64"/>
      <c r="S723" s="64"/>
      <c r="T723" s="64"/>
      <c r="U723" s="64"/>
      <c r="V723" s="64"/>
      <c r="W723" s="64"/>
    </row>
    <row r="724" spans="1:23" ht="30" customHeight="1">
      <c r="A724" s="8"/>
      <c r="B724" s="7"/>
      <c r="C724" s="33"/>
      <c r="D724" s="7"/>
      <c r="E724" s="7"/>
      <c r="F724" s="7"/>
      <c r="G724" s="7"/>
      <c r="H724" s="7"/>
      <c r="I724" s="7"/>
      <c r="J724" s="7"/>
      <c r="K724" s="7"/>
      <c r="L724" s="7"/>
      <c r="M724" s="7"/>
      <c r="N724" s="7"/>
      <c r="O724" s="7"/>
      <c r="P724" s="7"/>
      <c r="Q724" s="7"/>
      <c r="R724" s="64"/>
      <c r="S724" s="64"/>
      <c r="T724" s="64"/>
      <c r="U724" s="64"/>
      <c r="V724" s="64"/>
      <c r="W724" s="64"/>
    </row>
    <row r="725" spans="1:23" ht="30" customHeight="1">
      <c r="A725" s="8"/>
      <c r="B725" s="7"/>
      <c r="C725" s="33"/>
      <c r="D725" s="7"/>
      <c r="E725" s="7"/>
      <c r="F725" s="7"/>
      <c r="G725" s="7"/>
      <c r="H725" s="7"/>
      <c r="I725" s="7"/>
      <c r="J725" s="7"/>
      <c r="K725" s="7"/>
      <c r="L725" s="7"/>
      <c r="M725" s="7"/>
      <c r="N725" s="7"/>
      <c r="O725" s="7"/>
      <c r="P725" s="7"/>
      <c r="Q725" s="7"/>
      <c r="R725" s="64"/>
      <c r="S725" s="64"/>
      <c r="T725" s="64"/>
      <c r="U725" s="64"/>
      <c r="V725" s="64"/>
      <c r="W725" s="64"/>
    </row>
    <row r="726" spans="1:23" ht="30" customHeight="1">
      <c r="A726" s="8"/>
      <c r="B726" s="7"/>
      <c r="C726" s="33"/>
      <c r="D726" s="7"/>
      <c r="E726" s="7"/>
      <c r="F726" s="7"/>
      <c r="G726" s="7"/>
      <c r="H726" s="7"/>
      <c r="I726" s="7"/>
      <c r="J726" s="7"/>
      <c r="K726" s="7"/>
      <c r="L726" s="7"/>
      <c r="M726" s="7"/>
      <c r="N726" s="7"/>
      <c r="O726" s="7"/>
      <c r="P726" s="7"/>
      <c r="Q726" s="7"/>
      <c r="R726" s="64"/>
      <c r="S726" s="64"/>
      <c r="T726" s="64"/>
      <c r="U726" s="64"/>
      <c r="V726" s="64"/>
      <c r="W726" s="64"/>
    </row>
    <row r="727" spans="1:23" ht="30" customHeight="1">
      <c r="A727" s="8"/>
      <c r="B727" s="7"/>
      <c r="C727" s="33"/>
      <c r="D727" s="7"/>
      <c r="E727" s="7"/>
      <c r="F727" s="7"/>
      <c r="G727" s="7"/>
      <c r="H727" s="7"/>
      <c r="I727" s="7"/>
      <c r="J727" s="7"/>
      <c r="K727" s="7"/>
      <c r="L727" s="7"/>
      <c r="M727" s="7"/>
      <c r="N727" s="7"/>
      <c r="O727" s="7"/>
      <c r="P727" s="7"/>
      <c r="Q727" s="7"/>
      <c r="R727" s="64"/>
      <c r="S727" s="64"/>
      <c r="T727" s="64"/>
      <c r="U727" s="64"/>
      <c r="V727" s="64"/>
      <c r="W727" s="64"/>
    </row>
    <row r="728" spans="1:23" ht="30" customHeight="1">
      <c r="A728" s="8"/>
      <c r="B728" s="7"/>
      <c r="C728" s="33"/>
      <c r="D728" s="7"/>
      <c r="E728" s="7"/>
      <c r="F728" s="7"/>
      <c r="G728" s="7"/>
      <c r="H728" s="7"/>
      <c r="I728" s="7"/>
      <c r="J728" s="7"/>
      <c r="K728" s="7"/>
      <c r="L728" s="7"/>
      <c r="M728" s="7"/>
      <c r="N728" s="7"/>
      <c r="O728" s="7"/>
      <c r="P728" s="7"/>
      <c r="Q728" s="7"/>
      <c r="R728" s="64"/>
      <c r="S728" s="64"/>
      <c r="T728" s="64"/>
      <c r="U728" s="64"/>
      <c r="V728" s="64"/>
      <c r="W728" s="64"/>
    </row>
    <row r="729" spans="1:23" ht="30" customHeight="1">
      <c r="A729" s="8"/>
      <c r="B729" s="7"/>
      <c r="C729" s="33"/>
      <c r="D729" s="7"/>
      <c r="E729" s="7"/>
      <c r="F729" s="7"/>
      <c r="G729" s="7"/>
      <c r="H729" s="7"/>
      <c r="I729" s="7"/>
      <c r="J729" s="7"/>
      <c r="K729" s="7"/>
      <c r="L729" s="7"/>
      <c r="M729" s="7"/>
      <c r="N729" s="7"/>
      <c r="O729" s="7"/>
      <c r="P729" s="7"/>
      <c r="Q729" s="7"/>
      <c r="R729" s="64"/>
      <c r="S729" s="64"/>
      <c r="T729" s="64"/>
      <c r="U729" s="64"/>
      <c r="V729" s="64"/>
      <c r="W729" s="64"/>
    </row>
    <row r="730" spans="1:23" ht="30" customHeight="1">
      <c r="A730" s="8"/>
      <c r="B730" s="7"/>
      <c r="C730" s="33"/>
      <c r="D730" s="7"/>
      <c r="E730" s="7"/>
      <c r="F730" s="7"/>
      <c r="G730" s="7"/>
      <c r="H730" s="7"/>
      <c r="I730" s="7"/>
      <c r="J730" s="7"/>
      <c r="K730" s="7"/>
      <c r="L730" s="7"/>
      <c r="M730" s="7"/>
      <c r="N730" s="7"/>
      <c r="O730" s="7"/>
      <c r="P730" s="7"/>
      <c r="Q730" s="7"/>
      <c r="R730" s="64"/>
      <c r="S730" s="64"/>
      <c r="T730" s="64"/>
      <c r="U730" s="64"/>
      <c r="V730" s="64"/>
      <c r="W730" s="64"/>
    </row>
    <row r="731" spans="1:23" ht="30" customHeight="1">
      <c r="A731" s="8"/>
      <c r="B731" s="7"/>
      <c r="C731" s="33"/>
      <c r="D731" s="7"/>
      <c r="E731" s="7"/>
      <c r="F731" s="7"/>
      <c r="G731" s="7"/>
      <c r="H731" s="7"/>
      <c r="I731" s="7"/>
      <c r="J731" s="7"/>
      <c r="K731" s="7"/>
      <c r="L731" s="7"/>
      <c r="M731" s="7"/>
      <c r="N731" s="7"/>
      <c r="O731" s="7"/>
      <c r="P731" s="7"/>
      <c r="Q731" s="7"/>
      <c r="R731" s="64"/>
      <c r="S731" s="64"/>
      <c r="T731" s="64"/>
      <c r="U731" s="64"/>
      <c r="V731" s="64"/>
      <c r="W731" s="64"/>
    </row>
    <row r="732" spans="1:23" ht="30" customHeight="1">
      <c r="A732" s="8"/>
      <c r="B732" s="7"/>
      <c r="C732" s="33"/>
      <c r="D732" s="7"/>
      <c r="E732" s="7"/>
      <c r="F732" s="7"/>
      <c r="G732" s="7"/>
      <c r="H732" s="7"/>
      <c r="I732" s="7"/>
      <c r="J732" s="7"/>
      <c r="K732" s="7"/>
      <c r="L732" s="7"/>
      <c r="M732" s="7"/>
      <c r="N732" s="7"/>
      <c r="O732" s="7"/>
      <c r="P732" s="7"/>
      <c r="Q732" s="7"/>
      <c r="R732" s="64"/>
      <c r="S732" s="64"/>
      <c r="T732" s="64"/>
      <c r="U732" s="64"/>
      <c r="V732" s="64"/>
      <c r="W732" s="64"/>
    </row>
    <row r="733" spans="1:23" ht="30" customHeight="1">
      <c r="A733" s="8"/>
      <c r="B733" s="7"/>
      <c r="C733" s="33"/>
      <c r="D733" s="7"/>
      <c r="E733" s="7"/>
      <c r="F733" s="7"/>
      <c r="G733" s="7"/>
      <c r="H733" s="7"/>
      <c r="I733" s="7"/>
      <c r="J733" s="7"/>
      <c r="K733" s="7"/>
      <c r="L733" s="7"/>
      <c r="M733" s="7"/>
      <c r="N733" s="7"/>
      <c r="O733" s="7"/>
      <c r="P733" s="7"/>
      <c r="Q733" s="7"/>
      <c r="R733" s="64"/>
      <c r="S733" s="64"/>
      <c r="T733" s="64"/>
      <c r="U733" s="64"/>
      <c r="V733" s="64"/>
      <c r="W733" s="64"/>
    </row>
    <row r="734" spans="1:23" ht="30" customHeight="1">
      <c r="A734" s="8"/>
      <c r="B734" s="7"/>
      <c r="C734" s="33"/>
      <c r="D734" s="7"/>
      <c r="E734" s="7"/>
      <c r="F734" s="7"/>
      <c r="G734" s="7"/>
      <c r="H734" s="7"/>
      <c r="I734" s="7"/>
      <c r="J734" s="7"/>
      <c r="K734" s="7"/>
      <c r="L734" s="7"/>
      <c r="M734" s="7"/>
      <c r="N734" s="7"/>
      <c r="O734" s="7"/>
      <c r="P734" s="7"/>
      <c r="Q734" s="7"/>
      <c r="R734" s="64"/>
      <c r="S734" s="64"/>
      <c r="T734" s="64"/>
      <c r="U734" s="64"/>
      <c r="V734" s="64"/>
      <c r="W734" s="64"/>
    </row>
    <row r="735" spans="1:23" ht="30" customHeight="1">
      <c r="A735" s="8"/>
      <c r="B735" s="7"/>
      <c r="C735" s="33"/>
      <c r="D735" s="7"/>
      <c r="E735" s="7"/>
      <c r="F735" s="7"/>
      <c r="G735" s="7"/>
      <c r="H735" s="7"/>
      <c r="I735" s="7"/>
      <c r="J735" s="7"/>
      <c r="K735" s="7"/>
      <c r="L735" s="7"/>
      <c r="M735" s="7"/>
      <c r="N735" s="7"/>
      <c r="O735" s="7"/>
      <c r="P735" s="7"/>
      <c r="Q735" s="7"/>
      <c r="R735" s="64"/>
      <c r="S735" s="64"/>
      <c r="T735" s="64"/>
      <c r="U735" s="64"/>
      <c r="V735" s="64"/>
      <c r="W735" s="64"/>
    </row>
    <row r="736" spans="1:23" ht="30" customHeight="1">
      <c r="A736" s="8"/>
      <c r="B736" s="7"/>
      <c r="C736" s="33"/>
      <c r="D736" s="7"/>
      <c r="E736" s="7"/>
      <c r="F736" s="7"/>
      <c r="G736" s="7"/>
      <c r="H736" s="7"/>
      <c r="I736" s="7"/>
      <c r="J736" s="7"/>
      <c r="K736" s="7"/>
      <c r="L736" s="7"/>
      <c r="M736" s="7"/>
      <c r="N736" s="7"/>
      <c r="O736" s="7"/>
      <c r="P736" s="7"/>
      <c r="Q736" s="7"/>
      <c r="R736" s="64"/>
      <c r="S736" s="64"/>
      <c r="T736" s="64"/>
      <c r="U736" s="64"/>
      <c r="V736" s="64"/>
      <c r="W736" s="64"/>
    </row>
    <row r="737" spans="1:23" ht="30" customHeight="1">
      <c r="A737" s="8"/>
      <c r="B737" s="7"/>
      <c r="C737" s="33"/>
      <c r="D737" s="7"/>
      <c r="E737" s="7"/>
      <c r="F737" s="7"/>
      <c r="G737" s="7"/>
      <c r="H737" s="7"/>
      <c r="I737" s="7"/>
      <c r="J737" s="7"/>
      <c r="K737" s="7"/>
      <c r="L737" s="7"/>
      <c r="M737" s="7"/>
      <c r="N737" s="7"/>
      <c r="O737" s="7"/>
      <c r="P737" s="7"/>
      <c r="Q737" s="7"/>
      <c r="R737" s="64"/>
      <c r="S737" s="64"/>
      <c r="T737" s="64"/>
      <c r="U737" s="64"/>
      <c r="V737" s="64"/>
      <c r="W737" s="64"/>
    </row>
    <row r="738" spans="1:23" ht="30" customHeight="1">
      <c r="A738" s="8"/>
      <c r="B738" s="7"/>
      <c r="C738" s="33"/>
      <c r="D738" s="7"/>
      <c r="E738" s="7"/>
      <c r="F738" s="7"/>
      <c r="G738" s="7"/>
      <c r="H738" s="7"/>
      <c r="I738" s="7"/>
      <c r="J738" s="7"/>
      <c r="K738" s="7"/>
      <c r="L738" s="7"/>
      <c r="M738" s="7"/>
      <c r="N738" s="7"/>
      <c r="O738" s="7"/>
      <c r="P738" s="7"/>
      <c r="Q738" s="7"/>
      <c r="R738" s="64"/>
      <c r="S738" s="64"/>
      <c r="T738" s="64"/>
      <c r="U738" s="64"/>
      <c r="V738" s="64"/>
      <c r="W738" s="64"/>
    </row>
    <row r="739" spans="1:23" ht="30" customHeight="1">
      <c r="A739" s="8"/>
      <c r="B739" s="7"/>
      <c r="C739" s="33"/>
      <c r="D739" s="7"/>
      <c r="E739" s="7"/>
      <c r="F739" s="7"/>
      <c r="G739" s="7"/>
      <c r="H739" s="7"/>
      <c r="I739" s="7"/>
      <c r="J739" s="7"/>
      <c r="K739" s="7"/>
      <c r="L739" s="7"/>
      <c r="M739" s="7"/>
      <c r="N739" s="7"/>
      <c r="O739" s="7"/>
      <c r="P739" s="7"/>
      <c r="Q739" s="7"/>
      <c r="R739" s="64"/>
      <c r="S739" s="64"/>
      <c r="T739" s="64"/>
      <c r="U739" s="64"/>
      <c r="V739" s="64"/>
      <c r="W739" s="64"/>
    </row>
    <row r="740" spans="1:23" ht="30" customHeight="1">
      <c r="A740" s="8"/>
      <c r="B740" s="7"/>
      <c r="C740" s="33"/>
      <c r="D740" s="7"/>
      <c r="E740" s="7"/>
      <c r="F740" s="7"/>
      <c r="G740" s="7"/>
      <c r="H740" s="7"/>
      <c r="I740" s="7"/>
      <c r="J740" s="7"/>
      <c r="K740" s="7"/>
      <c r="L740" s="7"/>
      <c r="M740" s="7"/>
      <c r="N740" s="7"/>
      <c r="O740" s="7"/>
      <c r="P740" s="7"/>
      <c r="Q740" s="7"/>
      <c r="R740" s="64"/>
      <c r="S740" s="64"/>
      <c r="T740" s="64"/>
      <c r="U740" s="64"/>
      <c r="V740" s="64"/>
      <c r="W740" s="64"/>
    </row>
    <row r="741" spans="1:23" ht="30" customHeight="1">
      <c r="A741" s="8"/>
      <c r="B741" s="7"/>
      <c r="C741" s="33"/>
      <c r="D741" s="7"/>
      <c r="E741" s="7"/>
      <c r="F741" s="7"/>
      <c r="G741" s="7"/>
      <c r="H741" s="7"/>
      <c r="I741" s="7"/>
      <c r="J741" s="7"/>
      <c r="K741" s="7"/>
      <c r="L741" s="7"/>
      <c r="M741" s="7"/>
      <c r="N741" s="7"/>
      <c r="O741" s="7"/>
      <c r="P741" s="7"/>
      <c r="Q741" s="7"/>
      <c r="R741" s="64"/>
      <c r="S741" s="64"/>
      <c r="T741" s="64"/>
      <c r="U741" s="64"/>
      <c r="V741" s="64"/>
      <c r="W741" s="64"/>
    </row>
    <row r="742" spans="1:23" ht="30" customHeight="1">
      <c r="A742" s="8"/>
      <c r="B742" s="7"/>
      <c r="C742" s="33"/>
      <c r="D742" s="7"/>
      <c r="E742" s="7"/>
      <c r="F742" s="7"/>
      <c r="G742" s="7"/>
      <c r="H742" s="7"/>
      <c r="I742" s="7"/>
      <c r="J742" s="7"/>
      <c r="K742" s="7"/>
      <c r="L742" s="7"/>
      <c r="M742" s="7"/>
      <c r="N742" s="7"/>
      <c r="O742" s="7"/>
      <c r="P742" s="7"/>
      <c r="Q742" s="7"/>
      <c r="R742" s="64"/>
      <c r="S742" s="64"/>
      <c r="T742" s="64"/>
      <c r="U742" s="64"/>
      <c r="V742" s="64"/>
      <c r="W742" s="64"/>
    </row>
    <row r="743" spans="1:23" ht="30" customHeight="1">
      <c r="A743" s="8"/>
      <c r="B743" s="7"/>
      <c r="C743" s="33"/>
      <c r="D743" s="7"/>
      <c r="E743" s="7"/>
      <c r="F743" s="7"/>
      <c r="G743" s="7"/>
      <c r="H743" s="7"/>
      <c r="I743" s="7"/>
      <c r="J743" s="7"/>
      <c r="K743" s="7"/>
      <c r="L743" s="7"/>
      <c r="M743" s="7"/>
      <c r="N743" s="7"/>
      <c r="O743" s="7"/>
      <c r="P743" s="7"/>
      <c r="Q743" s="7"/>
      <c r="R743" s="64"/>
      <c r="S743" s="64"/>
      <c r="T743" s="64"/>
      <c r="U743" s="64"/>
      <c r="V743" s="64"/>
      <c r="W743" s="64"/>
    </row>
    <row r="744" spans="1:23" ht="30" customHeight="1">
      <c r="A744" s="8"/>
      <c r="B744" s="7"/>
      <c r="C744" s="33"/>
      <c r="D744" s="7"/>
      <c r="E744" s="7"/>
      <c r="F744" s="7"/>
      <c r="G744" s="7"/>
      <c r="H744" s="7"/>
      <c r="I744" s="7"/>
      <c r="J744" s="7"/>
      <c r="K744" s="7"/>
      <c r="L744" s="7"/>
      <c r="M744" s="7"/>
      <c r="N744" s="7"/>
      <c r="O744" s="7"/>
      <c r="P744" s="7"/>
      <c r="Q744" s="7"/>
      <c r="R744" s="64"/>
      <c r="S744" s="64"/>
      <c r="T744" s="64"/>
      <c r="U744" s="64"/>
      <c r="V744" s="64"/>
      <c r="W744" s="64"/>
    </row>
    <row r="745" spans="1:23" ht="30" customHeight="1">
      <c r="A745" s="8"/>
      <c r="B745" s="7"/>
      <c r="C745" s="33"/>
      <c r="D745" s="7"/>
      <c r="E745" s="7"/>
      <c r="F745" s="7"/>
      <c r="G745" s="7"/>
      <c r="H745" s="7"/>
      <c r="I745" s="7"/>
      <c r="J745" s="7"/>
      <c r="K745" s="7"/>
      <c r="L745" s="7"/>
      <c r="M745" s="7"/>
      <c r="N745" s="7"/>
      <c r="O745" s="7"/>
      <c r="P745" s="7"/>
      <c r="Q745" s="7"/>
      <c r="R745" s="64"/>
      <c r="S745" s="64"/>
      <c r="T745" s="64"/>
      <c r="U745" s="64"/>
      <c r="V745" s="64"/>
      <c r="W745" s="64"/>
    </row>
    <row r="746" spans="1:23" ht="30" customHeight="1">
      <c r="A746" s="8"/>
      <c r="B746" s="7"/>
      <c r="C746" s="33"/>
      <c r="D746" s="7"/>
      <c r="E746" s="7"/>
      <c r="F746" s="7"/>
      <c r="G746" s="7"/>
      <c r="H746" s="7"/>
      <c r="I746" s="7"/>
      <c r="J746" s="7"/>
      <c r="K746" s="7"/>
      <c r="L746" s="7"/>
      <c r="M746" s="7"/>
      <c r="N746" s="7"/>
      <c r="O746" s="7"/>
      <c r="P746" s="7"/>
      <c r="Q746" s="7"/>
      <c r="R746" s="64"/>
      <c r="S746" s="64"/>
      <c r="T746" s="64"/>
      <c r="U746" s="64"/>
      <c r="V746" s="64"/>
      <c r="W746" s="64"/>
    </row>
    <row r="747" spans="1:23" ht="30" customHeight="1">
      <c r="A747" s="8"/>
      <c r="B747" s="7"/>
      <c r="C747" s="33"/>
      <c r="D747" s="7"/>
      <c r="E747" s="7"/>
      <c r="F747" s="7"/>
      <c r="G747" s="7"/>
      <c r="H747" s="7"/>
      <c r="I747" s="7"/>
      <c r="J747" s="7"/>
      <c r="K747" s="7"/>
      <c r="L747" s="7"/>
      <c r="M747" s="7"/>
      <c r="N747" s="7"/>
      <c r="O747" s="7"/>
      <c r="P747" s="7"/>
      <c r="Q747" s="7"/>
      <c r="R747" s="64"/>
      <c r="S747" s="64"/>
      <c r="T747" s="64"/>
      <c r="U747" s="64"/>
      <c r="V747" s="64"/>
      <c r="W747" s="64"/>
    </row>
    <row r="748" spans="1:23" ht="30" customHeight="1">
      <c r="A748" s="8"/>
      <c r="B748" s="7"/>
      <c r="C748" s="33"/>
      <c r="D748" s="7"/>
      <c r="E748" s="7"/>
      <c r="F748" s="7"/>
      <c r="G748" s="7"/>
      <c r="H748" s="7"/>
      <c r="I748" s="7"/>
      <c r="J748" s="7"/>
      <c r="K748" s="7"/>
      <c r="L748" s="7"/>
      <c r="M748" s="7"/>
      <c r="N748" s="7"/>
      <c r="O748" s="7"/>
      <c r="P748" s="7"/>
      <c r="Q748" s="7"/>
      <c r="R748" s="64"/>
      <c r="S748" s="64"/>
      <c r="T748" s="64"/>
      <c r="U748" s="64"/>
      <c r="V748" s="64"/>
      <c r="W748" s="64"/>
    </row>
    <row r="749" spans="1:23" ht="30" customHeight="1">
      <c r="A749" s="8"/>
      <c r="B749" s="7"/>
      <c r="C749" s="33"/>
      <c r="D749" s="7"/>
      <c r="E749" s="7"/>
      <c r="F749" s="7"/>
      <c r="G749" s="7"/>
      <c r="H749" s="7"/>
      <c r="I749" s="7"/>
      <c r="J749" s="7"/>
      <c r="K749" s="7"/>
      <c r="L749" s="7"/>
      <c r="M749" s="7"/>
      <c r="N749" s="7"/>
      <c r="O749" s="7"/>
      <c r="P749" s="7"/>
      <c r="Q749" s="7"/>
      <c r="R749" s="64"/>
      <c r="S749" s="64"/>
      <c r="T749" s="64"/>
      <c r="U749" s="64"/>
      <c r="V749" s="64"/>
      <c r="W749" s="64"/>
    </row>
    <row r="750" spans="1:23" ht="30" customHeight="1">
      <c r="A750" s="8"/>
      <c r="B750" s="7"/>
      <c r="C750" s="33"/>
      <c r="D750" s="7"/>
      <c r="E750" s="7"/>
      <c r="F750" s="7"/>
      <c r="G750" s="7"/>
      <c r="H750" s="7"/>
      <c r="I750" s="7"/>
      <c r="J750" s="7"/>
      <c r="K750" s="7"/>
      <c r="L750" s="7"/>
      <c r="M750" s="7"/>
      <c r="N750" s="7"/>
      <c r="O750" s="7"/>
      <c r="P750" s="7"/>
      <c r="Q750" s="7"/>
      <c r="R750" s="64"/>
      <c r="S750" s="64"/>
      <c r="T750" s="64"/>
      <c r="U750" s="64"/>
      <c r="V750" s="64"/>
      <c r="W750" s="64"/>
    </row>
    <row r="751" spans="1:23" ht="30" customHeight="1">
      <c r="A751" s="8"/>
      <c r="B751" s="7"/>
      <c r="C751" s="33"/>
      <c r="D751" s="7"/>
      <c r="E751" s="7"/>
      <c r="F751" s="7"/>
      <c r="G751" s="7"/>
      <c r="H751" s="7"/>
      <c r="I751" s="7"/>
      <c r="J751" s="7"/>
      <c r="K751" s="7"/>
      <c r="L751" s="7"/>
      <c r="M751" s="7"/>
      <c r="N751" s="7"/>
      <c r="O751" s="7"/>
      <c r="P751" s="7"/>
      <c r="Q751" s="7"/>
      <c r="R751" s="64"/>
      <c r="S751" s="64"/>
      <c r="T751" s="64"/>
      <c r="U751" s="64"/>
      <c r="V751" s="64"/>
      <c r="W751" s="64"/>
    </row>
    <row r="752" spans="1:23" ht="30" customHeight="1">
      <c r="A752" s="8"/>
      <c r="B752" s="7"/>
      <c r="C752" s="33"/>
      <c r="D752" s="7"/>
      <c r="E752" s="7"/>
      <c r="F752" s="7"/>
      <c r="G752" s="7"/>
      <c r="H752" s="7"/>
      <c r="I752" s="7"/>
      <c r="J752" s="7"/>
      <c r="K752" s="7"/>
      <c r="L752" s="7"/>
      <c r="M752" s="7"/>
      <c r="N752" s="7"/>
      <c r="O752" s="7"/>
      <c r="P752" s="7"/>
      <c r="Q752" s="7"/>
      <c r="R752" s="64"/>
      <c r="S752" s="64"/>
      <c r="T752" s="64"/>
      <c r="U752" s="64"/>
      <c r="V752" s="64"/>
      <c r="W752" s="64"/>
    </row>
    <row r="753" spans="1:23" ht="30" customHeight="1">
      <c r="A753" s="8"/>
      <c r="B753" s="7"/>
      <c r="C753" s="33"/>
      <c r="D753" s="7"/>
      <c r="E753" s="7"/>
      <c r="F753" s="7"/>
      <c r="G753" s="7"/>
      <c r="H753" s="7"/>
      <c r="I753" s="7"/>
      <c r="J753" s="7"/>
      <c r="K753" s="7"/>
      <c r="L753" s="7"/>
      <c r="M753" s="7"/>
      <c r="N753" s="7"/>
      <c r="O753" s="7"/>
      <c r="P753" s="7"/>
      <c r="Q753" s="7"/>
      <c r="R753" s="64"/>
      <c r="S753" s="64"/>
      <c r="T753" s="64"/>
      <c r="U753" s="64"/>
      <c r="V753" s="64"/>
      <c r="W753" s="64"/>
    </row>
    <row r="754" spans="1:23" ht="30" customHeight="1">
      <c r="A754" s="8"/>
      <c r="B754" s="7"/>
      <c r="C754" s="33"/>
      <c r="D754" s="7"/>
      <c r="E754" s="7"/>
      <c r="F754" s="7"/>
      <c r="G754" s="7"/>
      <c r="H754" s="7"/>
      <c r="I754" s="7"/>
      <c r="J754" s="7"/>
      <c r="K754" s="7"/>
      <c r="L754" s="7"/>
      <c r="M754" s="7"/>
      <c r="N754" s="7"/>
      <c r="O754" s="7"/>
      <c r="P754" s="7"/>
      <c r="Q754" s="7"/>
      <c r="R754" s="64"/>
      <c r="S754" s="64"/>
      <c r="T754" s="64"/>
      <c r="U754" s="64"/>
      <c r="V754" s="64"/>
      <c r="W754" s="64"/>
    </row>
    <row r="755" spans="1:23" ht="30" customHeight="1">
      <c r="A755" s="8"/>
      <c r="B755" s="7"/>
      <c r="C755" s="33"/>
      <c r="D755" s="7"/>
      <c r="E755" s="7"/>
      <c r="F755" s="7"/>
      <c r="G755" s="7"/>
      <c r="H755" s="7"/>
      <c r="I755" s="7"/>
      <c r="J755" s="7"/>
      <c r="K755" s="7"/>
      <c r="L755" s="7"/>
      <c r="M755" s="7"/>
      <c r="N755" s="7"/>
      <c r="O755" s="7"/>
      <c r="P755" s="7"/>
      <c r="Q755" s="7"/>
      <c r="R755" s="64"/>
      <c r="S755" s="64"/>
      <c r="T755" s="64"/>
      <c r="U755" s="64"/>
      <c r="V755" s="64"/>
      <c r="W755" s="64"/>
    </row>
    <row r="756" spans="1:23" ht="30" customHeight="1">
      <c r="A756" s="8"/>
      <c r="B756" s="7"/>
      <c r="C756" s="33"/>
      <c r="D756" s="7"/>
      <c r="E756" s="7"/>
      <c r="F756" s="7"/>
      <c r="G756" s="7"/>
      <c r="H756" s="7"/>
      <c r="I756" s="7"/>
      <c r="J756" s="7"/>
      <c r="K756" s="7"/>
      <c r="L756" s="7"/>
      <c r="M756" s="7"/>
      <c r="N756" s="7"/>
      <c r="O756" s="7"/>
      <c r="P756" s="7"/>
      <c r="Q756" s="7"/>
      <c r="R756" s="64"/>
      <c r="S756" s="64"/>
      <c r="T756" s="64"/>
      <c r="U756" s="64"/>
      <c r="V756" s="64"/>
      <c r="W756" s="64"/>
    </row>
    <row r="757" spans="1:23" ht="30" customHeight="1">
      <c r="A757" s="8"/>
      <c r="B757" s="7"/>
      <c r="C757" s="33"/>
      <c r="D757" s="7"/>
      <c r="E757" s="7"/>
      <c r="F757" s="7"/>
      <c r="G757" s="7"/>
      <c r="H757" s="7"/>
      <c r="I757" s="7"/>
      <c r="J757" s="7"/>
      <c r="K757" s="7"/>
      <c r="L757" s="7"/>
      <c r="M757" s="7"/>
      <c r="N757" s="7"/>
      <c r="O757" s="7"/>
      <c r="P757" s="7"/>
      <c r="Q757" s="7"/>
      <c r="R757" s="64"/>
      <c r="S757" s="64"/>
      <c r="T757" s="64"/>
      <c r="U757" s="64"/>
      <c r="V757" s="64"/>
      <c r="W757" s="64"/>
    </row>
    <row r="758" spans="1:23" ht="30" customHeight="1">
      <c r="A758" s="8"/>
      <c r="B758" s="7"/>
      <c r="C758" s="33"/>
      <c r="D758" s="7"/>
      <c r="E758" s="7"/>
      <c r="F758" s="7"/>
      <c r="G758" s="7"/>
      <c r="H758" s="7"/>
      <c r="I758" s="7"/>
      <c r="J758" s="7"/>
      <c r="K758" s="7"/>
      <c r="L758" s="7"/>
      <c r="M758" s="7"/>
      <c r="N758" s="7"/>
      <c r="O758" s="7"/>
      <c r="P758" s="7"/>
      <c r="Q758" s="7"/>
      <c r="R758" s="64"/>
      <c r="S758" s="64"/>
      <c r="T758" s="64"/>
      <c r="U758" s="64"/>
      <c r="V758" s="64"/>
      <c r="W758" s="64"/>
    </row>
    <row r="759" spans="1:23" ht="30" customHeight="1">
      <c r="A759" s="8"/>
      <c r="B759" s="7"/>
      <c r="C759" s="33"/>
      <c r="D759" s="7"/>
      <c r="E759" s="7"/>
      <c r="F759" s="7"/>
      <c r="G759" s="7"/>
      <c r="H759" s="7"/>
      <c r="I759" s="7"/>
      <c r="J759" s="7"/>
      <c r="K759" s="7"/>
      <c r="L759" s="7"/>
      <c r="M759" s="7"/>
      <c r="N759" s="7"/>
      <c r="O759" s="7"/>
      <c r="P759" s="7"/>
      <c r="Q759" s="7"/>
      <c r="R759" s="64"/>
      <c r="S759" s="64"/>
      <c r="T759" s="64"/>
      <c r="U759" s="64"/>
      <c r="V759" s="64"/>
      <c r="W759" s="64"/>
    </row>
    <row r="760" spans="1:23" ht="30" customHeight="1">
      <c r="A760" s="8"/>
      <c r="B760" s="7"/>
      <c r="C760" s="33"/>
      <c r="D760" s="7"/>
      <c r="E760" s="7"/>
      <c r="F760" s="7"/>
      <c r="G760" s="7"/>
      <c r="H760" s="7"/>
      <c r="I760" s="7"/>
      <c r="J760" s="7"/>
      <c r="K760" s="7"/>
      <c r="L760" s="7"/>
      <c r="M760" s="7"/>
      <c r="N760" s="7"/>
      <c r="O760" s="7"/>
      <c r="P760" s="7"/>
      <c r="Q760" s="7"/>
      <c r="R760" s="64"/>
      <c r="S760" s="64"/>
      <c r="T760" s="64"/>
      <c r="U760" s="64"/>
      <c r="V760" s="64"/>
      <c r="W760" s="64"/>
    </row>
    <row r="761" spans="1:23" ht="30" customHeight="1">
      <c r="A761" s="8"/>
      <c r="B761" s="7"/>
      <c r="C761" s="33"/>
      <c r="D761" s="7"/>
      <c r="E761" s="7"/>
      <c r="F761" s="7"/>
      <c r="G761" s="7"/>
      <c r="H761" s="7"/>
      <c r="I761" s="7"/>
      <c r="J761" s="7"/>
      <c r="K761" s="7"/>
      <c r="L761" s="7"/>
      <c r="M761" s="7"/>
      <c r="N761" s="7"/>
      <c r="O761" s="7"/>
      <c r="P761" s="7"/>
      <c r="Q761" s="7"/>
      <c r="R761" s="64"/>
      <c r="S761" s="64"/>
      <c r="T761" s="64"/>
      <c r="U761" s="64"/>
      <c r="V761" s="64"/>
      <c r="W761" s="64"/>
    </row>
    <row r="762" spans="1:23" ht="30" customHeight="1">
      <c r="A762" s="8"/>
      <c r="B762" s="7"/>
      <c r="C762" s="33"/>
      <c r="D762" s="7"/>
      <c r="E762" s="7"/>
      <c r="F762" s="7"/>
      <c r="G762" s="7"/>
      <c r="H762" s="7"/>
      <c r="I762" s="7"/>
      <c r="J762" s="7"/>
      <c r="K762" s="7"/>
      <c r="L762" s="7"/>
      <c r="M762" s="7"/>
      <c r="N762" s="7"/>
      <c r="O762" s="7"/>
      <c r="P762" s="7"/>
      <c r="Q762" s="7"/>
      <c r="R762" s="64"/>
      <c r="S762" s="64"/>
      <c r="T762" s="64"/>
      <c r="U762" s="64"/>
      <c r="V762" s="64"/>
      <c r="W762" s="64"/>
    </row>
    <row r="763" spans="1:23" ht="30" customHeight="1">
      <c r="A763" s="8"/>
      <c r="B763" s="7"/>
      <c r="C763" s="33"/>
      <c r="D763" s="7"/>
      <c r="E763" s="7"/>
      <c r="F763" s="7"/>
      <c r="G763" s="7"/>
      <c r="H763" s="7"/>
      <c r="I763" s="7"/>
      <c r="J763" s="7"/>
      <c r="K763" s="7"/>
      <c r="L763" s="7"/>
      <c r="M763" s="7"/>
      <c r="N763" s="7"/>
      <c r="O763" s="7"/>
      <c r="P763" s="7"/>
      <c r="Q763" s="7"/>
      <c r="R763" s="64"/>
      <c r="S763" s="64"/>
      <c r="T763" s="64"/>
      <c r="U763" s="64"/>
      <c r="V763" s="64"/>
      <c r="W763" s="64"/>
    </row>
    <row r="764" spans="1:23" ht="30" customHeight="1">
      <c r="A764" s="8"/>
      <c r="B764" s="7"/>
      <c r="C764" s="33"/>
      <c r="D764" s="7"/>
      <c r="E764" s="7"/>
      <c r="F764" s="7"/>
      <c r="G764" s="7"/>
      <c r="H764" s="7"/>
      <c r="I764" s="7"/>
      <c r="J764" s="7"/>
      <c r="K764" s="7"/>
      <c r="L764" s="7"/>
      <c r="M764" s="7"/>
      <c r="N764" s="7"/>
      <c r="O764" s="7"/>
      <c r="P764" s="7"/>
      <c r="Q764" s="7"/>
      <c r="R764" s="64"/>
      <c r="S764" s="64"/>
      <c r="T764" s="64"/>
      <c r="U764" s="64"/>
      <c r="V764" s="64"/>
      <c r="W764" s="64"/>
    </row>
    <row r="765" spans="1:23" ht="30" customHeight="1">
      <c r="A765" s="8"/>
      <c r="B765" s="7"/>
      <c r="C765" s="33"/>
      <c r="D765" s="7"/>
      <c r="E765" s="7"/>
      <c r="F765" s="7"/>
      <c r="G765" s="7"/>
      <c r="H765" s="7"/>
      <c r="I765" s="7"/>
      <c r="J765" s="7"/>
      <c r="K765" s="7"/>
      <c r="L765" s="7"/>
      <c r="M765" s="7"/>
      <c r="N765" s="7"/>
      <c r="O765" s="7"/>
      <c r="P765" s="7"/>
      <c r="Q765" s="7"/>
      <c r="R765" s="64"/>
      <c r="S765" s="64"/>
      <c r="T765" s="64"/>
      <c r="U765" s="64"/>
      <c r="V765" s="64"/>
      <c r="W765" s="64"/>
    </row>
    <row r="766" spans="1:23" ht="30" customHeight="1">
      <c r="A766" s="8"/>
      <c r="B766" s="7"/>
      <c r="C766" s="33"/>
      <c r="D766" s="7"/>
      <c r="E766" s="7"/>
      <c r="F766" s="7"/>
      <c r="G766" s="7"/>
      <c r="H766" s="7"/>
      <c r="I766" s="7"/>
      <c r="J766" s="7"/>
      <c r="K766" s="7"/>
      <c r="L766" s="7"/>
      <c r="M766" s="7"/>
      <c r="N766" s="7"/>
      <c r="O766" s="7"/>
      <c r="P766" s="7"/>
      <c r="Q766" s="7"/>
      <c r="R766" s="64"/>
      <c r="S766" s="64"/>
      <c r="T766" s="64"/>
      <c r="U766" s="64"/>
      <c r="V766" s="64"/>
      <c r="W766" s="64"/>
    </row>
    <row r="767" spans="1:23" ht="30" customHeight="1">
      <c r="A767" s="8"/>
      <c r="B767" s="7"/>
      <c r="C767" s="33"/>
      <c r="D767" s="7"/>
      <c r="E767" s="7"/>
      <c r="F767" s="7"/>
      <c r="G767" s="7"/>
      <c r="H767" s="7"/>
      <c r="I767" s="7"/>
      <c r="J767" s="7"/>
      <c r="K767" s="7"/>
      <c r="L767" s="7"/>
      <c r="M767" s="7"/>
      <c r="N767" s="7"/>
      <c r="O767" s="7"/>
      <c r="P767" s="7"/>
      <c r="Q767" s="7"/>
      <c r="R767" s="64"/>
      <c r="S767" s="64"/>
      <c r="T767" s="64"/>
      <c r="U767" s="64"/>
      <c r="V767" s="64"/>
      <c r="W767" s="64"/>
    </row>
    <row r="768" spans="1:23" ht="30" customHeight="1">
      <c r="A768" s="8"/>
      <c r="B768" s="7"/>
      <c r="C768" s="33"/>
      <c r="D768" s="7"/>
      <c r="E768" s="7"/>
      <c r="F768" s="7"/>
      <c r="G768" s="7"/>
      <c r="H768" s="7"/>
      <c r="I768" s="7"/>
      <c r="J768" s="7"/>
      <c r="K768" s="7"/>
      <c r="L768" s="7"/>
      <c r="M768" s="7"/>
      <c r="N768" s="7"/>
      <c r="O768" s="7"/>
      <c r="P768" s="7"/>
      <c r="Q768" s="7"/>
      <c r="R768" s="64"/>
      <c r="S768" s="64"/>
      <c r="T768" s="64"/>
      <c r="U768" s="64"/>
      <c r="V768" s="64"/>
      <c r="W768" s="64"/>
    </row>
    <row r="769" spans="1:23" ht="30" customHeight="1">
      <c r="A769" s="8"/>
      <c r="B769" s="7"/>
      <c r="C769" s="33"/>
      <c r="D769" s="7"/>
      <c r="E769" s="7"/>
      <c r="F769" s="7"/>
      <c r="G769" s="7"/>
      <c r="H769" s="7"/>
      <c r="I769" s="7"/>
      <c r="J769" s="7"/>
      <c r="K769" s="7"/>
      <c r="L769" s="7"/>
      <c r="M769" s="7"/>
      <c r="N769" s="7"/>
      <c r="O769" s="7"/>
      <c r="P769" s="7"/>
      <c r="Q769" s="7"/>
      <c r="R769" s="64"/>
      <c r="S769" s="64"/>
      <c r="T769" s="64"/>
      <c r="U769" s="64"/>
      <c r="V769" s="64"/>
      <c r="W769" s="64"/>
    </row>
    <row r="770" spans="1:23" ht="30" customHeight="1">
      <c r="A770" s="8"/>
      <c r="B770" s="7"/>
      <c r="C770" s="33"/>
      <c r="D770" s="7"/>
      <c r="E770" s="7"/>
      <c r="F770" s="7"/>
      <c r="G770" s="7"/>
      <c r="H770" s="7"/>
      <c r="I770" s="7"/>
      <c r="J770" s="7"/>
      <c r="K770" s="7"/>
      <c r="L770" s="7"/>
      <c r="M770" s="7"/>
      <c r="N770" s="7"/>
      <c r="O770" s="7"/>
      <c r="P770" s="7"/>
      <c r="Q770" s="7"/>
      <c r="R770" s="64"/>
      <c r="S770" s="64"/>
      <c r="T770" s="64"/>
      <c r="U770" s="64"/>
      <c r="V770" s="64"/>
      <c r="W770" s="64"/>
    </row>
    <row r="771" spans="1:23" ht="30" customHeight="1">
      <c r="A771" s="8"/>
      <c r="B771" s="7"/>
      <c r="C771" s="33"/>
      <c r="D771" s="7"/>
      <c r="E771" s="7"/>
      <c r="F771" s="7"/>
      <c r="G771" s="7"/>
      <c r="H771" s="7"/>
      <c r="I771" s="7"/>
      <c r="J771" s="7"/>
      <c r="K771" s="7"/>
      <c r="L771" s="7"/>
      <c r="M771" s="7"/>
      <c r="N771" s="7"/>
      <c r="O771" s="7"/>
      <c r="P771" s="7"/>
      <c r="Q771" s="7"/>
      <c r="R771" s="64"/>
      <c r="S771" s="64"/>
      <c r="T771" s="64"/>
      <c r="U771" s="64"/>
      <c r="V771" s="64"/>
      <c r="W771" s="64"/>
    </row>
    <row r="772" spans="1:23" ht="30" customHeight="1">
      <c r="A772" s="8"/>
      <c r="B772" s="7"/>
      <c r="C772" s="33"/>
      <c r="D772" s="7"/>
      <c r="E772" s="7"/>
      <c r="F772" s="7"/>
      <c r="G772" s="7"/>
      <c r="H772" s="7"/>
      <c r="I772" s="7"/>
      <c r="J772" s="7"/>
      <c r="K772" s="7"/>
      <c r="L772" s="7"/>
      <c r="M772" s="7"/>
      <c r="N772" s="7"/>
      <c r="O772" s="7"/>
      <c r="P772" s="7"/>
      <c r="Q772" s="7"/>
      <c r="R772" s="64"/>
      <c r="S772" s="64"/>
      <c r="T772" s="64"/>
      <c r="U772" s="64"/>
      <c r="V772" s="64"/>
      <c r="W772" s="64"/>
    </row>
    <row r="773" spans="1:23" ht="30" customHeight="1">
      <c r="A773" s="8"/>
      <c r="B773" s="7"/>
      <c r="C773" s="33"/>
      <c r="D773" s="7"/>
      <c r="E773" s="7"/>
      <c r="F773" s="7"/>
      <c r="G773" s="7"/>
      <c r="H773" s="7"/>
      <c r="I773" s="7"/>
      <c r="J773" s="7"/>
      <c r="K773" s="7"/>
      <c r="L773" s="7"/>
      <c r="M773" s="7"/>
      <c r="N773" s="7"/>
      <c r="O773" s="7"/>
      <c r="P773" s="7"/>
      <c r="Q773" s="7"/>
      <c r="R773" s="64"/>
      <c r="S773" s="64"/>
      <c r="T773" s="64"/>
      <c r="U773" s="64"/>
      <c r="V773" s="64"/>
      <c r="W773" s="64"/>
    </row>
    <row r="774" spans="1:23" ht="30" customHeight="1">
      <c r="A774" s="8"/>
      <c r="B774" s="7"/>
      <c r="C774" s="33"/>
      <c r="D774" s="7"/>
      <c r="E774" s="7"/>
      <c r="F774" s="7"/>
      <c r="G774" s="7"/>
      <c r="H774" s="7"/>
      <c r="I774" s="7"/>
      <c r="J774" s="7"/>
      <c r="K774" s="7"/>
      <c r="L774" s="7"/>
      <c r="M774" s="7"/>
      <c r="N774" s="7"/>
      <c r="O774" s="7"/>
      <c r="P774" s="7"/>
      <c r="Q774" s="7"/>
      <c r="R774" s="64"/>
      <c r="S774" s="64"/>
      <c r="T774" s="64"/>
      <c r="U774" s="64"/>
      <c r="V774" s="64"/>
      <c r="W774" s="64"/>
    </row>
    <row r="775" spans="1:23" ht="30" customHeight="1">
      <c r="A775" s="8"/>
      <c r="B775" s="7"/>
      <c r="C775" s="33"/>
      <c r="D775" s="7"/>
      <c r="E775" s="7"/>
      <c r="F775" s="7"/>
      <c r="G775" s="7"/>
      <c r="H775" s="7"/>
      <c r="I775" s="7"/>
      <c r="J775" s="7"/>
      <c r="K775" s="7"/>
      <c r="L775" s="7"/>
      <c r="M775" s="7"/>
      <c r="N775" s="7"/>
      <c r="O775" s="7"/>
      <c r="P775" s="7"/>
      <c r="Q775" s="7"/>
      <c r="R775" s="64"/>
      <c r="S775" s="64"/>
      <c r="T775" s="64"/>
      <c r="U775" s="64"/>
      <c r="V775" s="64"/>
      <c r="W775" s="64"/>
    </row>
    <row r="776" spans="1:23" ht="30" customHeight="1">
      <c r="A776" s="8"/>
      <c r="B776" s="7"/>
      <c r="C776" s="33"/>
      <c r="D776" s="7"/>
      <c r="E776" s="7"/>
      <c r="F776" s="7"/>
      <c r="G776" s="7"/>
      <c r="H776" s="7"/>
      <c r="I776" s="7"/>
      <c r="J776" s="7"/>
      <c r="K776" s="7"/>
      <c r="L776" s="7"/>
      <c r="M776" s="7"/>
      <c r="N776" s="7"/>
      <c r="O776" s="7"/>
      <c r="P776" s="7"/>
      <c r="Q776" s="7"/>
      <c r="R776" s="64"/>
      <c r="S776" s="64"/>
      <c r="T776" s="64"/>
      <c r="U776" s="64"/>
      <c r="V776" s="64"/>
      <c r="W776" s="64"/>
    </row>
    <row r="777" spans="1:23" ht="30" customHeight="1">
      <c r="A777" s="8"/>
      <c r="B777" s="7"/>
      <c r="C777" s="33"/>
      <c r="D777" s="7"/>
      <c r="E777" s="7"/>
      <c r="F777" s="7"/>
      <c r="G777" s="7"/>
      <c r="H777" s="7"/>
      <c r="I777" s="7"/>
      <c r="J777" s="7"/>
      <c r="K777" s="7"/>
      <c r="L777" s="7"/>
      <c r="M777" s="7"/>
      <c r="N777" s="7"/>
      <c r="O777" s="7"/>
      <c r="P777" s="7"/>
      <c r="Q777" s="7"/>
      <c r="R777" s="64"/>
      <c r="S777" s="64"/>
      <c r="T777" s="64"/>
      <c r="U777" s="64"/>
      <c r="V777" s="64"/>
      <c r="W777" s="64"/>
    </row>
    <row r="778" spans="1:23" ht="30" customHeight="1">
      <c r="A778" s="8"/>
      <c r="B778" s="7"/>
      <c r="C778" s="33"/>
      <c r="D778" s="7"/>
      <c r="E778" s="7"/>
      <c r="F778" s="7"/>
      <c r="G778" s="7"/>
      <c r="H778" s="7"/>
      <c r="I778" s="7"/>
      <c r="J778" s="7"/>
      <c r="K778" s="7"/>
      <c r="L778" s="7"/>
      <c r="M778" s="7"/>
      <c r="N778" s="7"/>
      <c r="O778" s="7"/>
      <c r="P778" s="7"/>
      <c r="Q778" s="7"/>
      <c r="R778" s="64"/>
      <c r="S778" s="64"/>
      <c r="T778" s="64"/>
      <c r="U778" s="64"/>
      <c r="V778" s="64"/>
      <c r="W778" s="64"/>
    </row>
    <row r="779" spans="1:23" ht="30" customHeight="1">
      <c r="A779" s="8"/>
      <c r="B779" s="7"/>
      <c r="C779" s="33"/>
      <c r="D779" s="7"/>
      <c r="E779" s="7"/>
      <c r="F779" s="7"/>
      <c r="G779" s="7"/>
      <c r="H779" s="7"/>
      <c r="I779" s="7"/>
      <c r="J779" s="7"/>
      <c r="K779" s="7"/>
      <c r="L779" s="7"/>
      <c r="M779" s="7"/>
      <c r="N779" s="7"/>
      <c r="O779" s="7"/>
      <c r="P779" s="7"/>
      <c r="Q779" s="7"/>
      <c r="R779" s="64"/>
      <c r="S779" s="64"/>
      <c r="T779" s="64"/>
      <c r="U779" s="64"/>
      <c r="V779" s="64"/>
      <c r="W779" s="64"/>
    </row>
    <row r="780" spans="1:23" ht="30" customHeight="1">
      <c r="A780" s="8"/>
      <c r="B780" s="7"/>
      <c r="C780" s="33"/>
      <c r="D780" s="7"/>
      <c r="E780" s="7"/>
      <c r="F780" s="7"/>
      <c r="G780" s="7"/>
      <c r="H780" s="7"/>
      <c r="I780" s="7"/>
      <c r="J780" s="7"/>
      <c r="K780" s="7"/>
      <c r="L780" s="7"/>
      <c r="M780" s="7"/>
      <c r="N780" s="7"/>
      <c r="O780" s="7"/>
      <c r="P780" s="7"/>
      <c r="Q780" s="7"/>
      <c r="R780" s="64"/>
      <c r="S780" s="64"/>
      <c r="T780" s="64"/>
      <c r="U780" s="64"/>
      <c r="V780" s="64"/>
      <c r="W780" s="64"/>
    </row>
    <row r="781" spans="1:23" ht="30" customHeight="1">
      <c r="A781" s="8"/>
      <c r="B781" s="7"/>
      <c r="C781" s="33"/>
      <c r="D781" s="7"/>
      <c r="E781" s="7"/>
      <c r="F781" s="7"/>
      <c r="G781" s="7"/>
      <c r="H781" s="7"/>
      <c r="I781" s="7"/>
      <c r="J781" s="7"/>
      <c r="K781" s="7"/>
      <c r="L781" s="7"/>
      <c r="M781" s="7"/>
      <c r="N781" s="7"/>
      <c r="O781" s="7"/>
      <c r="P781" s="7"/>
      <c r="Q781" s="7"/>
      <c r="R781" s="64"/>
      <c r="S781" s="64"/>
      <c r="T781" s="64"/>
      <c r="U781" s="64"/>
      <c r="V781" s="64"/>
      <c r="W781" s="64"/>
    </row>
    <row r="782" spans="1:23" ht="30" customHeight="1">
      <c r="A782" s="8"/>
      <c r="B782" s="7"/>
      <c r="C782" s="33"/>
      <c r="D782" s="7"/>
      <c r="E782" s="7"/>
      <c r="F782" s="7"/>
      <c r="G782" s="7"/>
      <c r="H782" s="7"/>
      <c r="I782" s="7"/>
      <c r="J782" s="7"/>
      <c r="K782" s="7"/>
      <c r="L782" s="7"/>
      <c r="M782" s="7"/>
      <c r="N782" s="7"/>
      <c r="O782" s="7"/>
      <c r="P782" s="7"/>
      <c r="Q782" s="7"/>
      <c r="R782" s="64"/>
      <c r="S782" s="64"/>
      <c r="T782" s="64"/>
      <c r="U782" s="64"/>
      <c r="V782" s="64"/>
      <c r="W782" s="64"/>
    </row>
    <row r="783" spans="1:23" ht="30" customHeight="1">
      <c r="A783" s="8"/>
      <c r="B783" s="7"/>
      <c r="C783" s="33"/>
      <c r="D783" s="7"/>
      <c r="E783" s="7"/>
      <c r="F783" s="7"/>
      <c r="G783" s="7"/>
      <c r="H783" s="7"/>
      <c r="I783" s="7"/>
      <c r="J783" s="7"/>
      <c r="K783" s="7"/>
      <c r="L783" s="7"/>
      <c r="M783" s="7"/>
      <c r="N783" s="7"/>
      <c r="O783" s="7"/>
      <c r="P783" s="7"/>
      <c r="Q783" s="7"/>
      <c r="R783" s="64"/>
      <c r="S783" s="64"/>
      <c r="T783" s="64"/>
      <c r="U783" s="64"/>
      <c r="V783" s="64"/>
      <c r="W783" s="64"/>
    </row>
    <row r="784" spans="1:23" ht="30" customHeight="1">
      <c r="A784" s="8"/>
      <c r="B784" s="7"/>
      <c r="C784" s="33"/>
      <c r="D784" s="7"/>
      <c r="E784" s="7"/>
      <c r="F784" s="7"/>
      <c r="G784" s="7"/>
      <c r="H784" s="7"/>
      <c r="I784" s="7"/>
      <c r="J784" s="7"/>
      <c r="K784" s="7"/>
      <c r="L784" s="7"/>
      <c r="M784" s="7"/>
      <c r="N784" s="7"/>
      <c r="O784" s="7"/>
      <c r="P784" s="7"/>
      <c r="Q784" s="7"/>
      <c r="R784" s="64"/>
      <c r="S784" s="64"/>
      <c r="T784" s="64"/>
      <c r="U784" s="64"/>
      <c r="V784" s="64"/>
      <c r="W784" s="64"/>
    </row>
    <row r="785" spans="1:23" ht="30" customHeight="1">
      <c r="A785" s="8"/>
      <c r="B785" s="7"/>
      <c r="C785" s="33"/>
      <c r="D785" s="7"/>
      <c r="E785" s="7"/>
      <c r="F785" s="7"/>
      <c r="G785" s="7"/>
      <c r="H785" s="7"/>
      <c r="I785" s="7"/>
      <c r="J785" s="7"/>
      <c r="K785" s="7"/>
      <c r="L785" s="7"/>
      <c r="M785" s="7"/>
      <c r="N785" s="7"/>
      <c r="O785" s="7"/>
      <c r="P785" s="7"/>
      <c r="Q785" s="7"/>
      <c r="R785" s="64"/>
      <c r="S785" s="64"/>
      <c r="T785" s="64"/>
      <c r="U785" s="64"/>
      <c r="V785" s="64"/>
      <c r="W785" s="64"/>
    </row>
    <row r="786" spans="1:23" ht="30" customHeight="1">
      <c r="A786" s="8"/>
      <c r="B786" s="7"/>
      <c r="C786" s="33"/>
      <c r="D786" s="7"/>
      <c r="E786" s="7"/>
      <c r="F786" s="7"/>
      <c r="G786" s="7"/>
      <c r="H786" s="7"/>
      <c r="I786" s="7"/>
      <c r="J786" s="7"/>
      <c r="K786" s="7"/>
      <c r="L786" s="7"/>
      <c r="M786" s="7"/>
      <c r="N786" s="7"/>
      <c r="O786" s="7"/>
      <c r="P786" s="7"/>
      <c r="Q786" s="7"/>
      <c r="R786" s="64"/>
      <c r="S786" s="64"/>
      <c r="T786" s="64"/>
      <c r="U786" s="64"/>
      <c r="V786" s="64"/>
      <c r="W786" s="64"/>
    </row>
    <row r="787" spans="1:23" ht="30" customHeight="1">
      <c r="A787" s="8"/>
      <c r="B787" s="7"/>
      <c r="C787" s="33"/>
      <c r="D787" s="7"/>
      <c r="E787" s="7"/>
      <c r="F787" s="7"/>
      <c r="G787" s="7"/>
      <c r="H787" s="7"/>
      <c r="I787" s="7"/>
      <c r="J787" s="7"/>
      <c r="K787" s="7"/>
      <c r="L787" s="7"/>
      <c r="M787" s="7"/>
      <c r="N787" s="7"/>
      <c r="O787" s="7"/>
      <c r="P787" s="7"/>
      <c r="Q787" s="7"/>
      <c r="R787" s="64"/>
      <c r="S787" s="64"/>
      <c r="T787" s="64"/>
      <c r="U787" s="64"/>
      <c r="V787" s="64"/>
      <c r="W787" s="64"/>
    </row>
    <row r="788" spans="1:23" ht="30" customHeight="1">
      <c r="A788" s="8"/>
      <c r="B788" s="7"/>
      <c r="C788" s="33"/>
      <c r="D788" s="7"/>
      <c r="E788" s="7"/>
      <c r="F788" s="7"/>
      <c r="G788" s="7"/>
      <c r="H788" s="7"/>
      <c r="I788" s="7"/>
      <c r="J788" s="7"/>
      <c r="K788" s="7"/>
      <c r="L788" s="7"/>
      <c r="M788" s="7"/>
      <c r="N788" s="7"/>
      <c r="O788" s="7"/>
      <c r="P788" s="7"/>
      <c r="Q788" s="7"/>
      <c r="R788" s="64"/>
      <c r="S788" s="64"/>
      <c r="T788" s="64"/>
      <c r="U788" s="64"/>
      <c r="V788" s="64"/>
      <c r="W788" s="64"/>
    </row>
    <row r="789" spans="1:23" ht="30" customHeight="1">
      <c r="A789" s="8"/>
      <c r="B789" s="7"/>
      <c r="C789" s="33"/>
      <c r="D789" s="7"/>
      <c r="E789" s="7"/>
      <c r="F789" s="7"/>
      <c r="G789" s="7"/>
      <c r="H789" s="7"/>
      <c r="I789" s="7"/>
      <c r="J789" s="7"/>
      <c r="K789" s="7"/>
      <c r="L789" s="7"/>
      <c r="M789" s="7"/>
      <c r="N789" s="7"/>
      <c r="O789" s="7"/>
      <c r="P789" s="7"/>
      <c r="Q789" s="7"/>
      <c r="R789" s="64"/>
      <c r="S789" s="64"/>
      <c r="T789" s="64"/>
      <c r="U789" s="64"/>
      <c r="V789" s="64"/>
      <c r="W789" s="64"/>
    </row>
    <row r="790" spans="1:23" ht="30" customHeight="1">
      <c r="A790" s="8"/>
      <c r="B790" s="7"/>
      <c r="C790" s="33"/>
      <c r="D790" s="7"/>
      <c r="E790" s="7"/>
      <c r="F790" s="7"/>
      <c r="G790" s="7"/>
      <c r="H790" s="7"/>
      <c r="I790" s="7"/>
      <c r="J790" s="7"/>
      <c r="K790" s="7"/>
      <c r="L790" s="7"/>
      <c r="M790" s="7"/>
      <c r="N790" s="7"/>
      <c r="O790" s="7"/>
      <c r="P790" s="7"/>
      <c r="Q790" s="7"/>
      <c r="R790" s="64"/>
      <c r="S790" s="64"/>
      <c r="T790" s="64"/>
      <c r="U790" s="64"/>
      <c r="V790" s="64"/>
      <c r="W790" s="64"/>
    </row>
    <row r="791" spans="1:23" ht="30" customHeight="1">
      <c r="A791" s="8"/>
      <c r="B791" s="7"/>
      <c r="C791" s="33"/>
      <c r="D791" s="7"/>
      <c r="E791" s="7"/>
      <c r="F791" s="7"/>
      <c r="G791" s="7"/>
      <c r="H791" s="7"/>
      <c r="I791" s="7"/>
      <c r="J791" s="7"/>
      <c r="K791" s="7"/>
      <c r="L791" s="7"/>
      <c r="M791" s="7"/>
      <c r="N791" s="7"/>
      <c r="O791" s="7"/>
      <c r="P791" s="7"/>
      <c r="Q791" s="7"/>
      <c r="R791" s="64"/>
      <c r="S791" s="64"/>
      <c r="T791" s="64"/>
      <c r="U791" s="64"/>
      <c r="V791" s="64"/>
      <c r="W791" s="64"/>
    </row>
    <row r="792" spans="1:23" ht="30" customHeight="1">
      <c r="A792" s="8"/>
      <c r="B792" s="7"/>
      <c r="C792" s="33"/>
      <c r="D792" s="7"/>
      <c r="E792" s="7"/>
      <c r="F792" s="7"/>
      <c r="G792" s="7"/>
      <c r="H792" s="7"/>
      <c r="I792" s="7"/>
      <c r="J792" s="7"/>
      <c r="K792" s="7"/>
      <c r="L792" s="7"/>
      <c r="M792" s="7"/>
      <c r="N792" s="7"/>
      <c r="O792" s="7"/>
      <c r="P792" s="7"/>
      <c r="Q792" s="7"/>
      <c r="R792" s="64"/>
      <c r="S792" s="64"/>
      <c r="T792" s="64"/>
      <c r="U792" s="64"/>
      <c r="V792" s="64"/>
      <c r="W792" s="64"/>
    </row>
    <row r="793" spans="1:23" ht="30" customHeight="1">
      <c r="A793" s="8"/>
      <c r="B793" s="7"/>
      <c r="C793" s="33"/>
      <c r="D793" s="7"/>
      <c r="E793" s="7"/>
      <c r="F793" s="7"/>
      <c r="G793" s="7"/>
      <c r="H793" s="7"/>
      <c r="I793" s="7"/>
      <c r="J793" s="7"/>
      <c r="K793" s="7"/>
      <c r="L793" s="7"/>
      <c r="M793" s="7"/>
      <c r="N793" s="7"/>
      <c r="O793" s="7"/>
      <c r="P793" s="7"/>
      <c r="Q793" s="7"/>
      <c r="R793" s="64"/>
      <c r="S793" s="64"/>
      <c r="T793" s="64"/>
      <c r="U793" s="64"/>
      <c r="V793" s="64"/>
      <c r="W793" s="64"/>
    </row>
    <row r="794" spans="1:23" ht="30" customHeight="1">
      <c r="A794" s="8"/>
      <c r="B794" s="7"/>
      <c r="C794" s="33"/>
      <c r="D794" s="7"/>
      <c r="E794" s="7"/>
      <c r="F794" s="7"/>
      <c r="G794" s="7"/>
      <c r="H794" s="7"/>
      <c r="I794" s="7"/>
      <c r="J794" s="7"/>
      <c r="K794" s="7"/>
      <c r="L794" s="7"/>
      <c r="M794" s="7"/>
      <c r="N794" s="7"/>
      <c r="O794" s="7"/>
      <c r="P794" s="7"/>
      <c r="Q794" s="7"/>
      <c r="R794" s="64"/>
      <c r="S794" s="64"/>
      <c r="T794" s="64"/>
      <c r="U794" s="64"/>
      <c r="V794" s="64"/>
      <c r="W794" s="64"/>
    </row>
    <row r="795" spans="1:23" ht="30" customHeight="1">
      <c r="A795" s="8"/>
      <c r="B795" s="7"/>
      <c r="C795" s="33"/>
      <c r="D795" s="7"/>
      <c r="E795" s="7"/>
      <c r="F795" s="7"/>
      <c r="G795" s="7"/>
      <c r="H795" s="7"/>
      <c r="I795" s="7"/>
      <c r="J795" s="7"/>
      <c r="K795" s="7"/>
      <c r="L795" s="7"/>
      <c r="M795" s="7"/>
      <c r="N795" s="7"/>
      <c r="O795" s="7"/>
      <c r="P795" s="7"/>
      <c r="Q795" s="7"/>
      <c r="R795" s="64"/>
      <c r="S795" s="64"/>
      <c r="T795" s="64"/>
      <c r="U795" s="64"/>
      <c r="V795" s="64"/>
      <c r="W795" s="64"/>
    </row>
    <row r="796" spans="1:23" ht="30" customHeight="1">
      <c r="A796" s="8"/>
      <c r="B796" s="7"/>
      <c r="C796" s="33"/>
      <c r="D796" s="7"/>
      <c r="E796" s="7"/>
      <c r="F796" s="7"/>
      <c r="G796" s="7"/>
      <c r="H796" s="7"/>
      <c r="I796" s="7"/>
      <c r="J796" s="7"/>
      <c r="K796" s="7"/>
      <c r="L796" s="7"/>
      <c r="M796" s="7"/>
      <c r="N796" s="7"/>
      <c r="O796" s="7"/>
      <c r="P796" s="7"/>
      <c r="Q796" s="7"/>
      <c r="R796" s="64"/>
      <c r="S796" s="64"/>
      <c r="T796" s="64"/>
      <c r="U796" s="64"/>
      <c r="V796" s="64"/>
      <c r="W796" s="64"/>
    </row>
    <row r="797" spans="1:23" ht="30" customHeight="1">
      <c r="A797" s="8"/>
      <c r="B797" s="7"/>
      <c r="C797" s="33"/>
      <c r="D797" s="7"/>
      <c r="E797" s="7"/>
      <c r="F797" s="7"/>
      <c r="G797" s="7"/>
      <c r="H797" s="7"/>
      <c r="I797" s="7"/>
      <c r="J797" s="7"/>
      <c r="K797" s="7"/>
      <c r="L797" s="7"/>
      <c r="M797" s="7"/>
      <c r="N797" s="7"/>
      <c r="O797" s="7"/>
      <c r="P797" s="7"/>
      <c r="Q797" s="7"/>
      <c r="R797" s="64"/>
      <c r="S797" s="64"/>
      <c r="T797" s="64"/>
      <c r="U797" s="64"/>
      <c r="V797" s="64"/>
    </row>
    <row r="798" spans="1:23" ht="30" customHeight="1">
      <c r="A798" s="8"/>
      <c r="B798" s="7"/>
      <c r="C798" s="33"/>
      <c r="D798" s="7"/>
      <c r="E798" s="7"/>
      <c r="F798" s="7"/>
      <c r="G798" s="7"/>
      <c r="H798" s="7"/>
      <c r="I798" s="7"/>
      <c r="J798" s="7"/>
      <c r="K798" s="7"/>
      <c r="L798" s="7"/>
      <c r="M798" s="7"/>
      <c r="N798" s="7"/>
      <c r="O798" s="7"/>
      <c r="P798" s="7"/>
      <c r="Q798" s="7"/>
      <c r="R798" s="64"/>
      <c r="S798" s="64"/>
      <c r="T798" s="64"/>
      <c r="U798" s="64"/>
      <c r="V798" s="64"/>
    </row>
    <row r="799" spans="1:23" ht="30" customHeight="1">
      <c r="A799" s="8"/>
      <c r="B799" s="7"/>
      <c r="C799" s="33"/>
      <c r="D799" s="7"/>
      <c r="E799" s="7"/>
      <c r="F799" s="7"/>
      <c r="G799" s="7"/>
      <c r="H799" s="7"/>
      <c r="I799" s="7"/>
      <c r="J799" s="7"/>
      <c r="K799" s="7"/>
      <c r="L799" s="7"/>
      <c r="M799" s="7"/>
      <c r="N799" s="7"/>
      <c r="O799" s="7"/>
      <c r="P799" s="7"/>
      <c r="Q799" s="7"/>
      <c r="R799" s="64"/>
      <c r="S799" s="64"/>
      <c r="T799" s="64"/>
      <c r="U799" s="64"/>
      <c r="V799" s="64"/>
    </row>
    <row r="800" spans="1:23" ht="30" customHeight="1">
      <c r="A800" s="8"/>
      <c r="B800" s="7"/>
      <c r="C800" s="33"/>
      <c r="D800" s="7"/>
      <c r="E800" s="7"/>
      <c r="F800" s="7"/>
      <c r="G800" s="7"/>
      <c r="H800" s="7"/>
      <c r="I800" s="7"/>
      <c r="J800" s="7"/>
      <c r="K800" s="7"/>
      <c r="L800" s="7"/>
      <c r="M800" s="7"/>
      <c r="N800" s="7"/>
      <c r="O800" s="7"/>
      <c r="P800" s="7"/>
      <c r="Q800" s="7"/>
      <c r="R800" s="64"/>
      <c r="S800" s="64"/>
      <c r="T800" s="64"/>
      <c r="U800" s="64"/>
      <c r="V800" s="64"/>
    </row>
    <row r="801" spans="1:22" ht="30" customHeight="1">
      <c r="A801" s="8"/>
      <c r="B801" s="7"/>
      <c r="C801" s="33"/>
      <c r="D801" s="7"/>
      <c r="E801" s="7"/>
      <c r="F801" s="7"/>
      <c r="G801" s="7"/>
      <c r="H801" s="7"/>
      <c r="I801" s="7"/>
      <c r="J801" s="7"/>
      <c r="K801" s="7"/>
      <c r="L801" s="7"/>
      <c r="M801" s="7"/>
      <c r="N801" s="7"/>
      <c r="O801" s="7"/>
      <c r="P801" s="7"/>
      <c r="Q801" s="7"/>
      <c r="R801" s="64"/>
      <c r="S801" s="64"/>
      <c r="T801" s="64"/>
      <c r="U801" s="64"/>
      <c r="V801" s="64"/>
    </row>
    <row r="802" spans="1:22" ht="30" customHeight="1">
      <c r="A802" s="8"/>
      <c r="B802" s="7"/>
      <c r="C802" s="33"/>
      <c r="D802" s="7"/>
      <c r="E802" s="7"/>
      <c r="F802" s="7"/>
      <c r="G802" s="7"/>
      <c r="H802" s="7"/>
      <c r="I802" s="7"/>
      <c r="J802" s="7"/>
      <c r="K802" s="7"/>
      <c r="L802" s="7"/>
      <c r="M802" s="7"/>
      <c r="N802" s="7"/>
      <c r="O802" s="7"/>
      <c r="P802" s="7"/>
      <c r="Q802" s="7"/>
      <c r="R802" s="64"/>
      <c r="S802" s="64"/>
      <c r="T802" s="64"/>
      <c r="U802" s="64"/>
      <c r="V802" s="64"/>
    </row>
    <row r="803" spans="1:22" ht="30" customHeight="1">
      <c r="A803" s="8"/>
      <c r="B803" s="7"/>
      <c r="C803" s="33"/>
      <c r="D803" s="7"/>
      <c r="E803" s="7"/>
      <c r="F803" s="7"/>
      <c r="G803" s="7"/>
      <c r="H803" s="7"/>
      <c r="I803" s="7"/>
      <c r="J803" s="7"/>
      <c r="K803" s="7"/>
      <c r="L803" s="7"/>
      <c r="M803" s="7"/>
      <c r="N803" s="7"/>
      <c r="O803" s="7"/>
      <c r="P803" s="7"/>
      <c r="Q803" s="7"/>
      <c r="R803" s="64"/>
      <c r="S803" s="64"/>
      <c r="T803" s="64"/>
      <c r="U803" s="64"/>
      <c r="V803" s="64"/>
    </row>
    <row r="804" spans="1:22" ht="30" customHeight="1">
      <c r="A804" s="8"/>
      <c r="B804" s="7"/>
      <c r="C804" s="33"/>
      <c r="D804" s="7"/>
      <c r="E804" s="7"/>
      <c r="F804" s="7"/>
      <c r="G804" s="7"/>
      <c r="H804" s="7"/>
      <c r="I804" s="7"/>
      <c r="J804" s="7"/>
      <c r="K804" s="7"/>
      <c r="L804" s="7"/>
      <c r="M804" s="7"/>
      <c r="N804" s="7"/>
      <c r="O804" s="7"/>
      <c r="P804" s="7"/>
      <c r="Q804" s="7"/>
      <c r="R804" s="64"/>
      <c r="S804" s="64"/>
      <c r="T804" s="64"/>
      <c r="U804" s="64"/>
      <c r="V804" s="64"/>
    </row>
    <row r="805" spans="1:22" ht="30" customHeight="1">
      <c r="A805" s="8"/>
      <c r="B805" s="7"/>
      <c r="C805" s="33"/>
      <c r="D805" s="7"/>
      <c r="E805" s="7"/>
      <c r="F805" s="7"/>
      <c r="G805" s="7"/>
      <c r="H805" s="7"/>
      <c r="I805" s="7"/>
      <c r="J805" s="7"/>
      <c r="K805" s="7"/>
      <c r="L805" s="7"/>
      <c r="M805" s="7"/>
      <c r="N805" s="7"/>
      <c r="O805" s="7"/>
      <c r="P805" s="7"/>
      <c r="Q805" s="7"/>
      <c r="R805" s="64"/>
      <c r="S805" s="64"/>
      <c r="T805" s="64"/>
      <c r="U805" s="64"/>
      <c r="V805" s="64"/>
    </row>
    <row r="806" spans="1:22" ht="30" customHeight="1">
      <c r="A806" s="8"/>
      <c r="B806" s="7"/>
      <c r="C806" s="33"/>
      <c r="D806" s="7"/>
      <c r="E806" s="7"/>
      <c r="F806" s="7"/>
      <c r="G806" s="7"/>
      <c r="H806" s="7"/>
      <c r="I806" s="7"/>
      <c r="J806" s="7"/>
      <c r="K806" s="7"/>
      <c r="L806" s="7"/>
      <c r="M806" s="7"/>
      <c r="N806" s="7"/>
      <c r="O806" s="7"/>
      <c r="P806" s="7"/>
      <c r="Q806" s="7"/>
      <c r="R806" s="64"/>
      <c r="S806" s="64"/>
      <c r="T806" s="64"/>
      <c r="U806" s="64"/>
      <c r="V806" s="64"/>
    </row>
    <row r="807" spans="1:22" ht="30" customHeight="1">
      <c r="A807" s="8"/>
      <c r="B807" s="7"/>
      <c r="C807" s="33"/>
      <c r="D807" s="7"/>
      <c r="E807" s="7"/>
      <c r="F807" s="7"/>
      <c r="G807" s="7"/>
      <c r="H807" s="7"/>
      <c r="I807" s="7"/>
      <c r="J807" s="7"/>
      <c r="K807" s="7"/>
      <c r="L807" s="7"/>
      <c r="M807" s="7"/>
      <c r="N807" s="7"/>
      <c r="O807" s="7"/>
      <c r="P807" s="7"/>
      <c r="Q807" s="7"/>
      <c r="R807" s="64"/>
      <c r="S807" s="64"/>
      <c r="T807" s="64"/>
      <c r="U807" s="64"/>
      <c r="V807" s="64"/>
    </row>
    <row r="808" spans="1:22" ht="30" customHeight="1">
      <c r="A808" s="8"/>
      <c r="B808" s="7"/>
      <c r="C808" s="33"/>
      <c r="D808" s="7"/>
      <c r="E808" s="7"/>
      <c r="F808" s="7"/>
      <c r="G808" s="7"/>
      <c r="H808" s="7"/>
      <c r="I808" s="7"/>
      <c r="J808" s="7"/>
      <c r="K808" s="7"/>
      <c r="L808" s="7"/>
      <c r="M808" s="7"/>
      <c r="N808" s="7"/>
      <c r="O808" s="7"/>
      <c r="P808" s="7"/>
      <c r="Q808" s="7"/>
      <c r="R808" s="64"/>
      <c r="S808" s="64"/>
      <c r="T808" s="64"/>
      <c r="U808" s="64"/>
      <c r="V808" s="64"/>
    </row>
    <row r="809" spans="1:22" ht="30" customHeight="1">
      <c r="A809" s="8"/>
      <c r="B809" s="7"/>
      <c r="C809" s="33"/>
      <c r="D809" s="7"/>
      <c r="E809" s="7"/>
      <c r="F809" s="7"/>
      <c r="G809" s="7"/>
      <c r="H809" s="7"/>
      <c r="I809" s="7"/>
      <c r="J809" s="7"/>
      <c r="K809" s="7"/>
      <c r="L809" s="7"/>
      <c r="M809" s="7"/>
      <c r="N809" s="7"/>
      <c r="O809" s="7"/>
      <c r="P809" s="7"/>
      <c r="Q809" s="7"/>
      <c r="R809" s="64"/>
      <c r="S809" s="64"/>
      <c r="T809" s="64"/>
      <c r="U809" s="64"/>
      <c r="V809" s="64"/>
    </row>
    <row r="810" spans="1:22" ht="30" customHeight="1">
      <c r="A810" s="8"/>
      <c r="B810" s="7"/>
      <c r="C810" s="33"/>
      <c r="D810" s="7"/>
      <c r="E810" s="7"/>
      <c r="F810" s="7"/>
      <c r="G810" s="7"/>
      <c r="H810" s="7"/>
      <c r="I810" s="7"/>
      <c r="J810" s="7"/>
      <c r="K810" s="7"/>
      <c r="L810" s="7"/>
      <c r="M810" s="7"/>
      <c r="N810" s="7"/>
      <c r="O810" s="7"/>
      <c r="P810" s="7"/>
      <c r="Q810" s="7"/>
      <c r="R810" s="64"/>
      <c r="S810" s="64"/>
      <c r="T810" s="64"/>
      <c r="U810" s="64"/>
      <c r="V810" s="64"/>
    </row>
    <row r="811" spans="1:22" ht="30" customHeight="1">
      <c r="A811" s="8"/>
      <c r="B811" s="7"/>
      <c r="C811" s="33"/>
      <c r="D811" s="7"/>
      <c r="E811" s="7"/>
      <c r="F811" s="7"/>
      <c r="G811" s="7"/>
      <c r="H811" s="7"/>
      <c r="I811" s="7"/>
      <c r="J811" s="7"/>
      <c r="K811" s="7"/>
      <c r="L811" s="7"/>
      <c r="M811" s="7"/>
      <c r="N811" s="7"/>
      <c r="O811" s="7"/>
      <c r="P811" s="7"/>
      <c r="Q811" s="7"/>
      <c r="R811" s="64"/>
      <c r="S811" s="64"/>
      <c r="T811" s="64"/>
      <c r="U811" s="64"/>
      <c r="V811" s="64"/>
    </row>
    <row r="812" spans="1:22" ht="30" customHeight="1">
      <c r="A812" s="8"/>
      <c r="B812" s="7"/>
      <c r="C812" s="33"/>
      <c r="D812" s="7"/>
      <c r="E812" s="7"/>
      <c r="F812" s="7"/>
      <c r="G812" s="7"/>
      <c r="H812" s="7"/>
      <c r="I812" s="7"/>
      <c r="J812" s="7"/>
      <c r="K812" s="7"/>
      <c r="L812" s="7"/>
      <c r="M812" s="7"/>
      <c r="N812" s="7"/>
      <c r="O812" s="7"/>
      <c r="P812" s="7"/>
      <c r="Q812" s="7"/>
      <c r="R812" s="64"/>
      <c r="S812" s="64"/>
      <c r="T812" s="64"/>
      <c r="U812" s="64"/>
      <c r="V812" s="64"/>
    </row>
    <row r="813" spans="1:22" ht="30" customHeight="1">
      <c r="A813" s="8"/>
      <c r="B813" s="7"/>
      <c r="C813" s="33"/>
      <c r="D813" s="7"/>
      <c r="E813" s="7"/>
      <c r="F813" s="7"/>
      <c r="G813" s="7"/>
      <c r="H813" s="7"/>
      <c r="I813" s="7"/>
      <c r="J813" s="7"/>
      <c r="K813" s="7"/>
      <c r="L813" s="7"/>
      <c r="M813" s="7"/>
      <c r="N813" s="7"/>
      <c r="O813" s="7"/>
      <c r="P813" s="7"/>
      <c r="Q813" s="7"/>
      <c r="R813" s="64"/>
      <c r="S813" s="64"/>
      <c r="T813" s="64"/>
      <c r="U813" s="64"/>
      <c r="V813" s="64"/>
    </row>
    <row r="814" spans="1:22" ht="30" customHeight="1">
      <c r="A814" s="8"/>
      <c r="B814" s="7"/>
      <c r="C814" s="33"/>
      <c r="D814" s="7"/>
      <c r="E814" s="7"/>
      <c r="F814" s="7"/>
      <c r="G814" s="7"/>
      <c r="H814" s="7"/>
      <c r="I814" s="7"/>
      <c r="J814" s="7"/>
      <c r="K814" s="7"/>
      <c r="L814" s="7"/>
      <c r="M814" s="7"/>
      <c r="N814" s="7"/>
      <c r="O814" s="7"/>
      <c r="P814" s="7"/>
      <c r="Q814" s="7"/>
      <c r="R814" s="64"/>
      <c r="S814" s="64"/>
      <c r="T814" s="64"/>
      <c r="U814" s="64"/>
      <c r="V814" s="64"/>
    </row>
    <row r="815" spans="1:22" ht="30" customHeight="1">
      <c r="A815" s="8"/>
      <c r="B815" s="7"/>
      <c r="C815" s="33"/>
      <c r="D815" s="7"/>
      <c r="E815" s="7"/>
      <c r="F815" s="7"/>
      <c r="G815" s="7"/>
      <c r="H815" s="7"/>
      <c r="I815" s="7"/>
      <c r="J815" s="7"/>
      <c r="K815" s="7"/>
      <c r="L815" s="7"/>
      <c r="M815" s="7"/>
      <c r="N815" s="7"/>
      <c r="O815" s="7"/>
      <c r="P815" s="7"/>
      <c r="Q815" s="7"/>
      <c r="R815" s="64"/>
      <c r="S815" s="64"/>
      <c r="T815" s="64"/>
      <c r="U815" s="64"/>
      <c r="V815" s="64"/>
    </row>
    <row r="816" spans="1:22" ht="30" customHeight="1">
      <c r="A816" s="8"/>
      <c r="B816" s="7"/>
      <c r="C816" s="33"/>
      <c r="D816" s="7"/>
      <c r="E816" s="7"/>
      <c r="F816" s="7"/>
      <c r="G816" s="7"/>
      <c r="H816" s="7"/>
      <c r="I816" s="7"/>
      <c r="J816" s="7"/>
      <c r="K816" s="7"/>
      <c r="L816" s="7"/>
      <c r="M816" s="7"/>
      <c r="N816" s="7"/>
      <c r="O816" s="7"/>
      <c r="P816" s="7"/>
      <c r="Q816" s="7"/>
      <c r="R816" s="64"/>
      <c r="S816" s="64"/>
      <c r="T816" s="64"/>
      <c r="U816" s="64"/>
      <c r="V816" s="64"/>
    </row>
    <row r="817" spans="1:22" ht="30" customHeight="1">
      <c r="A817" s="8"/>
      <c r="B817" s="7"/>
      <c r="C817" s="33"/>
      <c r="D817" s="7"/>
      <c r="E817" s="7"/>
      <c r="F817" s="7"/>
      <c r="G817" s="7"/>
      <c r="H817" s="7"/>
      <c r="I817" s="7"/>
      <c r="J817" s="7"/>
      <c r="K817" s="7"/>
      <c r="L817" s="7"/>
      <c r="M817" s="7"/>
      <c r="N817" s="7"/>
      <c r="O817" s="7"/>
      <c r="P817" s="7"/>
      <c r="Q817" s="7"/>
      <c r="R817" s="64"/>
      <c r="S817" s="64"/>
      <c r="T817" s="64"/>
      <c r="U817" s="64"/>
      <c r="V817" s="64"/>
    </row>
    <row r="818" spans="1:22" ht="30" customHeight="1">
      <c r="A818" s="8"/>
      <c r="B818" s="7"/>
      <c r="C818" s="33"/>
      <c r="D818" s="7"/>
      <c r="E818" s="7"/>
      <c r="F818" s="7"/>
      <c r="G818" s="7"/>
      <c r="H818" s="7"/>
      <c r="I818" s="7"/>
      <c r="J818" s="7"/>
      <c r="K818" s="7"/>
      <c r="L818" s="7"/>
      <c r="M818" s="7"/>
      <c r="N818" s="7"/>
      <c r="O818" s="7"/>
      <c r="P818" s="7"/>
      <c r="Q818" s="7"/>
      <c r="R818" s="64"/>
      <c r="S818" s="64"/>
      <c r="T818" s="64"/>
      <c r="U818" s="64"/>
      <c r="V818" s="64"/>
    </row>
    <row r="819" spans="1:22" ht="30" customHeight="1">
      <c r="A819" s="8"/>
      <c r="B819" s="7"/>
      <c r="C819" s="33"/>
      <c r="D819" s="7"/>
      <c r="E819" s="7"/>
      <c r="F819" s="7"/>
      <c r="G819" s="7"/>
      <c r="H819" s="7"/>
      <c r="I819" s="7"/>
      <c r="J819" s="7"/>
      <c r="K819" s="7"/>
      <c r="L819" s="7"/>
      <c r="M819" s="7"/>
      <c r="N819" s="7"/>
      <c r="O819" s="7"/>
      <c r="P819" s="7"/>
      <c r="Q819" s="7"/>
      <c r="R819" s="64"/>
      <c r="S819" s="64"/>
      <c r="T819" s="64"/>
      <c r="U819" s="64"/>
      <c r="V819" s="64"/>
    </row>
    <row r="820" spans="1:22" ht="30" customHeight="1">
      <c r="A820" s="8"/>
      <c r="B820" s="7"/>
      <c r="C820" s="33"/>
      <c r="D820" s="7"/>
      <c r="E820" s="7"/>
      <c r="F820" s="7"/>
      <c r="G820" s="7"/>
      <c r="H820" s="7"/>
      <c r="I820" s="7"/>
      <c r="J820" s="7"/>
      <c r="K820" s="7"/>
      <c r="L820" s="7"/>
      <c r="M820" s="7"/>
      <c r="N820" s="7"/>
      <c r="O820" s="7"/>
      <c r="P820" s="7"/>
      <c r="Q820" s="7"/>
      <c r="R820" s="64"/>
      <c r="S820" s="64"/>
      <c r="T820" s="64"/>
      <c r="U820" s="64"/>
      <c r="V820" s="64"/>
    </row>
    <row r="821" spans="1:22" ht="30" customHeight="1">
      <c r="A821" s="8"/>
      <c r="B821" s="7"/>
      <c r="C821" s="33"/>
      <c r="D821" s="7"/>
      <c r="E821" s="7"/>
      <c r="F821" s="7"/>
      <c r="G821" s="7"/>
      <c r="H821" s="7"/>
      <c r="I821" s="7"/>
      <c r="J821" s="7"/>
      <c r="K821" s="7"/>
      <c r="L821" s="7"/>
      <c r="M821" s="7"/>
      <c r="N821" s="7"/>
      <c r="O821" s="7"/>
      <c r="P821" s="7"/>
      <c r="Q821" s="7"/>
      <c r="R821" s="64"/>
      <c r="S821" s="64"/>
      <c r="T821" s="64"/>
      <c r="U821" s="64"/>
      <c r="V821" s="64"/>
    </row>
    <row r="822" spans="1:22" ht="30" customHeight="1">
      <c r="A822" s="8"/>
      <c r="B822" s="7"/>
      <c r="C822" s="33"/>
      <c r="D822" s="7"/>
      <c r="E822" s="7"/>
      <c r="F822" s="7"/>
      <c r="G822" s="7"/>
      <c r="H822" s="7"/>
      <c r="I822" s="7"/>
      <c r="J822" s="7"/>
      <c r="K822" s="7"/>
      <c r="L822" s="7"/>
      <c r="M822" s="7"/>
      <c r="N822" s="7"/>
      <c r="O822" s="7"/>
      <c r="P822" s="7"/>
      <c r="Q822" s="7"/>
      <c r="R822" s="64"/>
      <c r="S822" s="64"/>
      <c r="T822" s="64"/>
      <c r="U822" s="64"/>
      <c r="V822" s="64"/>
    </row>
    <row r="823" spans="1:22" ht="30" customHeight="1">
      <c r="A823" s="8"/>
      <c r="B823" s="7"/>
      <c r="C823" s="33"/>
      <c r="D823" s="7"/>
      <c r="E823" s="7"/>
      <c r="F823" s="7"/>
      <c r="G823" s="7"/>
      <c r="H823" s="7"/>
      <c r="I823" s="7"/>
      <c r="J823" s="7"/>
      <c r="K823" s="7"/>
      <c r="L823" s="7"/>
      <c r="M823" s="7"/>
      <c r="N823" s="7"/>
      <c r="O823" s="7"/>
      <c r="P823" s="7"/>
      <c r="Q823" s="7"/>
      <c r="R823" s="64"/>
      <c r="S823" s="64"/>
      <c r="T823" s="64"/>
      <c r="U823" s="64"/>
      <c r="V823" s="64"/>
    </row>
    <row r="824" spans="1:22" ht="30" customHeight="1">
      <c r="A824" s="8"/>
      <c r="B824" s="7"/>
      <c r="C824" s="33"/>
      <c r="D824" s="7"/>
      <c r="E824" s="7"/>
      <c r="F824" s="7"/>
      <c r="G824" s="7"/>
      <c r="H824" s="7"/>
      <c r="I824" s="7"/>
      <c r="J824" s="7"/>
      <c r="K824" s="7"/>
      <c r="L824" s="7"/>
      <c r="M824" s="7"/>
      <c r="N824" s="7"/>
      <c r="O824" s="7"/>
      <c r="P824" s="7"/>
      <c r="Q824" s="7"/>
      <c r="R824" s="64"/>
      <c r="S824" s="64"/>
      <c r="T824" s="64"/>
      <c r="U824" s="64"/>
      <c r="V824" s="64"/>
    </row>
    <row r="825" spans="1:22" ht="30" customHeight="1">
      <c r="A825" s="8"/>
      <c r="B825" s="7"/>
      <c r="C825" s="33"/>
      <c r="D825" s="7"/>
      <c r="E825" s="7"/>
      <c r="F825" s="7"/>
      <c r="G825" s="7"/>
      <c r="H825" s="7"/>
      <c r="I825" s="7"/>
      <c r="J825" s="7"/>
      <c r="K825" s="7"/>
      <c r="L825" s="7"/>
      <c r="M825" s="7"/>
      <c r="N825" s="7"/>
      <c r="O825" s="7"/>
      <c r="P825" s="7"/>
      <c r="Q825" s="7"/>
      <c r="R825" s="64"/>
      <c r="S825" s="64"/>
      <c r="T825" s="64"/>
      <c r="U825" s="64"/>
      <c r="V825" s="64"/>
    </row>
    <row r="826" spans="1:22" ht="30" customHeight="1">
      <c r="A826" s="8"/>
      <c r="B826" s="7"/>
      <c r="C826" s="33"/>
      <c r="D826" s="7"/>
      <c r="E826" s="7"/>
      <c r="F826" s="7"/>
      <c r="G826" s="7"/>
      <c r="H826" s="7"/>
      <c r="I826" s="7"/>
      <c r="J826" s="7"/>
      <c r="K826" s="7"/>
      <c r="L826" s="7"/>
      <c r="M826" s="7"/>
      <c r="N826" s="7"/>
      <c r="O826" s="7"/>
      <c r="P826" s="7"/>
      <c r="Q826" s="7"/>
      <c r="R826" s="64"/>
      <c r="S826" s="64"/>
      <c r="T826" s="64"/>
      <c r="U826" s="64"/>
      <c r="V826" s="64"/>
    </row>
    <row r="827" spans="1:22" ht="30" customHeight="1">
      <c r="A827" s="8"/>
      <c r="B827" s="7"/>
      <c r="C827" s="33"/>
      <c r="D827" s="7"/>
      <c r="E827" s="7"/>
      <c r="F827" s="7"/>
      <c r="G827" s="7"/>
      <c r="H827" s="7"/>
      <c r="I827" s="7"/>
      <c r="J827" s="7"/>
      <c r="K827" s="7"/>
      <c r="L827" s="7"/>
      <c r="M827" s="7"/>
      <c r="N827" s="7"/>
      <c r="O827" s="7"/>
      <c r="P827" s="7"/>
      <c r="Q827" s="7"/>
      <c r="R827" s="64"/>
      <c r="S827" s="64"/>
      <c r="T827" s="64"/>
      <c r="U827" s="64"/>
      <c r="V827" s="64"/>
    </row>
    <row r="828" spans="1:22" ht="30" customHeight="1">
      <c r="A828" s="8"/>
      <c r="B828" s="7"/>
      <c r="C828" s="33"/>
      <c r="D828" s="7"/>
      <c r="E828" s="7"/>
      <c r="F828" s="7"/>
      <c r="G828" s="7"/>
      <c r="H828" s="7"/>
      <c r="I828" s="7"/>
      <c r="J828" s="7"/>
      <c r="K828" s="7"/>
      <c r="L828" s="7"/>
      <c r="M828" s="7"/>
      <c r="N828" s="7"/>
      <c r="O828" s="7"/>
      <c r="P828" s="7"/>
      <c r="Q828" s="7"/>
      <c r="R828" s="64"/>
      <c r="S828" s="64"/>
      <c r="T828" s="64"/>
      <c r="U828" s="64"/>
      <c r="V828" s="64"/>
    </row>
    <row r="829" spans="1:22" ht="30" customHeight="1">
      <c r="A829" s="8"/>
      <c r="B829" s="7"/>
      <c r="C829" s="33"/>
      <c r="D829" s="7"/>
      <c r="E829" s="7"/>
      <c r="F829" s="7"/>
      <c r="G829" s="7"/>
      <c r="H829" s="7"/>
      <c r="I829" s="7"/>
      <c r="J829" s="7"/>
      <c r="K829" s="7"/>
      <c r="L829" s="7"/>
      <c r="M829" s="7"/>
      <c r="N829" s="7"/>
      <c r="O829" s="7"/>
      <c r="P829" s="7"/>
      <c r="Q829" s="7"/>
      <c r="R829" s="64"/>
      <c r="S829" s="64"/>
      <c r="T829" s="64"/>
      <c r="U829" s="64"/>
      <c r="V829" s="64"/>
    </row>
    <row r="830" spans="1:22" ht="30" customHeight="1">
      <c r="A830" s="8"/>
      <c r="B830" s="7"/>
      <c r="C830" s="33"/>
      <c r="D830" s="7"/>
      <c r="E830" s="7"/>
      <c r="F830" s="7"/>
      <c r="G830" s="7"/>
      <c r="H830" s="7"/>
      <c r="I830" s="7"/>
      <c r="J830" s="7"/>
      <c r="K830" s="7"/>
      <c r="L830" s="7"/>
      <c r="M830" s="7"/>
      <c r="N830" s="7"/>
      <c r="O830" s="7"/>
      <c r="P830" s="7"/>
      <c r="Q830" s="7"/>
      <c r="R830" s="64"/>
      <c r="S830" s="64"/>
      <c r="T830" s="64"/>
      <c r="U830" s="64"/>
      <c r="V830" s="64"/>
    </row>
    <row r="831" spans="1:22" ht="30" customHeight="1">
      <c r="A831" s="8"/>
      <c r="B831" s="7"/>
      <c r="C831" s="33"/>
      <c r="D831" s="7"/>
      <c r="E831" s="7"/>
      <c r="F831" s="7"/>
      <c r="G831" s="7"/>
      <c r="H831" s="7"/>
      <c r="I831" s="7"/>
      <c r="J831" s="7"/>
      <c r="K831" s="7"/>
      <c r="L831" s="7"/>
      <c r="M831" s="7"/>
      <c r="N831" s="7"/>
      <c r="O831" s="7"/>
      <c r="P831" s="7"/>
      <c r="Q831" s="7"/>
      <c r="R831" s="64"/>
      <c r="S831" s="64"/>
      <c r="T831" s="64"/>
      <c r="U831" s="64"/>
      <c r="V831" s="64"/>
    </row>
    <row r="832" spans="1:22" ht="30" customHeight="1">
      <c r="A832" s="8"/>
      <c r="B832" s="7"/>
      <c r="C832" s="33"/>
      <c r="D832" s="7"/>
      <c r="E832" s="7"/>
      <c r="F832" s="7"/>
      <c r="G832" s="7"/>
      <c r="H832" s="7"/>
      <c r="I832" s="7"/>
      <c r="J832" s="7"/>
      <c r="K832" s="7"/>
      <c r="L832" s="7"/>
      <c r="M832" s="7"/>
      <c r="N832" s="7"/>
      <c r="O832" s="7"/>
      <c r="P832" s="7"/>
      <c r="Q832" s="7"/>
      <c r="R832" s="64"/>
      <c r="S832" s="64"/>
      <c r="T832" s="64"/>
      <c r="U832" s="64"/>
      <c r="V832" s="64"/>
    </row>
    <row r="833" spans="1:22" ht="30" customHeight="1">
      <c r="A833" s="8"/>
      <c r="B833" s="7"/>
      <c r="C833" s="33"/>
      <c r="D833" s="7"/>
      <c r="E833" s="7"/>
      <c r="F833" s="7"/>
      <c r="G833" s="7"/>
      <c r="H833" s="7"/>
      <c r="I833" s="7"/>
      <c r="J833" s="7"/>
      <c r="K833" s="7"/>
      <c r="L833" s="7"/>
      <c r="M833" s="7"/>
      <c r="N833" s="7"/>
      <c r="O833" s="7"/>
      <c r="P833" s="7"/>
      <c r="Q833" s="7"/>
      <c r="R833" s="64"/>
      <c r="S833" s="64"/>
      <c r="T833" s="64"/>
      <c r="U833" s="64"/>
      <c r="V833" s="64"/>
    </row>
    <row r="834" spans="1:22" ht="30" customHeight="1">
      <c r="A834" s="8"/>
      <c r="B834" s="7"/>
      <c r="C834" s="33"/>
      <c r="D834" s="7"/>
      <c r="E834" s="7"/>
      <c r="F834" s="7"/>
      <c r="G834" s="7"/>
      <c r="H834" s="7"/>
      <c r="I834" s="7"/>
      <c r="J834" s="7"/>
      <c r="K834" s="7"/>
      <c r="L834" s="7"/>
      <c r="M834" s="7"/>
      <c r="N834" s="7"/>
      <c r="O834" s="7"/>
      <c r="P834" s="7"/>
      <c r="Q834" s="7"/>
      <c r="R834" s="64"/>
      <c r="S834" s="64"/>
      <c r="T834" s="64"/>
      <c r="U834" s="64"/>
      <c r="V834" s="64"/>
    </row>
    <row r="835" spans="1:22" ht="30" customHeight="1">
      <c r="A835" s="8"/>
      <c r="B835" s="7"/>
      <c r="C835" s="33"/>
      <c r="D835" s="7"/>
      <c r="E835" s="7"/>
      <c r="F835" s="7"/>
      <c r="G835" s="7"/>
      <c r="H835" s="7"/>
      <c r="I835" s="7"/>
      <c r="J835" s="7"/>
      <c r="K835" s="7"/>
      <c r="L835" s="7"/>
      <c r="M835" s="7"/>
      <c r="N835" s="7"/>
      <c r="O835" s="7"/>
      <c r="P835" s="7"/>
      <c r="Q835" s="7"/>
      <c r="R835" s="64"/>
      <c r="S835" s="64"/>
      <c r="T835" s="64"/>
      <c r="U835" s="64"/>
      <c r="V835" s="64"/>
    </row>
    <row r="836" spans="1:22" ht="30" customHeight="1">
      <c r="A836" s="8"/>
      <c r="B836" s="7"/>
      <c r="C836" s="33"/>
      <c r="D836" s="7"/>
      <c r="E836" s="7"/>
      <c r="F836" s="7"/>
      <c r="G836" s="7"/>
      <c r="H836" s="7"/>
      <c r="I836" s="7"/>
      <c r="J836" s="7"/>
      <c r="K836" s="7"/>
      <c r="L836" s="7"/>
      <c r="M836" s="7"/>
      <c r="N836" s="7"/>
      <c r="O836" s="7"/>
      <c r="P836" s="7"/>
      <c r="Q836" s="7"/>
      <c r="R836" s="64"/>
      <c r="S836" s="64"/>
      <c r="T836" s="64"/>
      <c r="U836" s="64"/>
      <c r="V836" s="64"/>
    </row>
    <row r="837" spans="1:22" ht="30" customHeight="1">
      <c r="A837" s="8"/>
      <c r="B837" s="7"/>
      <c r="C837" s="33"/>
      <c r="D837" s="7"/>
      <c r="E837" s="7"/>
      <c r="F837" s="7"/>
      <c r="G837" s="7"/>
      <c r="H837" s="7"/>
      <c r="I837" s="7"/>
      <c r="J837" s="7"/>
      <c r="K837" s="7"/>
      <c r="L837" s="7"/>
      <c r="M837" s="7"/>
      <c r="N837" s="7"/>
      <c r="O837" s="7"/>
      <c r="P837" s="7"/>
      <c r="Q837" s="7"/>
      <c r="R837" s="64"/>
      <c r="S837" s="64"/>
      <c r="T837" s="64"/>
      <c r="U837" s="64"/>
      <c r="V837" s="64"/>
    </row>
    <row r="838" spans="1:22" ht="30" customHeight="1">
      <c r="A838" s="8"/>
      <c r="B838" s="7"/>
      <c r="C838" s="33"/>
      <c r="D838" s="7"/>
      <c r="E838" s="7"/>
      <c r="F838" s="7"/>
      <c r="G838" s="7"/>
      <c r="H838" s="7"/>
      <c r="I838" s="7"/>
      <c r="J838" s="7"/>
      <c r="K838" s="7"/>
      <c r="L838" s="7"/>
      <c r="M838" s="7"/>
      <c r="N838" s="7"/>
      <c r="O838" s="7"/>
      <c r="P838" s="7"/>
      <c r="Q838" s="7"/>
      <c r="R838" s="64"/>
      <c r="S838" s="64"/>
      <c r="T838" s="64"/>
      <c r="U838" s="64"/>
      <c r="V838" s="64"/>
    </row>
    <row r="839" spans="1:22" ht="30" customHeight="1">
      <c r="A839" s="8"/>
      <c r="B839" s="7"/>
      <c r="C839" s="33"/>
      <c r="D839" s="7"/>
      <c r="E839" s="7"/>
      <c r="F839" s="7"/>
      <c r="G839" s="7"/>
      <c r="H839" s="7"/>
      <c r="I839" s="7"/>
      <c r="J839" s="7"/>
      <c r="K839" s="7"/>
      <c r="L839" s="7"/>
      <c r="M839" s="7"/>
      <c r="N839" s="7"/>
      <c r="O839" s="7"/>
      <c r="P839" s="7"/>
      <c r="Q839" s="7"/>
      <c r="R839" s="64"/>
      <c r="S839" s="64"/>
      <c r="T839" s="64"/>
      <c r="U839" s="64"/>
      <c r="V839" s="64"/>
    </row>
    <row r="840" spans="1:22" ht="30" customHeight="1">
      <c r="A840" s="8"/>
      <c r="B840" s="7"/>
      <c r="C840" s="33"/>
      <c r="D840" s="7"/>
      <c r="E840" s="7"/>
      <c r="F840" s="7"/>
      <c r="G840" s="7"/>
      <c r="H840" s="7"/>
      <c r="I840" s="7"/>
      <c r="J840" s="7"/>
      <c r="K840" s="7"/>
      <c r="L840" s="7"/>
      <c r="M840" s="7"/>
      <c r="N840" s="7"/>
      <c r="O840" s="7"/>
      <c r="P840" s="7"/>
      <c r="Q840" s="7"/>
      <c r="R840" s="64"/>
      <c r="S840" s="64"/>
      <c r="T840" s="64"/>
      <c r="U840" s="64"/>
      <c r="V840" s="64"/>
    </row>
    <row r="841" spans="1:22" ht="30" customHeight="1">
      <c r="A841" s="8"/>
      <c r="B841" s="7"/>
      <c r="C841" s="33"/>
      <c r="D841" s="7"/>
      <c r="E841" s="7"/>
      <c r="F841" s="7"/>
      <c r="G841" s="7"/>
      <c r="H841" s="7"/>
      <c r="I841" s="7"/>
      <c r="J841" s="7"/>
      <c r="K841" s="7"/>
      <c r="L841" s="7"/>
      <c r="M841" s="7"/>
      <c r="N841" s="7"/>
      <c r="O841" s="7"/>
      <c r="P841" s="7"/>
      <c r="Q841" s="7"/>
      <c r="R841" s="64"/>
      <c r="S841" s="64"/>
      <c r="T841" s="64"/>
      <c r="U841" s="64"/>
      <c r="V841" s="64"/>
    </row>
    <row r="842" spans="1:22" ht="30" customHeight="1">
      <c r="A842" s="8"/>
      <c r="B842" s="7"/>
      <c r="C842" s="33"/>
      <c r="D842" s="7"/>
      <c r="E842" s="7"/>
      <c r="F842" s="7"/>
      <c r="G842" s="7"/>
      <c r="H842" s="7"/>
      <c r="I842" s="7"/>
      <c r="J842" s="7"/>
      <c r="K842" s="7"/>
      <c r="L842" s="7"/>
      <c r="M842" s="7"/>
      <c r="N842" s="7"/>
      <c r="O842" s="7"/>
      <c r="P842" s="7"/>
      <c r="Q842" s="7"/>
      <c r="R842" s="64"/>
      <c r="S842" s="64"/>
      <c r="T842" s="64"/>
      <c r="U842" s="64"/>
      <c r="V842" s="64"/>
    </row>
    <row r="843" spans="1:22" ht="30" customHeight="1">
      <c r="A843" s="8"/>
      <c r="B843" s="7"/>
      <c r="C843" s="33"/>
      <c r="D843" s="7"/>
      <c r="E843" s="7"/>
      <c r="F843" s="7"/>
      <c r="G843" s="7"/>
      <c r="H843" s="7"/>
      <c r="I843" s="7"/>
      <c r="J843" s="7"/>
      <c r="K843" s="7"/>
      <c r="L843" s="7"/>
      <c r="M843" s="7"/>
      <c r="N843" s="7"/>
      <c r="O843" s="7"/>
      <c r="P843" s="7"/>
      <c r="Q843" s="7"/>
      <c r="R843" s="64"/>
      <c r="S843" s="64"/>
      <c r="T843" s="64"/>
      <c r="U843" s="64"/>
      <c r="V843" s="64"/>
    </row>
    <row r="844" spans="1:22" ht="30" customHeight="1">
      <c r="A844" s="8"/>
      <c r="B844" s="7"/>
      <c r="C844" s="33"/>
      <c r="D844" s="7"/>
      <c r="E844" s="7"/>
      <c r="F844" s="7"/>
      <c r="G844" s="7"/>
      <c r="H844" s="7"/>
      <c r="I844" s="7"/>
      <c r="J844" s="7"/>
      <c r="K844" s="7"/>
      <c r="L844" s="7"/>
      <c r="M844" s="7"/>
      <c r="N844" s="7"/>
      <c r="O844" s="7"/>
      <c r="P844" s="7"/>
      <c r="Q844" s="7"/>
      <c r="R844" s="64"/>
      <c r="S844" s="64"/>
      <c r="T844" s="64"/>
      <c r="U844" s="64"/>
      <c r="V844" s="64"/>
    </row>
    <row r="845" spans="1:22" ht="30" customHeight="1">
      <c r="A845" s="8"/>
      <c r="B845" s="7"/>
      <c r="C845" s="33"/>
      <c r="D845" s="7"/>
      <c r="E845" s="7"/>
      <c r="F845" s="7"/>
      <c r="G845" s="7"/>
      <c r="H845" s="7"/>
      <c r="I845" s="7"/>
      <c r="J845" s="7"/>
      <c r="K845" s="7"/>
      <c r="L845" s="7"/>
      <c r="M845" s="7"/>
      <c r="N845" s="7"/>
      <c r="O845" s="7"/>
      <c r="P845" s="7"/>
      <c r="Q845" s="7"/>
      <c r="R845" s="64"/>
      <c r="S845" s="64"/>
      <c r="T845" s="64"/>
      <c r="U845" s="64"/>
      <c r="V845" s="64"/>
    </row>
    <row r="846" spans="1:22" ht="30" customHeight="1">
      <c r="A846" s="8"/>
      <c r="B846" s="7"/>
      <c r="C846" s="33"/>
      <c r="D846" s="7"/>
      <c r="E846" s="7"/>
      <c r="F846" s="7"/>
      <c r="G846" s="7"/>
      <c r="H846" s="7"/>
      <c r="I846" s="7"/>
      <c r="J846" s="7"/>
      <c r="K846" s="7"/>
      <c r="L846" s="7"/>
      <c r="M846" s="7"/>
      <c r="N846" s="7"/>
      <c r="O846" s="7"/>
      <c r="P846" s="7"/>
      <c r="Q846" s="7"/>
      <c r="R846" s="64"/>
      <c r="S846" s="64"/>
      <c r="T846" s="64"/>
      <c r="U846" s="64"/>
      <c r="V846" s="64"/>
    </row>
    <row r="847" spans="1:22" ht="30" customHeight="1">
      <c r="A847" s="8"/>
      <c r="B847" s="7"/>
      <c r="C847" s="33"/>
      <c r="D847" s="7"/>
      <c r="E847" s="7"/>
      <c r="F847" s="7"/>
      <c r="G847" s="7"/>
      <c r="H847" s="7"/>
      <c r="I847" s="7"/>
      <c r="J847" s="7"/>
      <c r="K847" s="7"/>
      <c r="L847" s="7"/>
      <c r="M847" s="7"/>
      <c r="N847" s="7"/>
      <c r="O847" s="7"/>
      <c r="P847" s="7"/>
      <c r="Q847" s="7"/>
      <c r="R847" s="64"/>
      <c r="S847" s="64"/>
      <c r="T847" s="64"/>
      <c r="U847" s="64"/>
      <c r="V847" s="64"/>
    </row>
    <row r="848" spans="1:22" ht="30" customHeight="1">
      <c r="A848" s="8"/>
      <c r="B848" s="7"/>
      <c r="C848" s="33"/>
      <c r="D848" s="7"/>
      <c r="E848" s="7"/>
      <c r="F848" s="7"/>
      <c r="G848" s="7"/>
      <c r="H848" s="7"/>
      <c r="I848" s="7"/>
      <c r="J848" s="7"/>
      <c r="K848" s="7"/>
      <c r="L848" s="7"/>
      <c r="M848" s="7"/>
      <c r="N848" s="7"/>
      <c r="O848" s="7"/>
      <c r="P848" s="7"/>
      <c r="Q848" s="7"/>
      <c r="R848" s="64"/>
      <c r="S848" s="64"/>
      <c r="T848" s="64"/>
      <c r="U848" s="64"/>
      <c r="V848" s="64"/>
    </row>
    <row r="849" spans="1:22" ht="30" customHeight="1">
      <c r="A849" s="8"/>
      <c r="B849" s="7"/>
      <c r="C849" s="33"/>
      <c r="D849" s="7"/>
      <c r="E849" s="7"/>
      <c r="F849" s="7"/>
      <c r="G849" s="7"/>
      <c r="H849" s="7"/>
      <c r="I849" s="7"/>
      <c r="J849" s="7"/>
      <c r="K849" s="7"/>
      <c r="L849" s="7"/>
      <c r="M849" s="7"/>
      <c r="N849" s="7"/>
      <c r="O849" s="7"/>
      <c r="P849" s="7"/>
      <c r="Q849" s="7"/>
      <c r="R849" s="64"/>
      <c r="S849" s="64"/>
      <c r="T849" s="64"/>
      <c r="U849" s="64"/>
      <c r="V849" s="64"/>
    </row>
    <row r="850" spans="1:22" ht="30" customHeight="1">
      <c r="A850" s="8"/>
      <c r="B850" s="7"/>
      <c r="C850" s="33"/>
      <c r="D850" s="7"/>
      <c r="E850" s="7"/>
      <c r="F850" s="7"/>
      <c r="G850" s="7"/>
      <c r="H850" s="7"/>
      <c r="I850" s="7"/>
      <c r="J850" s="7"/>
      <c r="K850" s="7"/>
      <c r="L850" s="7"/>
      <c r="M850" s="7"/>
      <c r="N850" s="7"/>
      <c r="O850" s="7"/>
      <c r="P850" s="7"/>
      <c r="Q850" s="7"/>
      <c r="R850" s="64"/>
      <c r="S850" s="64"/>
      <c r="T850" s="64"/>
      <c r="U850" s="64"/>
      <c r="V850" s="64"/>
    </row>
    <row r="851" spans="1:22" ht="30" customHeight="1">
      <c r="A851" s="8"/>
      <c r="B851" s="7"/>
      <c r="C851" s="33"/>
      <c r="D851" s="7"/>
      <c r="E851" s="7"/>
      <c r="F851" s="7"/>
      <c r="G851" s="7"/>
      <c r="H851" s="7"/>
      <c r="I851" s="7"/>
      <c r="J851" s="7"/>
      <c r="K851" s="7"/>
      <c r="L851" s="7"/>
      <c r="M851" s="7"/>
      <c r="N851" s="7"/>
      <c r="O851" s="7"/>
      <c r="P851" s="7"/>
      <c r="Q851" s="7"/>
      <c r="R851" s="64"/>
      <c r="S851" s="64"/>
      <c r="T851" s="64"/>
      <c r="U851" s="64"/>
      <c r="V851" s="64"/>
    </row>
    <row r="852" spans="1:22" ht="30" customHeight="1">
      <c r="A852" s="8"/>
      <c r="B852" s="7"/>
      <c r="C852" s="33"/>
      <c r="D852" s="7"/>
      <c r="E852" s="7"/>
      <c r="F852" s="7"/>
      <c r="G852" s="7"/>
      <c r="H852" s="7"/>
      <c r="I852" s="7"/>
      <c r="J852" s="7"/>
      <c r="K852" s="7"/>
      <c r="L852" s="7"/>
      <c r="M852" s="7"/>
      <c r="N852" s="7"/>
      <c r="O852" s="7"/>
      <c r="P852" s="7"/>
      <c r="Q852" s="7"/>
      <c r="R852" s="64"/>
      <c r="S852" s="64"/>
      <c r="T852" s="64"/>
      <c r="U852" s="64"/>
      <c r="V852" s="64"/>
    </row>
    <row r="853" spans="1:22" ht="30" customHeight="1">
      <c r="A853" s="8"/>
      <c r="B853" s="7"/>
      <c r="C853" s="33"/>
      <c r="D853" s="7"/>
      <c r="E853" s="7"/>
      <c r="F853" s="7"/>
      <c r="G853" s="7"/>
      <c r="H853" s="7"/>
      <c r="I853" s="7"/>
      <c r="J853" s="7"/>
      <c r="K853" s="7"/>
      <c r="L853" s="7"/>
      <c r="M853" s="7"/>
      <c r="N853" s="7"/>
      <c r="O853" s="7"/>
      <c r="P853" s="7"/>
      <c r="Q853" s="7"/>
      <c r="R853" s="64"/>
      <c r="S853" s="64"/>
      <c r="T853" s="64"/>
      <c r="U853" s="64"/>
      <c r="V853" s="64"/>
    </row>
    <row r="854" spans="1:22" ht="30" customHeight="1">
      <c r="A854" s="8"/>
      <c r="B854" s="7"/>
      <c r="C854" s="33"/>
      <c r="D854" s="7"/>
      <c r="E854" s="7"/>
      <c r="F854" s="7"/>
      <c r="G854" s="7"/>
      <c r="H854" s="7"/>
      <c r="I854" s="7"/>
      <c r="J854" s="7"/>
      <c r="K854" s="7"/>
      <c r="L854" s="7"/>
      <c r="M854" s="7"/>
      <c r="N854" s="7"/>
      <c r="O854" s="7"/>
      <c r="P854" s="7"/>
      <c r="Q854" s="7"/>
      <c r="R854" s="64"/>
      <c r="S854" s="64"/>
      <c r="T854" s="64"/>
      <c r="U854" s="64"/>
      <c r="V854" s="64"/>
    </row>
    <row r="855" spans="1:22" ht="30" customHeight="1">
      <c r="A855" s="8"/>
      <c r="B855" s="7"/>
      <c r="C855" s="33"/>
      <c r="D855" s="7"/>
      <c r="E855" s="7"/>
      <c r="F855" s="7"/>
      <c r="G855" s="7"/>
      <c r="H855" s="7"/>
      <c r="I855" s="7"/>
      <c r="J855" s="7"/>
      <c r="K855" s="7"/>
      <c r="L855" s="7"/>
      <c r="M855" s="7"/>
      <c r="N855" s="7"/>
      <c r="O855" s="7"/>
      <c r="P855" s="7"/>
      <c r="Q855" s="7"/>
      <c r="R855" s="64"/>
      <c r="S855" s="64"/>
      <c r="T855" s="64"/>
      <c r="U855" s="64"/>
      <c r="V855" s="64"/>
    </row>
    <row r="856" spans="1:22" ht="30" customHeight="1">
      <c r="A856" s="8"/>
      <c r="B856" s="7"/>
      <c r="C856" s="33"/>
      <c r="D856" s="7"/>
      <c r="E856" s="7"/>
      <c r="F856" s="7"/>
      <c r="G856" s="7"/>
      <c r="H856" s="7"/>
      <c r="I856" s="7"/>
      <c r="J856" s="7"/>
      <c r="K856" s="7"/>
      <c r="L856" s="7"/>
      <c r="M856" s="7"/>
      <c r="N856" s="7"/>
      <c r="O856" s="7"/>
      <c r="P856" s="7"/>
      <c r="Q856" s="7"/>
      <c r="R856" s="64"/>
      <c r="S856" s="64"/>
      <c r="T856" s="64"/>
      <c r="U856" s="64"/>
      <c r="V856" s="64"/>
    </row>
    <row r="857" spans="1:22" ht="30" customHeight="1">
      <c r="A857" s="8"/>
      <c r="B857" s="7"/>
      <c r="C857" s="33"/>
      <c r="D857" s="7"/>
      <c r="E857" s="7"/>
      <c r="F857" s="7"/>
      <c r="G857" s="7"/>
      <c r="H857" s="7"/>
      <c r="I857" s="7"/>
      <c r="J857" s="7"/>
      <c r="K857" s="7"/>
      <c r="L857" s="7"/>
      <c r="M857" s="7"/>
      <c r="N857" s="7"/>
      <c r="O857" s="7"/>
      <c r="P857" s="7"/>
      <c r="Q857" s="7"/>
      <c r="R857" s="64"/>
      <c r="S857" s="64"/>
      <c r="T857" s="64"/>
      <c r="U857" s="64"/>
      <c r="V857" s="64"/>
    </row>
    <row r="858" spans="1:22" ht="30" customHeight="1">
      <c r="A858" s="8"/>
      <c r="B858" s="7"/>
      <c r="C858" s="33"/>
      <c r="D858" s="7"/>
      <c r="E858" s="7"/>
      <c r="F858" s="7"/>
      <c r="G858" s="7"/>
      <c r="H858" s="7"/>
      <c r="I858" s="7"/>
      <c r="J858" s="7"/>
      <c r="K858" s="7"/>
      <c r="L858" s="7"/>
      <c r="M858" s="7"/>
      <c r="N858" s="7"/>
      <c r="O858" s="7"/>
      <c r="P858" s="7"/>
      <c r="Q858" s="7"/>
      <c r="R858" s="64"/>
      <c r="S858" s="64"/>
      <c r="T858" s="64"/>
      <c r="U858" s="64"/>
      <c r="V858" s="64"/>
    </row>
    <row r="859" spans="1:22" ht="30" customHeight="1">
      <c r="A859" s="8"/>
      <c r="B859" s="7"/>
      <c r="C859" s="33"/>
      <c r="D859" s="7"/>
      <c r="E859" s="7"/>
      <c r="F859" s="7"/>
      <c r="G859" s="7"/>
      <c r="H859" s="7"/>
      <c r="I859" s="7"/>
      <c r="J859" s="7"/>
      <c r="K859" s="7"/>
      <c r="L859" s="7"/>
      <c r="M859" s="7"/>
      <c r="N859" s="7"/>
      <c r="O859" s="7"/>
      <c r="P859" s="7"/>
      <c r="Q859" s="7"/>
      <c r="R859" s="64"/>
      <c r="S859" s="64"/>
      <c r="T859" s="64"/>
      <c r="U859" s="64"/>
      <c r="V859" s="64"/>
    </row>
    <row r="860" spans="1:22" ht="30" customHeight="1">
      <c r="A860" s="8"/>
      <c r="B860" s="7"/>
      <c r="C860" s="33"/>
      <c r="D860" s="7"/>
      <c r="E860" s="7"/>
      <c r="F860" s="7"/>
      <c r="G860" s="7"/>
      <c r="H860" s="7"/>
      <c r="I860" s="7"/>
      <c r="J860" s="7"/>
      <c r="K860" s="7"/>
      <c r="L860" s="7"/>
      <c r="M860" s="7"/>
      <c r="N860" s="7"/>
      <c r="O860" s="7"/>
      <c r="P860" s="7"/>
      <c r="Q860" s="7"/>
      <c r="R860" s="64"/>
      <c r="S860" s="64"/>
      <c r="T860" s="64"/>
      <c r="U860" s="64"/>
      <c r="V860" s="64"/>
    </row>
    <row r="861" spans="1:22" ht="30" customHeight="1">
      <c r="A861" s="8"/>
      <c r="B861" s="7"/>
      <c r="C861" s="33"/>
      <c r="D861" s="7"/>
      <c r="E861" s="7"/>
      <c r="F861" s="7"/>
      <c r="G861" s="7"/>
      <c r="H861" s="7"/>
      <c r="I861" s="7"/>
      <c r="J861" s="7"/>
      <c r="K861" s="7"/>
      <c r="L861" s="7"/>
      <c r="M861" s="7"/>
      <c r="N861" s="7"/>
      <c r="O861" s="7"/>
      <c r="P861" s="7"/>
      <c r="Q861" s="7"/>
      <c r="R861" s="64"/>
      <c r="S861" s="64"/>
      <c r="T861" s="64"/>
      <c r="U861" s="64"/>
      <c r="V861" s="64"/>
    </row>
    <row r="862" spans="1:22" ht="30" customHeight="1">
      <c r="A862" s="8"/>
      <c r="B862" s="7"/>
      <c r="C862" s="33"/>
      <c r="D862" s="7"/>
      <c r="E862" s="7"/>
      <c r="F862" s="7"/>
      <c r="G862" s="7"/>
      <c r="H862" s="7"/>
      <c r="I862" s="7"/>
      <c r="J862" s="7"/>
      <c r="K862" s="7"/>
      <c r="L862" s="7"/>
      <c r="M862" s="7"/>
      <c r="N862" s="7"/>
      <c r="O862" s="7"/>
      <c r="P862" s="7"/>
      <c r="Q862" s="7"/>
      <c r="R862" s="64"/>
      <c r="S862" s="64"/>
      <c r="T862" s="64"/>
      <c r="U862" s="64"/>
      <c r="V862" s="64"/>
    </row>
    <row r="863" spans="1:22" ht="30" customHeight="1">
      <c r="A863" s="8"/>
      <c r="B863" s="7"/>
      <c r="C863" s="33"/>
      <c r="D863" s="7"/>
      <c r="E863" s="7"/>
      <c r="F863" s="7"/>
      <c r="G863" s="7"/>
      <c r="H863" s="7"/>
      <c r="I863" s="7"/>
      <c r="J863" s="7"/>
      <c r="K863" s="7"/>
      <c r="L863" s="7"/>
      <c r="M863" s="7"/>
      <c r="N863" s="7"/>
      <c r="O863" s="7"/>
      <c r="P863" s="7"/>
      <c r="Q863" s="7"/>
      <c r="R863" s="64"/>
      <c r="S863" s="64"/>
      <c r="T863" s="64"/>
      <c r="U863" s="64"/>
      <c r="V863" s="64"/>
    </row>
    <row r="864" spans="1:22" ht="30" customHeight="1">
      <c r="A864" s="8"/>
      <c r="B864" s="7"/>
      <c r="C864" s="33"/>
      <c r="D864" s="7"/>
      <c r="E864" s="7"/>
      <c r="F864" s="7"/>
      <c r="G864" s="7"/>
      <c r="H864" s="7"/>
      <c r="I864" s="7"/>
      <c r="J864" s="7"/>
      <c r="K864" s="7"/>
      <c r="L864" s="7"/>
      <c r="M864" s="7"/>
      <c r="N864" s="7"/>
      <c r="O864" s="7"/>
      <c r="P864" s="7"/>
      <c r="Q864" s="7"/>
      <c r="R864" s="64"/>
      <c r="S864" s="64"/>
      <c r="T864" s="64"/>
      <c r="U864" s="64"/>
      <c r="V864" s="64"/>
    </row>
    <row r="865" spans="1:22" ht="30" customHeight="1">
      <c r="A865" s="8"/>
      <c r="B865" s="7"/>
      <c r="C865" s="33"/>
      <c r="D865" s="7"/>
      <c r="E865" s="7"/>
      <c r="F865" s="7"/>
      <c r="G865" s="7"/>
      <c r="H865" s="7"/>
      <c r="I865" s="7"/>
      <c r="J865" s="7"/>
      <c r="K865" s="7"/>
      <c r="L865" s="7"/>
      <c r="M865" s="7"/>
      <c r="N865" s="7"/>
      <c r="O865" s="7"/>
      <c r="P865" s="7"/>
      <c r="Q865" s="7"/>
      <c r="R865" s="64"/>
      <c r="S865" s="64"/>
      <c r="T865" s="64"/>
      <c r="U865" s="64"/>
      <c r="V865" s="64"/>
    </row>
    <row r="866" spans="1:22" ht="30" customHeight="1">
      <c r="A866" s="8"/>
      <c r="B866" s="7"/>
      <c r="C866" s="33"/>
      <c r="D866" s="7"/>
      <c r="E866" s="7"/>
      <c r="F866" s="7"/>
      <c r="G866" s="7"/>
      <c r="H866" s="7"/>
      <c r="I866" s="7"/>
      <c r="J866" s="7"/>
      <c r="K866" s="7"/>
      <c r="L866" s="7"/>
      <c r="M866" s="7"/>
      <c r="N866" s="7"/>
      <c r="O866" s="7"/>
      <c r="P866" s="7"/>
      <c r="Q866" s="7"/>
      <c r="R866" s="64"/>
      <c r="S866" s="64"/>
      <c r="T866" s="64"/>
      <c r="U866" s="64"/>
      <c r="V866" s="64"/>
    </row>
    <row r="867" spans="1:22" ht="30" customHeight="1">
      <c r="A867" s="8"/>
      <c r="B867" s="7"/>
      <c r="C867" s="33"/>
      <c r="D867" s="7"/>
      <c r="E867" s="7"/>
      <c r="F867" s="7"/>
      <c r="G867" s="7"/>
      <c r="H867" s="7"/>
      <c r="I867" s="7"/>
      <c r="J867" s="7"/>
      <c r="K867" s="7"/>
      <c r="L867" s="7"/>
      <c r="M867" s="7"/>
      <c r="N867" s="7"/>
      <c r="O867" s="7"/>
      <c r="P867" s="7"/>
      <c r="Q867" s="7"/>
      <c r="R867" s="64"/>
      <c r="S867" s="64"/>
      <c r="T867" s="64"/>
      <c r="U867" s="64"/>
      <c r="V867" s="64"/>
    </row>
    <row r="868" spans="1:22" ht="30" customHeight="1">
      <c r="A868" s="8"/>
      <c r="B868" s="7"/>
      <c r="C868" s="33"/>
      <c r="D868" s="7"/>
      <c r="E868" s="7"/>
      <c r="F868" s="7"/>
      <c r="G868" s="7"/>
      <c r="H868" s="7"/>
      <c r="I868" s="7"/>
      <c r="J868" s="7"/>
      <c r="K868" s="7"/>
      <c r="L868" s="7"/>
      <c r="M868" s="7"/>
      <c r="N868" s="7"/>
      <c r="O868" s="7"/>
      <c r="P868" s="7"/>
      <c r="Q868" s="7"/>
      <c r="R868" s="64"/>
      <c r="S868" s="64"/>
      <c r="T868" s="64"/>
      <c r="U868" s="64"/>
      <c r="V868" s="64"/>
    </row>
    <row r="869" spans="1:22" ht="30" customHeight="1">
      <c r="A869" s="8"/>
      <c r="B869" s="7"/>
      <c r="C869" s="33"/>
      <c r="D869" s="7"/>
      <c r="E869" s="7"/>
      <c r="F869" s="7"/>
      <c r="G869" s="7"/>
      <c r="H869" s="7"/>
      <c r="I869" s="7"/>
      <c r="J869" s="7"/>
      <c r="K869" s="7"/>
      <c r="L869" s="7"/>
      <c r="M869" s="7"/>
      <c r="N869" s="7"/>
      <c r="O869" s="7"/>
      <c r="P869" s="7"/>
      <c r="Q869" s="7"/>
      <c r="R869" s="64"/>
      <c r="S869" s="64"/>
      <c r="T869" s="64"/>
      <c r="U869" s="64"/>
      <c r="V869" s="64"/>
    </row>
    <row r="870" spans="1:22" ht="30" customHeight="1">
      <c r="A870" s="8"/>
      <c r="B870" s="7"/>
      <c r="C870" s="33"/>
      <c r="D870" s="7"/>
      <c r="E870" s="7"/>
      <c r="F870" s="7"/>
      <c r="G870" s="7"/>
      <c r="H870" s="7"/>
      <c r="I870" s="7"/>
      <c r="J870" s="7"/>
      <c r="K870" s="7"/>
      <c r="L870" s="7"/>
      <c r="M870" s="7"/>
      <c r="N870" s="7"/>
      <c r="O870" s="7"/>
      <c r="P870" s="7"/>
      <c r="Q870" s="7"/>
      <c r="R870" s="64"/>
      <c r="S870" s="64"/>
      <c r="T870" s="64"/>
      <c r="U870" s="64"/>
      <c r="V870" s="64"/>
    </row>
    <row r="871" spans="1:22" ht="30" customHeight="1">
      <c r="A871" s="8"/>
      <c r="B871" s="7"/>
      <c r="C871" s="33"/>
      <c r="D871" s="7"/>
      <c r="E871" s="7"/>
      <c r="F871" s="7"/>
      <c r="G871" s="7"/>
      <c r="H871" s="7"/>
      <c r="I871" s="7"/>
      <c r="J871" s="7"/>
      <c r="K871" s="7"/>
      <c r="L871" s="7"/>
      <c r="M871" s="7"/>
      <c r="N871" s="7"/>
      <c r="O871" s="7"/>
      <c r="P871" s="7"/>
      <c r="Q871" s="7"/>
      <c r="R871" s="64"/>
      <c r="S871" s="64"/>
      <c r="T871" s="64"/>
      <c r="U871" s="64"/>
      <c r="V871" s="64"/>
    </row>
    <row r="872" spans="1:22" ht="30" customHeight="1">
      <c r="A872" s="8"/>
      <c r="B872" s="7"/>
      <c r="C872" s="33"/>
      <c r="D872" s="7"/>
      <c r="E872" s="7"/>
      <c r="F872" s="7"/>
      <c r="G872" s="7"/>
      <c r="H872" s="7"/>
      <c r="I872" s="7"/>
      <c r="J872" s="7"/>
      <c r="K872" s="7"/>
      <c r="L872" s="7"/>
      <c r="M872" s="7"/>
      <c r="N872" s="7"/>
      <c r="O872" s="7"/>
      <c r="P872" s="7"/>
      <c r="Q872" s="7"/>
      <c r="R872" s="64"/>
      <c r="S872" s="64"/>
      <c r="T872" s="64"/>
      <c r="U872" s="64"/>
      <c r="V872" s="64"/>
    </row>
    <row r="873" spans="1:22" ht="30" customHeight="1">
      <c r="A873" s="8"/>
      <c r="B873" s="7"/>
      <c r="C873" s="33"/>
      <c r="D873" s="7"/>
      <c r="E873" s="7"/>
      <c r="F873" s="7"/>
      <c r="G873" s="7"/>
      <c r="H873" s="7"/>
      <c r="I873" s="7"/>
      <c r="J873" s="7"/>
      <c r="K873" s="7"/>
      <c r="L873" s="7"/>
      <c r="M873" s="7"/>
      <c r="N873" s="7"/>
      <c r="O873" s="7"/>
      <c r="P873" s="7"/>
      <c r="Q873" s="7"/>
      <c r="R873" s="64"/>
      <c r="S873" s="64"/>
      <c r="T873" s="64"/>
      <c r="U873" s="64"/>
      <c r="V873" s="64"/>
    </row>
    <row r="874" spans="1:22" ht="30" customHeight="1">
      <c r="A874" s="8"/>
      <c r="B874" s="7"/>
      <c r="C874" s="33"/>
      <c r="D874" s="7"/>
      <c r="E874" s="7"/>
      <c r="F874" s="7"/>
      <c r="G874" s="7"/>
      <c r="H874" s="7"/>
      <c r="I874" s="7"/>
      <c r="J874" s="7"/>
      <c r="K874" s="7"/>
      <c r="L874" s="7"/>
      <c r="M874" s="7"/>
      <c r="N874" s="7"/>
      <c r="O874" s="7"/>
      <c r="P874" s="7"/>
      <c r="Q874" s="7"/>
      <c r="R874" s="64"/>
      <c r="S874" s="64"/>
      <c r="T874" s="64"/>
      <c r="U874" s="64"/>
      <c r="V874" s="64"/>
    </row>
    <row r="875" spans="1:22" ht="30" customHeight="1">
      <c r="A875" s="8"/>
      <c r="B875" s="7"/>
      <c r="C875" s="33"/>
      <c r="D875" s="7"/>
      <c r="E875" s="7"/>
      <c r="F875" s="7"/>
      <c r="G875" s="7"/>
      <c r="H875" s="7"/>
      <c r="I875" s="7"/>
      <c r="J875" s="7"/>
      <c r="K875" s="7"/>
      <c r="L875" s="7"/>
      <c r="M875" s="7"/>
      <c r="N875" s="7"/>
      <c r="O875" s="7"/>
      <c r="P875" s="7"/>
      <c r="Q875" s="7"/>
      <c r="R875" s="64"/>
      <c r="S875" s="64"/>
      <c r="T875" s="64"/>
      <c r="U875" s="64"/>
      <c r="V875" s="64"/>
    </row>
    <row r="876" spans="1:22" ht="30" customHeight="1">
      <c r="A876" s="8"/>
      <c r="B876" s="7"/>
      <c r="C876" s="33"/>
      <c r="D876" s="7"/>
      <c r="E876" s="7"/>
      <c r="F876" s="7"/>
      <c r="G876" s="7"/>
      <c r="H876" s="7"/>
      <c r="I876" s="7"/>
      <c r="J876" s="7"/>
      <c r="K876" s="7"/>
      <c r="L876" s="7"/>
      <c r="M876" s="7"/>
      <c r="N876" s="7"/>
      <c r="O876" s="7"/>
      <c r="P876" s="7"/>
      <c r="Q876" s="7"/>
      <c r="R876" s="64"/>
      <c r="S876" s="64"/>
      <c r="T876" s="64"/>
      <c r="U876" s="64"/>
      <c r="V876" s="64"/>
    </row>
    <row r="877" spans="1:22" ht="30" customHeight="1">
      <c r="A877" s="8"/>
      <c r="B877" s="7"/>
      <c r="C877" s="33"/>
      <c r="D877" s="7"/>
      <c r="E877" s="7"/>
      <c r="F877" s="7"/>
      <c r="G877" s="7"/>
      <c r="H877" s="7"/>
      <c r="I877" s="7"/>
      <c r="J877" s="7"/>
      <c r="K877" s="7"/>
      <c r="L877" s="7"/>
      <c r="M877" s="7"/>
      <c r="N877" s="7"/>
      <c r="O877" s="7"/>
      <c r="P877" s="7"/>
      <c r="Q877" s="7"/>
      <c r="R877" s="64"/>
      <c r="S877" s="64"/>
      <c r="T877" s="64"/>
      <c r="U877" s="64"/>
      <c r="V877" s="64"/>
    </row>
    <row r="878" spans="1:22" ht="30" customHeight="1">
      <c r="A878" s="8"/>
      <c r="B878" s="7"/>
      <c r="C878" s="33"/>
      <c r="D878" s="7"/>
      <c r="E878" s="7"/>
      <c r="F878" s="7"/>
      <c r="G878" s="7"/>
      <c r="H878" s="7"/>
      <c r="I878" s="7"/>
      <c r="J878" s="7"/>
      <c r="K878" s="7"/>
      <c r="L878" s="7"/>
      <c r="M878" s="7"/>
      <c r="N878" s="7"/>
      <c r="O878" s="7"/>
      <c r="P878" s="7"/>
      <c r="Q878" s="7"/>
      <c r="R878" s="64"/>
      <c r="S878" s="64"/>
      <c r="T878" s="64"/>
      <c r="U878" s="64"/>
      <c r="V878" s="64"/>
    </row>
    <row r="879" spans="1:22" ht="30" customHeight="1">
      <c r="A879" s="8"/>
      <c r="B879" s="7"/>
      <c r="C879" s="33"/>
      <c r="D879" s="7"/>
      <c r="E879" s="7"/>
      <c r="F879" s="7"/>
      <c r="G879" s="7"/>
      <c r="H879" s="7"/>
      <c r="I879" s="7"/>
      <c r="J879" s="7"/>
      <c r="K879" s="7"/>
      <c r="L879" s="7"/>
      <c r="M879" s="7"/>
      <c r="N879" s="7"/>
      <c r="O879" s="7"/>
      <c r="P879" s="7"/>
      <c r="Q879" s="7"/>
      <c r="R879" s="64"/>
      <c r="S879" s="64"/>
      <c r="T879" s="64"/>
      <c r="U879" s="64"/>
      <c r="V879" s="64"/>
    </row>
    <row r="880" spans="1:22" ht="30" customHeight="1">
      <c r="A880" s="8"/>
      <c r="B880" s="7"/>
      <c r="C880" s="33"/>
      <c r="D880" s="7"/>
      <c r="E880" s="7"/>
      <c r="F880" s="7"/>
      <c r="G880" s="7"/>
      <c r="H880" s="7"/>
      <c r="I880" s="7"/>
      <c r="J880" s="7"/>
      <c r="K880" s="7"/>
      <c r="L880" s="7"/>
      <c r="M880" s="7"/>
      <c r="N880" s="7"/>
      <c r="O880" s="7"/>
      <c r="P880" s="7"/>
      <c r="Q880" s="7"/>
      <c r="R880" s="64"/>
      <c r="S880" s="64"/>
      <c r="T880" s="64"/>
      <c r="U880" s="64"/>
      <c r="V880" s="64"/>
    </row>
    <row r="881" spans="1:22" ht="30" customHeight="1">
      <c r="A881" s="8"/>
      <c r="B881" s="7"/>
      <c r="C881" s="33"/>
      <c r="D881" s="7"/>
      <c r="E881" s="7"/>
      <c r="F881" s="7"/>
      <c r="G881" s="7"/>
      <c r="H881" s="7"/>
      <c r="I881" s="7"/>
      <c r="J881" s="7"/>
      <c r="K881" s="7"/>
      <c r="L881" s="7"/>
      <c r="M881" s="7"/>
      <c r="N881" s="7"/>
      <c r="O881" s="7"/>
      <c r="P881" s="7"/>
      <c r="Q881" s="7"/>
      <c r="R881" s="64"/>
      <c r="S881" s="64"/>
      <c r="T881" s="64"/>
      <c r="U881" s="64"/>
      <c r="V881" s="64"/>
    </row>
    <row r="882" spans="1:22" ht="30" customHeight="1">
      <c r="A882" s="8"/>
      <c r="B882" s="7"/>
      <c r="C882" s="33"/>
      <c r="D882" s="7"/>
      <c r="E882" s="7"/>
      <c r="F882" s="7"/>
      <c r="G882" s="7"/>
      <c r="H882" s="7"/>
      <c r="I882" s="7"/>
      <c r="J882" s="7"/>
      <c r="K882" s="7"/>
      <c r="L882" s="7"/>
      <c r="M882" s="7"/>
      <c r="N882" s="7"/>
      <c r="O882" s="7"/>
      <c r="P882" s="7"/>
      <c r="Q882" s="7"/>
      <c r="R882" s="64"/>
      <c r="S882" s="64"/>
      <c r="T882" s="64"/>
      <c r="U882" s="64"/>
      <c r="V882" s="64"/>
    </row>
    <row r="883" spans="1:22" ht="30" customHeight="1">
      <c r="A883" s="8"/>
      <c r="B883" s="7"/>
      <c r="C883" s="33"/>
      <c r="D883" s="7"/>
      <c r="E883" s="7"/>
      <c r="F883" s="7"/>
      <c r="G883" s="7"/>
      <c r="H883" s="7"/>
      <c r="I883" s="7"/>
      <c r="J883" s="7"/>
      <c r="K883" s="7"/>
      <c r="L883" s="7"/>
      <c r="M883" s="7"/>
      <c r="N883" s="7"/>
      <c r="O883" s="7"/>
      <c r="P883" s="7"/>
      <c r="Q883" s="7"/>
      <c r="R883" s="64"/>
      <c r="S883" s="64"/>
      <c r="T883" s="64"/>
      <c r="U883" s="64"/>
      <c r="V883" s="64"/>
    </row>
    <row r="884" spans="1:22" ht="30" customHeight="1">
      <c r="A884" s="8"/>
      <c r="B884" s="7"/>
      <c r="C884" s="33"/>
      <c r="D884" s="7"/>
      <c r="E884" s="7"/>
      <c r="F884" s="7"/>
      <c r="G884" s="7"/>
      <c r="H884" s="7"/>
      <c r="I884" s="7"/>
      <c r="J884" s="7"/>
      <c r="K884" s="7"/>
      <c r="L884" s="7"/>
      <c r="M884" s="7"/>
      <c r="N884" s="7"/>
      <c r="O884" s="7"/>
      <c r="P884" s="7"/>
      <c r="Q884" s="7"/>
      <c r="R884" s="64"/>
      <c r="S884" s="64"/>
      <c r="T884" s="64"/>
      <c r="U884" s="64"/>
      <c r="V884" s="64"/>
    </row>
    <row r="885" spans="1:22" ht="30" customHeight="1">
      <c r="A885" s="8"/>
      <c r="B885" s="7"/>
      <c r="C885" s="33"/>
      <c r="D885" s="7"/>
      <c r="E885" s="7"/>
      <c r="F885" s="7"/>
      <c r="G885" s="7"/>
      <c r="H885" s="7"/>
      <c r="I885" s="7"/>
      <c r="J885" s="7"/>
      <c r="K885" s="7"/>
      <c r="L885" s="7"/>
      <c r="M885" s="7"/>
      <c r="N885" s="7"/>
      <c r="O885" s="7"/>
      <c r="P885" s="7"/>
      <c r="Q885" s="7"/>
      <c r="R885" s="64"/>
      <c r="S885" s="64"/>
      <c r="T885" s="64"/>
      <c r="U885" s="64"/>
      <c r="V885" s="64"/>
    </row>
    <row r="886" spans="1:22" ht="30" customHeight="1">
      <c r="A886" s="8"/>
      <c r="B886" s="7"/>
      <c r="C886" s="33"/>
      <c r="D886" s="7"/>
      <c r="E886" s="7"/>
      <c r="F886" s="7"/>
      <c r="G886" s="7"/>
      <c r="H886" s="7"/>
      <c r="I886" s="7"/>
      <c r="J886" s="7"/>
      <c r="K886" s="7"/>
      <c r="L886" s="7"/>
      <c r="M886" s="7"/>
      <c r="N886" s="7"/>
      <c r="O886" s="7"/>
      <c r="P886" s="7"/>
      <c r="Q886" s="7"/>
      <c r="R886" s="64"/>
      <c r="S886" s="64"/>
      <c r="T886" s="64"/>
      <c r="U886" s="64"/>
      <c r="V886" s="64"/>
    </row>
    <row r="887" spans="1:22" ht="30" customHeight="1">
      <c r="A887" s="8"/>
      <c r="B887" s="7"/>
      <c r="C887" s="33"/>
      <c r="D887" s="7"/>
      <c r="E887" s="7"/>
      <c r="F887" s="7"/>
      <c r="G887" s="7"/>
      <c r="H887" s="7"/>
      <c r="I887" s="7"/>
      <c r="J887" s="7"/>
      <c r="K887" s="7"/>
      <c r="L887" s="7"/>
      <c r="M887" s="7"/>
      <c r="N887" s="7"/>
      <c r="O887" s="7"/>
      <c r="P887" s="7"/>
      <c r="Q887" s="7"/>
      <c r="R887" s="64"/>
      <c r="S887" s="64"/>
      <c r="T887" s="64"/>
      <c r="U887" s="64"/>
      <c r="V887" s="64"/>
    </row>
    <row r="888" spans="1:22" ht="30" customHeight="1">
      <c r="A888" s="8"/>
      <c r="B888" s="7"/>
      <c r="C888" s="33"/>
      <c r="D888" s="7"/>
      <c r="E888" s="7"/>
      <c r="F888" s="7"/>
      <c r="G888" s="7"/>
      <c r="H888" s="7"/>
      <c r="I888" s="7"/>
      <c r="J888" s="7"/>
      <c r="K888" s="7"/>
      <c r="L888" s="7"/>
      <c r="M888" s="7"/>
      <c r="N888" s="7"/>
      <c r="O888" s="7"/>
      <c r="P888" s="7"/>
      <c r="Q888" s="7"/>
      <c r="R888" s="64"/>
      <c r="S888" s="64"/>
      <c r="T888" s="64"/>
      <c r="U888" s="64"/>
      <c r="V888" s="64"/>
    </row>
    <row r="889" spans="1:22" ht="30" customHeight="1">
      <c r="A889" s="8"/>
      <c r="B889" s="7"/>
      <c r="C889" s="33"/>
      <c r="D889" s="7"/>
      <c r="E889" s="7"/>
      <c r="F889" s="7"/>
      <c r="G889" s="7"/>
      <c r="H889" s="7"/>
      <c r="I889" s="7"/>
      <c r="J889" s="7"/>
      <c r="K889" s="7"/>
      <c r="L889" s="7"/>
      <c r="M889" s="7"/>
      <c r="N889" s="7"/>
      <c r="O889" s="7"/>
      <c r="P889" s="7"/>
      <c r="Q889" s="7"/>
      <c r="R889" s="64"/>
      <c r="S889" s="64"/>
      <c r="T889" s="64"/>
      <c r="U889" s="64"/>
      <c r="V889" s="64"/>
    </row>
    <row r="890" spans="1:22" ht="30" customHeight="1">
      <c r="A890" s="8"/>
      <c r="B890" s="7"/>
      <c r="C890" s="33"/>
      <c r="D890" s="7"/>
      <c r="E890" s="7"/>
      <c r="F890" s="7"/>
      <c r="G890" s="7"/>
      <c r="H890" s="7"/>
      <c r="I890" s="7"/>
      <c r="J890" s="7"/>
      <c r="K890" s="7"/>
      <c r="L890" s="7"/>
      <c r="M890" s="7"/>
      <c r="N890" s="7"/>
      <c r="O890" s="7"/>
      <c r="P890" s="7"/>
      <c r="Q890" s="7"/>
      <c r="R890" s="64"/>
      <c r="S890" s="64"/>
      <c r="T890" s="64"/>
      <c r="U890" s="64"/>
      <c r="V890" s="64"/>
    </row>
    <row r="891" spans="1:22" ht="30" customHeight="1">
      <c r="A891" s="8"/>
      <c r="B891" s="7"/>
      <c r="C891" s="33"/>
      <c r="D891" s="7"/>
      <c r="E891" s="7"/>
      <c r="F891" s="7"/>
      <c r="G891" s="7"/>
      <c r="H891" s="7"/>
      <c r="I891" s="7"/>
      <c r="J891" s="7"/>
      <c r="K891" s="7"/>
      <c r="L891" s="7"/>
      <c r="M891" s="7"/>
      <c r="N891" s="7"/>
      <c r="O891" s="7"/>
      <c r="P891" s="7"/>
      <c r="Q891" s="7"/>
      <c r="R891" s="64"/>
      <c r="S891" s="64"/>
      <c r="T891" s="64"/>
      <c r="U891" s="64"/>
      <c r="V891" s="64"/>
    </row>
    <row r="892" spans="1:22" ht="30" customHeight="1">
      <c r="A892" s="8"/>
      <c r="B892" s="7"/>
      <c r="C892" s="33"/>
      <c r="D892" s="7"/>
      <c r="E892" s="7"/>
      <c r="F892" s="7"/>
      <c r="G892" s="7"/>
      <c r="H892" s="7"/>
      <c r="I892" s="7"/>
      <c r="J892" s="7"/>
      <c r="K892" s="7"/>
      <c r="L892" s="7"/>
      <c r="M892" s="7"/>
      <c r="N892" s="7"/>
      <c r="O892" s="7"/>
      <c r="P892" s="7"/>
      <c r="Q892" s="7"/>
      <c r="R892" s="64"/>
      <c r="S892" s="64"/>
      <c r="T892" s="64"/>
      <c r="U892" s="64"/>
      <c r="V892" s="64"/>
    </row>
    <row r="893" spans="1:22" ht="30" customHeight="1">
      <c r="A893" s="8"/>
      <c r="B893" s="7"/>
      <c r="C893" s="33"/>
      <c r="D893" s="7"/>
      <c r="E893" s="7"/>
      <c r="F893" s="7"/>
      <c r="G893" s="7"/>
      <c r="H893" s="7"/>
      <c r="I893" s="7"/>
      <c r="J893" s="7"/>
      <c r="K893" s="7"/>
      <c r="L893" s="7"/>
      <c r="M893" s="7"/>
      <c r="N893" s="7"/>
      <c r="O893" s="7"/>
      <c r="P893" s="7"/>
      <c r="Q893" s="7"/>
      <c r="R893" s="64"/>
      <c r="S893" s="64"/>
      <c r="T893" s="64"/>
      <c r="U893" s="64"/>
      <c r="V893" s="64"/>
    </row>
    <row r="894" spans="1:22" ht="30" customHeight="1">
      <c r="A894" s="8"/>
      <c r="B894" s="7"/>
      <c r="C894" s="33"/>
      <c r="D894" s="7"/>
      <c r="E894" s="7"/>
      <c r="F894" s="7"/>
      <c r="G894" s="7"/>
      <c r="H894" s="7"/>
      <c r="I894" s="7"/>
      <c r="J894" s="7"/>
      <c r="K894" s="7"/>
      <c r="L894" s="7"/>
      <c r="M894" s="7"/>
      <c r="N894" s="7"/>
      <c r="O894" s="7"/>
      <c r="P894" s="7"/>
      <c r="Q894" s="7"/>
      <c r="R894" s="64"/>
      <c r="S894" s="64"/>
      <c r="T894" s="64"/>
      <c r="U894" s="64"/>
      <c r="V894" s="64"/>
    </row>
    <row r="895" spans="1:22" ht="30" customHeight="1">
      <c r="A895" s="8"/>
      <c r="B895" s="7"/>
      <c r="C895" s="33"/>
      <c r="D895" s="7"/>
      <c r="E895" s="7"/>
      <c r="F895" s="7"/>
      <c r="G895" s="7"/>
      <c r="H895" s="7"/>
      <c r="I895" s="7"/>
      <c r="J895" s="7"/>
      <c r="K895" s="7"/>
      <c r="L895" s="7"/>
      <c r="M895" s="7"/>
      <c r="N895" s="7"/>
      <c r="O895" s="7"/>
      <c r="P895" s="7"/>
      <c r="Q895" s="7"/>
      <c r="R895" s="64"/>
      <c r="S895" s="64"/>
      <c r="T895" s="64"/>
      <c r="U895" s="64"/>
      <c r="V895" s="64"/>
    </row>
    <row r="896" spans="1:22" ht="30" customHeight="1">
      <c r="A896" s="8"/>
      <c r="B896" s="7"/>
      <c r="C896" s="33"/>
      <c r="D896" s="7"/>
      <c r="E896" s="7"/>
      <c r="F896" s="7"/>
      <c r="G896" s="7"/>
      <c r="H896" s="7"/>
      <c r="I896" s="7"/>
      <c r="J896" s="7"/>
      <c r="K896" s="7"/>
      <c r="L896" s="7"/>
      <c r="M896" s="7"/>
      <c r="N896" s="7"/>
      <c r="O896" s="7"/>
      <c r="P896" s="7"/>
      <c r="Q896" s="7"/>
      <c r="R896" s="64"/>
      <c r="S896" s="64"/>
      <c r="T896" s="64"/>
      <c r="U896" s="64"/>
      <c r="V896" s="64"/>
    </row>
    <row r="897" spans="1:22" ht="30" customHeight="1">
      <c r="A897" s="8"/>
      <c r="B897" s="7"/>
      <c r="C897" s="33"/>
      <c r="D897" s="7"/>
      <c r="E897" s="7"/>
      <c r="F897" s="7"/>
      <c r="G897" s="7"/>
      <c r="H897" s="7"/>
      <c r="I897" s="7"/>
      <c r="J897" s="7"/>
      <c r="K897" s="7"/>
      <c r="L897" s="7"/>
      <c r="M897" s="7"/>
      <c r="N897" s="7"/>
      <c r="O897" s="7"/>
      <c r="P897" s="7"/>
      <c r="Q897" s="7"/>
      <c r="R897" s="64"/>
      <c r="S897" s="64"/>
      <c r="T897" s="64"/>
      <c r="U897" s="64"/>
      <c r="V897" s="64"/>
    </row>
    <row r="898" spans="1:22" ht="30" customHeight="1">
      <c r="A898" s="8"/>
      <c r="B898" s="7"/>
      <c r="C898" s="33"/>
      <c r="D898" s="7"/>
      <c r="E898" s="7"/>
      <c r="F898" s="7"/>
      <c r="G898" s="7"/>
      <c r="H898" s="7"/>
      <c r="I898" s="7"/>
      <c r="J898" s="7"/>
      <c r="K898" s="7"/>
      <c r="L898" s="7"/>
      <c r="M898" s="7"/>
      <c r="N898" s="7"/>
      <c r="O898" s="7"/>
      <c r="P898" s="7"/>
      <c r="Q898" s="7"/>
      <c r="R898" s="64"/>
      <c r="S898" s="64"/>
      <c r="T898" s="64"/>
      <c r="U898" s="64"/>
      <c r="V898" s="64"/>
    </row>
    <row r="899" spans="1:22" ht="30" customHeight="1">
      <c r="A899" s="8"/>
      <c r="B899" s="7"/>
      <c r="C899" s="33"/>
      <c r="D899" s="7"/>
      <c r="E899" s="7"/>
      <c r="F899" s="7"/>
      <c r="G899" s="7"/>
      <c r="H899" s="7"/>
      <c r="I899" s="7"/>
      <c r="J899" s="7"/>
      <c r="K899" s="7"/>
      <c r="L899" s="7"/>
      <c r="M899" s="7"/>
      <c r="N899" s="7"/>
      <c r="O899" s="7"/>
      <c r="P899" s="7"/>
      <c r="Q899" s="7"/>
      <c r="R899" s="64"/>
      <c r="S899" s="64"/>
      <c r="T899" s="64"/>
      <c r="U899" s="64"/>
      <c r="V899" s="64"/>
    </row>
    <row r="900" spans="1:22" ht="30" customHeight="1">
      <c r="A900" s="8"/>
      <c r="B900" s="7"/>
      <c r="C900" s="33"/>
      <c r="D900" s="7"/>
      <c r="E900" s="7"/>
      <c r="F900" s="7"/>
      <c r="G900" s="7"/>
      <c r="H900" s="7"/>
      <c r="I900" s="7"/>
      <c r="J900" s="7"/>
      <c r="K900" s="7"/>
      <c r="L900" s="7"/>
      <c r="M900" s="7"/>
      <c r="N900" s="7"/>
      <c r="O900" s="7"/>
      <c r="P900" s="7"/>
      <c r="Q900" s="7"/>
      <c r="R900" s="64"/>
      <c r="S900" s="64"/>
      <c r="T900" s="64"/>
      <c r="U900" s="64"/>
      <c r="V900" s="64"/>
    </row>
    <row r="901" spans="1:22" ht="30" customHeight="1">
      <c r="A901" s="8"/>
      <c r="B901" s="7"/>
      <c r="C901" s="33"/>
      <c r="D901" s="7"/>
      <c r="E901" s="7"/>
      <c r="F901" s="7"/>
      <c r="G901" s="7"/>
      <c r="H901" s="7"/>
      <c r="I901" s="7"/>
      <c r="J901" s="7"/>
      <c r="K901" s="7"/>
      <c r="L901" s="7"/>
      <c r="M901" s="7"/>
      <c r="N901" s="7"/>
      <c r="O901" s="7"/>
      <c r="P901" s="7"/>
      <c r="Q901" s="7"/>
      <c r="R901" s="64"/>
      <c r="S901" s="64"/>
      <c r="T901" s="64"/>
      <c r="U901" s="64"/>
      <c r="V901" s="64"/>
    </row>
    <row r="902" spans="1:22" ht="30" customHeight="1">
      <c r="A902" s="8"/>
      <c r="B902" s="7"/>
      <c r="C902" s="33"/>
      <c r="D902" s="7"/>
      <c r="E902" s="7"/>
      <c r="F902" s="7"/>
      <c r="G902" s="7"/>
      <c r="H902" s="7"/>
      <c r="I902" s="7"/>
      <c r="J902" s="7"/>
      <c r="K902" s="7"/>
      <c r="L902" s="7"/>
      <c r="M902" s="7"/>
      <c r="N902" s="7"/>
      <c r="O902" s="7"/>
      <c r="P902" s="7"/>
      <c r="Q902" s="7"/>
      <c r="R902" s="64"/>
      <c r="S902" s="64"/>
      <c r="T902" s="64"/>
      <c r="U902" s="64"/>
      <c r="V902" s="64"/>
    </row>
    <row r="903" spans="1:22" ht="30" customHeight="1">
      <c r="A903" s="8"/>
      <c r="B903" s="7"/>
      <c r="C903" s="33"/>
      <c r="D903" s="7"/>
      <c r="E903" s="7"/>
      <c r="F903" s="7"/>
      <c r="G903" s="7"/>
      <c r="H903" s="7"/>
      <c r="I903" s="7"/>
      <c r="J903" s="7"/>
      <c r="K903" s="7"/>
      <c r="L903" s="7"/>
      <c r="M903" s="7"/>
      <c r="N903" s="7"/>
      <c r="O903" s="7"/>
      <c r="P903" s="7"/>
      <c r="Q903" s="7"/>
      <c r="R903" s="64"/>
      <c r="S903" s="64"/>
      <c r="T903" s="64"/>
      <c r="U903" s="64"/>
      <c r="V903" s="64"/>
    </row>
    <row r="904" spans="1:22" ht="30" customHeight="1">
      <c r="A904" s="8"/>
      <c r="B904" s="7"/>
      <c r="C904" s="33"/>
      <c r="D904" s="7"/>
      <c r="E904" s="7"/>
      <c r="F904" s="7"/>
      <c r="G904" s="7"/>
      <c r="H904" s="7"/>
      <c r="I904" s="7"/>
      <c r="J904" s="7"/>
      <c r="K904" s="7"/>
      <c r="L904" s="7"/>
      <c r="M904" s="7"/>
      <c r="N904" s="7"/>
      <c r="O904" s="7"/>
      <c r="P904" s="7"/>
      <c r="Q904" s="7"/>
      <c r="R904" s="64"/>
      <c r="S904" s="64"/>
      <c r="T904" s="64"/>
      <c r="U904" s="64"/>
      <c r="V904" s="64"/>
    </row>
    <row r="905" spans="1:22" ht="30" customHeight="1">
      <c r="A905" s="8"/>
      <c r="B905" s="7"/>
      <c r="C905" s="33"/>
      <c r="D905" s="7"/>
      <c r="E905" s="7"/>
      <c r="F905" s="7"/>
      <c r="G905" s="7"/>
      <c r="H905" s="7"/>
      <c r="I905" s="7"/>
      <c r="J905" s="7"/>
      <c r="K905" s="7"/>
      <c r="L905" s="7"/>
      <c r="M905" s="7"/>
      <c r="N905" s="7"/>
      <c r="O905" s="7"/>
      <c r="P905" s="7"/>
      <c r="Q905" s="7"/>
      <c r="R905" s="64"/>
      <c r="S905" s="64"/>
      <c r="T905" s="64"/>
      <c r="U905" s="64"/>
      <c r="V905" s="64"/>
    </row>
    <row r="906" spans="1:22" ht="30" customHeight="1">
      <c r="A906" s="8"/>
      <c r="B906" s="7"/>
      <c r="C906" s="33"/>
      <c r="D906" s="7"/>
      <c r="E906" s="7"/>
      <c r="F906" s="7"/>
      <c r="G906" s="7"/>
      <c r="H906" s="7"/>
      <c r="I906" s="7"/>
      <c r="J906" s="7"/>
      <c r="K906" s="7"/>
      <c r="L906" s="7"/>
      <c r="M906" s="7"/>
      <c r="N906" s="7"/>
      <c r="O906" s="7"/>
      <c r="P906" s="7"/>
      <c r="Q906" s="7"/>
      <c r="R906" s="64"/>
      <c r="S906" s="64"/>
      <c r="T906" s="64"/>
      <c r="U906" s="64"/>
      <c r="V906" s="64"/>
    </row>
    <row r="907" spans="1:22" ht="30" customHeight="1">
      <c r="A907" s="8"/>
      <c r="B907" s="7"/>
      <c r="C907" s="33"/>
      <c r="D907" s="7"/>
      <c r="E907" s="7"/>
      <c r="F907" s="7"/>
      <c r="G907" s="7"/>
      <c r="H907" s="7"/>
      <c r="I907" s="7"/>
      <c r="J907" s="7"/>
      <c r="K907" s="7"/>
      <c r="L907" s="7"/>
      <c r="M907" s="7"/>
      <c r="N907" s="7"/>
      <c r="O907" s="7"/>
      <c r="P907" s="7"/>
      <c r="Q907" s="7"/>
      <c r="R907" s="64"/>
      <c r="S907" s="64"/>
      <c r="T907" s="64"/>
      <c r="U907" s="64"/>
      <c r="V907" s="64"/>
    </row>
    <row r="908" spans="1:22" ht="30" customHeight="1">
      <c r="A908" s="8"/>
      <c r="B908" s="7"/>
      <c r="C908" s="33"/>
      <c r="D908" s="7"/>
      <c r="E908" s="7"/>
      <c r="F908" s="7"/>
      <c r="G908" s="7"/>
      <c r="H908" s="7"/>
      <c r="I908" s="7"/>
      <c r="J908" s="7"/>
      <c r="K908" s="7"/>
      <c r="L908" s="7"/>
      <c r="M908" s="7"/>
      <c r="N908" s="7"/>
      <c r="O908" s="7"/>
      <c r="P908" s="7"/>
      <c r="Q908" s="7"/>
      <c r="R908" s="64"/>
      <c r="S908" s="64"/>
      <c r="T908" s="64"/>
      <c r="U908" s="64"/>
      <c r="V908" s="64"/>
    </row>
    <row r="909" spans="1:22" ht="30" customHeight="1">
      <c r="A909" s="8"/>
      <c r="B909" s="7"/>
      <c r="C909" s="33"/>
      <c r="D909" s="7"/>
      <c r="E909" s="7"/>
      <c r="F909" s="7"/>
      <c r="G909" s="7"/>
      <c r="H909" s="7"/>
      <c r="I909" s="7"/>
      <c r="J909" s="7"/>
      <c r="K909" s="7"/>
      <c r="L909" s="7"/>
      <c r="M909" s="7"/>
      <c r="N909" s="7"/>
      <c r="O909" s="7"/>
      <c r="P909" s="7"/>
      <c r="Q909" s="7"/>
      <c r="R909" s="64"/>
      <c r="S909" s="64"/>
      <c r="T909" s="64"/>
      <c r="U909" s="64"/>
      <c r="V909" s="64"/>
    </row>
    <row r="910" spans="1:22" ht="30" customHeight="1">
      <c r="A910" s="8"/>
      <c r="B910" s="7"/>
      <c r="C910" s="33"/>
      <c r="D910" s="7"/>
      <c r="E910" s="7"/>
      <c r="F910" s="7"/>
      <c r="G910" s="7"/>
      <c r="H910" s="7"/>
      <c r="I910" s="7"/>
      <c r="J910" s="7"/>
      <c r="K910" s="7"/>
      <c r="L910" s="7"/>
      <c r="M910" s="7"/>
      <c r="N910" s="7"/>
      <c r="O910" s="7"/>
      <c r="P910" s="7"/>
      <c r="Q910" s="7"/>
      <c r="R910" s="64"/>
      <c r="S910" s="64"/>
      <c r="T910" s="64"/>
      <c r="U910" s="64"/>
      <c r="V910" s="64"/>
    </row>
    <row r="911" spans="1:22" ht="30" customHeight="1">
      <c r="A911" s="8"/>
      <c r="B911" s="7"/>
      <c r="C911" s="33"/>
      <c r="D911" s="7"/>
      <c r="E911" s="7"/>
      <c r="F911" s="7"/>
      <c r="G911" s="7"/>
      <c r="H911" s="7"/>
      <c r="I911" s="7"/>
      <c r="J911" s="7"/>
      <c r="K911" s="7"/>
      <c r="L911" s="7"/>
      <c r="M911" s="7"/>
      <c r="N911" s="7"/>
      <c r="O911" s="7"/>
      <c r="P911" s="7"/>
      <c r="Q911" s="7"/>
      <c r="R911" s="64"/>
      <c r="S911" s="64"/>
      <c r="T911" s="64"/>
      <c r="U911" s="64"/>
      <c r="V911" s="64"/>
    </row>
    <row r="912" spans="1:22" ht="30" customHeight="1">
      <c r="A912" s="8"/>
      <c r="B912" s="7"/>
      <c r="C912" s="33"/>
      <c r="D912" s="7"/>
      <c r="E912" s="7"/>
      <c r="F912" s="7"/>
      <c r="G912" s="7"/>
      <c r="H912" s="7"/>
      <c r="I912" s="7"/>
      <c r="J912" s="7"/>
      <c r="K912" s="7"/>
      <c r="L912" s="7"/>
      <c r="M912" s="7"/>
      <c r="N912" s="7"/>
      <c r="O912" s="7"/>
      <c r="P912" s="7"/>
      <c r="Q912" s="7"/>
      <c r="R912" s="64"/>
      <c r="S912" s="64"/>
      <c r="T912" s="64"/>
      <c r="U912" s="64"/>
      <c r="V912" s="64"/>
    </row>
    <row r="913" spans="1:22" ht="30" customHeight="1">
      <c r="A913" s="8"/>
      <c r="B913" s="7"/>
      <c r="C913" s="33"/>
      <c r="D913" s="7"/>
      <c r="E913" s="7"/>
      <c r="F913" s="7"/>
      <c r="G913" s="7"/>
      <c r="H913" s="7"/>
      <c r="I913" s="7"/>
      <c r="J913" s="7"/>
      <c r="K913" s="7"/>
      <c r="L913" s="7"/>
      <c r="M913" s="7"/>
      <c r="N913" s="7"/>
      <c r="O913" s="7"/>
      <c r="P913" s="7"/>
      <c r="Q913" s="7"/>
      <c r="R913" s="64"/>
      <c r="S913" s="64"/>
      <c r="T913" s="64"/>
      <c r="U913" s="64"/>
      <c r="V913" s="64"/>
    </row>
    <row r="914" spans="1:22" ht="30" customHeight="1">
      <c r="A914" s="8"/>
      <c r="B914" s="7"/>
      <c r="C914" s="33"/>
      <c r="D914" s="7"/>
      <c r="E914" s="7"/>
      <c r="F914" s="7"/>
      <c r="G914" s="7"/>
      <c r="H914" s="7"/>
      <c r="I914" s="7"/>
      <c r="J914" s="7"/>
      <c r="K914" s="7"/>
      <c r="L914" s="7"/>
      <c r="M914" s="7"/>
      <c r="N914" s="7"/>
      <c r="O914" s="7"/>
      <c r="P914" s="7"/>
      <c r="Q914" s="7"/>
      <c r="R914" s="64"/>
      <c r="S914" s="64"/>
      <c r="T914" s="64"/>
      <c r="U914" s="64"/>
      <c r="V914" s="64"/>
    </row>
    <row r="915" spans="1:22" ht="30" customHeight="1">
      <c r="A915" s="8"/>
      <c r="B915" s="7"/>
      <c r="C915" s="33"/>
      <c r="D915" s="7"/>
      <c r="E915" s="7"/>
      <c r="F915" s="7"/>
      <c r="G915" s="7"/>
      <c r="H915" s="7"/>
      <c r="I915" s="7"/>
      <c r="J915" s="7"/>
      <c r="K915" s="7"/>
      <c r="L915" s="7"/>
      <c r="M915" s="7"/>
      <c r="N915" s="7"/>
      <c r="O915" s="7"/>
      <c r="P915" s="7"/>
      <c r="Q915" s="7"/>
      <c r="R915" s="64"/>
      <c r="S915" s="64"/>
      <c r="T915" s="64"/>
      <c r="U915" s="64"/>
      <c r="V915" s="64"/>
    </row>
    <row r="916" spans="1:22" ht="30" customHeight="1">
      <c r="A916" s="8"/>
      <c r="B916" s="7"/>
      <c r="C916" s="33"/>
      <c r="D916" s="7"/>
      <c r="E916" s="7"/>
      <c r="F916" s="7"/>
      <c r="G916" s="7"/>
      <c r="H916" s="7"/>
      <c r="I916" s="7"/>
      <c r="J916" s="7"/>
      <c r="K916" s="7"/>
      <c r="L916" s="7"/>
      <c r="M916" s="7"/>
      <c r="N916" s="7"/>
      <c r="O916" s="7"/>
      <c r="P916" s="7"/>
      <c r="Q916" s="7"/>
      <c r="R916" s="64"/>
      <c r="S916" s="64"/>
      <c r="T916" s="64"/>
      <c r="U916" s="64"/>
      <c r="V916" s="64"/>
    </row>
    <row r="917" spans="1:22" ht="30" customHeight="1">
      <c r="A917" s="8"/>
      <c r="B917" s="7"/>
      <c r="C917" s="33"/>
      <c r="D917" s="7"/>
      <c r="E917" s="7"/>
      <c r="F917" s="7"/>
      <c r="G917" s="7"/>
      <c r="H917" s="7"/>
      <c r="I917" s="7"/>
      <c r="J917" s="7"/>
      <c r="K917" s="7"/>
      <c r="L917" s="7"/>
      <c r="M917" s="7"/>
      <c r="N917" s="7"/>
      <c r="O917" s="7"/>
      <c r="P917" s="7"/>
      <c r="Q917" s="7"/>
      <c r="R917" s="64"/>
      <c r="S917" s="64"/>
      <c r="T917" s="64"/>
      <c r="U917" s="64"/>
      <c r="V917" s="64"/>
    </row>
    <row r="918" spans="1:22" ht="30" customHeight="1">
      <c r="A918" s="8"/>
      <c r="B918" s="7"/>
      <c r="C918" s="33"/>
      <c r="D918" s="7"/>
      <c r="E918" s="7"/>
      <c r="F918" s="7"/>
      <c r="G918" s="7"/>
      <c r="H918" s="7"/>
      <c r="I918" s="7"/>
      <c r="J918" s="7"/>
      <c r="K918" s="7"/>
      <c r="L918" s="7"/>
      <c r="M918" s="7"/>
      <c r="N918" s="7"/>
      <c r="O918" s="7"/>
      <c r="P918" s="7"/>
      <c r="Q918" s="7"/>
      <c r="R918" s="64"/>
      <c r="S918" s="64"/>
      <c r="T918" s="64"/>
      <c r="U918" s="64"/>
      <c r="V918" s="64"/>
    </row>
    <row r="919" spans="1:22" ht="30" customHeight="1">
      <c r="A919" s="8"/>
      <c r="B919" s="7"/>
      <c r="C919" s="33"/>
      <c r="D919" s="7"/>
      <c r="E919" s="7"/>
      <c r="F919" s="7"/>
      <c r="G919" s="7"/>
      <c r="H919" s="7"/>
      <c r="I919" s="7"/>
      <c r="J919" s="7"/>
      <c r="K919" s="7"/>
      <c r="L919" s="7"/>
      <c r="M919" s="7"/>
      <c r="N919" s="7"/>
      <c r="O919" s="7"/>
      <c r="P919" s="7"/>
      <c r="Q919" s="7"/>
      <c r="R919" s="64"/>
      <c r="S919" s="64"/>
      <c r="T919" s="64"/>
      <c r="U919" s="64"/>
      <c r="V919" s="64"/>
    </row>
    <row r="920" spans="1:22" ht="30" customHeight="1">
      <c r="A920" s="8"/>
      <c r="B920" s="7"/>
      <c r="C920" s="33"/>
      <c r="D920" s="7"/>
      <c r="E920" s="7"/>
      <c r="F920" s="7"/>
      <c r="G920" s="7"/>
      <c r="H920" s="7"/>
      <c r="I920" s="7"/>
      <c r="J920" s="7"/>
      <c r="K920" s="7"/>
      <c r="L920" s="7"/>
      <c r="M920" s="7"/>
      <c r="N920" s="7"/>
      <c r="O920" s="7"/>
      <c r="P920" s="7"/>
      <c r="Q920" s="7"/>
      <c r="R920" s="64"/>
      <c r="S920" s="64"/>
      <c r="T920" s="64"/>
      <c r="U920" s="64"/>
      <c r="V920" s="64"/>
    </row>
    <row r="921" spans="1:22" ht="30" customHeight="1">
      <c r="A921" s="8"/>
      <c r="B921" s="7"/>
      <c r="C921" s="33"/>
      <c r="D921" s="7"/>
      <c r="E921" s="7"/>
      <c r="F921" s="7"/>
      <c r="G921" s="7"/>
      <c r="H921" s="7"/>
      <c r="I921" s="7"/>
      <c r="J921" s="7"/>
      <c r="K921" s="7"/>
      <c r="L921" s="7"/>
      <c r="M921" s="7"/>
      <c r="N921" s="7"/>
      <c r="O921" s="7"/>
      <c r="P921" s="7"/>
      <c r="Q921" s="7"/>
      <c r="R921" s="64"/>
      <c r="S921" s="64"/>
      <c r="T921" s="64"/>
      <c r="U921" s="64"/>
      <c r="V921" s="64"/>
    </row>
    <row r="922" spans="1:22" ht="30" customHeight="1">
      <c r="A922" s="8"/>
      <c r="B922" s="7"/>
      <c r="C922" s="33"/>
      <c r="D922" s="7"/>
      <c r="E922" s="7"/>
      <c r="F922" s="7"/>
      <c r="G922" s="7"/>
      <c r="H922" s="7"/>
      <c r="I922" s="7"/>
      <c r="J922" s="7"/>
      <c r="K922" s="7"/>
      <c r="L922" s="7"/>
      <c r="M922" s="7"/>
      <c r="N922" s="7"/>
      <c r="O922" s="7"/>
      <c r="P922" s="7"/>
      <c r="Q922" s="7"/>
      <c r="R922" s="64"/>
      <c r="S922" s="64"/>
      <c r="T922" s="64"/>
      <c r="U922" s="64"/>
      <c r="V922" s="64"/>
    </row>
    <row r="923" spans="1:22" ht="30" customHeight="1">
      <c r="A923" s="8"/>
      <c r="B923" s="7"/>
      <c r="C923" s="33"/>
      <c r="D923" s="7"/>
      <c r="E923" s="7"/>
      <c r="F923" s="7"/>
      <c r="G923" s="7"/>
      <c r="H923" s="7"/>
      <c r="I923" s="7"/>
      <c r="J923" s="7"/>
      <c r="K923" s="7"/>
      <c r="L923" s="7"/>
      <c r="M923" s="7"/>
      <c r="N923" s="7"/>
      <c r="O923" s="7"/>
      <c r="P923" s="7"/>
      <c r="Q923" s="7"/>
      <c r="R923" s="64"/>
      <c r="S923" s="64"/>
      <c r="T923" s="64"/>
      <c r="U923" s="64"/>
      <c r="V923" s="64"/>
    </row>
    <row r="924" spans="1:22" ht="30" customHeight="1">
      <c r="A924" s="8"/>
      <c r="B924" s="7"/>
      <c r="C924" s="33"/>
      <c r="D924" s="7"/>
      <c r="E924" s="7"/>
      <c r="F924" s="7"/>
      <c r="G924" s="7"/>
      <c r="H924" s="7"/>
      <c r="I924" s="7"/>
      <c r="J924" s="7"/>
      <c r="K924" s="7"/>
      <c r="L924" s="7"/>
      <c r="M924" s="7"/>
      <c r="N924" s="7"/>
      <c r="O924" s="7"/>
      <c r="P924" s="7"/>
      <c r="Q924" s="7"/>
      <c r="R924" s="64"/>
      <c r="S924" s="64"/>
      <c r="T924" s="64"/>
      <c r="U924" s="64"/>
      <c r="V924" s="64"/>
    </row>
    <row r="925" spans="1:22" ht="30" customHeight="1">
      <c r="A925" s="8"/>
      <c r="B925" s="7"/>
      <c r="C925" s="33"/>
      <c r="D925" s="7"/>
      <c r="E925" s="7"/>
      <c r="F925" s="7"/>
      <c r="G925" s="7"/>
      <c r="H925" s="7"/>
      <c r="I925" s="7"/>
      <c r="J925" s="7"/>
      <c r="K925" s="7"/>
      <c r="L925" s="7"/>
      <c r="M925" s="7"/>
      <c r="N925" s="7"/>
      <c r="O925" s="7"/>
      <c r="P925" s="7"/>
      <c r="Q925" s="7"/>
      <c r="R925" s="64"/>
      <c r="S925" s="64"/>
      <c r="T925" s="64"/>
      <c r="U925" s="64"/>
      <c r="V925" s="64"/>
    </row>
    <row r="926" spans="1:22" ht="30" customHeight="1">
      <c r="A926" s="8"/>
      <c r="B926" s="7"/>
      <c r="C926" s="33"/>
      <c r="D926" s="7"/>
      <c r="E926" s="7"/>
      <c r="F926" s="7"/>
      <c r="G926" s="7"/>
      <c r="H926" s="7"/>
      <c r="I926" s="7"/>
      <c r="J926" s="7"/>
      <c r="K926" s="7"/>
      <c r="L926" s="7"/>
      <c r="M926" s="7"/>
      <c r="N926" s="7"/>
      <c r="O926" s="7"/>
      <c r="P926" s="7"/>
      <c r="Q926" s="7"/>
      <c r="R926" s="64"/>
      <c r="S926" s="64"/>
      <c r="T926" s="64"/>
      <c r="U926" s="64"/>
      <c r="V926" s="64"/>
    </row>
    <row r="927" spans="1:22" ht="30" customHeight="1">
      <c r="A927" s="8"/>
      <c r="B927" s="7"/>
      <c r="C927" s="33"/>
      <c r="D927" s="7"/>
      <c r="E927" s="7"/>
      <c r="F927" s="7"/>
      <c r="G927" s="7"/>
      <c r="H927" s="7"/>
      <c r="I927" s="7"/>
      <c r="J927" s="7"/>
      <c r="K927" s="7"/>
      <c r="L927" s="7"/>
      <c r="M927" s="7"/>
      <c r="N927" s="7"/>
      <c r="O927" s="7"/>
      <c r="P927" s="7"/>
      <c r="Q927" s="7"/>
      <c r="R927" s="64"/>
      <c r="S927" s="64"/>
      <c r="T927" s="64"/>
      <c r="U927" s="64"/>
      <c r="V927" s="64"/>
    </row>
    <row r="928" spans="1:22" ht="30" customHeight="1">
      <c r="A928" s="8"/>
      <c r="B928" s="7"/>
      <c r="C928" s="33"/>
      <c r="D928" s="7"/>
      <c r="E928" s="7"/>
      <c r="F928" s="7"/>
      <c r="G928" s="7"/>
      <c r="H928" s="7"/>
      <c r="I928" s="7"/>
      <c r="J928" s="7"/>
      <c r="K928" s="7"/>
      <c r="L928" s="7"/>
      <c r="M928" s="7"/>
      <c r="N928" s="7"/>
      <c r="O928" s="7"/>
      <c r="P928" s="7"/>
      <c r="Q928" s="7"/>
      <c r="R928" s="64"/>
      <c r="S928" s="64"/>
      <c r="T928" s="64"/>
      <c r="U928" s="64"/>
      <c r="V928" s="64"/>
    </row>
    <row r="929" spans="1:22" ht="30" customHeight="1">
      <c r="A929" s="8"/>
      <c r="B929" s="7"/>
      <c r="C929" s="33"/>
      <c r="D929" s="7"/>
      <c r="E929" s="7"/>
      <c r="F929" s="7"/>
      <c r="G929" s="7"/>
      <c r="H929" s="7"/>
      <c r="I929" s="7"/>
      <c r="J929" s="7"/>
      <c r="K929" s="7"/>
      <c r="L929" s="7"/>
      <c r="M929" s="7"/>
      <c r="N929" s="7"/>
      <c r="O929" s="7"/>
      <c r="P929" s="7"/>
      <c r="Q929" s="7"/>
      <c r="R929" s="64"/>
      <c r="S929" s="64"/>
      <c r="T929" s="64"/>
      <c r="U929" s="64"/>
      <c r="V929" s="64"/>
    </row>
    <row r="930" spans="1:22" ht="30" customHeight="1">
      <c r="A930" s="8"/>
      <c r="B930" s="7"/>
      <c r="C930" s="33"/>
      <c r="D930" s="7"/>
      <c r="E930" s="7"/>
      <c r="F930" s="7"/>
      <c r="G930" s="7"/>
      <c r="H930" s="7"/>
      <c r="I930" s="7"/>
      <c r="J930" s="7"/>
      <c r="K930" s="7"/>
      <c r="L930" s="7"/>
      <c r="M930" s="7"/>
      <c r="N930" s="7"/>
      <c r="O930" s="7"/>
      <c r="P930" s="7"/>
      <c r="Q930" s="7"/>
      <c r="R930" s="64"/>
      <c r="S930" s="64"/>
      <c r="T930" s="64"/>
      <c r="U930" s="64"/>
      <c r="V930" s="64"/>
    </row>
    <row r="931" spans="1:22" ht="30" customHeight="1">
      <c r="A931" s="8"/>
      <c r="B931" s="7"/>
      <c r="C931" s="33"/>
      <c r="D931" s="7"/>
      <c r="E931" s="7"/>
      <c r="F931" s="7"/>
      <c r="G931" s="7"/>
      <c r="H931" s="7"/>
      <c r="I931" s="7"/>
      <c r="J931" s="7"/>
      <c r="K931" s="7"/>
      <c r="L931" s="7"/>
      <c r="M931" s="7"/>
      <c r="N931" s="7"/>
      <c r="O931" s="7"/>
      <c r="P931" s="7"/>
      <c r="Q931" s="7"/>
      <c r="R931" s="64"/>
      <c r="S931" s="64"/>
      <c r="T931" s="64"/>
      <c r="U931" s="64"/>
      <c r="V931" s="64"/>
    </row>
    <row r="932" spans="1:22" ht="30" customHeight="1">
      <c r="A932" s="8"/>
      <c r="B932" s="7"/>
      <c r="C932" s="33"/>
      <c r="D932" s="7"/>
      <c r="E932" s="7"/>
      <c r="F932" s="7"/>
      <c r="G932" s="7"/>
      <c r="H932" s="7"/>
      <c r="I932" s="7"/>
      <c r="J932" s="7"/>
      <c r="K932" s="7"/>
      <c r="L932" s="7"/>
      <c r="M932" s="7"/>
      <c r="N932" s="7"/>
      <c r="O932" s="7"/>
      <c r="P932" s="7"/>
      <c r="Q932" s="7"/>
      <c r="R932" s="64"/>
      <c r="S932" s="64"/>
      <c r="T932" s="64"/>
      <c r="U932" s="64"/>
      <c r="V932" s="64"/>
    </row>
    <row r="933" spans="1:22" ht="30" customHeight="1">
      <c r="A933" s="8"/>
      <c r="B933" s="7"/>
      <c r="C933" s="33"/>
      <c r="D933" s="7"/>
      <c r="E933" s="7"/>
      <c r="F933" s="7"/>
      <c r="G933" s="7"/>
      <c r="H933" s="7"/>
      <c r="I933" s="7"/>
      <c r="J933" s="7"/>
      <c r="K933" s="7"/>
      <c r="L933" s="7"/>
      <c r="M933" s="7"/>
      <c r="N933" s="7"/>
      <c r="O933" s="7"/>
      <c r="P933" s="7"/>
      <c r="Q933" s="7"/>
      <c r="R933" s="64"/>
      <c r="S933" s="64"/>
      <c r="T933" s="64"/>
      <c r="U933" s="64"/>
      <c r="V933" s="64"/>
    </row>
    <row r="934" spans="1:22" ht="30" customHeight="1">
      <c r="A934" s="8"/>
      <c r="B934" s="7"/>
      <c r="C934" s="33"/>
      <c r="D934" s="7"/>
      <c r="E934" s="7"/>
      <c r="F934" s="7"/>
      <c r="G934" s="7"/>
      <c r="H934" s="7"/>
      <c r="I934" s="7"/>
      <c r="J934" s="7"/>
      <c r="K934" s="7"/>
      <c r="L934" s="7"/>
      <c r="M934" s="7"/>
      <c r="N934" s="7"/>
      <c r="O934" s="7"/>
      <c r="P934" s="7"/>
      <c r="Q934" s="7"/>
      <c r="R934" s="64"/>
      <c r="S934" s="64"/>
      <c r="T934" s="64"/>
      <c r="U934" s="64"/>
      <c r="V934" s="64"/>
    </row>
    <row r="935" spans="1:22" ht="30" customHeight="1">
      <c r="A935" s="8"/>
      <c r="B935" s="7"/>
      <c r="C935" s="33"/>
      <c r="D935" s="7"/>
      <c r="E935" s="7"/>
      <c r="F935" s="7"/>
      <c r="G935" s="7"/>
      <c r="H935" s="7"/>
      <c r="I935" s="7"/>
      <c r="J935" s="7"/>
      <c r="K935" s="7"/>
      <c r="L935" s="7"/>
      <c r="M935" s="7"/>
      <c r="N935" s="7"/>
      <c r="O935" s="7"/>
      <c r="P935" s="7"/>
      <c r="Q935" s="7"/>
      <c r="R935" s="64"/>
      <c r="S935" s="64"/>
      <c r="T935" s="64"/>
      <c r="U935" s="64"/>
      <c r="V935" s="64"/>
    </row>
    <row r="936" spans="1:22" ht="30" customHeight="1">
      <c r="A936" s="8"/>
      <c r="B936" s="7"/>
      <c r="C936" s="33"/>
      <c r="D936" s="7"/>
      <c r="E936" s="7"/>
      <c r="F936" s="7"/>
      <c r="G936" s="7"/>
      <c r="H936" s="7"/>
      <c r="I936" s="7"/>
      <c r="J936" s="7"/>
      <c r="K936" s="7"/>
      <c r="L936" s="7"/>
      <c r="M936" s="7"/>
      <c r="N936" s="7"/>
      <c r="O936" s="7"/>
      <c r="P936" s="7"/>
      <c r="Q936" s="7"/>
      <c r="R936" s="64"/>
      <c r="S936" s="64"/>
      <c r="T936" s="64"/>
      <c r="U936" s="64"/>
      <c r="V936" s="64"/>
    </row>
    <row r="937" spans="1:22" ht="30" customHeight="1">
      <c r="A937" s="8"/>
      <c r="B937" s="7"/>
      <c r="C937" s="33"/>
      <c r="D937" s="7"/>
      <c r="E937" s="7"/>
      <c r="F937" s="7"/>
      <c r="G937" s="7"/>
      <c r="H937" s="7"/>
      <c r="I937" s="7"/>
      <c r="J937" s="7"/>
      <c r="K937" s="7"/>
      <c r="L937" s="7"/>
      <c r="M937" s="7"/>
      <c r="N937" s="7"/>
      <c r="O937" s="7"/>
      <c r="P937" s="7"/>
      <c r="Q937" s="7"/>
      <c r="R937" s="64"/>
      <c r="S937" s="64"/>
      <c r="T937" s="64"/>
      <c r="U937" s="64"/>
      <c r="V937" s="64"/>
    </row>
    <row r="938" spans="1:22" ht="30" customHeight="1">
      <c r="A938" s="8"/>
      <c r="B938" s="7"/>
      <c r="C938" s="33"/>
      <c r="D938" s="7"/>
      <c r="E938" s="7"/>
      <c r="F938" s="7"/>
      <c r="G938" s="7"/>
      <c r="H938" s="7"/>
      <c r="I938" s="7"/>
      <c r="J938" s="7"/>
      <c r="K938" s="7"/>
      <c r="L938" s="7"/>
      <c r="M938" s="7"/>
      <c r="N938" s="7"/>
      <c r="O938" s="7"/>
      <c r="P938" s="7"/>
      <c r="Q938" s="7"/>
      <c r="R938" s="64"/>
      <c r="S938" s="64"/>
      <c r="T938" s="64"/>
      <c r="U938" s="64"/>
      <c r="V938" s="64"/>
    </row>
    <row r="939" spans="1:22" ht="30" customHeight="1">
      <c r="A939" s="8"/>
      <c r="B939" s="7"/>
      <c r="C939" s="33"/>
      <c r="D939" s="7"/>
      <c r="E939" s="7"/>
      <c r="F939" s="7"/>
      <c r="G939" s="7"/>
      <c r="H939" s="7"/>
      <c r="I939" s="7"/>
      <c r="J939" s="7"/>
      <c r="K939" s="7"/>
      <c r="L939" s="7"/>
      <c r="M939" s="7"/>
      <c r="N939" s="7"/>
      <c r="O939" s="7"/>
      <c r="P939" s="7"/>
      <c r="Q939" s="7"/>
      <c r="R939" s="64"/>
      <c r="S939" s="64"/>
      <c r="T939" s="64"/>
      <c r="U939" s="64"/>
      <c r="V939" s="64"/>
    </row>
    <row r="940" spans="1:22" ht="30" customHeight="1">
      <c r="A940" s="8"/>
      <c r="B940" s="7"/>
      <c r="C940" s="33"/>
      <c r="D940" s="7"/>
      <c r="E940" s="7"/>
      <c r="F940" s="7"/>
      <c r="G940" s="7"/>
      <c r="H940" s="7"/>
      <c r="I940" s="7"/>
      <c r="J940" s="7"/>
      <c r="K940" s="7"/>
      <c r="L940" s="7"/>
      <c r="M940" s="7"/>
      <c r="N940" s="7"/>
      <c r="O940" s="7"/>
      <c r="P940" s="7"/>
      <c r="Q940" s="7"/>
      <c r="R940" s="64"/>
      <c r="S940" s="64"/>
      <c r="T940" s="64"/>
      <c r="U940" s="64"/>
      <c r="V940" s="64"/>
    </row>
    <row r="941" spans="1:22" ht="30" customHeight="1">
      <c r="A941" s="8"/>
      <c r="B941" s="7"/>
      <c r="C941" s="33"/>
      <c r="D941" s="7"/>
      <c r="E941" s="7"/>
      <c r="F941" s="7"/>
      <c r="G941" s="7"/>
      <c r="H941" s="7"/>
      <c r="I941" s="7"/>
      <c r="J941" s="7"/>
      <c r="K941" s="7"/>
      <c r="L941" s="7"/>
      <c r="M941" s="7"/>
      <c r="N941" s="7"/>
      <c r="O941" s="7"/>
      <c r="P941" s="7"/>
      <c r="Q941" s="7"/>
      <c r="R941" s="64"/>
      <c r="S941" s="64"/>
      <c r="T941" s="64"/>
      <c r="U941" s="64"/>
      <c r="V941" s="64"/>
    </row>
    <row r="942" spans="1:22" ht="30" customHeight="1">
      <c r="A942" s="8"/>
      <c r="B942" s="7"/>
      <c r="C942" s="33"/>
      <c r="D942" s="7"/>
      <c r="E942" s="7"/>
      <c r="F942" s="7"/>
      <c r="G942" s="7"/>
      <c r="H942" s="7"/>
      <c r="I942" s="7"/>
      <c r="J942" s="7"/>
      <c r="K942" s="7"/>
      <c r="L942" s="7"/>
      <c r="M942" s="7"/>
      <c r="N942" s="7"/>
      <c r="O942" s="7"/>
      <c r="P942" s="7"/>
      <c r="Q942" s="7"/>
      <c r="R942" s="64"/>
      <c r="S942" s="64"/>
      <c r="T942" s="64"/>
      <c r="U942" s="64"/>
      <c r="V942" s="64"/>
    </row>
    <row r="943" spans="1:22" ht="30" customHeight="1">
      <c r="A943" s="8"/>
      <c r="B943" s="7"/>
      <c r="C943" s="33"/>
      <c r="D943" s="7"/>
      <c r="E943" s="7"/>
      <c r="F943" s="7"/>
      <c r="G943" s="7"/>
      <c r="H943" s="7"/>
      <c r="I943" s="7"/>
      <c r="J943" s="7"/>
      <c r="K943" s="7"/>
      <c r="L943" s="7"/>
      <c r="M943" s="7"/>
      <c r="N943" s="7"/>
      <c r="O943" s="7"/>
      <c r="P943" s="7"/>
      <c r="Q943" s="7"/>
      <c r="R943" s="64"/>
      <c r="S943" s="64"/>
      <c r="T943" s="64"/>
      <c r="U943" s="64"/>
      <c r="V943" s="64"/>
    </row>
    <row r="944" spans="1:22" ht="30" customHeight="1">
      <c r="A944" s="8"/>
      <c r="B944" s="7"/>
      <c r="C944" s="33"/>
      <c r="D944" s="7"/>
      <c r="E944" s="7"/>
      <c r="F944" s="7"/>
      <c r="G944" s="7"/>
      <c r="H944" s="7"/>
      <c r="I944" s="7"/>
      <c r="J944" s="7"/>
      <c r="K944" s="7"/>
      <c r="L944" s="7"/>
      <c r="M944" s="7"/>
      <c r="N944" s="7"/>
      <c r="O944" s="7"/>
      <c r="P944" s="7"/>
      <c r="Q944" s="7"/>
      <c r="R944" s="64"/>
      <c r="S944" s="64"/>
      <c r="T944" s="64"/>
      <c r="U944" s="64"/>
      <c r="V944" s="64"/>
    </row>
    <row r="945" spans="1:22" ht="30" customHeight="1">
      <c r="A945" s="8"/>
      <c r="B945" s="7"/>
      <c r="C945" s="33"/>
      <c r="D945" s="7"/>
      <c r="E945" s="7"/>
      <c r="F945" s="7"/>
      <c r="G945" s="7"/>
      <c r="H945" s="7"/>
      <c r="I945" s="7"/>
      <c r="J945" s="7"/>
      <c r="K945" s="7"/>
      <c r="L945" s="7"/>
      <c r="M945" s="7"/>
      <c r="N945" s="7"/>
      <c r="O945" s="7"/>
      <c r="P945" s="7"/>
      <c r="Q945" s="7"/>
      <c r="R945" s="64"/>
      <c r="S945" s="64"/>
      <c r="T945" s="64"/>
      <c r="U945" s="64"/>
      <c r="V945" s="64"/>
    </row>
    <row r="946" spans="1:22" ht="30" customHeight="1">
      <c r="A946" s="8"/>
      <c r="B946" s="7"/>
      <c r="C946" s="33"/>
      <c r="D946" s="7"/>
      <c r="E946" s="7"/>
      <c r="F946" s="7"/>
      <c r="G946" s="7"/>
      <c r="H946" s="7"/>
      <c r="I946" s="7"/>
      <c r="J946" s="7"/>
      <c r="K946" s="7"/>
      <c r="L946" s="7"/>
      <c r="M946" s="7"/>
      <c r="N946" s="7"/>
      <c r="O946" s="7"/>
      <c r="P946" s="7"/>
      <c r="Q946" s="7"/>
      <c r="R946" s="64"/>
      <c r="S946" s="64"/>
      <c r="T946" s="64"/>
      <c r="U946" s="64"/>
      <c r="V946" s="64"/>
    </row>
    <row r="947" spans="1:22" ht="30" customHeight="1">
      <c r="A947" s="8"/>
      <c r="B947" s="7"/>
      <c r="C947" s="33"/>
      <c r="D947" s="7"/>
      <c r="E947" s="7"/>
      <c r="F947" s="7"/>
      <c r="G947" s="7"/>
      <c r="H947" s="7"/>
      <c r="I947" s="7"/>
      <c r="J947" s="7"/>
      <c r="K947" s="7"/>
      <c r="L947" s="7"/>
      <c r="M947" s="7"/>
      <c r="N947" s="7"/>
      <c r="O947" s="7"/>
      <c r="P947" s="7"/>
      <c r="Q947" s="7"/>
      <c r="R947" s="64"/>
      <c r="S947" s="64"/>
      <c r="T947" s="64"/>
      <c r="U947" s="64"/>
      <c r="V947" s="64"/>
    </row>
    <row r="948" spans="1:22" ht="30" customHeight="1">
      <c r="A948" s="8"/>
      <c r="B948" s="7"/>
      <c r="C948" s="33"/>
      <c r="D948" s="7"/>
      <c r="E948" s="7"/>
      <c r="F948" s="7"/>
      <c r="G948" s="7"/>
      <c r="H948" s="7"/>
      <c r="I948" s="7"/>
      <c r="J948" s="7"/>
      <c r="K948" s="7"/>
      <c r="L948" s="7"/>
      <c r="M948" s="7"/>
      <c r="N948" s="7"/>
      <c r="O948" s="7"/>
      <c r="P948" s="7"/>
      <c r="Q948" s="7"/>
      <c r="R948" s="64"/>
      <c r="S948" s="64"/>
      <c r="T948" s="64"/>
      <c r="U948" s="64"/>
      <c r="V948" s="64"/>
    </row>
    <row r="949" spans="1:22" ht="30" customHeight="1">
      <c r="A949" s="8"/>
      <c r="B949" s="7"/>
      <c r="C949" s="33"/>
      <c r="D949" s="7"/>
      <c r="E949" s="7"/>
      <c r="F949" s="7"/>
      <c r="G949" s="7"/>
      <c r="H949" s="7"/>
      <c r="I949" s="7"/>
      <c r="J949" s="7"/>
      <c r="K949" s="7"/>
      <c r="L949" s="7"/>
      <c r="M949" s="7"/>
      <c r="N949" s="7"/>
      <c r="O949" s="7"/>
      <c r="P949" s="7"/>
      <c r="Q949" s="7"/>
      <c r="R949" s="64"/>
      <c r="S949" s="64"/>
      <c r="T949" s="64"/>
      <c r="U949" s="64"/>
      <c r="V949" s="64"/>
    </row>
    <row r="950" spans="1:22" ht="30" customHeight="1">
      <c r="A950" s="8"/>
      <c r="B950" s="7"/>
      <c r="C950" s="33"/>
      <c r="D950" s="7"/>
      <c r="E950" s="7"/>
      <c r="F950" s="7"/>
      <c r="G950" s="7"/>
      <c r="H950" s="7"/>
      <c r="I950" s="7"/>
      <c r="J950" s="7"/>
      <c r="K950" s="7"/>
      <c r="L950" s="7"/>
      <c r="M950" s="7"/>
      <c r="N950" s="7"/>
      <c r="O950" s="7"/>
      <c r="P950" s="7"/>
      <c r="Q950" s="7"/>
      <c r="R950" s="64"/>
      <c r="S950" s="64"/>
      <c r="T950" s="64"/>
      <c r="U950" s="64"/>
      <c r="V950" s="64"/>
    </row>
    <row r="951" spans="1:22" ht="30" customHeight="1">
      <c r="A951" s="8"/>
      <c r="B951" s="7"/>
      <c r="C951" s="33"/>
      <c r="D951" s="7"/>
      <c r="E951" s="7"/>
      <c r="F951" s="7"/>
      <c r="G951" s="7"/>
      <c r="H951" s="7"/>
      <c r="I951" s="7"/>
      <c r="J951" s="7"/>
      <c r="K951" s="7"/>
      <c r="L951" s="7"/>
      <c r="M951" s="7"/>
      <c r="N951" s="7"/>
      <c r="O951" s="7"/>
      <c r="P951" s="7"/>
      <c r="Q951" s="7"/>
      <c r="R951" s="64"/>
      <c r="S951" s="64"/>
      <c r="T951" s="64"/>
      <c r="U951" s="64"/>
      <c r="V951" s="64"/>
    </row>
    <row r="952" spans="1:22" ht="30" customHeight="1">
      <c r="A952" s="8"/>
      <c r="B952" s="7"/>
      <c r="C952" s="33"/>
      <c r="D952" s="7"/>
      <c r="E952" s="7"/>
      <c r="F952" s="7"/>
      <c r="G952" s="7"/>
      <c r="H952" s="7"/>
      <c r="I952" s="7"/>
      <c r="J952" s="7"/>
      <c r="K952" s="7"/>
      <c r="L952" s="7"/>
      <c r="M952" s="7"/>
      <c r="N952" s="7"/>
      <c r="O952" s="7"/>
      <c r="P952" s="7"/>
      <c r="Q952" s="7"/>
      <c r="R952" s="64"/>
      <c r="S952" s="64"/>
      <c r="T952" s="64"/>
      <c r="U952" s="64"/>
      <c r="V952" s="64"/>
    </row>
    <row r="953" spans="1:22" ht="30" customHeight="1">
      <c r="A953" s="8"/>
      <c r="B953" s="7"/>
      <c r="C953" s="33"/>
      <c r="D953" s="7"/>
      <c r="E953" s="7"/>
      <c r="F953" s="7"/>
      <c r="G953" s="7"/>
      <c r="H953" s="7"/>
      <c r="I953" s="7"/>
      <c r="J953" s="7"/>
      <c r="K953" s="7"/>
      <c r="L953" s="7"/>
      <c r="M953" s="7"/>
      <c r="N953" s="7"/>
      <c r="O953" s="7"/>
      <c r="P953" s="7"/>
      <c r="Q953" s="7"/>
      <c r="R953" s="64"/>
      <c r="S953" s="64"/>
      <c r="T953" s="64"/>
      <c r="U953" s="64"/>
      <c r="V953" s="64"/>
    </row>
    <row r="954" spans="1:22" ht="30" customHeight="1">
      <c r="A954" s="8"/>
      <c r="B954" s="7"/>
      <c r="C954" s="33"/>
      <c r="D954" s="7"/>
      <c r="E954" s="7"/>
      <c r="F954" s="7"/>
      <c r="G954" s="7"/>
      <c r="H954" s="7"/>
      <c r="I954" s="7"/>
      <c r="J954" s="7"/>
      <c r="K954" s="7"/>
      <c r="L954" s="7"/>
      <c r="M954" s="7"/>
      <c r="N954" s="7"/>
      <c r="O954" s="7"/>
      <c r="P954" s="7"/>
      <c r="Q954" s="7"/>
      <c r="R954" s="64"/>
      <c r="S954" s="64"/>
      <c r="T954" s="64"/>
      <c r="U954" s="64"/>
      <c r="V954" s="64"/>
    </row>
    <row r="955" spans="1:22" ht="30" customHeight="1">
      <c r="A955" s="8"/>
      <c r="B955" s="7"/>
      <c r="C955" s="33"/>
      <c r="D955" s="7"/>
      <c r="E955" s="7"/>
      <c r="F955" s="7"/>
      <c r="G955" s="7"/>
      <c r="H955" s="7"/>
      <c r="I955" s="7"/>
      <c r="J955" s="7"/>
      <c r="K955" s="7"/>
      <c r="L955" s="7"/>
      <c r="M955" s="7"/>
      <c r="N955" s="7"/>
      <c r="O955" s="7"/>
      <c r="P955" s="7"/>
      <c r="Q955" s="7"/>
      <c r="R955" s="64"/>
      <c r="S955" s="64"/>
      <c r="T955" s="64"/>
      <c r="U955" s="64"/>
      <c r="V955" s="64"/>
    </row>
    <row r="956" spans="1:22" ht="30" customHeight="1">
      <c r="A956" s="8"/>
      <c r="B956" s="7"/>
      <c r="C956" s="33"/>
      <c r="D956" s="7"/>
      <c r="E956" s="7"/>
      <c r="F956" s="7"/>
      <c r="G956" s="7"/>
      <c r="H956" s="7"/>
      <c r="I956" s="7"/>
      <c r="J956" s="7"/>
      <c r="K956" s="7"/>
      <c r="L956" s="7"/>
      <c r="M956" s="7"/>
      <c r="N956" s="7"/>
      <c r="O956" s="7"/>
      <c r="P956" s="7"/>
      <c r="Q956" s="7"/>
      <c r="R956" s="64"/>
      <c r="S956" s="64"/>
      <c r="T956" s="64"/>
      <c r="U956" s="64"/>
      <c r="V956" s="64"/>
    </row>
    <row r="957" spans="1:22" ht="30" customHeight="1">
      <c r="A957" s="8"/>
      <c r="B957" s="7"/>
      <c r="C957" s="33"/>
      <c r="D957" s="7"/>
      <c r="E957" s="7"/>
      <c r="F957" s="7"/>
      <c r="G957" s="7"/>
      <c r="H957" s="7"/>
      <c r="I957" s="7"/>
      <c r="J957" s="7"/>
      <c r="K957" s="7"/>
      <c r="L957" s="7"/>
      <c r="M957" s="7"/>
      <c r="N957" s="7"/>
      <c r="O957" s="7"/>
      <c r="P957" s="7"/>
      <c r="Q957" s="7"/>
      <c r="R957" s="64"/>
      <c r="S957" s="64"/>
      <c r="T957" s="64"/>
      <c r="U957" s="64"/>
      <c r="V957" s="64"/>
    </row>
    <row r="958" spans="1:22" ht="30" customHeight="1">
      <c r="A958" s="8"/>
      <c r="B958" s="7"/>
      <c r="C958" s="33"/>
      <c r="D958" s="7"/>
      <c r="E958" s="7"/>
      <c r="F958" s="7"/>
      <c r="G958" s="7"/>
      <c r="H958" s="7"/>
      <c r="I958" s="7"/>
      <c r="J958" s="7"/>
      <c r="K958" s="7"/>
      <c r="L958" s="7"/>
      <c r="M958" s="7"/>
      <c r="N958" s="7"/>
      <c r="O958" s="7"/>
      <c r="P958" s="7"/>
      <c r="Q958" s="7"/>
      <c r="R958" s="64"/>
      <c r="S958" s="64"/>
      <c r="T958" s="64"/>
      <c r="U958" s="64"/>
      <c r="V958" s="64"/>
    </row>
    <row r="959" spans="1:22" ht="30" customHeight="1">
      <c r="A959" s="8"/>
      <c r="B959" s="7"/>
      <c r="C959" s="33"/>
      <c r="D959" s="7"/>
      <c r="E959" s="7"/>
      <c r="F959" s="7"/>
      <c r="G959" s="7"/>
      <c r="H959" s="7"/>
      <c r="I959" s="7"/>
      <c r="J959" s="7"/>
      <c r="K959" s="7"/>
      <c r="L959" s="7"/>
      <c r="M959" s="7"/>
      <c r="N959" s="7"/>
      <c r="O959" s="7"/>
      <c r="P959" s="7"/>
      <c r="Q959" s="7"/>
      <c r="R959" s="64"/>
      <c r="S959" s="64"/>
      <c r="T959" s="64"/>
      <c r="U959" s="64"/>
      <c r="V959" s="64"/>
    </row>
    <row r="960" spans="1:22" ht="30" customHeight="1">
      <c r="A960" s="8"/>
      <c r="B960" s="7"/>
      <c r="C960" s="33"/>
      <c r="D960" s="7"/>
      <c r="E960" s="7"/>
      <c r="F960" s="7"/>
      <c r="G960" s="7"/>
      <c r="H960" s="7"/>
      <c r="I960" s="7"/>
      <c r="J960" s="7"/>
      <c r="K960" s="7"/>
      <c r="L960" s="7"/>
      <c r="M960" s="7"/>
      <c r="N960" s="7"/>
      <c r="O960" s="7"/>
      <c r="P960" s="7"/>
      <c r="Q960" s="7"/>
      <c r="R960" s="64"/>
      <c r="S960" s="64"/>
      <c r="T960" s="64"/>
      <c r="U960" s="64"/>
      <c r="V960" s="64"/>
    </row>
    <row r="961" spans="1:22" ht="30" customHeight="1">
      <c r="A961" s="8"/>
      <c r="B961" s="7"/>
      <c r="C961" s="33"/>
      <c r="D961" s="7"/>
      <c r="E961" s="7"/>
      <c r="F961" s="7"/>
      <c r="G961" s="7"/>
      <c r="H961" s="7"/>
      <c r="I961" s="7"/>
      <c r="J961" s="7"/>
      <c r="K961" s="7"/>
      <c r="L961" s="7"/>
      <c r="M961" s="7"/>
      <c r="N961" s="7"/>
      <c r="O961" s="7"/>
      <c r="P961" s="7"/>
      <c r="Q961" s="7"/>
      <c r="R961" s="64"/>
      <c r="S961" s="64"/>
      <c r="T961" s="64"/>
      <c r="U961" s="64"/>
      <c r="V961" s="64"/>
    </row>
    <row r="962" spans="1:22" ht="30" customHeight="1">
      <c r="A962" s="8"/>
      <c r="B962" s="7"/>
      <c r="C962" s="33"/>
      <c r="D962" s="7"/>
      <c r="E962" s="7"/>
      <c r="F962" s="7"/>
      <c r="G962" s="7"/>
      <c r="H962" s="7"/>
      <c r="I962" s="7"/>
      <c r="J962" s="7"/>
      <c r="K962" s="7"/>
      <c r="L962" s="7"/>
      <c r="M962" s="7"/>
      <c r="N962" s="7"/>
      <c r="O962" s="7"/>
      <c r="P962" s="7"/>
      <c r="Q962" s="7"/>
      <c r="R962" s="64"/>
      <c r="S962" s="64"/>
      <c r="T962" s="64"/>
      <c r="U962" s="64"/>
      <c r="V962" s="64"/>
    </row>
    <row r="963" spans="1:22" ht="30" customHeight="1">
      <c r="A963" s="8"/>
      <c r="B963" s="7"/>
      <c r="C963" s="33"/>
      <c r="D963" s="7"/>
      <c r="E963" s="7"/>
      <c r="F963" s="7"/>
      <c r="G963" s="7"/>
      <c r="H963" s="7"/>
      <c r="I963" s="7"/>
      <c r="J963" s="7"/>
      <c r="K963" s="7"/>
      <c r="L963" s="7"/>
      <c r="M963" s="7"/>
      <c r="N963" s="7"/>
      <c r="O963" s="7"/>
      <c r="P963" s="7"/>
      <c r="Q963" s="7"/>
      <c r="R963" s="64"/>
      <c r="S963" s="64"/>
      <c r="T963" s="64"/>
      <c r="U963" s="64"/>
      <c r="V963" s="64"/>
    </row>
    <row r="964" spans="1:22" ht="30" customHeight="1">
      <c r="A964" s="8"/>
      <c r="B964" s="7"/>
      <c r="C964" s="33"/>
      <c r="D964" s="7"/>
      <c r="E964" s="7"/>
      <c r="F964" s="7"/>
      <c r="G964" s="7"/>
      <c r="H964" s="7"/>
      <c r="I964" s="7"/>
      <c r="J964" s="7"/>
      <c r="K964" s="7"/>
      <c r="L964" s="7"/>
      <c r="M964" s="7"/>
      <c r="N964" s="7"/>
      <c r="O964" s="7"/>
      <c r="P964" s="7"/>
      <c r="Q964" s="7"/>
      <c r="R964" s="64"/>
      <c r="S964" s="64"/>
      <c r="T964" s="64"/>
      <c r="U964" s="64"/>
      <c r="V964" s="64"/>
    </row>
    <row r="965" spans="1:22" ht="30" customHeight="1">
      <c r="A965" s="8"/>
      <c r="B965" s="7"/>
      <c r="C965" s="33"/>
      <c r="D965" s="7"/>
      <c r="E965" s="7"/>
      <c r="F965" s="7"/>
      <c r="G965" s="7"/>
      <c r="H965" s="7"/>
      <c r="I965" s="7"/>
      <c r="J965" s="7"/>
      <c r="K965" s="7"/>
      <c r="L965" s="7"/>
      <c r="M965" s="7"/>
      <c r="N965" s="7"/>
      <c r="O965" s="7"/>
      <c r="P965" s="7"/>
      <c r="Q965" s="7"/>
      <c r="R965" s="64"/>
      <c r="S965" s="64"/>
      <c r="T965" s="64"/>
      <c r="U965" s="64"/>
      <c r="V965" s="64"/>
    </row>
    <row r="966" spans="1:22" ht="30" customHeight="1">
      <c r="A966" s="8"/>
      <c r="B966" s="7"/>
      <c r="C966" s="33"/>
      <c r="D966" s="7"/>
      <c r="E966" s="7"/>
      <c r="F966" s="7"/>
      <c r="G966" s="7"/>
      <c r="H966" s="7"/>
      <c r="I966" s="7"/>
      <c r="J966" s="7"/>
      <c r="K966" s="7"/>
      <c r="L966" s="7"/>
      <c r="M966" s="7"/>
      <c r="N966" s="7"/>
      <c r="O966" s="7"/>
      <c r="P966" s="7"/>
      <c r="Q966" s="7"/>
      <c r="R966" s="64"/>
      <c r="S966" s="64"/>
      <c r="T966" s="64"/>
      <c r="U966" s="64"/>
      <c r="V966" s="64"/>
    </row>
    <row r="967" spans="1:22" ht="30" customHeight="1">
      <c r="A967" s="8"/>
      <c r="B967" s="7"/>
      <c r="C967" s="33"/>
      <c r="D967" s="7"/>
      <c r="E967" s="7"/>
      <c r="F967" s="7"/>
      <c r="G967" s="7"/>
      <c r="H967" s="7"/>
      <c r="I967" s="7"/>
      <c r="J967" s="7"/>
      <c r="K967" s="7"/>
      <c r="L967" s="7"/>
      <c r="M967" s="7"/>
      <c r="N967" s="7"/>
      <c r="O967" s="7"/>
      <c r="P967" s="7"/>
      <c r="Q967" s="7"/>
      <c r="R967" s="64"/>
      <c r="S967" s="64"/>
      <c r="T967" s="64"/>
      <c r="U967" s="64"/>
      <c r="V967" s="64"/>
    </row>
    <row r="968" spans="1:22" ht="30" customHeight="1">
      <c r="A968" s="8"/>
      <c r="B968" s="7"/>
      <c r="C968" s="33"/>
      <c r="D968" s="7"/>
      <c r="E968" s="7"/>
      <c r="F968" s="7"/>
      <c r="G968" s="7"/>
      <c r="H968" s="7"/>
      <c r="I968" s="7"/>
      <c r="J968" s="7"/>
      <c r="K968" s="7"/>
      <c r="L968" s="7"/>
      <c r="M968" s="7"/>
      <c r="N968" s="7"/>
      <c r="O968" s="7"/>
      <c r="P968" s="7"/>
      <c r="Q968" s="7"/>
      <c r="R968" s="64"/>
      <c r="S968" s="64"/>
      <c r="T968" s="64"/>
      <c r="U968" s="64"/>
      <c r="V968" s="64"/>
    </row>
    <row r="969" spans="1:22" ht="30" customHeight="1">
      <c r="A969" s="8"/>
      <c r="B969" s="7"/>
      <c r="C969" s="33"/>
      <c r="D969" s="7"/>
      <c r="E969" s="7"/>
      <c r="F969" s="7"/>
      <c r="G969" s="7"/>
      <c r="H969" s="7"/>
      <c r="I969" s="7"/>
      <c r="J969" s="7"/>
      <c r="K969" s="7"/>
      <c r="L969" s="7"/>
      <c r="M969" s="7"/>
      <c r="N969" s="7"/>
      <c r="O969" s="7"/>
      <c r="P969" s="7"/>
      <c r="Q969" s="7"/>
      <c r="R969" s="64"/>
      <c r="S969" s="64"/>
      <c r="T969" s="64"/>
      <c r="U969" s="64"/>
      <c r="V969" s="64"/>
    </row>
    <row r="970" spans="1:22" ht="30" customHeight="1">
      <c r="A970" s="8"/>
      <c r="B970" s="7"/>
      <c r="C970" s="33"/>
      <c r="D970" s="7"/>
      <c r="E970" s="7"/>
      <c r="F970" s="7"/>
      <c r="G970" s="7"/>
      <c r="H970" s="7"/>
      <c r="I970" s="7"/>
      <c r="J970" s="7"/>
      <c r="K970" s="7"/>
      <c r="L970" s="7"/>
      <c r="M970" s="7"/>
      <c r="N970" s="7"/>
      <c r="O970" s="7"/>
      <c r="P970" s="7"/>
      <c r="Q970" s="7"/>
      <c r="R970" s="64"/>
      <c r="S970" s="64"/>
      <c r="T970" s="64"/>
      <c r="U970" s="64"/>
      <c r="V970" s="64"/>
    </row>
    <row r="971" spans="1:22" ht="30" customHeight="1">
      <c r="A971" s="8"/>
      <c r="B971" s="7"/>
      <c r="C971" s="33"/>
      <c r="D971" s="7"/>
      <c r="E971" s="7"/>
      <c r="F971" s="7"/>
      <c r="G971" s="7"/>
      <c r="H971" s="7"/>
      <c r="I971" s="7"/>
      <c r="J971" s="7"/>
      <c r="K971" s="7"/>
      <c r="L971" s="7"/>
      <c r="M971" s="7"/>
      <c r="N971" s="7"/>
      <c r="O971" s="7"/>
      <c r="P971" s="7"/>
      <c r="Q971" s="7"/>
      <c r="R971" s="64"/>
      <c r="S971" s="64"/>
      <c r="T971" s="64"/>
      <c r="U971" s="64"/>
      <c r="V971" s="64"/>
    </row>
    <row r="972" spans="1:22" ht="30" customHeight="1">
      <c r="A972" s="8"/>
      <c r="B972" s="7"/>
      <c r="C972" s="33"/>
      <c r="D972" s="7"/>
      <c r="E972" s="7"/>
      <c r="F972" s="7"/>
      <c r="G972" s="7"/>
      <c r="H972" s="7"/>
      <c r="I972" s="7"/>
      <c r="J972" s="7"/>
      <c r="K972" s="7"/>
      <c r="L972" s="7"/>
      <c r="M972" s="7"/>
      <c r="N972" s="7"/>
      <c r="O972" s="7"/>
      <c r="P972" s="7"/>
      <c r="Q972" s="7"/>
      <c r="R972" s="64"/>
      <c r="S972" s="64"/>
      <c r="T972" s="64"/>
      <c r="U972" s="64"/>
      <c r="V972" s="64"/>
    </row>
    <row r="973" spans="1:22" ht="30" customHeight="1">
      <c r="A973" s="8"/>
      <c r="B973" s="7"/>
      <c r="C973" s="33"/>
      <c r="D973" s="7"/>
      <c r="E973" s="7"/>
      <c r="F973" s="7"/>
      <c r="G973" s="7"/>
      <c r="H973" s="7"/>
      <c r="I973" s="7"/>
      <c r="J973" s="7"/>
      <c r="K973" s="7"/>
      <c r="L973" s="7"/>
      <c r="M973" s="7"/>
      <c r="N973" s="7"/>
      <c r="O973" s="7"/>
      <c r="P973" s="7"/>
      <c r="Q973" s="7"/>
      <c r="R973" s="64"/>
      <c r="S973" s="64"/>
      <c r="T973" s="64"/>
      <c r="U973" s="64"/>
      <c r="V973" s="64"/>
    </row>
    <row r="974" spans="1:22" ht="30" customHeight="1">
      <c r="A974" s="8"/>
      <c r="B974" s="7"/>
      <c r="C974" s="33"/>
      <c r="D974" s="7"/>
      <c r="E974" s="7"/>
      <c r="F974" s="7"/>
      <c r="G974" s="7"/>
      <c r="H974" s="7"/>
      <c r="I974" s="7"/>
      <c r="J974" s="7"/>
      <c r="K974" s="7"/>
      <c r="L974" s="7"/>
      <c r="M974" s="7"/>
      <c r="N974" s="7"/>
      <c r="O974" s="7"/>
      <c r="P974" s="7"/>
      <c r="Q974" s="7"/>
      <c r="R974" s="64"/>
      <c r="S974" s="64"/>
      <c r="T974" s="64"/>
      <c r="U974" s="64"/>
      <c r="V974" s="64"/>
    </row>
    <row r="975" spans="1:22" ht="30" customHeight="1">
      <c r="A975" s="8"/>
      <c r="B975" s="7"/>
      <c r="C975" s="33"/>
      <c r="D975" s="7"/>
      <c r="E975" s="7"/>
      <c r="F975" s="7"/>
      <c r="G975" s="7"/>
      <c r="H975" s="7"/>
      <c r="I975" s="7"/>
      <c r="J975" s="7"/>
      <c r="K975" s="7"/>
      <c r="L975" s="7"/>
      <c r="M975" s="7"/>
      <c r="N975" s="7"/>
      <c r="O975" s="7"/>
      <c r="P975" s="7"/>
      <c r="Q975" s="7"/>
      <c r="R975" s="64"/>
      <c r="S975" s="64"/>
      <c r="T975" s="64"/>
      <c r="U975" s="64"/>
      <c r="V975" s="64"/>
    </row>
    <row r="976" spans="1:22" ht="30" customHeight="1">
      <c r="A976" s="8"/>
      <c r="B976" s="7"/>
      <c r="C976" s="33"/>
      <c r="D976" s="7"/>
      <c r="E976" s="7"/>
      <c r="F976" s="7"/>
      <c r="G976" s="7"/>
      <c r="H976" s="7"/>
      <c r="I976" s="7"/>
      <c r="J976" s="7"/>
      <c r="K976" s="7"/>
      <c r="L976" s="7"/>
      <c r="M976" s="7"/>
      <c r="N976" s="7"/>
      <c r="O976" s="7"/>
      <c r="P976" s="7"/>
      <c r="Q976" s="7"/>
      <c r="R976" s="64"/>
      <c r="S976" s="64"/>
      <c r="T976" s="64"/>
      <c r="U976" s="64"/>
      <c r="V976" s="64"/>
    </row>
    <row r="977" spans="1:22" ht="30" customHeight="1">
      <c r="A977" s="8"/>
      <c r="B977" s="7"/>
      <c r="C977" s="33"/>
      <c r="D977" s="7"/>
      <c r="E977" s="7"/>
      <c r="F977" s="7"/>
      <c r="G977" s="7"/>
      <c r="H977" s="7"/>
      <c r="I977" s="7"/>
      <c r="J977" s="7"/>
      <c r="K977" s="7"/>
      <c r="L977" s="7"/>
      <c r="M977" s="7"/>
      <c r="N977" s="7"/>
      <c r="O977" s="7"/>
      <c r="P977" s="7"/>
      <c r="Q977" s="7"/>
      <c r="R977" s="64"/>
      <c r="S977" s="64"/>
      <c r="T977" s="64"/>
      <c r="U977" s="64"/>
      <c r="V977" s="64"/>
    </row>
    <row r="978" spans="1:22" ht="30" customHeight="1">
      <c r="A978" s="8"/>
      <c r="B978" s="7"/>
      <c r="C978" s="33"/>
      <c r="D978" s="7"/>
      <c r="E978" s="7"/>
      <c r="F978" s="7"/>
      <c r="G978" s="7"/>
      <c r="H978" s="7"/>
      <c r="I978" s="7"/>
      <c r="J978" s="7"/>
      <c r="K978" s="7"/>
      <c r="L978" s="7"/>
      <c r="M978" s="7"/>
      <c r="N978" s="7"/>
      <c r="O978" s="7"/>
      <c r="P978" s="7"/>
      <c r="Q978" s="7"/>
      <c r="R978" s="64"/>
      <c r="S978" s="64"/>
      <c r="T978" s="64"/>
      <c r="U978" s="64"/>
      <c r="V978" s="64"/>
    </row>
    <row r="979" spans="1:22" ht="30" customHeight="1">
      <c r="A979" s="8"/>
      <c r="B979" s="7"/>
      <c r="C979" s="33"/>
      <c r="D979" s="7"/>
      <c r="E979" s="7"/>
      <c r="F979" s="7"/>
      <c r="G979" s="7"/>
      <c r="H979" s="7"/>
      <c r="I979" s="7"/>
      <c r="J979" s="7"/>
      <c r="K979" s="7"/>
      <c r="L979" s="7"/>
      <c r="M979" s="7"/>
      <c r="N979" s="7"/>
      <c r="O979" s="7"/>
      <c r="P979" s="7"/>
      <c r="Q979" s="7"/>
      <c r="R979" s="64"/>
      <c r="S979" s="64"/>
      <c r="T979" s="64"/>
      <c r="U979" s="64"/>
      <c r="V979" s="64"/>
    </row>
    <row r="980" spans="1:22" ht="30" customHeight="1">
      <c r="A980" s="8"/>
      <c r="B980" s="7"/>
      <c r="C980" s="33"/>
      <c r="D980" s="7"/>
      <c r="E980" s="7"/>
      <c r="F980" s="7"/>
      <c r="G980" s="7"/>
      <c r="H980" s="7"/>
      <c r="I980" s="7"/>
      <c r="J980" s="7"/>
      <c r="K980" s="7"/>
      <c r="L980" s="7"/>
      <c r="M980" s="7"/>
      <c r="N980" s="7"/>
      <c r="O980" s="7"/>
      <c r="P980" s="7"/>
      <c r="Q980" s="7"/>
      <c r="R980" s="64"/>
      <c r="S980" s="64"/>
      <c r="T980" s="64"/>
      <c r="U980" s="64"/>
      <c r="V980" s="64"/>
    </row>
    <row r="981" spans="1:22" ht="30" customHeight="1">
      <c r="A981" s="8"/>
      <c r="B981" s="7"/>
      <c r="C981" s="33"/>
      <c r="D981" s="7"/>
      <c r="E981" s="7"/>
      <c r="F981" s="7"/>
      <c r="G981" s="7"/>
      <c r="H981" s="7"/>
      <c r="I981" s="7"/>
      <c r="J981" s="7"/>
      <c r="K981" s="7"/>
      <c r="L981" s="7"/>
      <c r="M981" s="7"/>
      <c r="N981" s="7"/>
      <c r="O981" s="7"/>
      <c r="P981" s="7"/>
      <c r="Q981" s="7"/>
      <c r="R981" s="64"/>
      <c r="S981" s="64"/>
      <c r="T981" s="64"/>
      <c r="U981" s="64"/>
      <c r="V981" s="64"/>
    </row>
    <row r="982" spans="1:22" ht="30" customHeight="1">
      <c r="A982" s="8"/>
      <c r="B982" s="7"/>
      <c r="C982" s="33"/>
      <c r="D982" s="7"/>
      <c r="E982" s="7"/>
      <c r="F982" s="7"/>
      <c r="G982" s="7"/>
      <c r="H982" s="7"/>
      <c r="I982" s="7"/>
      <c r="J982" s="7"/>
      <c r="K982" s="7"/>
      <c r="L982" s="7"/>
      <c r="M982" s="7"/>
      <c r="N982" s="7"/>
      <c r="O982" s="7"/>
      <c r="P982" s="7"/>
      <c r="Q982" s="7"/>
      <c r="R982" s="64"/>
      <c r="S982" s="64"/>
      <c r="T982" s="64"/>
      <c r="U982" s="64"/>
      <c r="V982" s="64"/>
    </row>
    <row r="983" spans="1:22" ht="30" customHeight="1">
      <c r="A983" s="8"/>
      <c r="B983" s="7"/>
      <c r="C983" s="33"/>
      <c r="D983" s="7"/>
      <c r="E983" s="7"/>
      <c r="F983" s="7"/>
      <c r="G983" s="7"/>
      <c r="H983" s="7"/>
      <c r="I983" s="7"/>
      <c r="J983" s="7"/>
      <c r="K983" s="7"/>
      <c r="L983" s="7"/>
      <c r="M983" s="7"/>
      <c r="N983" s="7"/>
      <c r="O983" s="7"/>
      <c r="P983" s="7"/>
      <c r="Q983" s="7"/>
      <c r="R983" s="64"/>
      <c r="S983" s="64"/>
      <c r="T983" s="64"/>
      <c r="U983" s="64"/>
      <c r="V983" s="64"/>
    </row>
    <row r="984" spans="1:22" ht="30" customHeight="1">
      <c r="A984" s="8"/>
      <c r="B984" s="7"/>
      <c r="C984" s="33"/>
      <c r="D984" s="7"/>
      <c r="E984" s="7"/>
      <c r="F984" s="7"/>
      <c r="G984" s="7"/>
      <c r="H984" s="7"/>
      <c r="I984" s="7"/>
      <c r="J984" s="7"/>
      <c r="K984" s="7"/>
      <c r="L984" s="7"/>
      <c r="M984" s="7"/>
      <c r="N984" s="7"/>
      <c r="O984" s="7"/>
      <c r="P984" s="7"/>
      <c r="Q984" s="7"/>
      <c r="R984" s="64"/>
      <c r="S984" s="64"/>
      <c r="T984" s="64"/>
      <c r="U984" s="64"/>
      <c r="V984" s="64"/>
    </row>
    <row r="985" spans="1:22" ht="30" customHeight="1">
      <c r="A985" s="8"/>
      <c r="B985" s="7"/>
      <c r="C985" s="33"/>
      <c r="D985" s="7"/>
      <c r="E985" s="7"/>
      <c r="F985" s="7"/>
      <c r="G985" s="7"/>
      <c r="H985" s="7"/>
      <c r="I985" s="7"/>
      <c r="J985" s="7"/>
      <c r="K985" s="7"/>
      <c r="L985" s="7"/>
      <c r="M985" s="7"/>
      <c r="N985" s="7"/>
      <c r="O985" s="7"/>
      <c r="P985" s="7"/>
      <c r="Q985" s="7"/>
      <c r="R985" s="64"/>
      <c r="S985" s="64"/>
      <c r="T985" s="64"/>
      <c r="U985" s="64"/>
      <c r="V985" s="64"/>
    </row>
    <row r="986" spans="1:22" ht="30" customHeight="1">
      <c r="A986" s="8"/>
      <c r="B986" s="7"/>
      <c r="C986" s="33"/>
      <c r="D986" s="7"/>
      <c r="E986" s="7"/>
      <c r="F986" s="7"/>
      <c r="G986" s="7"/>
      <c r="H986" s="7"/>
      <c r="I986" s="7"/>
      <c r="J986" s="7"/>
      <c r="K986" s="7"/>
      <c r="L986" s="7"/>
      <c r="M986" s="7"/>
      <c r="N986" s="7"/>
      <c r="O986" s="7"/>
      <c r="P986" s="7"/>
      <c r="Q986" s="7"/>
      <c r="R986" s="64"/>
      <c r="S986" s="64"/>
      <c r="T986" s="64"/>
      <c r="U986" s="64"/>
      <c r="V986" s="64"/>
    </row>
    <row r="987" spans="1:22" ht="30" customHeight="1">
      <c r="A987" s="8"/>
      <c r="B987" s="7"/>
      <c r="C987" s="33"/>
      <c r="D987" s="7"/>
      <c r="E987" s="7"/>
      <c r="F987" s="7"/>
      <c r="G987" s="7"/>
      <c r="H987" s="7"/>
      <c r="I987" s="7"/>
      <c r="J987" s="7"/>
      <c r="K987" s="7"/>
      <c r="L987" s="7"/>
      <c r="M987" s="7"/>
      <c r="N987" s="7"/>
      <c r="O987" s="7"/>
      <c r="P987" s="7"/>
      <c r="Q987" s="7"/>
      <c r="R987" s="64"/>
      <c r="S987" s="64"/>
      <c r="T987" s="64"/>
      <c r="U987" s="64"/>
      <c r="V987" s="64"/>
    </row>
    <row r="988" spans="1:22" ht="30" customHeight="1">
      <c r="A988" s="8"/>
      <c r="B988" s="7"/>
      <c r="C988" s="33"/>
      <c r="D988" s="7"/>
      <c r="E988" s="7"/>
      <c r="F988" s="7"/>
      <c r="G988" s="7"/>
      <c r="H988" s="7"/>
      <c r="I988" s="7"/>
      <c r="J988" s="7"/>
      <c r="K988" s="7"/>
      <c r="L988" s="7"/>
      <c r="M988" s="7"/>
      <c r="N988" s="7"/>
      <c r="O988" s="7"/>
      <c r="P988" s="7"/>
      <c r="Q988" s="7"/>
      <c r="R988" s="64"/>
      <c r="S988" s="64"/>
      <c r="T988" s="64"/>
      <c r="U988" s="64"/>
      <c r="V988" s="64"/>
    </row>
    <row r="989" spans="1:22" ht="30" customHeight="1">
      <c r="A989" s="8"/>
      <c r="B989" s="7"/>
      <c r="C989" s="33"/>
      <c r="D989" s="7"/>
      <c r="E989" s="7"/>
      <c r="F989" s="7"/>
      <c r="G989" s="7"/>
      <c r="H989" s="7"/>
      <c r="I989" s="7"/>
      <c r="J989" s="7"/>
      <c r="K989" s="7"/>
      <c r="L989" s="7"/>
      <c r="M989" s="7"/>
      <c r="N989" s="7"/>
      <c r="O989" s="7"/>
      <c r="P989" s="7"/>
      <c r="Q989" s="7"/>
      <c r="R989" s="64"/>
      <c r="S989" s="64"/>
      <c r="T989" s="64"/>
      <c r="U989" s="64"/>
      <c r="V989" s="64"/>
    </row>
    <row r="990" spans="1:22" ht="30" customHeight="1">
      <c r="A990" s="8"/>
      <c r="B990" s="7"/>
      <c r="C990" s="33"/>
      <c r="D990" s="7"/>
      <c r="E990" s="7"/>
      <c r="F990" s="7"/>
      <c r="G990" s="7"/>
      <c r="H990" s="7"/>
      <c r="I990" s="7"/>
      <c r="J990" s="7"/>
      <c r="K990" s="7"/>
      <c r="L990" s="7"/>
      <c r="M990" s="7"/>
      <c r="N990" s="7"/>
      <c r="O990" s="7"/>
      <c r="P990" s="7"/>
      <c r="Q990" s="7"/>
      <c r="R990" s="64"/>
      <c r="S990" s="64"/>
      <c r="T990" s="64"/>
      <c r="U990" s="64"/>
      <c r="V990" s="64"/>
    </row>
    <row r="991" spans="1:22" ht="30" customHeight="1">
      <c r="A991" s="8"/>
      <c r="B991" s="7"/>
      <c r="C991" s="33"/>
      <c r="D991" s="7"/>
      <c r="E991" s="7"/>
      <c r="F991" s="7"/>
      <c r="G991" s="7"/>
      <c r="H991" s="7"/>
      <c r="I991" s="7"/>
      <c r="J991" s="7"/>
      <c r="K991" s="7"/>
      <c r="L991" s="7"/>
      <c r="M991" s="7"/>
      <c r="N991" s="7"/>
      <c r="O991" s="7"/>
      <c r="P991" s="7"/>
      <c r="Q991" s="7"/>
      <c r="R991" s="64"/>
      <c r="S991" s="64"/>
      <c r="T991" s="64"/>
      <c r="U991" s="64"/>
      <c r="V991" s="64"/>
    </row>
    <row r="992" spans="1:22" ht="30" customHeight="1">
      <c r="A992" s="8"/>
      <c r="B992" s="7"/>
      <c r="C992" s="33"/>
      <c r="D992" s="7"/>
      <c r="E992" s="7"/>
      <c r="F992" s="7"/>
      <c r="G992" s="7"/>
      <c r="H992" s="7"/>
      <c r="I992" s="7"/>
      <c r="J992" s="7"/>
      <c r="K992" s="7"/>
      <c r="L992" s="7"/>
      <c r="M992" s="7"/>
      <c r="N992" s="7"/>
      <c r="O992" s="7"/>
      <c r="P992" s="7"/>
      <c r="Q992" s="7"/>
      <c r="R992" s="64"/>
      <c r="S992" s="64"/>
      <c r="T992" s="64"/>
      <c r="U992" s="64"/>
      <c r="V992" s="64"/>
    </row>
    <row r="993" spans="1:22" ht="30" customHeight="1">
      <c r="A993" s="8"/>
      <c r="B993" s="7"/>
      <c r="C993" s="33"/>
      <c r="D993" s="7"/>
      <c r="E993" s="7"/>
      <c r="F993" s="7"/>
      <c r="G993" s="7"/>
      <c r="H993" s="7"/>
      <c r="I993" s="7"/>
      <c r="J993" s="7"/>
      <c r="K993" s="7"/>
      <c r="L993" s="7"/>
      <c r="M993" s="7"/>
      <c r="N993" s="7"/>
      <c r="O993" s="7"/>
      <c r="P993" s="7"/>
      <c r="Q993" s="7"/>
      <c r="R993" s="64"/>
      <c r="S993" s="64"/>
      <c r="T993" s="64"/>
      <c r="U993" s="64"/>
      <c r="V993" s="64"/>
    </row>
    <row r="994" spans="1:22" ht="30" customHeight="1">
      <c r="A994" s="8"/>
      <c r="B994" s="7"/>
      <c r="C994" s="33"/>
      <c r="D994" s="7"/>
      <c r="E994" s="7"/>
      <c r="F994" s="7"/>
      <c r="G994" s="7"/>
      <c r="H994" s="7"/>
      <c r="I994" s="7"/>
      <c r="J994" s="7"/>
      <c r="K994" s="7"/>
      <c r="L994" s="7"/>
      <c r="M994" s="7"/>
      <c r="N994" s="7"/>
      <c r="O994" s="7"/>
      <c r="P994" s="7"/>
      <c r="Q994" s="7"/>
      <c r="R994" s="64"/>
      <c r="S994" s="64"/>
      <c r="T994" s="64"/>
      <c r="U994" s="64"/>
      <c r="V994" s="64"/>
    </row>
    <row r="995" spans="1:22" ht="30" customHeight="1">
      <c r="A995" s="8"/>
      <c r="B995" s="7"/>
      <c r="C995" s="33"/>
      <c r="D995" s="7"/>
      <c r="E995" s="7"/>
      <c r="F995" s="7"/>
      <c r="G995" s="7"/>
      <c r="H995" s="7"/>
      <c r="I995" s="7"/>
      <c r="J995" s="7"/>
      <c r="K995" s="7"/>
      <c r="L995" s="7"/>
      <c r="M995" s="7"/>
      <c r="N995" s="7"/>
      <c r="O995" s="7"/>
      <c r="P995" s="7"/>
      <c r="Q995" s="7"/>
      <c r="R995" s="64"/>
      <c r="S995" s="64"/>
      <c r="T995" s="64"/>
      <c r="U995" s="64"/>
      <c r="V995" s="64"/>
    </row>
    <row r="996" spans="1:22" ht="30" customHeight="1">
      <c r="A996" s="8"/>
      <c r="B996" s="7"/>
      <c r="C996" s="33"/>
      <c r="D996" s="7"/>
      <c r="E996" s="7"/>
      <c r="F996" s="7"/>
      <c r="G996" s="7"/>
      <c r="H996" s="7"/>
      <c r="I996" s="7"/>
      <c r="J996" s="7"/>
      <c r="K996" s="7"/>
      <c r="L996" s="7"/>
      <c r="M996" s="7"/>
      <c r="N996" s="7"/>
      <c r="O996" s="7"/>
      <c r="P996" s="7"/>
      <c r="Q996" s="7"/>
      <c r="R996" s="64"/>
      <c r="S996" s="64"/>
      <c r="T996" s="64"/>
      <c r="U996" s="64"/>
      <c r="V996" s="64"/>
    </row>
    <row r="997" spans="1:22" ht="30" customHeight="1">
      <c r="A997" s="8"/>
      <c r="B997" s="7"/>
      <c r="C997" s="33"/>
      <c r="D997" s="7"/>
      <c r="E997" s="7"/>
      <c r="F997" s="7"/>
      <c r="G997" s="7"/>
      <c r="H997" s="7"/>
      <c r="I997" s="7"/>
      <c r="J997" s="7"/>
      <c r="K997" s="7"/>
      <c r="L997" s="7"/>
      <c r="M997" s="7"/>
      <c r="N997" s="7"/>
      <c r="O997" s="7"/>
      <c r="P997" s="7"/>
      <c r="Q997" s="7"/>
      <c r="R997" s="64"/>
      <c r="S997" s="64"/>
      <c r="T997" s="64"/>
      <c r="U997" s="64"/>
      <c r="V997" s="64"/>
    </row>
    <row r="998" spans="1:22" ht="30" customHeight="1">
      <c r="A998" s="8"/>
      <c r="B998" s="7"/>
      <c r="C998" s="33"/>
      <c r="D998" s="7"/>
      <c r="E998" s="7"/>
      <c r="F998" s="7"/>
      <c r="G998" s="7"/>
      <c r="H998" s="7"/>
      <c r="I998" s="7"/>
      <c r="J998" s="7"/>
      <c r="K998" s="7"/>
      <c r="L998" s="7"/>
      <c r="M998" s="7"/>
      <c r="N998" s="7"/>
      <c r="O998" s="7"/>
      <c r="P998" s="7"/>
      <c r="Q998" s="7"/>
      <c r="R998" s="64"/>
      <c r="S998" s="64"/>
      <c r="T998" s="64"/>
      <c r="U998" s="64"/>
      <c r="V998" s="64"/>
    </row>
    <row r="999" spans="1:22" ht="30" customHeight="1">
      <c r="A999" s="8"/>
      <c r="B999" s="7"/>
      <c r="C999" s="33"/>
      <c r="D999" s="7"/>
      <c r="E999" s="7"/>
      <c r="F999" s="7"/>
      <c r="G999" s="7"/>
      <c r="H999" s="7"/>
      <c r="I999" s="7"/>
      <c r="J999" s="7"/>
      <c r="K999" s="7"/>
      <c r="L999" s="7"/>
      <c r="M999" s="7"/>
      <c r="N999" s="7"/>
      <c r="O999" s="7"/>
      <c r="P999" s="7"/>
      <c r="Q999" s="7"/>
      <c r="R999" s="64"/>
      <c r="S999" s="64"/>
      <c r="T999" s="64"/>
      <c r="U999" s="64"/>
      <c r="V999" s="64"/>
    </row>
    <row r="1000" spans="1:22" ht="30" customHeight="1">
      <c r="A1000" s="8"/>
      <c r="B1000" s="7"/>
      <c r="C1000" s="33"/>
      <c r="D1000" s="7"/>
      <c r="E1000" s="7"/>
      <c r="F1000" s="7"/>
      <c r="G1000" s="7"/>
      <c r="H1000" s="7"/>
      <c r="I1000" s="7"/>
      <c r="J1000" s="7"/>
      <c r="K1000" s="7"/>
      <c r="L1000" s="7"/>
      <c r="M1000" s="7"/>
      <c r="N1000" s="7"/>
      <c r="O1000" s="7"/>
      <c r="P1000" s="7"/>
      <c r="Q1000" s="7"/>
      <c r="R1000" s="64"/>
      <c r="S1000" s="64"/>
      <c r="T1000" s="64"/>
      <c r="U1000" s="64"/>
      <c r="V1000" s="64"/>
    </row>
    <row r="1001" spans="1:22" ht="30" customHeight="1">
      <c r="A1001" s="8"/>
      <c r="B1001" s="7"/>
      <c r="C1001" s="33"/>
      <c r="D1001" s="7"/>
      <c r="E1001" s="7"/>
      <c r="F1001" s="7"/>
      <c r="G1001" s="7"/>
      <c r="H1001" s="7"/>
      <c r="I1001" s="7"/>
      <c r="J1001" s="7"/>
      <c r="K1001" s="7"/>
      <c r="L1001" s="7"/>
      <c r="M1001" s="7"/>
      <c r="N1001" s="7"/>
      <c r="O1001" s="7"/>
      <c r="P1001" s="7"/>
      <c r="Q1001" s="7"/>
      <c r="R1001" s="64"/>
      <c r="S1001" s="64"/>
      <c r="T1001" s="64"/>
      <c r="U1001" s="64"/>
      <c r="V1001" s="64"/>
    </row>
    <row r="1002" spans="1:22" ht="30" customHeight="1">
      <c r="A1002" s="8"/>
      <c r="B1002" s="7"/>
      <c r="C1002" s="33"/>
      <c r="D1002" s="7"/>
      <c r="E1002" s="7"/>
      <c r="F1002" s="7"/>
      <c r="G1002" s="7"/>
      <c r="H1002" s="7"/>
      <c r="I1002" s="7"/>
      <c r="J1002" s="7"/>
      <c r="K1002" s="7"/>
      <c r="L1002" s="7"/>
      <c r="M1002" s="7"/>
      <c r="N1002" s="7"/>
      <c r="O1002" s="7"/>
      <c r="P1002" s="7"/>
      <c r="Q1002" s="7"/>
      <c r="R1002" s="64"/>
      <c r="S1002" s="64"/>
      <c r="T1002" s="64"/>
      <c r="U1002" s="64"/>
      <c r="V1002" s="64"/>
    </row>
    <row r="1003" spans="1:22" ht="30" customHeight="1">
      <c r="A1003" s="8"/>
      <c r="B1003" s="7"/>
      <c r="C1003" s="33"/>
      <c r="D1003" s="7"/>
      <c r="E1003" s="7"/>
      <c r="F1003" s="7"/>
      <c r="G1003" s="7"/>
      <c r="H1003" s="7"/>
      <c r="I1003" s="7"/>
      <c r="J1003" s="7"/>
      <c r="K1003" s="7"/>
      <c r="L1003" s="7"/>
      <c r="M1003" s="7"/>
      <c r="N1003" s="7"/>
      <c r="O1003" s="7"/>
      <c r="P1003" s="7"/>
      <c r="Q1003" s="7"/>
      <c r="R1003" s="64"/>
      <c r="S1003" s="64"/>
      <c r="T1003" s="64"/>
      <c r="U1003" s="64"/>
      <c r="V1003" s="64"/>
    </row>
    <row r="1004" spans="1:22" ht="30" customHeight="1">
      <c r="A1004" s="8"/>
      <c r="B1004" s="7"/>
      <c r="C1004" s="33"/>
      <c r="D1004" s="7"/>
      <c r="E1004" s="7"/>
      <c r="F1004" s="7"/>
      <c r="G1004" s="7"/>
      <c r="H1004" s="7"/>
      <c r="I1004" s="7"/>
      <c r="J1004" s="7"/>
      <c r="K1004" s="7"/>
      <c r="L1004" s="7"/>
      <c r="M1004" s="7"/>
      <c r="N1004" s="7"/>
      <c r="O1004" s="7"/>
      <c r="P1004" s="7"/>
      <c r="Q1004" s="7"/>
      <c r="R1004" s="64"/>
      <c r="S1004" s="64"/>
      <c r="T1004" s="64"/>
      <c r="U1004" s="64"/>
      <c r="V1004" s="64"/>
    </row>
    <row r="1005" spans="1:22" ht="30" customHeight="1">
      <c r="A1005" s="8"/>
      <c r="B1005" s="7"/>
      <c r="C1005" s="33"/>
      <c r="D1005" s="7"/>
      <c r="E1005" s="7"/>
      <c r="F1005" s="7"/>
      <c r="G1005" s="7"/>
      <c r="H1005" s="7"/>
      <c r="I1005" s="7"/>
      <c r="J1005" s="7"/>
      <c r="K1005" s="7"/>
      <c r="L1005" s="7"/>
      <c r="M1005" s="7"/>
      <c r="N1005" s="7"/>
      <c r="O1005" s="7"/>
      <c r="P1005" s="7"/>
      <c r="Q1005" s="7"/>
      <c r="R1005" s="64"/>
      <c r="S1005" s="64"/>
      <c r="T1005" s="64"/>
      <c r="U1005" s="64"/>
      <c r="V1005" s="64"/>
    </row>
    <row r="1006" spans="1:22" ht="30" customHeight="1">
      <c r="A1006" s="8"/>
      <c r="B1006" s="7"/>
      <c r="C1006" s="33"/>
      <c r="D1006" s="7"/>
      <c r="E1006" s="7"/>
      <c r="F1006" s="7"/>
      <c r="G1006" s="7"/>
      <c r="H1006" s="7"/>
      <c r="I1006" s="7"/>
      <c r="J1006" s="7"/>
      <c r="K1006" s="7"/>
      <c r="L1006" s="7"/>
      <c r="M1006" s="7"/>
      <c r="N1006" s="7"/>
      <c r="O1006" s="7"/>
      <c r="P1006" s="7"/>
      <c r="Q1006" s="7"/>
      <c r="R1006" s="64"/>
      <c r="S1006" s="64"/>
      <c r="T1006" s="64"/>
      <c r="U1006" s="64"/>
      <c r="V1006" s="64"/>
    </row>
    <row r="1007" spans="1:22" ht="30" customHeight="1">
      <c r="A1007" s="8"/>
      <c r="B1007" s="7"/>
      <c r="C1007" s="33"/>
      <c r="D1007" s="7"/>
      <c r="E1007" s="7"/>
      <c r="F1007" s="7"/>
      <c r="G1007" s="7"/>
      <c r="H1007" s="7"/>
      <c r="I1007" s="7"/>
      <c r="J1007" s="7"/>
      <c r="K1007" s="7"/>
      <c r="L1007" s="7"/>
      <c r="M1007" s="7"/>
      <c r="N1007" s="7"/>
      <c r="O1007" s="7"/>
      <c r="P1007" s="7"/>
      <c r="Q1007" s="7"/>
      <c r="R1007" s="64"/>
      <c r="S1007" s="64"/>
      <c r="T1007" s="64"/>
      <c r="U1007" s="64"/>
      <c r="V1007" s="64"/>
    </row>
    <row r="1008" spans="1:22" ht="30" customHeight="1">
      <c r="A1008" s="8"/>
      <c r="B1008" s="7"/>
      <c r="C1008" s="33"/>
      <c r="D1008" s="7"/>
      <c r="E1008" s="7"/>
      <c r="F1008" s="7"/>
      <c r="G1008" s="7"/>
      <c r="H1008" s="7"/>
      <c r="I1008" s="7"/>
      <c r="J1008" s="7"/>
      <c r="K1008" s="7"/>
      <c r="L1008" s="7"/>
      <c r="M1008" s="7"/>
      <c r="N1008" s="7"/>
      <c r="O1008" s="7"/>
      <c r="P1008" s="7"/>
      <c r="Q1008" s="7"/>
      <c r="R1008" s="64"/>
      <c r="S1008" s="64"/>
      <c r="T1008" s="64"/>
      <c r="U1008" s="64"/>
      <c r="V1008" s="64"/>
    </row>
    <row r="1009" spans="1:22" ht="30" customHeight="1">
      <c r="A1009" s="8"/>
      <c r="B1009" s="7"/>
      <c r="C1009" s="33"/>
      <c r="D1009" s="7"/>
      <c r="E1009" s="7"/>
      <c r="F1009" s="7"/>
      <c r="G1009" s="7"/>
      <c r="H1009" s="7"/>
      <c r="I1009" s="7"/>
      <c r="J1009" s="7"/>
      <c r="K1009" s="7"/>
      <c r="L1009" s="7"/>
      <c r="M1009" s="7"/>
      <c r="N1009" s="7"/>
      <c r="O1009" s="7"/>
      <c r="P1009" s="7"/>
      <c r="Q1009" s="7"/>
      <c r="R1009" s="64"/>
      <c r="S1009" s="64"/>
      <c r="T1009" s="64"/>
      <c r="U1009" s="64"/>
      <c r="V1009" s="64"/>
    </row>
    <row r="1010" spans="1:22" ht="30" customHeight="1">
      <c r="A1010" s="8"/>
      <c r="B1010" s="7"/>
      <c r="C1010" s="33"/>
      <c r="D1010" s="7"/>
      <c r="E1010" s="7"/>
      <c r="F1010" s="7"/>
      <c r="G1010" s="7"/>
      <c r="H1010" s="7"/>
      <c r="I1010" s="7"/>
      <c r="J1010" s="7"/>
      <c r="K1010" s="7"/>
      <c r="L1010" s="7"/>
      <c r="M1010" s="7"/>
      <c r="N1010" s="7"/>
      <c r="O1010" s="7"/>
      <c r="P1010" s="7"/>
      <c r="Q1010" s="7"/>
      <c r="R1010" s="64"/>
      <c r="S1010" s="64"/>
      <c r="T1010" s="64"/>
      <c r="U1010" s="64"/>
      <c r="V1010" s="64"/>
    </row>
    <row r="1011" spans="1:22" ht="30" customHeight="1">
      <c r="A1011" s="8"/>
      <c r="B1011" s="7"/>
      <c r="C1011" s="33"/>
      <c r="D1011" s="7"/>
      <c r="E1011" s="7"/>
      <c r="F1011" s="7"/>
      <c r="G1011" s="7"/>
      <c r="H1011" s="7"/>
      <c r="I1011" s="7"/>
      <c r="J1011" s="7"/>
      <c r="K1011" s="7"/>
      <c r="L1011" s="7"/>
      <c r="M1011" s="7"/>
      <c r="N1011" s="7"/>
      <c r="O1011" s="7"/>
      <c r="P1011" s="7"/>
      <c r="Q1011" s="7"/>
      <c r="R1011" s="64"/>
      <c r="S1011" s="64"/>
      <c r="T1011" s="64"/>
      <c r="U1011" s="64"/>
      <c r="V1011" s="64"/>
    </row>
    <row r="1012" spans="1:22" ht="30" customHeight="1">
      <c r="A1012" s="8"/>
      <c r="B1012" s="7"/>
      <c r="C1012" s="33"/>
      <c r="D1012" s="7"/>
      <c r="E1012" s="7"/>
      <c r="F1012" s="7"/>
      <c r="G1012" s="7"/>
      <c r="H1012" s="7"/>
      <c r="I1012" s="7"/>
      <c r="J1012" s="7"/>
      <c r="K1012" s="7"/>
      <c r="L1012" s="7"/>
      <c r="M1012" s="7"/>
      <c r="N1012" s="7"/>
      <c r="O1012" s="7"/>
      <c r="P1012" s="7"/>
      <c r="Q1012" s="7"/>
      <c r="R1012" s="64"/>
      <c r="S1012" s="64"/>
      <c r="T1012" s="64"/>
      <c r="U1012" s="64"/>
      <c r="V1012" s="64"/>
    </row>
    <row r="1013" spans="1:22" ht="30" customHeight="1">
      <c r="A1013" s="8"/>
      <c r="B1013" s="7"/>
      <c r="C1013" s="33"/>
      <c r="D1013" s="7"/>
      <c r="E1013" s="7"/>
      <c r="F1013" s="7"/>
      <c r="G1013" s="7"/>
      <c r="H1013" s="7"/>
      <c r="I1013" s="7"/>
      <c r="J1013" s="7"/>
      <c r="K1013" s="7"/>
      <c r="L1013" s="7"/>
      <c r="M1013" s="7"/>
      <c r="N1013" s="7"/>
      <c r="O1013" s="7"/>
      <c r="P1013" s="7"/>
      <c r="Q1013" s="7"/>
      <c r="R1013" s="64"/>
      <c r="S1013" s="64"/>
      <c r="T1013" s="64"/>
      <c r="U1013" s="64"/>
      <c r="V1013" s="64"/>
    </row>
    <row r="1014" spans="1:22" ht="30" customHeight="1">
      <c r="A1014" s="8"/>
      <c r="B1014" s="7"/>
      <c r="C1014" s="33"/>
      <c r="D1014" s="7"/>
      <c r="E1014" s="7"/>
      <c r="F1014" s="7"/>
      <c r="G1014" s="7"/>
      <c r="H1014" s="7"/>
      <c r="I1014" s="7"/>
      <c r="J1014" s="7"/>
      <c r="K1014" s="7"/>
      <c r="L1014" s="7"/>
      <c r="M1014" s="7"/>
      <c r="N1014" s="7"/>
      <c r="O1014" s="7"/>
      <c r="P1014" s="7"/>
      <c r="Q1014" s="7"/>
      <c r="R1014" s="64"/>
      <c r="S1014" s="64"/>
      <c r="T1014" s="64"/>
      <c r="U1014" s="64"/>
      <c r="V1014" s="64"/>
    </row>
    <row r="1015" spans="1:22" ht="30" customHeight="1">
      <c r="A1015" s="8"/>
      <c r="B1015" s="7"/>
      <c r="C1015" s="33"/>
      <c r="D1015" s="7"/>
      <c r="E1015" s="7"/>
      <c r="F1015" s="7"/>
      <c r="G1015" s="7"/>
      <c r="H1015" s="7"/>
      <c r="I1015" s="7"/>
      <c r="J1015" s="7"/>
      <c r="K1015" s="7"/>
      <c r="L1015" s="7"/>
      <c r="M1015" s="7"/>
      <c r="N1015" s="7"/>
      <c r="O1015" s="7"/>
      <c r="P1015" s="7"/>
      <c r="Q1015" s="7"/>
      <c r="R1015" s="64"/>
      <c r="S1015" s="64"/>
      <c r="T1015" s="64"/>
      <c r="U1015" s="64"/>
      <c r="V1015" s="64"/>
    </row>
    <row r="1016" spans="1:22" ht="30" customHeight="1">
      <c r="A1016" s="8"/>
      <c r="B1016" s="7"/>
      <c r="C1016" s="33"/>
      <c r="D1016" s="7"/>
      <c r="E1016" s="7"/>
      <c r="F1016" s="7"/>
      <c r="G1016" s="7"/>
      <c r="H1016" s="7"/>
      <c r="I1016" s="7"/>
      <c r="J1016" s="7"/>
      <c r="K1016" s="7"/>
      <c r="L1016" s="7"/>
      <c r="M1016" s="7"/>
      <c r="N1016" s="7"/>
      <c r="O1016" s="7"/>
      <c r="P1016" s="7"/>
      <c r="Q1016" s="7"/>
      <c r="R1016" s="64"/>
      <c r="S1016" s="64"/>
      <c r="T1016" s="64"/>
      <c r="U1016" s="64"/>
      <c r="V1016" s="64"/>
    </row>
    <row r="1017" spans="1:22" ht="30" customHeight="1">
      <c r="A1017" s="8"/>
      <c r="B1017" s="7"/>
      <c r="C1017" s="33"/>
      <c r="D1017" s="7"/>
      <c r="E1017" s="7"/>
      <c r="F1017" s="7"/>
      <c r="G1017" s="7"/>
      <c r="H1017" s="7"/>
      <c r="I1017" s="7"/>
      <c r="J1017" s="7"/>
      <c r="K1017" s="7"/>
      <c r="L1017" s="7"/>
      <c r="M1017" s="7"/>
      <c r="N1017" s="7"/>
      <c r="O1017" s="7"/>
      <c r="P1017" s="7"/>
      <c r="Q1017" s="7"/>
      <c r="R1017" s="64"/>
      <c r="S1017" s="64"/>
      <c r="T1017" s="64"/>
      <c r="U1017" s="64"/>
      <c r="V1017" s="64"/>
    </row>
    <row r="1018" spans="1:22" ht="30" customHeight="1">
      <c r="A1018" s="8"/>
      <c r="B1018" s="7"/>
      <c r="C1018" s="33"/>
      <c r="D1018" s="7"/>
      <c r="E1018" s="7"/>
      <c r="F1018" s="7"/>
      <c r="G1018" s="7"/>
      <c r="H1018" s="7"/>
      <c r="I1018" s="7"/>
      <c r="J1018" s="7"/>
      <c r="K1018" s="7"/>
      <c r="L1018" s="7"/>
      <c r="M1018" s="7"/>
      <c r="N1018" s="7"/>
      <c r="O1018" s="7"/>
      <c r="P1018" s="7"/>
      <c r="Q1018" s="7"/>
      <c r="R1018" s="64"/>
      <c r="S1018" s="64"/>
      <c r="T1018" s="64"/>
      <c r="U1018" s="64"/>
      <c r="V1018" s="64"/>
    </row>
    <row r="1019" spans="1:22" ht="30" customHeight="1">
      <c r="A1019" s="8"/>
      <c r="B1019" s="7"/>
      <c r="C1019" s="33"/>
      <c r="D1019" s="7"/>
      <c r="E1019" s="7"/>
      <c r="F1019" s="7"/>
      <c r="G1019" s="7"/>
      <c r="H1019" s="7"/>
      <c r="I1019" s="7"/>
      <c r="J1019" s="7"/>
      <c r="K1019" s="7"/>
      <c r="L1019" s="7"/>
      <c r="M1019" s="7"/>
      <c r="N1019" s="7"/>
      <c r="O1019" s="7"/>
      <c r="P1019" s="7"/>
      <c r="Q1019" s="7"/>
      <c r="R1019" s="64"/>
      <c r="S1019" s="64"/>
      <c r="T1019" s="64"/>
      <c r="U1019" s="64"/>
      <c r="V1019" s="64"/>
    </row>
    <row r="1020" spans="1:22" ht="30" customHeight="1">
      <c r="A1020" s="8"/>
      <c r="B1020" s="7"/>
      <c r="C1020" s="33"/>
      <c r="D1020" s="7"/>
      <c r="E1020" s="7"/>
      <c r="F1020" s="7"/>
      <c r="G1020" s="7"/>
      <c r="H1020" s="7"/>
      <c r="I1020" s="7"/>
      <c r="J1020" s="7"/>
      <c r="K1020" s="7"/>
      <c r="L1020" s="7"/>
      <c r="M1020" s="7"/>
      <c r="N1020" s="7"/>
      <c r="O1020" s="7"/>
      <c r="P1020" s="7"/>
      <c r="Q1020" s="7"/>
      <c r="R1020" s="64"/>
      <c r="S1020" s="64"/>
      <c r="T1020" s="64"/>
      <c r="U1020" s="64"/>
      <c r="V1020" s="64"/>
    </row>
    <row r="1021" spans="1:22" ht="30" customHeight="1">
      <c r="A1021" s="8"/>
      <c r="B1021" s="7"/>
      <c r="C1021" s="33"/>
      <c r="D1021" s="7"/>
      <c r="E1021" s="7"/>
      <c r="F1021" s="7"/>
      <c r="G1021" s="7"/>
      <c r="H1021" s="7"/>
      <c r="I1021" s="7"/>
      <c r="J1021" s="7"/>
      <c r="K1021" s="7"/>
      <c r="L1021" s="7"/>
      <c r="M1021" s="7"/>
      <c r="N1021" s="7"/>
      <c r="O1021" s="7"/>
      <c r="P1021" s="7"/>
      <c r="Q1021" s="7"/>
      <c r="R1021" s="64"/>
      <c r="S1021" s="64"/>
      <c r="T1021" s="64"/>
      <c r="U1021" s="64"/>
      <c r="V1021" s="64"/>
    </row>
    <row r="1022" spans="1:22" ht="30" customHeight="1">
      <c r="A1022" s="8"/>
      <c r="B1022" s="7"/>
      <c r="C1022" s="33"/>
      <c r="D1022" s="7"/>
      <c r="E1022" s="7"/>
      <c r="F1022" s="7"/>
      <c r="G1022" s="7"/>
      <c r="H1022" s="7"/>
      <c r="I1022" s="7"/>
      <c r="J1022" s="7"/>
      <c r="K1022" s="7"/>
      <c r="L1022" s="7"/>
      <c r="M1022" s="7"/>
      <c r="N1022" s="7"/>
      <c r="O1022" s="7"/>
      <c r="P1022" s="7"/>
      <c r="Q1022" s="7"/>
      <c r="R1022" s="64"/>
      <c r="S1022" s="64"/>
      <c r="T1022" s="64"/>
      <c r="U1022" s="64"/>
      <c r="V1022" s="64"/>
    </row>
    <row r="1023" spans="1:22" ht="30" customHeight="1">
      <c r="A1023" s="8"/>
      <c r="B1023" s="7"/>
      <c r="C1023" s="33"/>
      <c r="D1023" s="7"/>
      <c r="E1023" s="7"/>
      <c r="F1023" s="7"/>
      <c r="G1023" s="7"/>
      <c r="H1023" s="7"/>
      <c r="I1023" s="7"/>
      <c r="J1023" s="7"/>
      <c r="K1023" s="7"/>
      <c r="L1023" s="7"/>
      <c r="M1023" s="7"/>
      <c r="N1023" s="7"/>
      <c r="O1023" s="7"/>
      <c r="P1023" s="7"/>
      <c r="Q1023" s="7"/>
      <c r="R1023" s="64"/>
      <c r="S1023" s="64"/>
      <c r="T1023" s="64"/>
      <c r="U1023" s="64"/>
      <c r="V1023" s="64"/>
    </row>
    <row r="1024" spans="1:22" ht="30" customHeight="1">
      <c r="A1024" s="8"/>
      <c r="F1024" s="7"/>
      <c r="G1024" s="7"/>
      <c r="H1024" s="7"/>
      <c r="I1024" s="7"/>
      <c r="J1024" s="7"/>
      <c r="K1024" s="7"/>
      <c r="L1024" s="7"/>
      <c r="M1024" s="7"/>
      <c r="N1024" s="7"/>
      <c r="O1024" s="7"/>
      <c r="P1024" s="7"/>
      <c r="Q1024" s="7"/>
      <c r="R1024" s="64"/>
      <c r="S1024" s="64"/>
      <c r="T1024" s="64"/>
      <c r="U1024" s="64"/>
      <c r="V1024" s="64"/>
    </row>
  </sheetData>
  <mergeCells count="124">
    <mergeCell ref="J44:K45"/>
    <mergeCell ref="J42:K43"/>
    <mergeCell ref="J40:K41"/>
    <mergeCell ref="J38:K39"/>
    <mergeCell ref="J36:K37"/>
    <mergeCell ref="J34:K35"/>
    <mergeCell ref="J32:K33"/>
    <mergeCell ref="J30:K31"/>
    <mergeCell ref="J28:K29"/>
    <mergeCell ref="I44:I45"/>
    <mergeCell ref="I42:I43"/>
    <mergeCell ref="I40:I41"/>
    <mergeCell ref="I38:I39"/>
    <mergeCell ref="I36:I37"/>
    <mergeCell ref="I34:I35"/>
    <mergeCell ref="I32:I33"/>
    <mergeCell ref="I30:I31"/>
    <mergeCell ref="I28:I29"/>
    <mergeCell ref="J19:N19"/>
    <mergeCell ref="J14:N14"/>
    <mergeCell ref="J1:N1"/>
    <mergeCell ref="J2:N2"/>
    <mergeCell ref="J3:N3"/>
    <mergeCell ref="J4:N4"/>
    <mergeCell ref="J5:N5"/>
    <mergeCell ref="J6:N6"/>
    <mergeCell ref="J7:N7"/>
    <mergeCell ref="J8:N8"/>
    <mergeCell ref="J9:N9"/>
    <mergeCell ref="J10:N10"/>
    <mergeCell ref="J11:N11"/>
    <mergeCell ref="J12:N12"/>
    <mergeCell ref="J13:N13"/>
    <mergeCell ref="A1:G1"/>
    <mergeCell ref="A2:C2"/>
    <mergeCell ref="D2:G2"/>
    <mergeCell ref="A3:C3"/>
    <mergeCell ref="D3:G3"/>
    <mergeCell ref="A4:C4"/>
    <mergeCell ref="D4:G4"/>
    <mergeCell ref="A5:C5"/>
    <mergeCell ref="D5:G5"/>
    <mergeCell ref="A9:C9"/>
    <mergeCell ref="D9:G9"/>
    <mergeCell ref="A10:C10"/>
    <mergeCell ref="D10:G10"/>
    <mergeCell ref="A11:C11"/>
    <mergeCell ref="D11:G11"/>
    <mergeCell ref="A6:C6"/>
    <mergeCell ref="D6:G6"/>
    <mergeCell ref="A7:C7"/>
    <mergeCell ref="D7:G7"/>
    <mergeCell ref="A8:C8"/>
    <mergeCell ref="D8:G8"/>
    <mergeCell ref="D17:G17"/>
    <mergeCell ref="A18:C18"/>
    <mergeCell ref="D18:G18"/>
    <mergeCell ref="J15:N15"/>
    <mergeCell ref="A12:C12"/>
    <mergeCell ref="D12:G12"/>
    <mergeCell ref="A13:C13"/>
    <mergeCell ref="D13:G13"/>
    <mergeCell ref="A14:C14"/>
    <mergeCell ref="D14:G14"/>
    <mergeCell ref="J16:N16"/>
    <mergeCell ref="J17:N17"/>
    <mergeCell ref="J18:N18"/>
    <mergeCell ref="M21:O21"/>
    <mergeCell ref="N22:O22"/>
    <mergeCell ref="N37:O37"/>
    <mergeCell ref="N38:O38"/>
    <mergeCell ref="A25:C25"/>
    <mergeCell ref="D25:G25"/>
    <mergeCell ref="A15:G15"/>
    <mergeCell ref="I21:K21"/>
    <mergeCell ref="J22:K22"/>
    <mergeCell ref="A22:C22"/>
    <mergeCell ref="D22:G22"/>
    <mergeCell ref="A23:C23"/>
    <mergeCell ref="D23:G23"/>
    <mergeCell ref="A24:C24"/>
    <mergeCell ref="D24:G24"/>
    <mergeCell ref="A19:C19"/>
    <mergeCell ref="D19:G19"/>
    <mergeCell ref="A20:C20"/>
    <mergeCell ref="D20:G20"/>
    <mergeCell ref="A21:C21"/>
    <mergeCell ref="D21:G21"/>
    <mergeCell ref="A16:C16"/>
    <mergeCell ref="D16:G16"/>
    <mergeCell ref="A17:C17"/>
    <mergeCell ref="N42:O42"/>
    <mergeCell ref="A27:A33"/>
    <mergeCell ref="C27:G27"/>
    <mergeCell ref="C28:G28"/>
    <mergeCell ref="C29:G29"/>
    <mergeCell ref="C30:G30"/>
    <mergeCell ref="C31:G31"/>
    <mergeCell ref="C32:G32"/>
    <mergeCell ref="C33:G33"/>
    <mergeCell ref="A35:A41"/>
    <mergeCell ref="C35:G35"/>
    <mergeCell ref="C36:G36"/>
    <mergeCell ref="C37:G37"/>
    <mergeCell ref="N32:O32"/>
    <mergeCell ref="N33:O33"/>
    <mergeCell ref="N34:O34"/>
    <mergeCell ref="C38:G38"/>
    <mergeCell ref="N36:O36"/>
    <mergeCell ref="N29:O29"/>
    <mergeCell ref="N30:O30"/>
    <mergeCell ref="I27:K27"/>
    <mergeCell ref="C39:G39"/>
    <mergeCell ref="C40:G40"/>
    <mergeCell ref="C41:G41"/>
    <mergeCell ref="J23:K23"/>
    <mergeCell ref="J24:K24"/>
    <mergeCell ref="J25:K25"/>
    <mergeCell ref="M27:O27"/>
    <mergeCell ref="N28:O28"/>
    <mergeCell ref="N40:O40"/>
    <mergeCell ref="N41:O41"/>
    <mergeCell ref="N23:O23"/>
    <mergeCell ref="N24:O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Z429"/>
  <sheetViews>
    <sheetView zoomScaleNormal="100" workbookViewId="0">
      <selection activeCell="L22" sqref="L22"/>
    </sheetView>
  </sheetViews>
  <sheetFormatPr defaultRowHeight="15.75"/>
  <cols>
    <col min="1" max="1" width="11.85546875" style="184" customWidth="1"/>
    <col min="2" max="2" width="14.85546875" style="184" customWidth="1"/>
    <col min="3" max="3" width="20.140625" style="184" customWidth="1"/>
    <col min="4" max="4" width="13.5703125" style="184" customWidth="1"/>
    <col min="5" max="5" width="16.85546875" style="184" customWidth="1"/>
    <col min="6" max="6" width="9.7109375" style="184" customWidth="1"/>
    <col min="7" max="7" width="13.42578125" style="184" customWidth="1"/>
    <col min="8" max="8" width="3.28515625" style="184" customWidth="1"/>
    <col min="9" max="9" width="20" style="184" customWidth="1"/>
    <col min="10" max="11" width="15.85546875" style="184" customWidth="1"/>
    <col min="12" max="12" width="15.7109375" style="184" customWidth="1"/>
    <col min="13" max="13" width="12.7109375" style="184" customWidth="1"/>
    <col min="14" max="14" width="20.7109375" style="184" customWidth="1"/>
    <col min="15" max="15" width="15.7109375" style="184" customWidth="1"/>
    <col min="16" max="16" width="2.7109375" style="184" customWidth="1"/>
    <col min="17" max="17" width="18.7109375" style="184" customWidth="1"/>
    <col min="18" max="18" width="15.7109375" style="184" customWidth="1"/>
    <col min="19" max="19" width="20.7109375" style="184" customWidth="1"/>
    <col min="20" max="20" width="15.7109375" style="184" customWidth="1"/>
    <col min="21" max="21" width="20.7109375" style="184" customWidth="1"/>
    <col min="22" max="22" width="15.7109375" style="184" customWidth="1"/>
    <col min="23" max="23" width="20.7109375" style="184" customWidth="1"/>
    <col min="24" max="24" width="20.7109375" style="227" customWidth="1"/>
    <col min="25" max="27" width="9.140625" style="184"/>
    <col min="28" max="28" width="11.140625" style="184" customWidth="1"/>
    <col min="29" max="74" width="9.140625" style="184"/>
    <col min="75" max="75" width="22.42578125" style="184" customWidth="1"/>
    <col min="76" max="87" width="9.140625" style="184"/>
    <col min="88" max="88" width="13.5703125" style="184" bestFit="1" customWidth="1"/>
    <col min="89" max="113" width="9.140625" style="184"/>
    <col min="114" max="114" width="32.28515625" style="184" customWidth="1"/>
    <col min="115" max="16384" width="9.140625" style="184"/>
  </cols>
  <sheetData>
    <row r="1" spans="1:24" ht="36" customHeight="1">
      <c r="A1" s="786" t="str">
        <f ca="1">CONCATENATE(CHOOSE(RANDBETWEEN(1,7),"Grand City of ","City of ","Fallen City of ","Mystical City of ","Enchanted City of ","Ruined City of ","Rotting City of "),INDEX($BD$180:$BD$429,RANDBETWEEN(1,250)))</f>
        <v>Ruined City of Trucester</v>
      </c>
      <c r="B1" s="787"/>
      <c r="C1" s="787"/>
      <c r="D1" s="787"/>
      <c r="E1" s="788"/>
      <c r="F1" s="182">
        <f ca="1">RANDBETWEEN(1,9)</f>
        <v>9</v>
      </c>
      <c r="G1" s="760" t="s">
        <v>4438</v>
      </c>
      <c r="H1" s="761"/>
      <c r="I1" s="762"/>
      <c r="J1" s="183">
        <f ca="1">RANDBETWEEN(1,9)</f>
        <v>2</v>
      </c>
      <c r="K1" s="616" t="s">
        <v>4478</v>
      </c>
      <c r="L1" s="758"/>
      <c r="M1" s="759"/>
      <c r="N1" s="20"/>
      <c r="O1" s="616" t="s">
        <v>4763</v>
      </c>
      <c r="P1" s="758"/>
      <c r="Q1" s="758"/>
      <c r="R1" s="758"/>
      <c r="S1" s="759"/>
      <c r="T1" s="220"/>
      <c r="U1" s="220"/>
      <c r="V1" s="220"/>
      <c r="W1" s="220"/>
      <c r="X1" s="220"/>
    </row>
    <row r="2" spans="1:24" ht="30" customHeight="1">
      <c r="A2" s="618" t="str">
        <f>A179</f>
        <v>Geography:</v>
      </c>
      <c r="B2" s="619"/>
      <c r="C2" s="447" t="str">
        <f ca="1">INDEX($A$180:$A$219,RANDBETWEEN(1,10))</f>
        <v>A well-traveled crossroads.</v>
      </c>
      <c r="D2" s="447"/>
      <c r="E2" s="448"/>
      <c r="F2" s="20"/>
      <c r="G2" s="766" t="str">
        <f ca="1">IF($F$1&gt;0,CONCATENATE(INDEX('Random Shop-Career'!$B$2:$B$101,RANDBETWEEN(1,100)),", located on ",INDEX($Z$180:$Z$379,RANDBETWEEN(1,200))),"")</f>
        <v>Paper maker, located on School Avenue</v>
      </c>
      <c r="H2" s="767"/>
      <c r="I2" s="768"/>
      <c r="J2" s="185"/>
      <c r="K2" s="792" t="str">
        <f ca="1">IF($J$1&gt;0,CONCATENATE(INDEX($AB$180:$AB$199,RANDBETWEEN(1,20))," Located in the ",INDEX($AC$180:$AC$199,RANDBETWEEN(1,20))),"")</f>
        <v>Ancient ruin. Located in the  Monument district.</v>
      </c>
      <c r="L2" s="793"/>
      <c r="M2" s="794"/>
      <c r="N2" s="20"/>
      <c r="O2" s="411" t="str">
        <f>$AT$179</f>
        <v>The House is:</v>
      </c>
      <c r="P2" s="412"/>
      <c r="Q2" s="721" t="str">
        <f ca="1">INDEX($AT$180:$AT$199,RANDBETWEEN(1,6))</f>
        <v>Old with the respect of many houses, great and small.</v>
      </c>
      <c r="R2" s="721"/>
      <c r="S2" s="722"/>
      <c r="T2" s="220"/>
      <c r="U2" s="220"/>
      <c r="V2" s="220"/>
      <c r="W2" s="220"/>
      <c r="X2" s="220"/>
    </row>
    <row r="3" spans="1:24" ht="30" customHeight="1">
      <c r="A3" s="618" t="str">
        <f>B179</f>
        <v>Main Export:</v>
      </c>
      <c r="B3" s="619"/>
      <c r="C3" s="447" t="str">
        <f ca="1">INDEX($B$180:$B$219,RANDBETWEEN(1,20))</f>
        <v xml:space="preserve"> Potatoes and leeks.</v>
      </c>
      <c r="D3" s="447"/>
      <c r="E3" s="448"/>
      <c r="F3" s="20"/>
      <c r="G3" s="766" t="str">
        <f ca="1">IF($F$1&gt;1,CONCATENATE(INDEX('Random Shop-Career'!$B$2:$B$101,RANDBETWEEN(1,100)),", located on ",INDEX($Z$180:$Z$379,RANDBETWEEN(1,200))),"")</f>
        <v>Engineer, located on Bard Street</v>
      </c>
      <c r="H3" s="767"/>
      <c r="I3" s="768"/>
      <c r="J3" s="185"/>
      <c r="K3" s="792" t="str">
        <f ca="1">IF($J$1&gt;1,CONCATENATE(INDEX($AB$180:$AB$199,RANDBETWEEN(1,20))," Located in the ",INDEX($AC$180:$AC$199,RANDBETWEEN(1,20))),"")</f>
        <v>Monument Wall Located in the Riverfront district.</v>
      </c>
      <c r="L3" s="793"/>
      <c r="M3" s="794"/>
      <c r="N3" s="20"/>
      <c r="O3" s="411" t="str">
        <f>$AU$179</f>
        <v>The Colors are:</v>
      </c>
      <c r="P3" s="412"/>
      <c r="Q3" s="721" t="str">
        <f ca="1">INDEX($AU$180:$AU$199,RANDBETWEEN(1,20))</f>
        <v>Violet.</v>
      </c>
      <c r="R3" s="721"/>
      <c r="S3" s="722"/>
      <c r="T3" s="220"/>
      <c r="U3" s="220"/>
      <c r="V3" s="220"/>
      <c r="W3" s="220"/>
      <c r="X3" s="220"/>
    </row>
    <row r="4" spans="1:24" ht="30" customHeight="1">
      <c r="A4" s="618" t="str">
        <f>C179</f>
        <v>Known for:</v>
      </c>
      <c r="B4" s="619"/>
      <c r="C4" s="447" t="str">
        <f ca="1">INDEX($C$180:$C$219,RANDBETWEEN(1,20))</f>
        <v xml:space="preserve"> Unusual dress.</v>
      </c>
      <c r="D4" s="447"/>
      <c r="E4" s="448"/>
      <c r="F4" s="20"/>
      <c r="G4" s="766" t="str">
        <f ca="1">IF($F$1&gt;2,CONCATENATE(INDEX('Random Shop-Career'!$B$2:$B$101,RANDBETWEEN(1,100)),", located on ",INDEX($Z$180:$Z$379,RANDBETWEEN(1,200))),"")</f>
        <v>Barrister (court lawyer), located on Coach Passage</v>
      </c>
      <c r="H4" s="767"/>
      <c r="I4" s="768"/>
      <c r="J4" s="185"/>
      <c r="K4" s="792" t="str">
        <f ca="1">IF($J$1&gt;2,CONCATENATE(INDEX($AB$180:$AB$199,RANDBETWEEN(1,20))," Located in the ",INDEX($AC$180:$AC$199,RANDBETWEEN(1,20))),"")</f>
        <v/>
      </c>
      <c r="L4" s="793"/>
      <c r="M4" s="794"/>
      <c r="N4" s="20"/>
      <c r="O4" s="411" t="str">
        <f>$AV$179</f>
        <v>The House Symbol is a:</v>
      </c>
      <c r="P4" s="412"/>
      <c r="Q4" s="721" t="str">
        <f ca="1">INDEX($AV$180:$AV$199,RANDBETWEEN(1,8))</f>
        <v>Hawk</v>
      </c>
      <c r="R4" s="721"/>
      <c r="S4" s="722"/>
      <c r="T4" s="220"/>
      <c r="U4" s="220"/>
      <c r="V4" s="220"/>
      <c r="W4" s="220"/>
      <c r="X4" s="220"/>
    </row>
    <row r="5" spans="1:24" ht="30" customHeight="1">
      <c r="A5" s="618" t="str">
        <f>E179</f>
        <v>Governmental Structure:</v>
      </c>
      <c r="B5" s="619"/>
      <c r="C5" s="447" t="str">
        <f ca="1">INDEX($E$180:$E$219,RANDBETWEEN(1,10))</f>
        <v>A council of elected officials.</v>
      </c>
      <c r="D5" s="447"/>
      <c r="E5" s="448"/>
      <c r="F5" s="20"/>
      <c r="G5" s="766" t="str">
        <f ca="1">IF($F$1&gt;3,CONCATENATE(INDEX('Random Shop-Career'!$B$2:$B$101,RANDBETWEEN(1,100)),", located on ",INDEX($Z$180:$Z$379,RANDBETWEEN(1,200))),"")</f>
        <v>Bulk foods, located on Flax Lane</v>
      </c>
      <c r="H5" s="767"/>
      <c r="I5" s="768"/>
      <c r="J5" s="185"/>
      <c r="K5" s="792" t="str">
        <f ca="1">IF($J$1&gt;3,CONCATENATE(INDEX($AB$180:$AB$199,RANDBETWEEN(1,20))," Located in the ",INDEX($AC$180:$AC$199,RANDBETWEEN(1,20))),"")</f>
        <v/>
      </c>
      <c r="L5" s="793"/>
      <c r="M5" s="794"/>
      <c r="N5" s="20"/>
      <c r="O5" s="411" t="str">
        <f>$AW$179</f>
        <v>The House Motto Champions:</v>
      </c>
      <c r="P5" s="412"/>
      <c r="Q5" s="721" t="str">
        <f ca="1">INDEX($AW$180:$AW$199,RANDBETWEEN(1,6))</f>
        <v>Courage.</v>
      </c>
      <c r="R5" s="721"/>
      <c r="S5" s="722"/>
      <c r="T5" s="220"/>
      <c r="U5" s="220"/>
      <c r="V5" s="220"/>
      <c r="W5" s="220"/>
      <c r="X5" s="220"/>
    </row>
    <row r="6" spans="1:24" ht="30" customHeight="1">
      <c r="A6" s="618" t="str">
        <f>F179</f>
        <v>Most Recent Historical Event:</v>
      </c>
      <c r="B6" s="619"/>
      <c r="C6" s="447" t="str">
        <f ca="1">INDEX($F$180:$F$219,RANDBETWEEN(1,20))</f>
        <v>A legendary storm.</v>
      </c>
      <c r="D6" s="447"/>
      <c r="E6" s="448"/>
      <c r="F6" s="20"/>
      <c r="G6" s="766" t="str">
        <f ca="1">IF($F$1&gt;4,CONCATENATE(INDEX('Random Shop-Career'!$B$2:$B$101,RANDBETWEEN(1,100)),", located on ",INDEX($Z$180:$Z$379,RANDBETWEEN(1,200))),"")</f>
        <v>Black smith, located on Cannon Row</v>
      </c>
      <c r="H6" s="767"/>
      <c r="I6" s="768"/>
      <c r="J6" s="185"/>
      <c r="K6" s="792" t="str">
        <f ca="1">IF($J$1&gt;4,CONCATENATE(INDEX($AB$180:$AB$199,RANDBETWEEN(1,20))," Located in the ",INDEX($AC$180:$AC$199,RANDBETWEEN(1,20))),"")</f>
        <v/>
      </c>
      <c r="L6" s="793"/>
      <c r="M6" s="794"/>
      <c r="N6" s="20"/>
      <c r="O6" s="411" t="str">
        <f>$AX$179</f>
        <v>The most famous member was:</v>
      </c>
      <c r="P6" s="412"/>
      <c r="Q6" s="721" t="str">
        <f ca="1">INDEX($AX$180:$AX$199,RANDBETWEEN(1,12))</f>
        <v>A brilliant military strategist.</v>
      </c>
      <c r="R6" s="721"/>
      <c r="S6" s="722"/>
      <c r="T6" s="220"/>
      <c r="U6" s="220"/>
      <c r="V6" s="220"/>
      <c r="W6" s="220"/>
      <c r="X6" s="220"/>
    </row>
    <row r="7" spans="1:24" ht="30" customHeight="1">
      <c r="A7" s="618" t="str">
        <f>G179</f>
        <v>Frequent Threats:</v>
      </c>
      <c r="B7" s="619"/>
      <c r="C7" s="447" t="str">
        <f ca="1">INDEX($G$180:$G$219,RANDBETWEEN(1,12))</f>
        <v>A dragon or legendary beast.</v>
      </c>
      <c r="D7" s="447"/>
      <c r="E7" s="448"/>
      <c r="F7" s="20"/>
      <c r="G7" s="766" t="str">
        <f ca="1">IF($F$1&gt;5,CONCATENATE(INDEX('Random Shop-Career'!$B$2:$B$101,RANDBETWEEN(1,100)),", located on ",INDEX($Z$180:$Z$379,RANDBETWEEN(1,200))),"")</f>
        <v>Barrister (court lawyer), located on Spruce Row</v>
      </c>
      <c r="H7" s="767"/>
      <c r="I7" s="768"/>
      <c r="J7" s="185"/>
      <c r="K7" s="792" t="str">
        <f ca="1">IF($J$1&gt;5,CONCATENATE(INDEX($AB$180:$AB$199,RANDBETWEEN(1,20))," Located in the ",INDEX($AC$180:$AC$199,RANDBETWEEN(1,20))),"")</f>
        <v/>
      </c>
      <c r="L7" s="793"/>
      <c r="M7" s="794"/>
      <c r="N7" s="20"/>
      <c r="O7" s="411" t="str">
        <f>$AY$179</f>
        <v>The current head is:</v>
      </c>
      <c r="P7" s="412"/>
      <c r="Q7" s="721" t="str">
        <f ca="1">INDEX($AY$180:$AY$199,RANDBETWEEN(1,10))</f>
        <v>A charming man or woman.</v>
      </c>
      <c r="R7" s="721"/>
      <c r="S7" s="722"/>
      <c r="T7" s="220"/>
      <c r="U7" s="220"/>
      <c r="V7" s="220"/>
      <c r="W7" s="220"/>
      <c r="X7" s="220"/>
    </row>
    <row r="8" spans="1:24" ht="30" customHeight="1">
      <c r="A8" s="618" t="str">
        <f>H179</f>
        <v>Defenses:</v>
      </c>
      <c r="B8" s="619"/>
      <c r="C8" s="447" t="str">
        <f ca="1">INDEX($H$180:$H$219,RANDBETWEEN(1,10))</f>
        <v>A standing army of devoted soldiers.</v>
      </c>
      <c r="D8" s="447"/>
      <c r="E8" s="448"/>
      <c r="F8" s="20"/>
      <c r="G8" s="766" t="str">
        <f ca="1">IF($F$1&gt;6,CONCATENATE(INDEX('Random Shop-Career'!$B$2:$B$101,RANDBETWEEN(1,100)),", located on ",INDEX($Z$180:$Z$379,RANDBETWEEN(1,200))),"")</f>
        <v>Pet wrangler, located on Starfall Row</v>
      </c>
      <c r="H8" s="767"/>
      <c r="I8" s="768"/>
      <c r="J8" s="185"/>
      <c r="K8" s="792" t="str">
        <f ca="1">IF($J$1&gt;6,CONCATENATE(INDEX($AB$180:$AB$199,RANDBETWEEN(1,20))," Located in the ",INDEX($AC$180:$AC$199,RANDBETWEEN(1,20))),"")</f>
        <v/>
      </c>
      <c r="L8" s="793"/>
      <c r="M8" s="794"/>
      <c r="N8" s="20"/>
      <c r="O8" s="411" t="str">
        <f>$AZ$179</f>
        <v>The House goals are:</v>
      </c>
      <c r="P8" s="412"/>
      <c r="Q8" s="721" t="str">
        <f ca="1">INDEX($AZ$180:$AZ$199,RANDBETWEEN(1,8))</f>
        <v>Marriage with a powerful rival house.</v>
      </c>
      <c r="R8" s="721"/>
      <c r="S8" s="722"/>
      <c r="T8" s="220"/>
      <c r="U8" s="220"/>
      <c r="V8" s="220"/>
      <c r="W8" s="220"/>
      <c r="X8" s="220"/>
    </row>
    <row r="9" spans="1:24" ht="30" customHeight="1" thickBot="1">
      <c r="A9" s="618" t="str">
        <f>I179</f>
        <v>Law Enforcement:</v>
      </c>
      <c r="B9" s="619"/>
      <c r="C9" s="447" t="str">
        <f ca="1">INDEX($I$180:$I$204,RANDBETWEEN(1,12))</f>
        <v>More like guidelines.</v>
      </c>
      <c r="D9" s="447"/>
      <c r="E9" s="448"/>
      <c r="F9" s="20"/>
      <c r="G9" s="766" t="str">
        <f ca="1">IF($F$1&gt;7,CONCATENATE(INDEX('Random Shop-Career'!$B$2:$B$101,RANDBETWEEN(1,100)),", located on ",INDEX($Z$180:$Z$379,RANDBETWEEN(1,200))),"")</f>
        <v>Magic armor dealer, located on Gray Route</v>
      </c>
      <c r="H9" s="767"/>
      <c r="I9" s="768"/>
      <c r="J9" s="185"/>
      <c r="K9" s="792" t="str">
        <f ca="1">IF($J$1&gt;7,CONCATENATE(INDEX($AB$180:$AB$199,RANDBETWEEN(1,20))," Located in the ",INDEX($AC$180:$AC$199,RANDBETWEEN(1,20))),"")</f>
        <v/>
      </c>
      <c r="L9" s="793"/>
      <c r="M9" s="794"/>
      <c r="N9" s="20"/>
      <c r="O9" s="409" t="str">
        <f>$BA$179</f>
        <v>A member keeps secret:</v>
      </c>
      <c r="P9" s="410"/>
      <c r="Q9" s="723" t="str">
        <f ca="1">INDEX($BA$180:$BA$199,RANDBETWEEN(1,8))</f>
        <v>The birth of a malformed freak.</v>
      </c>
      <c r="R9" s="723"/>
      <c r="S9" s="724"/>
      <c r="T9" s="220"/>
      <c r="U9" s="220"/>
      <c r="V9" s="220"/>
      <c r="W9" s="220"/>
      <c r="X9" s="220"/>
    </row>
    <row r="10" spans="1:24" ht="30" customHeight="1" thickBot="1">
      <c r="A10" s="632" t="str">
        <f>J179</f>
        <v>Power Players:</v>
      </c>
      <c r="B10" s="633"/>
      <c r="C10" s="445" t="str">
        <f ca="1">INDEX($J$180:$J$219,RANDBETWEEN(1,20))</f>
        <v xml:space="preserve"> A scheming noble lord or lady.</v>
      </c>
      <c r="D10" s="445"/>
      <c r="E10" s="446"/>
      <c r="F10" s="20"/>
      <c r="G10" s="763" t="str">
        <f ca="1">IF($F$1&gt;8,CONCATENATE(INDEX('Random Shop-Career'!$B$2:$B$101,RANDBETWEEN(1,100)),", located on ",INDEX($Z$180:$Z$379,RANDBETWEEN(1,200))),"")</f>
        <v>Fine clothier, located on Beacon Street</v>
      </c>
      <c r="H10" s="764"/>
      <c r="I10" s="765"/>
      <c r="J10" s="185"/>
      <c r="K10" s="789" t="str">
        <f ca="1">IF($J$1&gt;8,CONCATENATE(INDEX($AB$180:$AB$199,RANDBETWEEN(1,20))," Located in the ",INDEX($AC$180:$AC$199,RANDBETWEEN(1,20))),"")</f>
        <v/>
      </c>
      <c r="L10" s="790"/>
      <c r="M10" s="791"/>
      <c r="N10" s="20"/>
      <c r="O10" s="20"/>
      <c r="P10" s="20"/>
      <c r="Q10" s="20"/>
      <c r="R10" s="20"/>
      <c r="S10" s="20"/>
      <c r="T10" s="20"/>
      <c r="U10" s="20"/>
      <c r="V10" s="20"/>
      <c r="W10" s="20"/>
      <c r="X10" s="220"/>
    </row>
    <row r="11" spans="1:24" ht="16.5" thickBot="1">
      <c r="A11" s="20"/>
      <c r="B11" s="20"/>
      <c r="C11" s="20"/>
      <c r="D11" s="20"/>
      <c r="E11" s="20"/>
      <c r="F11" s="20"/>
      <c r="G11" s="20"/>
      <c r="H11" s="20"/>
      <c r="I11" s="20"/>
      <c r="J11" s="20"/>
      <c r="K11" s="20"/>
      <c r="L11" s="20"/>
      <c r="M11" s="20"/>
      <c r="N11" s="20"/>
      <c r="O11" s="20"/>
      <c r="P11" s="20"/>
      <c r="Q11" s="20"/>
      <c r="R11" s="20"/>
      <c r="S11" s="20"/>
      <c r="T11" s="20"/>
      <c r="U11" s="20"/>
      <c r="V11" s="20"/>
      <c r="W11" s="20"/>
      <c r="X11" s="220"/>
    </row>
    <row r="12" spans="1:24" ht="35.1" customHeight="1" thickBot="1">
      <c r="A12" s="625" t="str">
        <f>$N$179</f>
        <v>The Main Marketplace is located in:</v>
      </c>
      <c r="B12" s="626"/>
      <c r="C12" s="626"/>
      <c r="D12" s="578" t="str">
        <f ca="1">INDEX($N$180:$N$219,RANDBETWEEN(1,8))</f>
        <v>An intersection of two wide roads.</v>
      </c>
      <c r="E12" s="578"/>
      <c r="F12" s="578"/>
      <c r="G12" s="579"/>
      <c r="H12" s="20"/>
      <c r="I12" s="812" t="s">
        <v>4510</v>
      </c>
      <c r="J12" s="813"/>
      <c r="K12" s="813"/>
      <c r="L12" s="813"/>
      <c r="M12" s="814" t="str">
        <f ca="1">INDEX($AD$180:$AD$209,RANDBETWEEN(1,30))</f>
        <v xml:space="preserve"> Travelers come from leagues around to see it.</v>
      </c>
      <c r="N12" s="815"/>
      <c r="O12" s="815"/>
      <c r="P12" s="815"/>
      <c r="Q12" s="815"/>
      <c r="R12" s="815"/>
      <c r="S12" s="816"/>
      <c r="T12" s="186"/>
      <c r="U12" s="186"/>
      <c r="V12" s="186"/>
      <c r="W12" s="186"/>
      <c r="X12" s="221"/>
    </row>
    <row r="13" spans="1:24" ht="35.1" customHeight="1" thickBot="1">
      <c r="A13" s="730" t="str">
        <f>O179</f>
        <v>Vendors are organized by:</v>
      </c>
      <c r="B13" s="731"/>
      <c r="C13" s="732"/>
      <c r="D13" s="445" t="str">
        <f ca="1">INDEX($O$180:$O$219,RANDBETWEEN(1,10))</f>
        <v>Raw materials and commodities on one half of the market, finished products on the other half.</v>
      </c>
      <c r="E13" s="445"/>
      <c r="F13" s="445"/>
      <c r="G13" s="446"/>
      <c r="H13" s="20"/>
      <c r="I13" s="20"/>
      <c r="J13" s="186"/>
      <c r="K13" s="186"/>
      <c r="L13" s="186"/>
      <c r="M13" s="186"/>
      <c r="N13" s="186"/>
      <c r="O13" s="186"/>
      <c r="P13" s="186"/>
      <c r="Q13" s="186"/>
      <c r="R13" s="186"/>
      <c r="S13" s="186"/>
      <c r="T13" s="186"/>
      <c r="U13" s="186"/>
      <c r="V13" s="186"/>
      <c r="W13" s="186"/>
      <c r="X13" s="221"/>
    </row>
    <row r="14" spans="1:24" ht="18.75" customHeight="1" thickBot="1">
      <c r="A14" s="20"/>
      <c r="B14" s="20"/>
      <c r="C14" s="20"/>
      <c r="D14" s="20"/>
      <c r="E14" s="20"/>
      <c r="F14" s="20"/>
      <c r="G14" s="20"/>
      <c r="H14" s="20"/>
      <c r="I14" s="20"/>
      <c r="J14" s="20"/>
      <c r="K14" s="20"/>
      <c r="L14" s="20"/>
      <c r="M14" s="20"/>
      <c r="N14" s="688" t="s">
        <v>6229</v>
      </c>
      <c r="O14" s="689"/>
      <c r="P14" s="689"/>
      <c r="Q14" s="689"/>
      <c r="R14" s="689"/>
      <c r="S14" s="689"/>
      <c r="T14" s="689"/>
      <c r="U14" s="689"/>
      <c r="V14" s="689"/>
      <c r="W14" s="690"/>
      <c r="X14" s="221"/>
    </row>
    <row r="15" spans="1:24" ht="45" customHeight="1">
      <c r="A15" s="779" t="s">
        <v>5299</v>
      </c>
      <c r="B15" s="780"/>
      <c r="C15" s="780"/>
      <c r="D15" s="780"/>
      <c r="E15" s="780"/>
      <c r="F15" s="780"/>
      <c r="G15" s="781"/>
      <c r="H15" s="20"/>
      <c r="I15" s="809" t="s">
        <v>5300</v>
      </c>
      <c r="J15" s="810"/>
      <c r="K15" s="810"/>
      <c r="L15" s="811"/>
      <c r="M15" s="20"/>
      <c r="N15" s="363" t="str">
        <f ca="1">IF(RAND()&lt;$L$21,VLOOKUP(RANDBETWEEN(1,20),Table,6)&amp;" "&amp;INDEX('Source Data'!$G$5:$G$24,RANDBETWEEN(1,20)),"")</f>
        <v>Exotic  Harbor district</v>
      </c>
      <c r="O15" s="364" t="str">
        <f ca="1">IF(AND(N15&lt;&gt;"",P15&lt;&gt;""),INDEX('Source Data'!$D$28:$D$227,RANDBETWEEN(1,200)),"")</f>
        <v/>
      </c>
      <c r="P15" s="581" t="str">
        <f ca="1">IF(RAND()&lt;$L$21,VLOOKUP(RANDBETWEEN(1,20),Table,6)&amp;" "&amp;INDEX('Source Data'!$G$5:$G$24,RANDBETWEEN(1,20)),"")</f>
        <v/>
      </c>
      <c r="Q15" s="581"/>
      <c r="R15" s="364" t="str">
        <f ca="1">IF(AND(P15&lt;&gt;"",S15&lt;&gt;""),INDEX('Source Data'!$D$28:$D$227,RANDBETWEEN(1,200)),"")</f>
        <v/>
      </c>
      <c r="S15" s="365" t="str">
        <f ca="1">IF(RAND()&lt;$L$21,VLOOKUP(RANDBETWEEN(1,20),Table,6)&amp;" "&amp;INDEX('Source Data'!$G$5:$G$24,RANDBETWEEN(1,20)),"")</f>
        <v/>
      </c>
      <c r="T15" s="364" t="str">
        <f ca="1">IF(AND(S15&lt;&gt;"",U15&lt;&gt;""),INDEX('Source Data'!$D$28:$D$227,RANDBETWEEN(1,200)),"")</f>
        <v/>
      </c>
      <c r="U15" s="365" t="str">
        <f ca="1">IF(RAND()&lt;$L$21,VLOOKUP(RANDBETWEEN(1,20),Table,6)&amp;" "&amp;INDEX('Source Data'!$G$5:$G$24,RANDBETWEEN(1,20)),"")</f>
        <v>Waterfront  Military district</v>
      </c>
      <c r="V15" s="364" t="str">
        <f ca="1">IF(AND(U15&lt;&gt;"",W15&lt;&gt;""),INDEX('Source Data'!$D$28:$D$227,RANDBETWEEN(1,200)),"")</f>
        <v>Delta Passage</v>
      </c>
      <c r="W15" s="354" t="str">
        <f ca="1">IF(RAND()&lt;$L$21,VLOOKUP(RANDBETWEEN(1,20),Table,6)&amp;" "&amp;INDEX('Source Data'!$G$5:$G$24,RANDBETWEEN(1,20)),"")</f>
        <v>Hidden  Market district</v>
      </c>
      <c r="X15" s="221"/>
    </row>
    <row r="16" spans="1:24" ht="35.1" customHeight="1">
      <c r="A16" s="411" t="str">
        <f>$CJ$179</f>
        <v>The Watch's Colors are:</v>
      </c>
      <c r="B16" s="412"/>
      <c r="C16" s="412"/>
      <c r="D16" s="721" t="str">
        <f ca="1">INDEX($CJ$180:$CJ$191,RANDBETWEEN(1,12))</f>
        <v xml:space="preserve"> Dark brown / chocolate.</v>
      </c>
      <c r="E16" s="721"/>
      <c r="F16" s="721"/>
      <c r="G16" s="722"/>
      <c r="H16" s="20"/>
      <c r="I16" s="777" t="str">
        <f>$CS$179</f>
        <v>The Constable is:</v>
      </c>
      <c r="J16" s="778"/>
      <c r="K16" s="783" t="str">
        <f ca="1">INDEX($CS$180:$CS$191,RANDBETWEEN(1,10))</f>
        <v>A criminal lackey.</v>
      </c>
      <c r="L16" s="768"/>
      <c r="M16" s="20"/>
      <c r="N16" s="362" t="str">
        <f ca="1">IF(AND(N15&lt;&gt;"",N17&lt;&gt;""),INDEX('Source Data'!$D$28:$D$227,RANDBETWEEN(1,200)),"")</f>
        <v>Saffron Row</v>
      </c>
      <c r="O16" s="356" t="str">
        <f ca="1">IF(AND(P15&lt;&gt;"",N17&lt;&gt;"",N15="",P17=""),INDEX('Source Data'!$D$28:$D$227,RANDBETWEEN(1,200)),IF(AND(N15&lt;&gt;"",P17&lt;&gt;"",N17="",P15=""),INDEX('Source Data'!$D$28:$D$227,RANDBETWEEN(1,200)),""))</f>
        <v/>
      </c>
      <c r="P16" s="540" t="str">
        <f ca="1">IF(AND(P15&lt;&gt;"",P17&lt;&gt;""),INDEX('Source Data'!$D$28:$D$227,RANDBETWEEN(1,200)),"")</f>
        <v/>
      </c>
      <c r="Q16" s="540"/>
      <c r="R16" s="356" t="str">
        <f ca="1">IF(AND(S15&lt;&gt;"",P17&lt;&gt;"",P15="",S17=""),INDEX('Source Data'!$D$28:$D$227,RANDBETWEEN(1,200)),IF(AND(P15&lt;&gt;"",S17&lt;&gt;"",P17="",S15=""),INDEX('Source Data'!$D$28:$D$227,RANDBETWEEN(1,200)),""))</f>
        <v/>
      </c>
      <c r="S16" s="355" t="str">
        <f ca="1">IF(AND(S15&lt;&gt;"",S17&lt;&gt;""),INDEX('Source Data'!$D$28:$D$227,RANDBETWEEN(1,200)),"")</f>
        <v/>
      </c>
      <c r="T16" s="356" t="str">
        <f ca="1">IF(AND(U15&lt;&gt;"",S17&lt;&gt;"",S15="",U17=""),INDEX('Source Data'!$D$28:$D$227,RANDBETWEEN(1,200)),IF(AND(S15&lt;&gt;"",U17&lt;&gt;"",S17="",U15=""),INDEX('Source Data'!$D$28:$D$227,RANDBETWEEN(1,200)),""))</f>
        <v>Palm Avenue</v>
      </c>
      <c r="U16" s="355" t="str">
        <f ca="1">IF(AND(U15&lt;&gt;"",U17&lt;&gt;""),INDEX('Source Data'!$D$28:$D$227,RANDBETWEEN(1,200)),"")</f>
        <v/>
      </c>
      <c r="V16" s="356" t="str">
        <f ca="1">IF(AND(W15&lt;&gt;"",U17&lt;&gt;"",U15="",W17=""),INDEX('Source Data'!$D$28:$D$227,RANDBETWEEN(1,200)),IF(AND(U15&lt;&gt;"",W17&lt;&gt;"",U17="",W15=""),INDEX('Source Data'!$D$28:$D$227,RANDBETWEEN(1,200)),""))</f>
        <v/>
      </c>
      <c r="W16" s="352" t="str">
        <f ca="1">IF(AND(W15&lt;&gt;"",W17&lt;&gt;""),INDEX('Source Data'!$D$28:$D$227,RANDBETWEEN(1,200)),"")</f>
        <v>Delta Street</v>
      </c>
      <c r="X16" s="221"/>
    </row>
    <row r="17" spans="1:24" ht="45" customHeight="1">
      <c r="A17" s="411" t="str">
        <f>$CK$179</f>
        <v>The Watch's symbol is:</v>
      </c>
      <c r="B17" s="412"/>
      <c r="C17" s="412"/>
      <c r="D17" s="721" t="str">
        <f ca="1">INDEX($CK$180:$CK$191,RANDBETWEEN(1,12))</f>
        <v>A flame.</v>
      </c>
      <c r="E17" s="721"/>
      <c r="F17" s="721"/>
      <c r="G17" s="722"/>
      <c r="H17" s="20"/>
      <c r="I17" s="777" t="str">
        <f>$CT$179</f>
        <v>The Constable works for:</v>
      </c>
      <c r="J17" s="778"/>
      <c r="K17" s="783" t="str">
        <f ca="1">INDEX($CT$180:$CT$191,RANDBETWEEN(1,6))</f>
        <v>Gold to support his addiction</v>
      </c>
      <c r="L17" s="768"/>
      <c r="M17" s="20"/>
      <c r="N17" s="357" t="str">
        <f ca="1">IF(RAND()&lt;$L$21,VLOOKUP(RANDBETWEEN(1,20),Table,6)&amp;" "&amp;INDEX('Source Data'!$G$5:$G$24,RANDBETWEEN(1,20)),"")</f>
        <v>Waterfront Crafting district</v>
      </c>
      <c r="O17" s="355" t="str">
        <f ca="1">IF(AND(N17&lt;&gt;"",P17&lt;&gt;""),INDEX('Source Data'!$D$28:$D$227,RANDBETWEEN(1,200)),"")</f>
        <v>Honor Street</v>
      </c>
      <c r="P17" s="541" t="str">
        <f ca="1">IF(RAND()&lt;$L$21,VLOOKUP(RANDBETWEEN(1,20),Table,6)&amp;" "&amp;INDEX('Source Data'!$G$5:$G$24,RANDBETWEEN(1,20)),"")</f>
        <v>Noisy Residential district, middle class</v>
      </c>
      <c r="Q17" s="541"/>
      <c r="R17" s="355" t="str">
        <f ca="1">IF(AND(P17&lt;&gt;"",S17&lt;&gt;""),INDEX('Source Data'!$D$28:$D$227,RANDBETWEEN(1,200)),"")</f>
        <v>River Avenue</v>
      </c>
      <c r="S17" s="360" t="str">
        <f ca="1">IF(RAND()&lt;$L$21,VLOOKUP(RANDBETWEEN(1,20),Table,6)&amp;" "&amp;INDEX('Source Data'!$G$5:$G$24,RANDBETWEEN(1,20)),"")</f>
        <v>Peaceful Temple district</v>
      </c>
      <c r="T17" s="355" t="str">
        <f ca="1">IF(AND(S17&lt;&gt;"",U17&lt;&gt;""),INDEX('Source Data'!$D$28:$D$227,RANDBETWEEN(1,200)),"")</f>
        <v/>
      </c>
      <c r="U17" s="360" t="str">
        <f ca="1">IF(RAND()&lt;$L$21,VLOOKUP(RANDBETWEEN(1,20),Table,6)&amp;" "&amp;INDEX('Source Data'!$G$5:$G$24,RANDBETWEEN(1,20)),"")</f>
        <v/>
      </c>
      <c r="V17" s="355" t="str">
        <f ca="1">IF(AND(U17&lt;&gt;"",W17&lt;&gt;""),INDEX('Source Data'!$D$28:$D$227,RANDBETWEEN(1,200)),"")</f>
        <v/>
      </c>
      <c r="W17" s="351" t="str">
        <f ca="1">IF(RAND()&lt;$L$21,VLOOKUP(RANDBETWEEN(1,20),Table,6)&amp;" "&amp;INDEX('Source Data'!$G$5:$G$24,RANDBETWEEN(1,20)),"")</f>
        <v>Illegal  Ethnic enclave</v>
      </c>
      <c r="X17" s="221"/>
    </row>
    <row r="18" spans="1:24" ht="35.1" customHeight="1">
      <c r="A18" s="411" t="str">
        <f>$CL$179</f>
        <v>The Watch's Captain is:</v>
      </c>
      <c r="B18" s="412"/>
      <c r="C18" s="412"/>
      <c r="D18" s="721" t="str">
        <f ca="1">INDEX($CL$180:$CL$191,RANDBETWEEN(1,12))</f>
        <v xml:space="preserve"> An erudite detective.</v>
      </c>
      <c r="E18" s="721"/>
      <c r="F18" s="721"/>
      <c r="G18" s="722"/>
      <c r="H18" s="20"/>
      <c r="I18" s="777" t="str">
        <f>$CU$179</f>
        <v>On the Constables face is:</v>
      </c>
      <c r="J18" s="778"/>
      <c r="K18" s="783" t="str">
        <f ca="1">INDEX($CU$180:$CU$191,RANDBETWEEN(1,12))</f>
        <v>A faraway look.</v>
      </c>
      <c r="L18" s="768"/>
      <c r="M18" s="20"/>
      <c r="N18" s="362" t="str">
        <f ca="1">IF(AND(N17&lt;&gt;"",N19&lt;&gt;""),INDEX('Source Data'!$D$28:$D$227,RANDBETWEEN(1,200)),"")</f>
        <v>Polygon Street</v>
      </c>
      <c r="O18" s="356" t="str">
        <f ca="1">IF(AND(P17&lt;&gt;"",N19&lt;&gt;"",N17="",P19=""),INDEX('Source Data'!$D$28:$D$227,RANDBETWEEN(1,200)),IF(AND(N17&lt;&gt;"",P19&lt;&gt;"",N19="",P17=""),INDEX('Source Data'!$D$28:$D$227,RANDBETWEEN(1,200)),""))</f>
        <v/>
      </c>
      <c r="P18" s="540" t="str">
        <f ca="1">IF(AND(P17&lt;&gt;"",P19&lt;&gt;""),INDEX('Source Data'!$D$28:$D$227,RANDBETWEEN(1,200)),"")</f>
        <v/>
      </c>
      <c r="Q18" s="540"/>
      <c r="R18" s="356" t="str">
        <f ca="1">IF(AND(S17&lt;&gt;"",P19&lt;&gt;"",P17="",S19=""),INDEX('Source Data'!$D$28:$D$227,RANDBETWEEN(1,200)),IF(AND(P17&lt;&gt;"",S19&lt;&gt;"",P19="",S17=""),INDEX('Source Data'!$D$28:$D$227,RANDBETWEEN(1,200)),""))</f>
        <v/>
      </c>
      <c r="S18" s="355" t="str">
        <f ca="1">IF(AND(S17&lt;&gt;"",S19&lt;&gt;""),INDEX('Source Data'!$D$28:$D$227,RANDBETWEEN(1,200)),"")</f>
        <v>Bard Street</v>
      </c>
      <c r="T18" s="356" t="str">
        <f ca="1">IF(AND(U17&lt;&gt;"",S19&lt;&gt;"",S17="",U19=""),INDEX('Source Data'!$D$28:$D$227,RANDBETWEEN(1,200)),IF(AND(S17&lt;&gt;"",U19&lt;&gt;"",S19="",U17=""),INDEX('Source Data'!$D$28:$D$227,RANDBETWEEN(1,200)),""))</f>
        <v/>
      </c>
      <c r="U18" s="355" t="str">
        <f ca="1">IF(AND(U17&lt;&gt;"",U19&lt;&gt;""),INDEX('Source Data'!$D$28:$D$227,RANDBETWEEN(1,200)),"")</f>
        <v/>
      </c>
      <c r="V18" s="356" t="str">
        <f ca="1">IF(AND(W17&lt;&gt;"",U19&lt;&gt;"",U17="",W19=""),INDEX('Source Data'!$D$28:$D$227,RANDBETWEEN(1,200)),IF(AND(U17&lt;&gt;"",W19&lt;&gt;"",U19="",W17=""),INDEX('Source Data'!$D$28:$D$227,RANDBETWEEN(1,200)),""))</f>
        <v/>
      </c>
      <c r="W18" s="352" t="str">
        <f ca="1">IF(AND(W17&lt;&gt;"",W19&lt;&gt;""),INDEX('Source Data'!$D$28:$D$227,RANDBETWEEN(1,200)),"")</f>
        <v>Chestnut Way</v>
      </c>
      <c r="X18" s="221"/>
    </row>
    <row r="19" spans="1:24" ht="45" customHeight="1" thickBot="1">
      <c r="A19" s="411" t="str">
        <f>$CM$179</f>
        <v>The Watch's Attitude towards their Captain is:</v>
      </c>
      <c r="B19" s="412"/>
      <c r="C19" s="412"/>
      <c r="D19" s="721" t="str">
        <f ca="1">INDEX($CM$180:$CM$191,RANDBETWEEN(1,6))</f>
        <v xml:space="preserve"> Disappointed and disrespectful.</v>
      </c>
      <c r="E19" s="721"/>
      <c r="F19" s="721"/>
      <c r="G19" s="722"/>
      <c r="H19" s="20"/>
      <c r="I19" s="775" t="str">
        <f>$CV$179</f>
        <v>The Constable Carries</v>
      </c>
      <c r="J19" s="776"/>
      <c r="K19" s="782" t="str">
        <f ca="1">INDEX($CV$180:$CV$191,RANDBETWEEN(1,10))</f>
        <v xml:space="preserve"> A pocket-sized almanac.</v>
      </c>
      <c r="L19" s="765"/>
      <c r="M19" s="20"/>
      <c r="N19" s="357" t="str">
        <f ca="1">IF(RAND()&lt;$L$21,VLOOKUP(RANDBETWEEN(1,20),Table,6)&amp;" "&amp;INDEX('Source Data'!$G$5:$G$24,RANDBETWEEN(1,20)),"")</f>
        <v>Imposing  Necropolis</v>
      </c>
      <c r="O19" s="355" t="str">
        <f ca="1">IF(AND(N19&lt;&gt;"",P19&lt;&gt;""),INDEX('Source Data'!$D$28:$D$227,RANDBETWEEN(1,200)),"")</f>
        <v/>
      </c>
      <c r="P19" s="541" t="str">
        <f ca="1">IF(RAND()&lt;$L$21,VLOOKUP(RANDBETWEEN(1,20),Table,6)&amp;" "&amp;INDEX('Source Data'!$G$5:$G$24,RANDBETWEEN(1,20)),"")</f>
        <v/>
      </c>
      <c r="Q19" s="541"/>
      <c r="R19" s="355" t="str">
        <f ca="1">IF(AND(P19&lt;&gt;"",S19&lt;&gt;""),INDEX('Source Data'!$D$28:$D$227,RANDBETWEEN(1,200)),"")</f>
        <v/>
      </c>
      <c r="S19" s="360" t="str">
        <f ca="1">IF(RAND()&lt;$L$21,VLOOKUP(RANDBETWEEN(1,20),Table,6)&amp;" "&amp;INDEX('Source Data'!$G$5:$G$24,RANDBETWEEN(1,20)),"")</f>
        <v>Peaceful  Military district</v>
      </c>
      <c r="T19" s="355" t="str">
        <f ca="1">IF(AND(S19&lt;&gt;"",U19&lt;&gt;""),INDEX('Source Data'!$D$28:$D$227,RANDBETWEEN(1,200)),"")</f>
        <v/>
      </c>
      <c r="U19" s="360" t="str">
        <f ca="1">IF(RAND()&lt;$L$21,VLOOKUP(RANDBETWEEN(1,20),Table,6)&amp;" "&amp;INDEX('Source Data'!$G$5:$G$24,RANDBETWEEN(1,20)),"")</f>
        <v/>
      </c>
      <c r="V19" s="355" t="str">
        <f ca="1">IF(AND(U19&lt;&gt;"",W19&lt;&gt;""),INDEX('Source Data'!$D$28:$D$227,RANDBETWEEN(1,200)),"")</f>
        <v/>
      </c>
      <c r="W19" s="351" t="str">
        <f ca="1">IF(RAND()&lt;$L$21,VLOOKUP(RANDBETWEEN(1,20),Table,6)&amp;" "&amp;INDEX('Source Data'!$G$5:$G$24,RANDBETWEEN(1,20)),"")</f>
        <v>Relaxed  Market district</v>
      </c>
      <c r="X19" s="221"/>
    </row>
    <row r="20" spans="1:24" ht="35.1" customHeight="1" thickBot="1">
      <c r="A20" s="411" t="str">
        <f>$CN$179</f>
        <v>The Watch has a Reputation for:</v>
      </c>
      <c r="B20" s="412"/>
      <c r="C20" s="412"/>
      <c r="D20" s="721" t="str">
        <f ca="1">INDEX($CN$180:$CN$191,RANDBETWEEN(1,10))</f>
        <v>Frequenting brothels.</v>
      </c>
      <c r="E20" s="721"/>
      <c r="F20" s="721"/>
      <c r="G20" s="722"/>
      <c r="H20" s="20"/>
      <c r="I20" s="20"/>
      <c r="J20" s="20"/>
      <c r="K20" s="20"/>
      <c r="L20" s="20"/>
      <c r="M20" s="20"/>
      <c r="N20" s="362" t="str">
        <f ca="1">IF(AND(N19&lt;&gt;"",N21&lt;&gt;""),INDEX('Source Data'!$D$28:$D$227,RANDBETWEEN(1,200)),"")</f>
        <v>Snowflake Avenue</v>
      </c>
      <c r="O20" s="356" t="str">
        <f ca="1">IF(AND(P19&lt;&gt;"",N21&lt;&gt;"",N19="",P21=""),INDEX('Source Data'!$D$28:$D$227,RANDBETWEEN(1,200)),IF(AND(N19&lt;&gt;"",P21&lt;&gt;"",N21="",P19=""),INDEX('Source Data'!$D$28:$D$227,RANDBETWEEN(1,200)),""))</f>
        <v/>
      </c>
      <c r="P20" s="540" t="str">
        <f ca="1">IF(AND(P19&lt;&gt;"",P21&lt;&gt;""),INDEX('Source Data'!$D$28:$D$227,RANDBETWEEN(1,200)),"")</f>
        <v/>
      </c>
      <c r="Q20" s="540"/>
      <c r="R20" s="356" t="str">
        <f ca="1">IF(AND(S19&lt;&gt;"",P21&lt;&gt;"",P19="",S21=""),INDEX('Source Data'!$D$28:$D$227,RANDBETWEEN(1,200)),IF(AND(P19&lt;&gt;"",S21&lt;&gt;"",P21="",S19=""),INDEX('Source Data'!$D$28:$D$227,RANDBETWEEN(1,200)),""))</f>
        <v>Museum Street</v>
      </c>
      <c r="S20" s="355" t="str">
        <f ca="1">IF(AND(S19&lt;&gt;"",S21&lt;&gt;""),INDEX('Source Data'!$D$28:$D$227,RANDBETWEEN(1,200)),"")</f>
        <v/>
      </c>
      <c r="T20" s="356" t="str">
        <f ca="1">IF(AND(U19&lt;&gt;"",S21&lt;&gt;"",S19="",U21=""),INDEX('Source Data'!$D$28:$D$227,RANDBETWEEN(1,200)),IF(AND(S19&lt;&gt;"",U21&lt;&gt;"",S21="",U19=""),INDEX('Source Data'!$D$28:$D$227,RANDBETWEEN(1,200)),""))</f>
        <v>Ranger Way</v>
      </c>
      <c r="U20" s="355" t="str">
        <f ca="1">IF(AND(U19&lt;&gt;"",U21&lt;&gt;""),INDEX('Source Data'!$D$28:$D$227,RANDBETWEEN(1,200)),"")</f>
        <v/>
      </c>
      <c r="V20" s="356" t="str">
        <f ca="1">IF(AND(W19&lt;&gt;"",U21&lt;&gt;"",U19="",W21=""),INDEX('Source Data'!$D$28:$D$227,RANDBETWEEN(1,200)),IF(AND(U19&lt;&gt;"",W21&lt;&gt;"",U21="",W19=""),INDEX('Source Data'!$D$28:$D$227,RANDBETWEEN(1,200)),""))</f>
        <v/>
      </c>
      <c r="W20" s="352" t="str">
        <f ca="1">IF(AND(W19&lt;&gt;"",W21&lt;&gt;""),INDEX('Source Data'!$D$28:$D$227,RANDBETWEEN(1,200)),"")</f>
        <v>Justice Boulevard</v>
      </c>
      <c r="X20" s="221"/>
    </row>
    <row r="21" spans="1:24" ht="35.1" customHeight="1" thickBot="1">
      <c r="A21" s="411" t="str">
        <f>$CO$179</f>
        <v>The Watch is outfitted with:</v>
      </c>
      <c r="B21" s="412"/>
      <c r="C21" s="412"/>
      <c r="D21" s="721" t="str">
        <f ca="1">INDEX($CO$180:$CO$191,RANDBETWEEN(1,6))</f>
        <v>Whatever armor they can find.</v>
      </c>
      <c r="E21" s="721"/>
      <c r="F21" s="721"/>
      <c r="G21" s="722"/>
      <c r="H21" s="20"/>
      <c r="I21" s="20"/>
      <c r="J21" s="20"/>
      <c r="K21" s="368" t="s">
        <v>7312</v>
      </c>
      <c r="L21" s="367">
        <v>0.7</v>
      </c>
      <c r="M21" s="20"/>
      <c r="N21" s="357" t="str">
        <f ca="1">IF(RAND()&lt;$L$21,VLOOKUP(RANDBETWEEN(1,20),Table,6)&amp;" "&amp;INDEX('Source Data'!$G$5:$G$24,RANDBETWEEN(1,20)),"")</f>
        <v>Rat-Infested  Foreign enclave</v>
      </c>
      <c r="O21" s="355" t="str">
        <f ca="1">IF(AND(N21&lt;&gt;"",P21&lt;&gt;""),INDEX('Source Data'!$D$28:$D$227,RANDBETWEEN(1,200)),"")</f>
        <v>Heirloom Route</v>
      </c>
      <c r="P21" s="541" t="str">
        <f ca="1">IF(RAND()&lt;$L$21,VLOOKUP(RANDBETWEEN(1,20),Table,6)&amp;" "&amp;INDEX('Source Data'!$G$5:$G$24,RANDBETWEEN(1,20)),"")</f>
        <v>Peaceful Slums</v>
      </c>
      <c r="Q21" s="541"/>
      <c r="R21" s="355" t="str">
        <f ca="1">IF(AND(P21&lt;&gt;"",S21&lt;&gt;""),INDEX('Source Data'!$D$28:$D$227,RANDBETWEEN(1,200)),"")</f>
        <v/>
      </c>
      <c r="S21" s="360" t="str">
        <f ca="1">IF(RAND()&lt;$L$21,VLOOKUP(RANDBETWEEN(1,20),Table,6)&amp;" "&amp;INDEX('Source Data'!$G$5:$G$24,RANDBETWEEN(1,20)),"")</f>
        <v/>
      </c>
      <c r="T21" s="355" t="str">
        <f ca="1">IF(AND(S21&lt;&gt;"",U21&lt;&gt;""),INDEX('Source Data'!$D$28:$D$227,RANDBETWEEN(1,200)),"")</f>
        <v/>
      </c>
      <c r="U21" s="360" t="str">
        <f ca="1">IF(RAND()&lt;$L$21,VLOOKUP(RANDBETWEEN(1,20),Table,6)&amp;" "&amp;INDEX('Source Data'!$G$5:$G$24,RANDBETWEEN(1,20)),"")</f>
        <v>Illegal  Monument district</v>
      </c>
      <c r="V21" s="355" t="str">
        <f ca="1">IF(AND(U21&lt;&gt;"",W21&lt;&gt;""),INDEX('Source Data'!$D$28:$D$227,RANDBETWEEN(1,200)),"")</f>
        <v>Serenity Passage</v>
      </c>
      <c r="W21" s="351" t="str">
        <f ca="1">IF(RAND()&lt;$L$21,VLOOKUP(RANDBETWEEN(1,20),Table,6)&amp;" "&amp;INDEX('Source Data'!$G$5:$G$24,RANDBETWEEN(1,20)),"")</f>
        <v>Imposing  Military district</v>
      </c>
      <c r="X21" s="221"/>
    </row>
    <row r="22" spans="1:24" ht="35.1" customHeight="1" thickBot="1">
      <c r="A22" s="409" t="str">
        <f>$CP$179</f>
        <v>Members of the Watch carry:</v>
      </c>
      <c r="B22" s="410"/>
      <c r="C22" s="410"/>
      <c r="D22" s="723" t="str">
        <f ca="1">INDEX($CP$180:$CP$191,RANDBETWEEN(1,10))</f>
        <v>Longswords and shields.</v>
      </c>
      <c r="E22" s="723"/>
      <c r="F22" s="723"/>
      <c r="G22" s="724"/>
      <c r="H22" s="20"/>
      <c r="I22" s="20"/>
      <c r="J22" s="20"/>
      <c r="K22" s="20"/>
      <c r="L22" s="20"/>
      <c r="M22" s="20"/>
      <c r="N22" s="362" t="str">
        <f ca="1">IF(AND(N21&lt;&gt;"",N23&lt;&gt;""),INDEX('Source Data'!$D$28:$D$227,RANDBETWEEN(1,200)),"")</f>
        <v/>
      </c>
      <c r="O22" s="356" t="str">
        <f ca="1">IF(AND(P21&lt;&gt;"",N23&lt;&gt;"",N21="",P23=""),INDEX('Source Data'!$D$28:$D$227,RANDBETWEEN(1,200)),IF(AND(N21&lt;&gt;"",P23&lt;&gt;"",N23="",P21=""),INDEX('Source Data'!$D$28:$D$227,RANDBETWEEN(1,200)),""))</f>
        <v/>
      </c>
      <c r="P22" s="540" t="str">
        <f ca="1">IF(AND(P21&lt;&gt;"",P23&lt;&gt;""),INDEX('Source Data'!$D$28:$D$227,RANDBETWEEN(1,200)),"")</f>
        <v/>
      </c>
      <c r="Q22" s="540"/>
      <c r="R22" s="356" t="str">
        <f ca="1">IF(AND(S21&lt;&gt;"",P23&lt;&gt;"",P21="",S23=""),INDEX('Source Data'!$D$28:$D$227,RANDBETWEEN(1,200)),IF(AND(P21&lt;&gt;"",S23&lt;&gt;"",P23="",S21=""),INDEX('Source Data'!$D$28:$D$227,RANDBETWEEN(1,200)),""))</f>
        <v>Bay Avenue</v>
      </c>
      <c r="S22" s="355" t="str">
        <f ca="1">IF(AND(S21&lt;&gt;"",S23&lt;&gt;""),INDEX('Source Data'!$D$28:$D$227,RANDBETWEEN(1,200)),"")</f>
        <v/>
      </c>
      <c r="T22" s="356" t="str">
        <f ca="1">IF(AND(U21&lt;&gt;"",S23&lt;&gt;"",S21="",U23=""),INDEX('Source Data'!$D$28:$D$227,RANDBETWEEN(1,200)),IF(AND(S21&lt;&gt;"",U23&lt;&gt;"",S23="",U21=""),INDEX('Source Data'!$D$28:$D$227,RANDBETWEEN(1,200)),""))</f>
        <v/>
      </c>
      <c r="U22" s="355" t="str">
        <f ca="1">IF(AND(U21&lt;&gt;"",U23&lt;&gt;""),INDEX('Source Data'!$D$28:$D$227,RANDBETWEEN(1,200)),"")</f>
        <v>Gray Passage</v>
      </c>
      <c r="V22" s="356" t="str">
        <f ca="1">IF(AND(W21&lt;&gt;"",U23&lt;&gt;"",U21="",W23=""),INDEX('Source Data'!$D$28:$D$227,RANDBETWEEN(1,200)),IF(AND(U21&lt;&gt;"",W23&lt;&gt;"",U23="",W21=""),INDEX('Source Data'!$D$28:$D$227,RANDBETWEEN(1,200)),""))</f>
        <v/>
      </c>
      <c r="W22" s="352" t="str">
        <f ca="1">IF(AND(W21&lt;&gt;"",W23&lt;&gt;""),INDEX('Source Data'!$D$28:$D$227,RANDBETWEEN(1,200)),"")</f>
        <v>Bard Street</v>
      </c>
      <c r="X22" s="221"/>
    </row>
    <row r="23" spans="1:24" ht="45" customHeight="1" thickBot="1">
      <c r="A23" s="20"/>
      <c r="B23" s="20"/>
      <c r="C23" s="20"/>
      <c r="D23" s="20"/>
      <c r="E23" s="20"/>
      <c r="F23" s="20"/>
      <c r="G23" s="20"/>
      <c r="H23" s="20"/>
      <c r="I23" s="20"/>
      <c r="J23" s="20"/>
      <c r="K23" s="20"/>
      <c r="L23" s="20"/>
      <c r="M23" s="20"/>
      <c r="N23" s="358" t="str">
        <f ca="1">IF(RAND()&lt;$L$21,VLOOKUP(RANDBETWEEN(1,20),Table,6)&amp;" "&amp;INDEX('Source Data'!$G$5:$G$24,RANDBETWEEN(1,20)),"")</f>
        <v/>
      </c>
      <c r="O23" s="359" t="str">
        <f ca="1">IF(AND(N23&lt;&gt;"",P23&lt;&gt;""),INDEX('Source Data'!$D$28:$D$227,RANDBETWEEN(1,200)),"")</f>
        <v/>
      </c>
      <c r="P23" s="590" t="str">
        <f ca="1">IF(RAND()&lt;$L$21,VLOOKUP(RANDBETWEEN(1,20),Table,6)&amp;" "&amp;INDEX('Source Data'!$G$5:$G$24,RANDBETWEEN(1,20)),"")</f>
        <v/>
      </c>
      <c r="Q23" s="590"/>
      <c r="R23" s="359" t="str">
        <f ca="1">IF(AND(P23&lt;&gt;"",S23&lt;&gt;""),INDEX('Source Data'!$D$28:$D$227,RANDBETWEEN(1,200)),"")</f>
        <v/>
      </c>
      <c r="S23" s="361" t="str">
        <f ca="1">IF(RAND()&lt;$L$21,VLOOKUP(RANDBETWEEN(1,20),Table,6)&amp;" "&amp;INDEX('Source Data'!$G$5:$G$24,RANDBETWEEN(1,20)),"")</f>
        <v>Quiet  University district</v>
      </c>
      <c r="T23" s="359" t="str">
        <f ca="1">IF(AND(S23&lt;&gt;"",U23&lt;&gt;""),INDEX('Source Data'!$D$28:$D$227,RANDBETWEEN(1,200)),"")</f>
        <v>Heart Row</v>
      </c>
      <c r="U23" s="361" t="str">
        <f ca="1">IF(RAND()&lt;$L$21,VLOOKUP(RANDBETWEEN(1,20),Table,6)&amp;" "&amp;INDEX('Source Data'!$G$5:$G$24,RANDBETWEEN(1,20)),"")</f>
        <v>Deserted  Monument district</v>
      </c>
      <c r="V23" s="359" t="str">
        <f ca="1">IF(AND(U23&lt;&gt;"",W23&lt;&gt;""),INDEX('Source Data'!$D$28:$D$227,RANDBETWEEN(1,200)),"")</f>
        <v>Long Route</v>
      </c>
      <c r="W23" s="353" t="str">
        <f ca="1">IF(RAND()&lt;$L$21,VLOOKUP(RANDBETWEEN(1,20),Table,6)&amp;" "&amp;INDEX('Source Data'!$G$5:$G$24,RANDBETWEEN(1,20)),"")</f>
        <v>Humble Riverfront district</v>
      </c>
      <c r="X23" s="221"/>
    </row>
    <row r="24" spans="1:24" ht="21.75" thickBot="1">
      <c r="A24" s="600" t="s">
        <v>5051</v>
      </c>
      <c r="B24" s="601"/>
      <c r="C24" s="601"/>
      <c r="D24" s="601"/>
      <c r="E24" s="601"/>
      <c r="F24" s="601"/>
      <c r="G24" s="601"/>
      <c r="H24" s="601"/>
      <c r="I24" s="601"/>
      <c r="J24" s="601"/>
      <c r="K24" s="601"/>
      <c r="L24" s="601"/>
      <c r="M24" s="601"/>
      <c r="N24" s="757"/>
      <c r="O24" s="757"/>
      <c r="P24" s="757"/>
      <c r="Q24" s="757"/>
      <c r="R24" s="757"/>
      <c r="S24" s="757"/>
      <c r="T24" s="757"/>
      <c r="U24" s="757"/>
      <c r="V24" s="757"/>
      <c r="W24" s="757"/>
      <c r="X24" s="729"/>
    </row>
    <row r="25" spans="1:24" ht="30" customHeight="1">
      <c r="A25" s="755" t="str">
        <f>$BF$179</f>
        <v>This is a Guild for:</v>
      </c>
      <c r="B25" s="756"/>
      <c r="C25" s="756"/>
      <c r="D25" s="751" t="str">
        <f ca="1">INDEX($BF$180:$BF$199,RANDBETWEEN(1,20))</f>
        <v xml:space="preserve"> Locksmiths and nailsmiths.</v>
      </c>
      <c r="E25" s="751"/>
      <c r="F25" s="751"/>
      <c r="G25" s="752"/>
      <c r="H25" s="20"/>
      <c r="I25" s="755" t="str">
        <f>$BF$179</f>
        <v>This is a Guild for:</v>
      </c>
      <c r="J25" s="756"/>
      <c r="K25" s="756"/>
      <c r="L25" s="751" t="str">
        <f ca="1">INDEX($BF$180:$BF$199,RANDBETWEEN(1,20))</f>
        <v>Fools, entertainers, and players.</v>
      </c>
      <c r="M25" s="751"/>
      <c r="N25" s="751"/>
      <c r="O25" s="752"/>
      <c r="P25" s="20"/>
      <c r="Q25" s="755" t="str">
        <f>$BF$179</f>
        <v>This is a Guild for:</v>
      </c>
      <c r="R25" s="756"/>
      <c r="S25" s="756"/>
      <c r="T25" s="751" t="str">
        <f ca="1">INDEX($BF$180:$BF$199,RANDBETWEEN(1,20))</f>
        <v>Barbers and dentists.</v>
      </c>
      <c r="U25" s="751"/>
      <c r="V25" s="751"/>
      <c r="W25" s="752"/>
      <c r="X25" s="220"/>
    </row>
    <row r="26" spans="1:24" ht="30" customHeight="1">
      <c r="A26" s="737" t="str">
        <f>$BG$179</f>
        <v>Guild Status and Control is:</v>
      </c>
      <c r="B26" s="738"/>
      <c r="C26" s="738"/>
      <c r="D26" s="721" t="str">
        <f ca="1">INDEX($BG$180:$BG$199,RANDBETWEEN(1,8))</f>
        <v>Absolute, they have complete dominance in their field.</v>
      </c>
      <c r="E26" s="721"/>
      <c r="F26" s="721"/>
      <c r="G26" s="722"/>
      <c r="H26" s="20"/>
      <c r="I26" s="737" t="str">
        <f>$BG$179</f>
        <v>Guild Status and Control is:</v>
      </c>
      <c r="J26" s="738"/>
      <c r="K26" s="738"/>
      <c r="L26" s="721" t="str">
        <f ca="1">INDEX($BG$180:$BG$199,RANDBETWEEN(1,8))</f>
        <v>Questionable, though they claim to have control, some operators have undermined it.</v>
      </c>
      <c r="M26" s="721"/>
      <c r="N26" s="721"/>
      <c r="O26" s="722"/>
      <c r="P26" s="20"/>
      <c r="Q26" s="737" t="str">
        <f>$BG$179</f>
        <v>Guild Status and Control is:</v>
      </c>
      <c r="R26" s="738"/>
      <c r="S26" s="738"/>
      <c r="T26" s="721" t="str">
        <f ca="1">INDEX($BG$180:$BG$199,RANDBETWEEN(1,8))</f>
        <v>Poor; though once great, this guild has fallen on hard times and is struggling to maintain its power.</v>
      </c>
      <c r="U26" s="721"/>
      <c r="V26" s="721"/>
      <c r="W26" s="722"/>
      <c r="X26" s="220"/>
    </row>
    <row r="27" spans="1:24" ht="30" customHeight="1">
      <c r="A27" s="737" t="str">
        <f>$BH$179</f>
        <v>Guild's illicit affairs comprise:</v>
      </c>
      <c r="B27" s="738"/>
      <c r="C27" s="738"/>
      <c r="D27" s="721" t="str">
        <f ca="1">INDEX($BH$180:$BH$199,RANDBETWEEN(1,8))</f>
        <v>Price floors becoming commonplace, and officials are often bribed in order to overlook some minor illicit activities.</v>
      </c>
      <c r="E27" s="721"/>
      <c r="F27" s="721"/>
      <c r="G27" s="722"/>
      <c r="H27" s="20"/>
      <c r="I27" s="737" t="str">
        <f>$BH$179</f>
        <v>Guild's illicit affairs comprise:</v>
      </c>
      <c r="J27" s="738"/>
      <c r="K27" s="738"/>
      <c r="L27" s="721" t="str">
        <f ca="1">INDEX($BH$180:$BH$199,RANDBETWEEN(1,8))</f>
        <v>Price floors becoming commonplace, and officials are often bribed in order to overlook some minor illicit activities.</v>
      </c>
      <c r="M27" s="721"/>
      <c r="N27" s="721"/>
      <c r="O27" s="722"/>
      <c r="P27" s="20"/>
      <c r="Q27" s="737" t="str">
        <f>$BH$179</f>
        <v>Guild's illicit affairs comprise:</v>
      </c>
      <c r="R27" s="738"/>
      <c r="S27" s="738"/>
      <c r="T27" s="721" t="str">
        <f ca="1">INDEX($BH$180:$BH$199,RANDBETWEEN(1,8))</f>
        <v>Rampant corruption, with large-scale bribery of various city officials and contracts with thieves’ guild and occasionally an assassin.</v>
      </c>
      <c r="U27" s="721"/>
      <c r="V27" s="721"/>
      <c r="W27" s="722"/>
      <c r="X27" s="220"/>
    </row>
    <row r="28" spans="1:24" ht="30" customHeight="1" thickBot="1">
      <c r="A28" s="735" t="str">
        <f>$BI$179</f>
        <v>Guild Headquarters is:</v>
      </c>
      <c r="B28" s="736"/>
      <c r="C28" s="736"/>
      <c r="D28" s="723" t="str">
        <f ca="1">INDEX($BI$180:$BI$199,RANDBETWEEN(1,8))</f>
        <v>A single, thin, and very tall townhouse that leans slightly into the street.</v>
      </c>
      <c r="E28" s="723"/>
      <c r="F28" s="723"/>
      <c r="G28" s="724"/>
      <c r="H28" s="20"/>
      <c r="I28" s="735" t="str">
        <f>$BI$179</f>
        <v>Guild Headquarters is:</v>
      </c>
      <c r="J28" s="736"/>
      <c r="K28" s="736"/>
      <c r="L28" s="723" t="str">
        <f ca="1">INDEX($BI$180:$BI$199,RANDBETWEEN(1,8))</f>
        <v>An open-air pavilion centered in the city's bazaar.</v>
      </c>
      <c r="M28" s="723"/>
      <c r="N28" s="723"/>
      <c r="O28" s="724"/>
      <c r="P28" s="20"/>
      <c r="Q28" s="735" t="str">
        <f>$BI$179</f>
        <v>Guild Headquarters is:</v>
      </c>
      <c r="R28" s="736"/>
      <c r="S28" s="736"/>
      <c r="T28" s="723" t="str">
        <f ca="1">INDEX($BI$180:$BI$199,RANDBETWEEN(1,8))</f>
        <v>A single, thin, and very tall townhouse that leans slightly into the street.</v>
      </c>
      <c r="U28" s="723"/>
      <c r="V28" s="723"/>
      <c r="W28" s="724"/>
      <c r="X28" s="220"/>
    </row>
    <row r="29" spans="1:24" ht="18.75" customHeight="1" thickBot="1">
      <c r="A29" s="20"/>
      <c r="B29" s="20"/>
      <c r="C29" s="20"/>
      <c r="D29" s="20"/>
      <c r="E29" s="20"/>
      <c r="F29" s="20"/>
      <c r="G29" s="20"/>
      <c r="H29" s="20"/>
      <c r="I29" s="20"/>
      <c r="J29" s="20"/>
      <c r="K29" s="20"/>
      <c r="L29" s="20"/>
      <c r="M29" s="20"/>
      <c r="N29" s="20"/>
      <c r="O29" s="20"/>
      <c r="P29" s="20"/>
      <c r="Q29" s="20"/>
      <c r="R29" s="20"/>
      <c r="S29" s="20"/>
      <c r="T29" s="20"/>
      <c r="U29" s="20"/>
      <c r="V29" s="20"/>
      <c r="W29" s="20"/>
      <c r="X29" s="220"/>
    </row>
    <row r="30" spans="1:24" ht="21.75" thickBot="1">
      <c r="A30" s="600" t="s">
        <v>5097</v>
      </c>
      <c r="B30" s="601"/>
      <c r="C30" s="601"/>
      <c r="D30" s="601"/>
      <c r="E30" s="601"/>
      <c r="F30" s="601"/>
      <c r="G30" s="601"/>
      <c r="H30" s="601"/>
      <c r="I30" s="601"/>
      <c r="J30" s="601"/>
      <c r="K30" s="601"/>
      <c r="L30" s="601"/>
      <c r="M30" s="601"/>
      <c r="N30" s="601"/>
      <c r="O30" s="601"/>
      <c r="P30" s="601"/>
      <c r="Q30" s="601"/>
      <c r="R30" s="601"/>
      <c r="S30" s="601"/>
      <c r="T30" s="601"/>
      <c r="U30" s="601"/>
      <c r="V30" s="601"/>
      <c r="W30" s="601"/>
      <c r="X30" s="729"/>
    </row>
    <row r="31" spans="1:24" s="17" customFormat="1" ht="30" customHeight="1">
      <c r="A31" s="742" t="str">
        <f>$BL$179</f>
        <v>The Caravan is:</v>
      </c>
      <c r="B31" s="743"/>
      <c r="C31" s="743"/>
      <c r="D31" s="725" t="str">
        <f ca="1">INDEX($BL$180:$BL$187,RANDBETWEEN(1,6))</f>
        <v>A small train of pack animals.</v>
      </c>
      <c r="E31" s="725"/>
      <c r="F31" s="725"/>
      <c r="G31" s="726"/>
      <c r="H31" s="187"/>
      <c r="I31" s="742" t="str">
        <f>$BL$179</f>
        <v>The Caravan is:</v>
      </c>
      <c r="J31" s="743"/>
      <c r="K31" s="743"/>
      <c r="L31" s="725" t="str">
        <f ca="1">INDEX($BL$180:$BL$187,RANDBETWEEN(1,6))</f>
        <v>A wagon train.</v>
      </c>
      <c r="M31" s="725"/>
      <c r="N31" s="725"/>
      <c r="O31" s="726"/>
      <c r="P31" s="187"/>
      <c r="Q31" s="742" t="str">
        <f>$BL$179</f>
        <v>The Caravan is:</v>
      </c>
      <c r="R31" s="743"/>
      <c r="S31" s="743"/>
      <c r="T31" s="725" t="str">
        <f ca="1">INDEX($BL$180:$BL$187,RANDBETWEEN(1,6))</f>
        <v>A long train of pack animals.</v>
      </c>
      <c r="U31" s="725"/>
      <c r="V31" s="725"/>
      <c r="W31" s="726"/>
      <c r="X31" s="222"/>
    </row>
    <row r="32" spans="1:24" s="17" customFormat="1" ht="30" customHeight="1">
      <c r="A32" s="737" t="str">
        <f>$BM$179</f>
        <v>The Pack animals are:</v>
      </c>
      <c r="B32" s="738"/>
      <c r="C32" s="738"/>
      <c r="D32" s="721" t="str">
        <f ca="1">INDEX($BM$180:$BM$187,RANDBETWEEN(1,6))</f>
        <v>Large draft horses.</v>
      </c>
      <c r="E32" s="721"/>
      <c r="F32" s="721"/>
      <c r="G32" s="722"/>
      <c r="H32" s="187"/>
      <c r="I32" s="737" t="str">
        <f>$BM$179</f>
        <v>The Pack animals are:</v>
      </c>
      <c r="J32" s="738"/>
      <c r="K32" s="738"/>
      <c r="L32" s="721" t="str">
        <f ca="1">INDEX($BM$180:$BM$187,RANDBETWEEN(1,6))</f>
        <v>Mules.</v>
      </c>
      <c r="M32" s="721"/>
      <c r="N32" s="721"/>
      <c r="O32" s="722"/>
      <c r="P32" s="187"/>
      <c r="Q32" s="737" t="str">
        <f>$BM$179</f>
        <v>The Pack animals are:</v>
      </c>
      <c r="R32" s="738"/>
      <c r="S32" s="738"/>
      <c r="T32" s="721" t="str">
        <f ca="1">INDEX($BM$180:$BM$187,RANDBETWEEN(1,6))</f>
        <v>Two-humped camels.</v>
      </c>
      <c r="U32" s="721"/>
      <c r="V32" s="721"/>
      <c r="W32" s="722"/>
      <c r="X32" s="222"/>
    </row>
    <row r="33" spans="1:24" s="17" customFormat="1" ht="30" customHeight="1">
      <c r="A33" s="737" t="str">
        <f>$BN$179</f>
        <v>The caravan is transporting:</v>
      </c>
      <c r="B33" s="738"/>
      <c r="C33" s="738"/>
      <c r="D33" s="721" t="str">
        <f ca="1">INDEX($BN$180:$BN$187,RANDBETWEEN(1,4))</f>
        <v>Drugs or contraband.</v>
      </c>
      <c r="E33" s="721"/>
      <c r="F33" s="721"/>
      <c r="G33" s="722"/>
      <c r="H33" s="187"/>
      <c r="I33" s="737" t="str">
        <f>$BN$179</f>
        <v>The caravan is transporting:</v>
      </c>
      <c r="J33" s="738"/>
      <c r="K33" s="738"/>
      <c r="L33" s="721" t="str">
        <f ca="1">INDEX($BN$180:$BN$187,RANDBETWEEN(1,4))</f>
        <v>Drugs or contraband.</v>
      </c>
      <c r="M33" s="721"/>
      <c r="N33" s="721"/>
      <c r="O33" s="722"/>
      <c r="P33" s="187"/>
      <c r="Q33" s="737" t="str">
        <f>$BN$179</f>
        <v>The caravan is transporting:</v>
      </c>
      <c r="R33" s="738"/>
      <c r="S33" s="738"/>
      <c r="T33" s="721" t="str">
        <f ca="1">INDEX($BN$180:$BN$187,RANDBETWEEN(1,4))</f>
        <v>tin</v>
      </c>
      <c r="U33" s="721"/>
      <c r="V33" s="721"/>
      <c r="W33" s="722"/>
      <c r="X33" s="222"/>
    </row>
    <row r="34" spans="1:24" s="17" customFormat="1" ht="30" customHeight="1" thickBot="1">
      <c r="A34" s="735" t="str">
        <f>$BO$179</f>
        <v>The general mood is:</v>
      </c>
      <c r="B34" s="736"/>
      <c r="C34" s="736"/>
      <c r="D34" s="723" t="str">
        <f ca="1">INDEX($BO$180:$BO$187,RANDBETWEEN(1,4))</f>
        <v>Tired; the journey is long and longer yet.</v>
      </c>
      <c r="E34" s="723"/>
      <c r="F34" s="723"/>
      <c r="G34" s="724"/>
      <c r="H34" s="187"/>
      <c r="I34" s="735" t="str">
        <f>$BO$179</f>
        <v>The general mood is:</v>
      </c>
      <c r="J34" s="736"/>
      <c r="K34" s="736"/>
      <c r="L34" s="723" t="str">
        <f ca="1">INDEX($BO$180:$BO$187,RANDBETWEEN(1,4))</f>
        <v>Desperate; a calamity has befallen them.</v>
      </c>
      <c r="M34" s="723"/>
      <c r="N34" s="723"/>
      <c r="O34" s="724"/>
      <c r="P34" s="187"/>
      <c r="Q34" s="735" t="str">
        <f>$BO$179</f>
        <v>The general mood is:</v>
      </c>
      <c r="R34" s="736"/>
      <c r="S34" s="736"/>
      <c r="T34" s="723" t="str">
        <f ca="1">INDEX($BO$180:$BO$187,RANDBETWEEN(1,4))</f>
        <v>Foul; morale is bad, and provisions are low.</v>
      </c>
      <c r="U34" s="723"/>
      <c r="V34" s="723"/>
      <c r="W34" s="724"/>
      <c r="X34" s="222"/>
    </row>
    <row r="35" spans="1:24" s="17" customFormat="1" ht="30" customHeight="1">
      <c r="A35" s="753" t="str">
        <f>$BQ$179</f>
        <v>The Caravan Master is:</v>
      </c>
      <c r="B35" s="754"/>
      <c r="C35" s="754"/>
      <c r="D35" s="725" t="str">
        <f ca="1">INDEX($BQ$180:$BQ$187,RANDBETWEEN(1,8))</f>
        <v>A dashing swashbuckler.</v>
      </c>
      <c r="E35" s="725"/>
      <c r="F35" s="725"/>
      <c r="G35" s="726"/>
      <c r="H35" s="187"/>
      <c r="I35" s="753" t="str">
        <f>$BQ$179</f>
        <v>The Caravan Master is:</v>
      </c>
      <c r="J35" s="754"/>
      <c r="K35" s="754"/>
      <c r="L35" s="725" t="str">
        <f ca="1">INDEX($BQ$180:$BQ$187,RANDBETWEEN(1,8))</f>
        <v>A femme fatale.</v>
      </c>
      <c r="M35" s="725"/>
      <c r="N35" s="725"/>
      <c r="O35" s="726"/>
      <c r="P35" s="187"/>
      <c r="Q35" s="753" t="str">
        <f>$BQ$179</f>
        <v>The Caravan Master is:</v>
      </c>
      <c r="R35" s="754"/>
      <c r="S35" s="754"/>
      <c r="T35" s="725" t="str">
        <f ca="1">INDEX($BQ$180:$BQ$187,RANDBETWEEN(1,8))</f>
        <v>A dashing swashbuckler.</v>
      </c>
      <c r="U35" s="725"/>
      <c r="V35" s="725"/>
      <c r="W35" s="726"/>
      <c r="X35" s="222"/>
    </row>
    <row r="36" spans="1:24" s="17" customFormat="1" ht="30" customHeight="1">
      <c r="A36" s="452" t="str">
        <f>$BR$179</f>
        <v>They are looking for:</v>
      </c>
      <c r="B36" s="453"/>
      <c r="C36" s="453"/>
      <c r="D36" s="721" t="str">
        <f ca="1">INDEX($BR$180:$BR$187,RANDBETWEEN(1,8))</f>
        <v>Information regarding the route ahead.</v>
      </c>
      <c r="E36" s="721"/>
      <c r="F36" s="721"/>
      <c r="G36" s="722"/>
      <c r="H36" s="187"/>
      <c r="I36" s="452" t="str">
        <f>$BR$179</f>
        <v>They are looking for:</v>
      </c>
      <c r="J36" s="453"/>
      <c r="K36" s="453"/>
      <c r="L36" s="721" t="str">
        <f ca="1">INDEX($BR$180:$BR$187,RANDBETWEEN(1,8))</f>
        <v>Ways to speed up the caravan’s pace.</v>
      </c>
      <c r="M36" s="721"/>
      <c r="N36" s="721"/>
      <c r="O36" s="722"/>
      <c r="P36" s="187"/>
      <c r="Q36" s="452" t="str">
        <f>$BR$179</f>
        <v>They are looking for:</v>
      </c>
      <c r="R36" s="453"/>
      <c r="S36" s="453"/>
      <c r="T36" s="721" t="str">
        <f ca="1">INDEX($BR$180:$BR$187,RANDBETWEEN(1,8))</f>
        <v>Revenge against a bitter rival.</v>
      </c>
      <c r="U36" s="721"/>
      <c r="V36" s="721"/>
      <c r="W36" s="722"/>
      <c r="X36" s="222"/>
    </row>
    <row r="37" spans="1:24" s="17" customFormat="1" ht="30" customHeight="1">
      <c r="A37" s="452" t="str">
        <f>$BS$179</f>
        <v>They are taking special care to avoid:</v>
      </c>
      <c r="B37" s="453"/>
      <c r="C37" s="453"/>
      <c r="D37" s="721" t="str">
        <f ca="1">INDEX($BS$180:$BS$187,RANDBETWEEN(1,6))</f>
        <v>Thieves.</v>
      </c>
      <c r="E37" s="721"/>
      <c r="F37" s="721"/>
      <c r="G37" s="722"/>
      <c r="H37" s="187"/>
      <c r="I37" s="452" t="str">
        <f>$BS$179</f>
        <v>They are taking special care to avoid:</v>
      </c>
      <c r="J37" s="453"/>
      <c r="K37" s="453"/>
      <c r="L37" s="721" t="str">
        <f ca="1">INDEX($BS$180:$BS$187,RANDBETWEEN(1,6))</f>
        <v>Ancient ruins and cursed places.</v>
      </c>
      <c r="M37" s="721"/>
      <c r="N37" s="721"/>
      <c r="O37" s="722"/>
      <c r="P37" s="187"/>
      <c r="Q37" s="452" t="str">
        <f>$BS$179</f>
        <v>They are taking special care to avoid:</v>
      </c>
      <c r="R37" s="453"/>
      <c r="S37" s="453"/>
      <c r="T37" s="721" t="str">
        <f ca="1">INDEX($BS$180:$BS$187,RANDBETWEEN(1,6))</f>
        <v>Thieves.</v>
      </c>
      <c r="U37" s="721"/>
      <c r="V37" s="721"/>
      <c r="W37" s="722"/>
      <c r="X37" s="222"/>
    </row>
    <row r="38" spans="1:24" s="17" customFormat="1" ht="30" customHeight="1" thickBot="1">
      <c r="A38" s="454" t="str">
        <f>$BT$179</f>
        <v>They carry:</v>
      </c>
      <c r="B38" s="455"/>
      <c r="C38" s="455"/>
      <c r="D38" s="723" t="str">
        <f ca="1">INDEX($BT$180:$BT$187,RANDBETWEEN(1,8))</f>
        <v>Extravagant jewels and silks.</v>
      </c>
      <c r="E38" s="723"/>
      <c r="F38" s="723"/>
      <c r="G38" s="724"/>
      <c r="H38" s="187"/>
      <c r="I38" s="454" t="str">
        <f>$BT$179</f>
        <v>They carry:</v>
      </c>
      <c r="J38" s="455"/>
      <c r="K38" s="455"/>
      <c r="L38" s="723" t="str">
        <f ca="1">INDEX($BT$180:$BT$187,RANDBETWEEN(1,8))</f>
        <v>Extravagant jewels and silks.</v>
      </c>
      <c r="M38" s="723"/>
      <c r="N38" s="723"/>
      <c r="O38" s="724"/>
      <c r="P38" s="187"/>
      <c r="Q38" s="454" t="str">
        <f>$BT$179</f>
        <v>They carry:</v>
      </c>
      <c r="R38" s="455"/>
      <c r="S38" s="455"/>
      <c r="T38" s="723" t="str">
        <f ca="1">INDEX($BT$180:$BT$187,RANDBETWEEN(1,8))</f>
        <v>A trusted blade and a map.</v>
      </c>
      <c r="U38" s="723"/>
      <c r="V38" s="723"/>
      <c r="W38" s="724"/>
      <c r="X38" s="222"/>
    </row>
    <row r="39" spans="1:24" ht="18.75" customHeight="1" thickBot="1">
      <c r="A39" s="20"/>
      <c r="B39" s="20"/>
      <c r="C39" s="20"/>
      <c r="D39" s="20"/>
      <c r="E39" s="20"/>
      <c r="F39" s="20"/>
      <c r="G39" s="20"/>
      <c r="H39" s="20"/>
      <c r="I39" s="20"/>
      <c r="J39" s="20"/>
      <c r="K39" s="20"/>
      <c r="L39" s="20"/>
      <c r="M39" s="20"/>
      <c r="N39" s="20"/>
      <c r="O39" s="20"/>
      <c r="P39" s="20"/>
      <c r="Q39" s="20"/>
      <c r="R39" s="20"/>
      <c r="S39" s="20"/>
      <c r="T39" s="20"/>
      <c r="U39" s="20"/>
      <c r="V39" s="20"/>
      <c r="W39" s="20"/>
      <c r="X39" s="220"/>
    </row>
    <row r="40" spans="1:24" ht="21.75" thickBot="1">
      <c r="A40" s="600" t="s">
        <v>5177</v>
      </c>
      <c r="B40" s="601"/>
      <c r="C40" s="601"/>
      <c r="D40" s="601"/>
      <c r="E40" s="601"/>
      <c r="F40" s="601"/>
      <c r="G40" s="601"/>
      <c r="H40" s="601"/>
      <c r="I40" s="601"/>
      <c r="J40" s="601"/>
      <c r="K40" s="601"/>
      <c r="L40" s="601"/>
      <c r="M40" s="601"/>
      <c r="N40" s="601"/>
      <c r="O40" s="601"/>
      <c r="P40" s="601"/>
      <c r="Q40" s="601"/>
      <c r="R40" s="601"/>
      <c r="S40" s="601"/>
      <c r="T40" s="601"/>
      <c r="U40" s="601"/>
      <c r="V40" s="601"/>
      <c r="W40" s="601"/>
      <c r="X40" s="729"/>
    </row>
    <row r="41" spans="1:24" s="17" customFormat="1" ht="30" customHeight="1">
      <c r="A41" s="569" t="str">
        <f>$BW$179</f>
        <v>The gang's money-making scheme involves:</v>
      </c>
      <c r="B41" s="570"/>
      <c r="C41" s="570"/>
      <c r="D41" s="578" t="str">
        <f ca="1">INDEX($BW$180:$BW$199,RANDBETWEEN(1,8))</f>
        <v>Holding up outgoing ships or wagons.</v>
      </c>
      <c r="E41" s="578"/>
      <c r="F41" s="578"/>
      <c r="G41" s="579"/>
      <c r="H41" s="187"/>
      <c r="I41" s="569" t="str">
        <f>$BW$179</f>
        <v>The gang's money-making scheme involves:</v>
      </c>
      <c r="J41" s="570"/>
      <c r="K41" s="570"/>
      <c r="L41" s="578" t="str">
        <f ca="1">INDEX($BW$180:$BW$199,RANDBETWEEN(1,8))</f>
        <v>Serving as muscle for shady merchants and/or brothel-keepers.</v>
      </c>
      <c r="M41" s="578"/>
      <c r="N41" s="578"/>
      <c r="O41" s="579"/>
      <c r="P41" s="187"/>
      <c r="Q41" s="569" t="str">
        <f>$BW$179</f>
        <v>The gang's money-making scheme involves:</v>
      </c>
      <c r="R41" s="570"/>
      <c r="S41" s="570"/>
      <c r="T41" s="578" t="str">
        <f ca="1">INDEX($BW$180:$BW$199,RANDBETWEEN(1,8))</f>
        <v>Holding up outgoing ships or wagons.</v>
      </c>
      <c r="U41" s="578"/>
      <c r="V41" s="578"/>
      <c r="W41" s="579"/>
      <c r="X41" s="222"/>
    </row>
    <row r="42" spans="1:24" s="17" customFormat="1" ht="30" customHeight="1">
      <c r="A42" s="411" t="str">
        <f>$BX$179</f>
        <v>The Gang Colors are:</v>
      </c>
      <c r="B42" s="412"/>
      <c r="C42" s="412"/>
      <c r="D42" s="447" t="str">
        <f ca="1">INDEX($BX$180:$BX$199,RANDBETWEEN(1,20))</f>
        <v>Forest green.</v>
      </c>
      <c r="E42" s="447"/>
      <c r="F42" s="447"/>
      <c r="G42" s="448"/>
      <c r="H42" s="187"/>
      <c r="I42" s="411" t="str">
        <f>$BX$179</f>
        <v>The Gang Colors are:</v>
      </c>
      <c r="J42" s="412"/>
      <c r="K42" s="412"/>
      <c r="L42" s="447" t="str">
        <f ca="1">INDEX($BX$180:$BX$199,RANDBETWEEN(1,20))</f>
        <v>Bronze.</v>
      </c>
      <c r="M42" s="447"/>
      <c r="N42" s="447"/>
      <c r="O42" s="448"/>
      <c r="P42" s="187"/>
      <c r="Q42" s="411" t="str">
        <f>$BX$179</f>
        <v>The Gang Colors are:</v>
      </c>
      <c r="R42" s="412"/>
      <c r="S42" s="412"/>
      <c r="T42" s="447" t="str">
        <f ca="1">INDEX($BX$180:$BX$199,RANDBETWEEN(1,20))</f>
        <v xml:space="preserve"> Steel / blue grey.</v>
      </c>
      <c r="U42" s="447"/>
      <c r="V42" s="447"/>
      <c r="W42" s="448"/>
      <c r="X42" s="222"/>
    </row>
    <row r="43" spans="1:24" s="17" customFormat="1" ht="30" customHeight="1">
      <c r="A43" s="411" t="str">
        <f>$BY$179</f>
        <v>The gang's symbol is:</v>
      </c>
      <c r="B43" s="412"/>
      <c r="C43" s="412"/>
      <c r="D43" s="447" t="str">
        <f ca="1">INDEX($BY$180:$BY$199,RANDBETWEEN(1,20))</f>
        <v>A dagger.</v>
      </c>
      <c r="E43" s="447"/>
      <c r="F43" s="447"/>
      <c r="G43" s="448"/>
      <c r="H43" s="187"/>
      <c r="I43" s="411" t="str">
        <f>$BY$179</f>
        <v>The gang's symbol is:</v>
      </c>
      <c r="J43" s="412"/>
      <c r="K43" s="412"/>
      <c r="L43" s="447" t="str">
        <f ca="1">INDEX($BY$180:$BY$199,RANDBETWEEN(1,20))</f>
        <v xml:space="preserve"> A bear.</v>
      </c>
      <c r="M43" s="447"/>
      <c r="N43" s="447"/>
      <c r="O43" s="448"/>
      <c r="P43" s="187"/>
      <c r="Q43" s="411" t="str">
        <f>$BY$179</f>
        <v>The gang's symbol is:</v>
      </c>
      <c r="R43" s="412"/>
      <c r="S43" s="412"/>
      <c r="T43" s="447" t="str">
        <f ca="1">INDEX($BY$180:$BY$199,RANDBETWEEN(1,20))</f>
        <v xml:space="preserve"> An eagle.</v>
      </c>
      <c r="U43" s="447"/>
      <c r="V43" s="447"/>
      <c r="W43" s="448"/>
      <c r="X43" s="222"/>
    </row>
    <row r="44" spans="1:24" s="17" customFormat="1" ht="30" customHeight="1">
      <c r="A44" s="411" t="str">
        <f>$BZ$179</f>
        <v>Gang members wear matching:</v>
      </c>
      <c r="B44" s="412"/>
      <c r="C44" s="412"/>
      <c r="D44" s="447" t="str">
        <f ca="1">INDEX($BZ$180:$BZ$199,RANDBETWEEN(1,10))</f>
        <v>Tattoos.</v>
      </c>
      <c r="E44" s="447"/>
      <c r="F44" s="447"/>
      <c r="G44" s="448"/>
      <c r="H44" s="187"/>
      <c r="I44" s="411" t="str">
        <f>$BZ$179</f>
        <v>Gang members wear matching:</v>
      </c>
      <c r="J44" s="412"/>
      <c r="K44" s="412"/>
      <c r="L44" s="447" t="str">
        <f ca="1">INDEX($BZ$180:$BZ$199,RANDBETWEEN(1,10))</f>
        <v>Vests.</v>
      </c>
      <c r="M44" s="447"/>
      <c r="N44" s="447"/>
      <c r="O44" s="448"/>
      <c r="P44" s="187"/>
      <c r="Q44" s="411" t="str">
        <f>$BZ$179</f>
        <v>Gang members wear matching:</v>
      </c>
      <c r="R44" s="412"/>
      <c r="S44" s="412"/>
      <c r="T44" s="447" t="str">
        <f ca="1">INDEX($BZ$180:$BZ$199,RANDBETWEEN(1,10))</f>
        <v>Jackets.</v>
      </c>
      <c r="U44" s="447"/>
      <c r="V44" s="447"/>
      <c r="W44" s="448"/>
      <c r="X44" s="222"/>
    </row>
    <row r="45" spans="1:24" s="17" customFormat="1" ht="30" customHeight="1">
      <c r="A45" s="411" t="str">
        <f>$CA$179</f>
        <v>The Gang leader is:</v>
      </c>
      <c r="B45" s="412"/>
      <c r="C45" s="412"/>
      <c r="D45" s="447" t="str">
        <f ca="1">INDEX($CA$180:$CA$199,RANDBETWEEN(1,10))</f>
        <v>A talented thief.</v>
      </c>
      <c r="E45" s="447"/>
      <c r="F45" s="447"/>
      <c r="G45" s="448"/>
      <c r="H45" s="187"/>
      <c r="I45" s="411" t="str">
        <f>$CA$179</f>
        <v>The Gang leader is:</v>
      </c>
      <c r="J45" s="412"/>
      <c r="K45" s="412"/>
      <c r="L45" s="447" t="str">
        <f ca="1">INDEX($CA$180:$CA$199,RANDBETWEEN(1,10))</f>
        <v>A charming rogue.</v>
      </c>
      <c r="M45" s="447"/>
      <c r="N45" s="447"/>
      <c r="O45" s="448"/>
      <c r="P45" s="187"/>
      <c r="Q45" s="411" t="str">
        <f>$CA$179</f>
        <v>The Gang leader is:</v>
      </c>
      <c r="R45" s="412"/>
      <c r="S45" s="412"/>
      <c r="T45" s="447" t="str">
        <f ca="1">INDEX($CA$180:$CA$199,RANDBETWEEN(1,10))</f>
        <v>A well-known public figure.</v>
      </c>
      <c r="U45" s="447"/>
      <c r="V45" s="447"/>
      <c r="W45" s="448"/>
      <c r="X45" s="222"/>
    </row>
    <row r="46" spans="1:24" s="17" customFormat="1" ht="30" customHeight="1">
      <c r="A46" s="411" t="str">
        <f>$CB$179</f>
        <v>For recruitment, the gang targets:</v>
      </c>
      <c r="B46" s="412"/>
      <c r="C46" s="412"/>
      <c r="D46" s="447" t="str">
        <f ca="1">INDEX($CB$180:$CB$199,RANDBETWEEN(1,12))</f>
        <v>Combat veterans.</v>
      </c>
      <c r="E46" s="447"/>
      <c r="F46" s="447"/>
      <c r="G46" s="448"/>
      <c r="H46" s="187"/>
      <c r="I46" s="411" t="str">
        <f>$CB$179</f>
        <v>For recruitment, the gang targets:</v>
      </c>
      <c r="J46" s="412"/>
      <c r="K46" s="412"/>
      <c r="L46" s="447" t="str">
        <f ca="1">INDEX($CB$180:$CB$199,RANDBETWEEN(1,12))</f>
        <v>Artisans.</v>
      </c>
      <c r="M46" s="447"/>
      <c r="N46" s="447"/>
      <c r="O46" s="448"/>
      <c r="P46" s="187"/>
      <c r="Q46" s="411" t="str">
        <f>$CB$179</f>
        <v>For recruitment, the gang targets:</v>
      </c>
      <c r="R46" s="412"/>
      <c r="S46" s="412"/>
      <c r="T46" s="447" t="str">
        <f ca="1">INDEX($CB$180:$CB$199,RANDBETWEEN(1,12))</f>
        <v>Laborers.</v>
      </c>
      <c r="U46" s="447"/>
      <c r="V46" s="447"/>
      <c r="W46" s="448"/>
      <c r="X46" s="222"/>
    </row>
    <row r="47" spans="1:24" s="17" customFormat="1" ht="30" customHeight="1">
      <c r="A47" s="411" t="str">
        <f>$CC$179</f>
        <v>The Gang's goals include:</v>
      </c>
      <c r="B47" s="412"/>
      <c r="C47" s="412"/>
      <c r="D47" s="447" t="str">
        <f ca="1">INDEX($CC$180:$CC$199,RANDBETWEEN(1,6))</f>
        <v>Revenge against a rival gang in another city.</v>
      </c>
      <c r="E47" s="447"/>
      <c r="F47" s="447"/>
      <c r="G47" s="448"/>
      <c r="H47" s="187"/>
      <c r="I47" s="411" t="str">
        <f>$CC$179</f>
        <v>The Gang's goals include:</v>
      </c>
      <c r="J47" s="412"/>
      <c r="K47" s="412"/>
      <c r="L47" s="447" t="str">
        <f ca="1">INDEX($CC$180:$CC$199,RANDBETWEEN(1,6))</f>
        <v>Revenge against a rival gang in another city.</v>
      </c>
      <c r="M47" s="447"/>
      <c r="N47" s="447"/>
      <c r="O47" s="448"/>
      <c r="P47" s="187"/>
      <c r="Q47" s="411" t="str">
        <f>$CC$179</f>
        <v>The Gang's goals include:</v>
      </c>
      <c r="R47" s="412"/>
      <c r="S47" s="412"/>
      <c r="T47" s="447" t="str">
        <f ca="1">INDEX($CC$180:$CC$199,RANDBETWEEN(1,6))</f>
        <v>Domination of the city's trade.</v>
      </c>
      <c r="U47" s="447"/>
      <c r="V47" s="447"/>
      <c r="W47" s="448"/>
      <c r="X47" s="222"/>
    </row>
    <row r="48" spans="1:24" s="17" customFormat="1" ht="30" customHeight="1">
      <c r="A48" s="411" t="str">
        <f>$CD$179</f>
        <v>Gangmembers arm themselves with:</v>
      </c>
      <c r="B48" s="412"/>
      <c r="C48" s="412"/>
      <c r="D48" s="447" t="str">
        <f ca="1">INDEX($CD$180:$CD$199,RANDBETWEEN(1,10))</f>
        <v>Daggers and crossbows.</v>
      </c>
      <c r="E48" s="447"/>
      <c r="F48" s="447"/>
      <c r="G48" s="448"/>
      <c r="H48" s="187"/>
      <c r="I48" s="411" t="str">
        <f>$CD$179</f>
        <v>Gangmembers arm themselves with:</v>
      </c>
      <c r="J48" s="412"/>
      <c r="K48" s="412"/>
      <c r="L48" s="447" t="str">
        <f ca="1">INDEX($CD$180:$CD$199,RANDBETWEEN(1,10))</f>
        <v>Serrated daggers.</v>
      </c>
      <c r="M48" s="447"/>
      <c r="N48" s="447"/>
      <c r="O48" s="448"/>
      <c r="P48" s="187"/>
      <c r="Q48" s="411" t="str">
        <f>$CD$179</f>
        <v>Gangmembers arm themselves with:</v>
      </c>
      <c r="R48" s="412"/>
      <c r="S48" s="412"/>
      <c r="T48" s="447" t="str">
        <f ca="1">INDEX($CD$180:$CD$199,RANDBETWEEN(1,10))</f>
        <v>Sticks and stones.</v>
      </c>
      <c r="U48" s="447"/>
      <c r="V48" s="447"/>
      <c r="W48" s="448"/>
      <c r="X48" s="222"/>
    </row>
    <row r="49" spans="1:24" s="17" customFormat="1" ht="30" customHeight="1">
      <c r="A49" s="411" t="str">
        <f>$CE$179</f>
        <v>Gangmembers fight with:</v>
      </c>
      <c r="B49" s="412"/>
      <c r="C49" s="412"/>
      <c r="D49" s="447" t="str">
        <f ca="1">INDEX($CE$180:$CE$199,RANDBETWEEN(1,10))</f>
        <v>Lots of fancy footwork.</v>
      </c>
      <c r="E49" s="447"/>
      <c r="F49" s="447"/>
      <c r="G49" s="448"/>
      <c r="H49" s="187"/>
      <c r="I49" s="411" t="str">
        <f>$CE$179</f>
        <v>Gangmembers fight with:</v>
      </c>
      <c r="J49" s="412"/>
      <c r="K49" s="412"/>
      <c r="L49" s="447" t="str">
        <f ca="1">INDEX($CE$180:$CE$199,RANDBETWEEN(1,10))</f>
        <v>Choreographed maneuvers.</v>
      </c>
      <c r="M49" s="447"/>
      <c r="N49" s="447"/>
      <c r="O49" s="448"/>
      <c r="P49" s="187"/>
      <c r="Q49" s="411" t="str">
        <f>$CE$179</f>
        <v>Gangmembers fight with:</v>
      </c>
      <c r="R49" s="412"/>
      <c r="S49" s="412"/>
      <c r="T49" s="447" t="str">
        <f ca="1">INDEX($CE$180:$CE$199,RANDBETWEEN(1,10))</f>
        <v>Lots of screaming and shouting.</v>
      </c>
      <c r="U49" s="447"/>
      <c r="V49" s="447"/>
      <c r="W49" s="448"/>
      <c r="X49" s="222"/>
    </row>
    <row r="50" spans="1:24" s="17" customFormat="1" ht="30" customHeight="1">
      <c r="A50" s="411" t="str">
        <f>$CF$179</f>
        <v>The Gang's headquarters is:</v>
      </c>
      <c r="B50" s="412"/>
      <c r="C50" s="412"/>
      <c r="D50" s="447" t="str">
        <f ca="1">INDEX($CF$180:$CF$199,RANDBETWEEN(1,12))</f>
        <v>The residence of the leader or a senior gangmember.</v>
      </c>
      <c r="E50" s="447"/>
      <c r="F50" s="447"/>
      <c r="G50" s="448"/>
      <c r="H50" s="187"/>
      <c r="I50" s="411" t="str">
        <f>$CF$179</f>
        <v>The Gang's headquarters is:</v>
      </c>
      <c r="J50" s="412"/>
      <c r="K50" s="412"/>
      <c r="L50" s="447" t="str">
        <f ca="1">INDEX($CF$180:$CF$199,RANDBETWEEN(1,12))</f>
        <v xml:space="preserve"> A shantytown</v>
      </c>
      <c r="M50" s="447"/>
      <c r="N50" s="447"/>
      <c r="O50" s="448"/>
      <c r="P50" s="187"/>
      <c r="Q50" s="411" t="str">
        <f>$CF$179</f>
        <v>The Gang's headquarters is:</v>
      </c>
      <c r="R50" s="412"/>
      <c r="S50" s="412"/>
      <c r="T50" s="447" t="str">
        <f ca="1">INDEX($CF$180:$CF$199,RANDBETWEEN(1,12))</f>
        <v xml:space="preserve"> An abandoned guildhall or warehouse.</v>
      </c>
      <c r="U50" s="447"/>
      <c r="V50" s="447"/>
      <c r="W50" s="448"/>
      <c r="X50" s="222"/>
    </row>
    <row r="51" spans="1:24" s="17" customFormat="1" ht="30" customHeight="1" thickBot="1">
      <c r="A51" s="409" t="str">
        <f>$CG$179</f>
        <v>The Gang is feared/respected by:</v>
      </c>
      <c r="B51" s="410"/>
      <c r="C51" s="410"/>
      <c r="D51" s="445" t="str">
        <f ca="1">INDEX($CG$180:$CG$199,RANDBETWEEN(1,12))</f>
        <v>Politicians and magistrates.</v>
      </c>
      <c r="E51" s="445"/>
      <c r="F51" s="445"/>
      <c r="G51" s="446"/>
      <c r="H51" s="187"/>
      <c r="I51" s="409" t="str">
        <f>$CG$179</f>
        <v>The Gang is feared/respected by:</v>
      </c>
      <c r="J51" s="410"/>
      <c r="K51" s="410"/>
      <c r="L51" s="445" t="str">
        <f ca="1">INDEX($CG$180:$CG$199,RANDBETWEEN(1,12))</f>
        <v>Beggars and thieves.</v>
      </c>
      <c r="M51" s="445"/>
      <c r="N51" s="445"/>
      <c r="O51" s="446"/>
      <c r="P51" s="187"/>
      <c r="Q51" s="409" t="str">
        <f>$CG$179</f>
        <v>The Gang is feared/respected by:</v>
      </c>
      <c r="R51" s="410"/>
      <c r="S51" s="410"/>
      <c r="T51" s="445" t="str">
        <f ca="1">INDEX($CG$180:$CG$199,RANDBETWEEN(1,12))</f>
        <v xml:space="preserve"> Women and children.</v>
      </c>
      <c r="U51" s="445"/>
      <c r="V51" s="445"/>
      <c r="W51" s="446"/>
      <c r="X51" s="222"/>
    </row>
    <row r="52" spans="1:24" ht="18.75" customHeight="1" thickBot="1">
      <c r="A52" s="20"/>
      <c r="B52" s="20"/>
      <c r="C52" s="20"/>
      <c r="D52" s="20"/>
      <c r="E52" s="20"/>
      <c r="F52" s="20"/>
      <c r="G52" s="20"/>
      <c r="H52" s="20"/>
      <c r="I52" s="20"/>
      <c r="J52" s="20"/>
      <c r="K52" s="20"/>
      <c r="L52" s="20"/>
      <c r="M52" s="20"/>
      <c r="N52" s="20"/>
      <c r="O52" s="20"/>
      <c r="P52" s="20"/>
      <c r="Q52" s="20"/>
      <c r="R52" s="20"/>
      <c r="S52" s="20"/>
      <c r="T52" s="20"/>
      <c r="U52" s="20"/>
      <c r="V52" s="20"/>
      <c r="W52" s="20"/>
      <c r="X52" s="220"/>
    </row>
    <row r="53" spans="1:24" ht="18.75" customHeight="1" thickBot="1">
      <c r="A53" s="600" t="s">
        <v>4678</v>
      </c>
      <c r="B53" s="601"/>
      <c r="C53" s="601"/>
      <c r="D53" s="601"/>
      <c r="E53" s="601"/>
      <c r="F53" s="601"/>
      <c r="G53" s="601"/>
      <c r="H53" s="601"/>
      <c r="I53" s="601"/>
      <c r="J53" s="601"/>
      <c r="K53" s="601"/>
      <c r="L53" s="601"/>
      <c r="M53" s="601"/>
      <c r="N53" s="601"/>
      <c r="O53" s="601"/>
      <c r="P53" s="601"/>
      <c r="Q53" s="601"/>
      <c r="R53" s="601"/>
      <c r="S53" s="601"/>
      <c r="T53" s="601"/>
      <c r="U53" s="601"/>
      <c r="V53" s="601"/>
      <c r="W53" s="729"/>
      <c r="X53" s="220"/>
    </row>
    <row r="54" spans="1:24" ht="30" customHeight="1">
      <c r="A54" s="746" t="str">
        <f>$P$179</f>
        <v>Vendor is selling wares out of:</v>
      </c>
      <c r="B54" s="747"/>
      <c r="C54" s="748"/>
      <c r="D54" s="433" t="str">
        <f ca="1">INDEX($P$180:$P$219,RANDBETWEEN(1,12))</f>
        <v>A small, mule-drawn cart.</v>
      </c>
      <c r="E54" s="433"/>
      <c r="F54" s="433"/>
      <c r="G54" s="434"/>
      <c r="H54" s="188"/>
      <c r="I54" s="746" t="str">
        <f>$P$179</f>
        <v>Vendor is selling wares out of:</v>
      </c>
      <c r="J54" s="747"/>
      <c r="K54" s="748"/>
      <c r="L54" s="433" t="str">
        <f ca="1">INDEX($P$180:$P$219,RANDBETWEEN(1,12))</f>
        <v>A sizable, horse- or ox-drawn wagon.</v>
      </c>
      <c r="M54" s="433"/>
      <c r="N54" s="433"/>
      <c r="O54" s="434"/>
      <c r="P54" s="188"/>
      <c r="Q54" s="746" t="str">
        <f>$P$179</f>
        <v>Vendor is selling wares out of:</v>
      </c>
      <c r="R54" s="747"/>
      <c r="S54" s="748"/>
      <c r="T54" s="433" t="str">
        <f ca="1">INDEX($P$180:$P$219,RANDBETWEEN(1,12))</f>
        <v>A permanent stone stall.</v>
      </c>
      <c r="U54" s="433"/>
      <c r="V54" s="433"/>
      <c r="W54" s="434"/>
      <c r="X54" s="220"/>
    </row>
    <row r="55" spans="1:24" ht="30" customHeight="1">
      <c r="A55" s="739" t="str">
        <f>$Q$179</f>
        <v>Vendor Specializes in:</v>
      </c>
      <c r="B55" s="740"/>
      <c r="C55" s="741"/>
      <c r="D55" s="749" t="str">
        <f ca="1">INDEX($Q$180:$Q$181,RANDBETWEEN(1,2))</f>
        <v>Prepared foodstuffs.</v>
      </c>
      <c r="E55" s="749"/>
      <c r="F55" s="749"/>
      <c r="G55" s="750"/>
      <c r="H55" s="188"/>
      <c r="I55" s="739" t="str">
        <f>$Q$179</f>
        <v>Vendor Specializes in:</v>
      </c>
      <c r="J55" s="740"/>
      <c r="K55" s="741"/>
      <c r="L55" s="749" t="str">
        <f ca="1">INDEX($Q$182:$Q$184,RANDBETWEEN(1,3))</f>
        <v>Clothing, apparel, or accessories.</v>
      </c>
      <c r="M55" s="749"/>
      <c r="N55" s="749"/>
      <c r="O55" s="750"/>
      <c r="P55" s="188"/>
      <c r="Q55" s="739" t="str">
        <f>$Q$179</f>
        <v>Vendor Specializes in:</v>
      </c>
      <c r="R55" s="740"/>
      <c r="S55" s="741"/>
      <c r="T55" s="749" t="str">
        <f ca="1">INDEX($Q$185:$Q$187,RANDBETWEEN(1,3))</f>
        <v>Raw materials.</v>
      </c>
      <c r="U55" s="749"/>
      <c r="V55" s="749"/>
      <c r="W55" s="750"/>
      <c r="X55" s="220"/>
    </row>
    <row r="56" spans="1:24" ht="30" customHeight="1">
      <c r="A56" s="739" t="str">
        <f>$R$179</f>
        <v>Vendor's wares are produced/prepared:</v>
      </c>
      <c r="B56" s="740"/>
      <c r="C56" s="741"/>
      <c r="D56" s="447" t="str">
        <f ca="1">INDEX($R$180:$R$219,RANDBETWEEN(1,8))</f>
        <v>By slaves.</v>
      </c>
      <c r="E56" s="447"/>
      <c r="F56" s="447"/>
      <c r="G56" s="448"/>
      <c r="H56" s="188"/>
      <c r="I56" s="739" t="str">
        <f>$R$179</f>
        <v>Vendor's wares are produced/prepared:</v>
      </c>
      <c r="J56" s="740"/>
      <c r="K56" s="741"/>
      <c r="L56" s="447" t="str">
        <f ca="1">INDEX($R$180:$R$219,RANDBETWEEN(1,8))</f>
        <v>By laborers or crafters working under horrible conditions.</v>
      </c>
      <c r="M56" s="447"/>
      <c r="N56" s="447"/>
      <c r="O56" s="448"/>
      <c r="P56" s="188"/>
      <c r="Q56" s="739" t="str">
        <f>$R$179</f>
        <v>Vendor's wares are produced/prepared:</v>
      </c>
      <c r="R56" s="740"/>
      <c r="S56" s="741"/>
      <c r="T56" s="447" t="str">
        <f ca="1">INDEX($R$180:$R$219,RANDBETWEEN(1,8))</f>
        <v>By slaves.</v>
      </c>
      <c r="U56" s="447"/>
      <c r="V56" s="447"/>
      <c r="W56" s="448"/>
      <c r="X56" s="220"/>
    </row>
    <row r="57" spans="1:24" ht="30" customHeight="1">
      <c r="A57" s="739" t="str">
        <f>$S$179</f>
        <v>The goods are:</v>
      </c>
      <c r="B57" s="740"/>
      <c r="C57" s="741"/>
      <c r="D57" s="447" t="str">
        <f ca="1">INDEX($S$180:$S$219,RANDBETWEEN(1,8))</f>
        <v>Of the highest quality and quite expensive.</v>
      </c>
      <c r="E57" s="447"/>
      <c r="F57" s="447"/>
      <c r="G57" s="448"/>
      <c r="H57" s="188"/>
      <c r="I57" s="739" t="str">
        <f>$S$179</f>
        <v>The goods are:</v>
      </c>
      <c r="J57" s="740"/>
      <c r="K57" s="741"/>
      <c r="L57" s="447" t="str">
        <f ca="1">INDEX($S$180:$S$219,RANDBETWEEN(1,8))</f>
        <v>Of decent quality and fairly priced.</v>
      </c>
      <c r="M57" s="447"/>
      <c r="N57" s="447"/>
      <c r="O57" s="448"/>
      <c r="P57" s="188"/>
      <c r="Q57" s="739" t="str">
        <f>$S$179</f>
        <v>The goods are:</v>
      </c>
      <c r="R57" s="740"/>
      <c r="S57" s="741"/>
      <c r="T57" s="447" t="str">
        <f ca="1">INDEX($S$180:$S$219,RANDBETWEEN(1,8))</f>
        <v>Possibly stolen.</v>
      </c>
      <c r="U57" s="447"/>
      <c r="V57" s="447"/>
      <c r="W57" s="448"/>
      <c r="X57" s="220"/>
    </row>
    <row r="58" spans="1:24" ht="30" customHeight="1">
      <c r="A58" s="739" t="str">
        <f>$T$179</f>
        <v>The vendor is:</v>
      </c>
      <c r="B58" s="740"/>
      <c r="C58" s="741"/>
      <c r="D58" s="447" t="str">
        <f ca="1">INDEX($T$180:$T$219,RANDBETWEEN(1,8))</f>
        <v>A plain-faced maid.</v>
      </c>
      <c r="E58" s="447"/>
      <c r="F58" s="447"/>
      <c r="G58" s="448"/>
      <c r="H58" s="188"/>
      <c r="I58" s="739" t="str">
        <f>$T$179</f>
        <v>The vendor is:</v>
      </c>
      <c r="J58" s="740"/>
      <c r="K58" s="741"/>
      <c r="L58" s="447" t="str">
        <f ca="1">INDEX($T$180:$T$219,RANDBETWEEN(1,8))</f>
        <v>An old woman.</v>
      </c>
      <c r="M58" s="447"/>
      <c r="N58" s="447"/>
      <c r="O58" s="448"/>
      <c r="P58" s="188"/>
      <c r="Q58" s="739" t="str">
        <f>$T$179</f>
        <v>The vendor is:</v>
      </c>
      <c r="R58" s="740"/>
      <c r="S58" s="741"/>
      <c r="T58" s="447" t="str">
        <f ca="1">INDEX($T$180:$T$219,RANDBETWEEN(1,8))</f>
        <v>An old man.</v>
      </c>
      <c r="U58" s="447"/>
      <c r="V58" s="447"/>
      <c r="W58" s="448"/>
      <c r="X58" s="220"/>
    </row>
    <row r="59" spans="1:24" ht="30" customHeight="1">
      <c r="A59" s="739" t="str">
        <f>$U$179</f>
        <v>The Vendor's Mood is:</v>
      </c>
      <c r="B59" s="740"/>
      <c r="C59" s="741"/>
      <c r="D59" s="447" t="str">
        <f ca="1">INDEX($U$180:$U$219,RANDBETWEEN(1,8))</f>
        <v>Suspicious.</v>
      </c>
      <c r="E59" s="447"/>
      <c r="F59" s="447"/>
      <c r="G59" s="448"/>
      <c r="H59" s="188"/>
      <c r="I59" s="739" t="str">
        <f>$U$179</f>
        <v>The Vendor's Mood is:</v>
      </c>
      <c r="J59" s="740"/>
      <c r="K59" s="741"/>
      <c r="L59" s="447" t="str">
        <f ca="1">INDEX($U$180:$U$219,RANDBETWEEN(1,8))</f>
        <v>Nervous.</v>
      </c>
      <c r="M59" s="447"/>
      <c r="N59" s="447"/>
      <c r="O59" s="448"/>
      <c r="P59" s="188"/>
      <c r="Q59" s="739" t="str">
        <f>$U$179</f>
        <v>The Vendor's Mood is:</v>
      </c>
      <c r="R59" s="740"/>
      <c r="S59" s="741"/>
      <c r="T59" s="447" t="str">
        <f ca="1">INDEX($U$180:$U$219,RANDBETWEEN(1,8))</f>
        <v>Surly.</v>
      </c>
      <c r="U59" s="447"/>
      <c r="V59" s="447"/>
      <c r="W59" s="448"/>
      <c r="X59" s="220"/>
    </row>
    <row r="60" spans="1:24" ht="30" customHeight="1" thickBot="1">
      <c r="A60" s="730" t="str">
        <f>$V$179</f>
        <v>The stall is:</v>
      </c>
      <c r="B60" s="731"/>
      <c r="C60" s="732"/>
      <c r="D60" s="445" t="str">
        <f ca="1">INDEX($V$180:$V$219,RANDBETWEEN(1,4))</f>
        <v>Reasonably busy; the vendor makes a sale every few minutes.</v>
      </c>
      <c r="E60" s="445"/>
      <c r="F60" s="445"/>
      <c r="G60" s="446"/>
      <c r="H60" s="188"/>
      <c r="I60" s="730" t="str">
        <f>$V$179</f>
        <v>The stall is:</v>
      </c>
      <c r="J60" s="731"/>
      <c r="K60" s="732"/>
      <c r="L60" s="445" t="str">
        <f ca="1">INDEX($V$180:$V$219,RANDBETWEEN(1,4))</f>
        <v>Reasonably busy; the vendor makes a sale every few minutes.</v>
      </c>
      <c r="M60" s="445"/>
      <c r="N60" s="445"/>
      <c r="O60" s="446"/>
      <c r="P60" s="188"/>
      <c r="Q60" s="730" t="str">
        <f>$V$179</f>
        <v>The stall is:</v>
      </c>
      <c r="R60" s="731"/>
      <c r="S60" s="732"/>
      <c r="T60" s="445" t="str">
        <f ca="1">INDEX($V$180:$V$219,RANDBETWEEN(1,4))</f>
        <v>Very slow; the vendor makes only a few sales a day.</v>
      </c>
      <c r="U60" s="445"/>
      <c r="V60" s="445"/>
      <c r="W60" s="446"/>
      <c r="X60" s="220"/>
    </row>
    <row r="61" spans="1:24" ht="18.75" customHeight="1" thickBot="1">
      <c r="A61" s="189"/>
      <c r="B61" s="188"/>
      <c r="C61" s="188"/>
      <c r="D61" s="188"/>
      <c r="E61" s="188"/>
      <c r="F61" s="188"/>
      <c r="G61" s="188"/>
      <c r="H61" s="188"/>
      <c r="I61" s="188"/>
      <c r="J61" s="188"/>
      <c r="K61" s="188"/>
      <c r="L61" s="188"/>
      <c r="M61" s="188"/>
      <c r="N61" s="188"/>
      <c r="O61" s="188"/>
      <c r="P61" s="188"/>
      <c r="Q61" s="188"/>
      <c r="R61" s="188"/>
      <c r="S61" s="188"/>
      <c r="T61" s="188"/>
      <c r="U61" s="188"/>
      <c r="V61" s="188"/>
      <c r="W61" s="190"/>
      <c r="X61" s="220"/>
    </row>
    <row r="62" spans="1:24" ht="18.75" customHeight="1" thickBot="1">
      <c r="A62" s="600" t="s">
        <v>4677</v>
      </c>
      <c r="B62" s="601"/>
      <c r="C62" s="601"/>
      <c r="D62" s="601"/>
      <c r="E62" s="601"/>
      <c r="F62" s="601"/>
      <c r="G62" s="601"/>
      <c r="H62" s="601"/>
      <c r="I62" s="601"/>
      <c r="J62" s="601"/>
      <c r="K62" s="601"/>
      <c r="L62" s="601"/>
      <c r="M62" s="601"/>
      <c r="N62" s="601"/>
      <c r="O62" s="601"/>
      <c r="P62" s="601"/>
      <c r="Q62" s="601"/>
      <c r="R62" s="601"/>
      <c r="S62" s="601"/>
      <c r="T62" s="601"/>
      <c r="U62" s="601"/>
      <c r="V62" s="601"/>
      <c r="W62" s="729"/>
      <c r="X62" s="220"/>
    </row>
    <row r="63" spans="1:24" ht="30" customHeight="1">
      <c r="A63" s="742" t="str">
        <f>$AG$179</f>
        <v>This shop sells:</v>
      </c>
      <c r="B63" s="743"/>
      <c r="C63" s="743"/>
      <c r="D63" s="744" t="str">
        <f ca="1">INDEX($AG$180:$AG$229,RANDBETWEEN(1,50))</f>
        <v xml:space="preserve"> Household goods</v>
      </c>
      <c r="E63" s="744"/>
      <c r="F63" s="744"/>
      <c r="G63" s="745"/>
      <c r="H63" s="188"/>
      <c r="I63" s="569" t="str">
        <f>$AG$179</f>
        <v>This shop sells:</v>
      </c>
      <c r="J63" s="570"/>
      <c r="K63" s="570"/>
      <c r="L63" s="744" t="str">
        <f ca="1">INDEX($AG$180:$AG$229,RANDBETWEEN(1,50))</f>
        <v xml:space="preserve"> Wagon wheels</v>
      </c>
      <c r="M63" s="744"/>
      <c r="N63" s="744"/>
      <c r="O63" s="745"/>
      <c r="P63" s="188"/>
      <c r="Q63" s="569" t="str">
        <f>$AG$179</f>
        <v>This shop sells:</v>
      </c>
      <c r="R63" s="570"/>
      <c r="S63" s="570"/>
      <c r="T63" s="744" t="str">
        <f ca="1">INDEX($AG$180:$AG$229,RANDBETWEEN(1,50))</f>
        <v xml:space="preserve"> Pack animals</v>
      </c>
      <c r="U63" s="744"/>
      <c r="V63" s="744"/>
      <c r="W63" s="745"/>
      <c r="X63" s="220"/>
    </row>
    <row r="64" spans="1:24" ht="30" customHeight="1">
      <c r="A64" s="737" t="str">
        <f>$AH$179</f>
        <v>The shop is:</v>
      </c>
      <c r="B64" s="738"/>
      <c r="C64" s="738"/>
      <c r="D64" s="727" t="str">
        <f ca="1">INDEX($AH$180:$AH$229,RANDBETWEEN(1,10))</f>
        <v>In an open bazaar on a rug</v>
      </c>
      <c r="E64" s="727"/>
      <c r="F64" s="727"/>
      <c r="G64" s="728"/>
      <c r="H64" s="188"/>
      <c r="I64" s="411" t="str">
        <f>$AH$179</f>
        <v>The shop is:</v>
      </c>
      <c r="J64" s="412"/>
      <c r="K64" s="412"/>
      <c r="L64" s="727" t="str">
        <f ca="1">INDEX($AH$180:$AH$229,RANDBETWEEN(1,10))</f>
        <v>In a stall in a bazaar</v>
      </c>
      <c r="M64" s="727"/>
      <c r="N64" s="727"/>
      <c r="O64" s="728"/>
      <c r="P64" s="188"/>
      <c r="Q64" s="411" t="str">
        <f>$AH$179</f>
        <v>The shop is:</v>
      </c>
      <c r="R64" s="412"/>
      <c r="S64" s="412"/>
      <c r="T64" s="727" t="str">
        <f ca="1">INDEX($AH$180:$AH$229,RANDBETWEEN(1,10))</f>
        <v>In an open bazaar on a rug</v>
      </c>
      <c r="U64" s="727"/>
      <c r="V64" s="727"/>
      <c r="W64" s="728"/>
      <c r="X64" s="220"/>
    </row>
    <row r="65" spans="1:24" ht="30" customHeight="1">
      <c r="A65" s="737" t="str">
        <f>$AI$179</f>
        <v>The shop owner is:</v>
      </c>
      <c r="B65" s="738"/>
      <c r="C65" s="738"/>
      <c r="D65" s="727" t="str">
        <f ca="1">INDEX($AI$180:$AI$229,RANDBETWEEN(1,12))</f>
        <v xml:space="preserve"> A lazy half-orc</v>
      </c>
      <c r="E65" s="727"/>
      <c r="F65" s="727"/>
      <c r="G65" s="728"/>
      <c r="H65" s="188"/>
      <c r="I65" s="411" t="str">
        <f>$AI$179</f>
        <v>The shop owner is:</v>
      </c>
      <c r="J65" s="412"/>
      <c r="K65" s="412"/>
      <c r="L65" s="727" t="str">
        <f ca="1">INDEX($AI$180:$AI$229,RANDBETWEEN(1,12))</f>
        <v>A farmer's wife</v>
      </c>
      <c r="M65" s="727"/>
      <c r="N65" s="727"/>
      <c r="O65" s="728"/>
      <c r="P65" s="188"/>
      <c r="Q65" s="411" t="str">
        <f>$AI$179</f>
        <v>The shop owner is:</v>
      </c>
      <c r="R65" s="412"/>
      <c r="S65" s="412"/>
      <c r="T65" s="727" t="str">
        <f ca="1">INDEX($AI$180:$AI$229,RANDBETWEEN(1,12))</f>
        <v>A forgetful halfling</v>
      </c>
      <c r="U65" s="727"/>
      <c r="V65" s="727"/>
      <c r="W65" s="728"/>
      <c r="X65" s="220"/>
    </row>
    <row r="66" spans="1:24" ht="30" customHeight="1">
      <c r="A66" s="737" t="str">
        <f>$AJ$179</f>
        <v>The shop condition is:</v>
      </c>
      <c r="B66" s="738"/>
      <c r="C66" s="738"/>
      <c r="D66" s="727" t="str">
        <f ca="1">INDEX($AJ$180:$AJ$229,RANDBETWEEN(1,6))</f>
        <v>Brand new. Everything has a place, and is in its place</v>
      </c>
      <c r="E66" s="727"/>
      <c r="F66" s="727"/>
      <c r="G66" s="728"/>
      <c r="H66" s="188"/>
      <c r="I66" s="411" t="str">
        <f>$AJ$179</f>
        <v>The shop condition is:</v>
      </c>
      <c r="J66" s="412"/>
      <c r="K66" s="412"/>
      <c r="L66" s="727" t="str">
        <f ca="1">INDEX($AJ$180:$AJ$229,RANDBETWEEN(1,6))</f>
        <v>Dark. There is no natural light. Only a candle or two light the shop</v>
      </c>
      <c r="M66" s="727"/>
      <c r="N66" s="727"/>
      <c r="O66" s="728"/>
      <c r="P66" s="188"/>
      <c r="Q66" s="411" t="str">
        <f>$AJ$179</f>
        <v>The shop condition is:</v>
      </c>
      <c r="R66" s="412"/>
      <c r="S66" s="412"/>
      <c r="T66" s="727" t="str">
        <f ca="1">INDEX($AJ$180:$AJ$229,RANDBETWEEN(1,6))</f>
        <v>Average. A little dusty</v>
      </c>
      <c r="U66" s="727"/>
      <c r="V66" s="727"/>
      <c r="W66" s="728"/>
      <c r="X66" s="220"/>
    </row>
    <row r="67" spans="1:24" ht="30" customHeight="1">
      <c r="A67" s="737" t="str">
        <f>$AK$179</f>
        <v>The merchandise condition is:</v>
      </c>
      <c r="B67" s="738"/>
      <c r="C67" s="738"/>
      <c r="D67" s="727" t="str">
        <f ca="1">INDEX($AK$180:$AK$229,RANDBETWEEN(1,6))</f>
        <v>Mixed. Some items look new, while some look like they have been there a long time</v>
      </c>
      <c r="E67" s="727"/>
      <c r="F67" s="727"/>
      <c r="G67" s="728"/>
      <c r="H67" s="188"/>
      <c r="I67" s="411" t="str">
        <f>$AK$179</f>
        <v>The merchandise condition is:</v>
      </c>
      <c r="J67" s="412"/>
      <c r="K67" s="412"/>
      <c r="L67" s="727" t="str">
        <f ca="1">INDEX($AK$180:$AK$229,RANDBETWEEN(1,6))</f>
        <v>Dusty and dirty</v>
      </c>
      <c r="M67" s="727"/>
      <c r="N67" s="727"/>
      <c r="O67" s="728"/>
      <c r="P67" s="188"/>
      <c r="Q67" s="411" t="str">
        <f>$AK$179</f>
        <v>The merchandise condition is:</v>
      </c>
      <c r="R67" s="412"/>
      <c r="S67" s="412"/>
      <c r="T67" s="727" t="str">
        <f ca="1">INDEX($AK$180:$AK$229,RANDBETWEEN(1,6))</f>
        <v>Mixed. Some items look new, while some look like they have been there a long time</v>
      </c>
      <c r="U67" s="727"/>
      <c r="V67" s="727"/>
      <c r="W67" s="728"/>
      <c r="X67" s="220"/>
    </row>
    <row r="68" spans="1:24" ht="30" customHeight="1">
      <c r="A68" s="737" t="str">
        <f>$AL$179</f>
        <v>The supplies come from:</v>
      </c>
      <c r="B68" s="738"/>
      <c r="C68" s="738"/>
      <c r="D68" s="727" t="str">
        <f ca="1">INDEX($AL$180:$AL$229,RANDBETWEEN(1,6))</f>
        <v>The merchant's business partner</v>
      </c>
      <c r="E68" s="727"/>
      <c r="F68" s="727"/>
      <c r="G68" s="728"/>
      <c r="H68" s="188"/>
      <c r="I68" s="411" t="str">
        <f>$AL$179</f>
        <v>The supplies come from:</v>
      </c>
      <c r="J68" s="412"/>
      <c r="K68" s="412"/>
      <c r="L68" s="727" t="str">
        <f ca="1">INDEX($AL$180:$AL$229,RANDBETWEEN(1,6))</f>
        <v>They are purchased from other people in town and resold</v>
      </c>
      <c r="M68" s="727"/>
      <c r="N68" s="727"/>
      <c r="O68" s="728"/>
      <c r="P68" s="188"/>
      <c r="Q68" s="411" t="str">
        <f>$AL$179</f>
        <v>The supplies come from:</v>
      </c>
      <c r="R68" s="412"/>
      <c r="S68" s="412"/>
      <c r="T68" s="727" t="str">
        <f ca="1">INDEX($AL$180:$AL$229,RANDBETWEEN(1,6))</f>
        <v>They are crafted or attained by the merchant himself</v>
      </c>
      <c r="U68" s="727"/>
      <c r="V68" s="727"/>
      <c r="W68" s="728"/>
      <c r="X68" s="220"/>
    </row>
    <row r="69" spans="1:24" ht="30" customHeight="1">
      <c r="A69" s="737" t="str">
        <f>$AM$179</f>
        <v>The items are priced:</v>
      </c>
      <c r="B69" s="738"/>
      <c r="C69" s="738"/>
      <c r="D69" s="727" t="str">
        <f ca="1">INDEX($AM$180:$AM$229,RANDBETWEEN(1,8))</f>
        <v>Below value</v>
      </c>
      <c r="E69" s="727"/>
      <c r="F69" s="727"/>
      <c r="G69" s="728"/>
      <c r="H69" s="188"/>
      <c r="I69" s="411" t="str">
        <f>$AM$179</f>
        <v>The items are priced:</v>
      </c>
      <c r="J69" s="412"/>
      <c r="K69" s="412"/>
      <c r="L69" s="727" t="str">
        <f ca="1">INDEX($AM$180:$AM$229,RANDBETWEEN(1,8))</f>
        <v>Everything is for barter</v>
      </c>
      <c r="M69" s="727"/>
      <c r="N69" s="727"/>
      <c r="O69" s="728"/>
      <c r="P69" s="188"/>
      <c r="Q69" s="411" t="str">
        <f>$AM$179</f>
        <v>The items are priced:</v>
      </c>
      <c r="R69" s="412"/>
      <c r="S69" s="412"/>
      <c r="T69" s="727" t="str">
        <f ca="1">INDEX($AM$180:$AM$229,RANDBETWEEN(1,8))</f>
        <v>Everything is for barter</v>
      </c>
      <c r="U69" s="727"/>
      <c r="V69" s="727"/>
      <c r="W69" s="728"/>
      <c r="X69" s="220"/>
    </row>
    <row r="70" spans="1:24" ht="30" customHeight="1">
      <c r="A70" s="737" t="str">
        <f>$AN$179</f>
        <v>The shop size is:</v>
      </c>
      <c r="B70" s="738"/>
      <c r="C70" s="738"/>
      <c r="D70" s="727" t="str">
        <f ca="1">INDEX($AN$180:$AN$229,RANDBETWEEN(1,5))</f>
        <v>Giant. Multiple rooms</v>
      </c>
      <c r="E70" s="727"/>
      <c r="F70" s="727"/>
      <c r="G70" s="728"/>
      <c r="H70" s="188"/>
      <c r="I70" s="411" t="str">
        <f>$AN$179</f>
        <v>The shop size is:</v>
      </c>
      <c r="J70" s="412"/>
      <c r="K70" s="412"/>
      <c r="L70" s="727" t="str">
        <f ca="1">INDEX($AN$180:$AN$229,RANDBETWEEN(1,5))</f>
        <v>Tiny. The merchant practically operates out of a pack</v>
      </c>
      <c r="M70" s="727"/>
      <c r="N70" s="727"/>
      <c r="O70" s="728"/>
      <c r="P70" s="188"/>
      <c r="Q70" s="411" t="str">
        <f>$AN$179</f>
        <v>The shop size is:</v>
      </c>
      <c r="R70" s="412"/>
      <c r="S70" s="412"/>
      <c r="T70" s="727" t="str">
        <f ca="1">INDEX($AN$180:$AN$229,RANDBETWEEN(1,5))</f>
        <v>Average. One room big enough to hold what is needed</v>
      </c>
      <c r="U70" s="727"/>
      <c r="V70" s="727"/>
      <c r="W70" s="728"/>
      <c r="X70" s="220"/>
    </row>
    <row r="71" spans="1:24" ht="30" customHeight="1">
      <c r="A71" s="737" t="str">
        <f>$AO$179</f>
        <v>Shop popularity:</v>
      </c>
      <c r="B71" s="738"/>
      <c r="C71" s="738"/>
      <c r="D71" s="727" t="str">
        <f ca="1">INDEX($AO$180:$AO$229,RANDBETWEEN(1,4))</f>
        <v>It rarely sees a customer</v>
      </c>
      <c r="E71" s="727"/>
      <c r="F71" s="727"/>
      <c r="G71" s="728"/>
      <c r="H71" s="188"/>
      <c r="I71" s="411" t="str">
        <f>$AO$179</f>
        <v>Shop popularity:</v>
      </c>
      <c r="J71" s="412"/>
      <c r="K71" s="412"/>
      <c r="L71" s="727" t="str">
        <f ca="1">INDEX($AO$180:$AO$229,RANDBETWEEN(1,4))</f>
        <v>A few people mill in and out of the shop</v>
      </c>
      <c r="M71" s="727"/>
      <c r="N71" s="727"/>
      <c r="O71" s="728"/>
      <c r="P71" s="188"/>
      <c r="Q71" s="411" t="str">
        <f>$AO$179</f>
        <v>Shop popularity:</v>
      </c>
      <c r="R71" s="412"/>
      <c r="S71" s="412"/>
      <c r="T71" s="727" t="str">
        <f ca="1">INDEX($AO$180:$AO$229,RANDBETWEEN(1,4))</f>
        <v>A few people mill in and out of the shop</v>
      </c>
      <c r="U71" s="727"/>
      <c r="V71" s="727"/>
      <c r="W71" s="728"/>
      <c r="X71" s="220"/>
    </row>
    <row r="72" spans="1:24" ht="30" customHeight="1" thickBot="1">
      <c r="A72" s="735" t="str">
        <f>$AP$179</f>
        <v>Something interesting:</v>
      </c>
      <c r="B72" s="736"/>
      <c r="C72" s="736"/>
      <c r="D72" s="733" t="str">
        <f ca="1">INDEX($AP$180:$AP$229,RANDBETWEEN(1,50))</f>
        <v xml:space="preserve"> The shop has a strong odor of mildew</v>
      </c>
      <c r="E72" s="733"/>
      <c r="F72" s="733"/>
      <c r="G72" s="734"/>
      <c r="H72" s="188"/>
      <c r="I72" s="409" t="str">
        <f>$AP$179</f>
        <v>Something interesting:</v>
      </c>
      <c r="J72" s="410"/>
      <c r="K72" s="410"/>
      <c r="L72" s="733" t="str">
        <f ca="1">INDEX($AP$180:$AP$229,RANDBETWEEN(1,50))</f>
        <v>The shopkeeper does not seem to want any business</v>
      </c>
      <c r="M72" s="733"/>
      <c r="N72" s="733"/>
      <c r="O72" s="734"/>
      <c r="P72" s="188"/>
      <c r="Q72" s="409" t="str">
        <f>$AP$179</f>
        <v>Something interesting:</v>
      </c>
      <c r="R72" s="410"/>
      <c r="S72" s="410"/>
      <c r="T72" s="733" t="str">
        <f ca="1">INDEX($AP$180:$AP$229,RANDBETWEEN(1,50))</f>
        <v>Some items are oddly magical (or non-magical)</v>
      </c>
      <c r="U72" s="733"/>
      <c r="V72" s="733"/>
      <c r="W72" s="734"/>
      <c r="X72" s="220"/>
    </row>
    <row r="73" spans="1:24" ht="18.75" customHeight="1" thickBot="1">
      <c r="A73" s="20"/>
      <c r="B73" s="20"/>
      <c r="C73" s="20"/>
      <c r="D73" s="20"/>
      <c r="E73" s="20"/>
      <c r="F73" s="20"/>
      <c r="G73" s="20"/>
      <c r="H73" s="20"/>
      <c r="I73" s="20"/>
      <c r="J73" s="20"/>
      <c r="K73" s="20"/>
      <c r="L73" s="20"/>
      <c r="M73" s="20"/>
      <c r="N73" s="20"/>
      <c r="O73" s="20"/>
      <c r="P73" s="20"/>
      <c r="Q73" s="20"/>
      <c r="R73" s="20"/>
      <c r="S73" s="20"/>
      <c r="T73" s="20"/>
      <c r="U73" s="20"/>
      <c r="V73" s="20"/>
      <c r="W73" s="20"/>
      <c r="X73" s="220"/>
    </row>
    <row r="74" spans="1:24" ht="18.75" customHeight="1" thickBot="1">
      <c r="A74" s="600" t="s">
        <v>5485</v>
      </c>
      <c r="B74" s="601"/>
      <c r="C74" s="601"/>
      <c r="D74" s="601"/>
      <c r="E74" s="601"/>
      <c r="F74" s="601"/>
      <c r="G74" s="601"/>
      <c r="H74" s="601"/>
      <c r="I74" s="601"/>
      <c r="J74" s="601"/>
      <c r="K74" s="601"/>
      <c r="L74" s="601"/>
      <c r="M74" s="601"/>
      <c r="N74" s="601"/>
      <c r="O74" s="601"/>
      <c r="P74" s="601"/>
      <c r="Q74" s="601"/>
      <c r="R74" s="601"/>
      <c r="S74" s="601"/>
      <c r="T74" s="601"/>
      <c r="U74" s="601"/>
      <c r="V74" s="601"/>
      <c r="W74" s="729"/>
      <c r="X74" s="221"/>
    </row>
    <row r="75" spans="1:24" s="215" customFormat="1" ht="30" customHeight="1">
      <c r="A75" s="349" t="s">
        <v>5482</v>
      </c>
      <c r="B75" s="773" t="str">
        <f ca="1">INDEX($T$180:$T$187,RANDBETWEEN(1,8))</f>
        <v>A fat man.</v>
      </c>
      <c r="C75" s="774"/>
      <c r="D75" s="229" t="str">
        <f ca="1">INDEX($DG$180:$DG$186,RANDBETWEEN(1,7))</f>
        <v>Savories</v>
      </c>
      <c r="E75" s="349" t="s">
        <v>5482</v>
      </c>
      <c r="F75" s="773" t="str">
        <f ca="1">INDEX($T$180:$T$187,RANDBETWEEN(1,8))</f>
        <v>A hardy woman.</v>
      </c>
      <c r="G75" s="774"/>
      <c r="H75" s="229" t="str">
        <f ca="1">INDEX($DG$180:$DG$186,RANDBETWEEN(1,7))</f>
        <v>Vegetables</v>
      </c>
      <c r="I75" s="349" t="s">
        <v>5482</v>
      </c>
      <c r="J75" s="773" t="str">
        <f ca="1">INDEX($T$180:$T$187,RANDBETWEEN(1,8))</f>
        <v>A hardy woman.</v>
      </c>
      <c r="K75" s="774"/>
      <c r="L75" s="229" t="str">
        <f ca="1">INDEX($DG$180:$DG$186,RANDBETWEEN(1,7))</f>
        <v>Unusual Meats</v>
      </c>
      <c r="M75" s="349" t="s">
        <v>5482</v>
      </c>
      <c r="N75" s="773" t="str">
        <f ca="1">INDEX($T$180:$T$187,RANDBETWEEN(1,8))</f>
        <v>A plain-faced maid.</v>
      </c>
      <c r="O75" s="774"/>
      <c r="P75" s="229" t="str">
        <f ca="1">INDEX($DG$180:$DG$186,RANDBETWEEN(1,7))</f>
        <v>Seafood</v>
      </c>
      <c r="Q75" s="349" t="s">
        <v>5482</v>
      </c>
      <c r="R75" s="773" t="str">
        <f ca="1">INDEX($T$180:$T$187,RANDBETWEEN(1,8))</f>
        <v>An old woman.</v>
      </c>
      <c r="S75" s="774"/>
      <c r="T75" s="229" t="str">
        <f ca="1">INDEX($DJ$180:$DJ$183,RANDBETWEEN(1,4))</f>
        <v>a Pastry</v>
      </c>
      <c r="U75" s="349" t="s">
        <v>5482</v>
      </c>
      <c r="V75" s="773" t="str">
        <f ca="1">INDEX($T$180:$T$187,RANDBETWEEN(1,8))</f>
        <v>An old woman.</v>
      </c>
      <c r="W75" s="774"/>
      <c r="X75" s="223" t="str">
        <f ca="1">INDEX($DJ$180:$DJ$183,RANDBETWEEN(1,4))</f>
        <v>a Leaf</v>
      </c>
    </row>
    <row r="76" spans="1:24" s="17" customFormat="1" ht="45" customHeight="1">
      <c r="A76" s="350" t="s">
        <v>5483</v>
      </c>
      <c r="B76" s="771" t="str">
        <f ca="1">CONCATENATE(INDEX($DI$180:$DI$189,RANDBETWEEN(1,10))," ",IF($D$75=$DG$180,INDEX($DW$180:$DW$199,RANDBETWEEN(1,20)),IF($D$75=$DG$181,INDEX($DT$180:$DT$199,RANDBETWEEN(1,20)),IF($D$75=$DG$182,INDEX($DX$180:$DX$199,RANDBETWEEN(1,20)),IF($D$75=$DG$183,INDEX($DQ$180:$DQ$199,RANDBETWEEN(1,20)),IF($D$75=$DG$184,INDEX($DV$180:$DV$199,RANDBETWEEN(1,20)),IF($D$75=$DG$185,INDEX($DU$180:$DU$199,RANDBETWEEN(1,20)),IF($D$75=$DG$186,INDEX($DY$180:$DY$199,RANDBETWEEN(1,20)),"")))))))," and ",IF($D$76=$DH$180,INDEX($DN$180:$DN$185,RANDBETWEEN(1,6)),IF($D$76=$DH$181,INDEX($DO$180:$DO$191,RANDBETWEEN(1,12)),IF($D$76=$DH$182,INDEX($DP$180:$DP$183,RANDBETWEEN(1,4)),IF($D$76=$DH$183,INDEX($DQ$180:$DQ$199,RANDBETWEEN(1,20))))))," on ",IF($D$77=$DJ$180,INDEX($EA$180:$EA$191,RANDBETWEEN(1,12)),$D$77))</f>
        <v>Baked  Pistachios and  Sunflower seeds on a Crusty roll</v>
      </c>
      <c r="C76" s="772"/>
      <c r="D76" s="216" t="str">
        <f ca="1">INDEX($DH$180:$DH$183,RANDBETWEEN(1,4))</f>
        <v>Savory</v>
      </c>
      <c r="E76" s="350" t="s">
        <v>5483</v>
      </c>
      <c r="F76" s="771" t="str">
        <f ca="1">CONCATENATE(INDEX($DI$180:$DI$189,RANDBETWEEN(1,10))," ",IF($H$75=$DG$180,INDEX($DW$180:$DW$199,RANDBETWEEN(1,20)),IF($H$75=$DG$181,INDEX($DT$180:$DT$199,RANDBETWEEN(1,20)),IF($H$75=$DG$182,INDEX($DX$180:$DX$199,RANDBETWEEN(1,20)),IF($H$75=$DG$183,INDEX($DQ$180:$DQ$199,RANDBETWEEN(1,20)),IF($H$75=$DG$184,INDEX($DV$180:$DV$199,RANDBETWEEN(1,20)),IF($H$75=$DG$185,INDEX($DU$180:$DU$199,RANDBETWEEN(1,20)),IF($H$75=$DG$186,INDEX($DY$180:$DY$199,RANDBETWEEN(1,20)),"")))))))," and ",IF($H$76=$DH$180,INDEX($DN$180:$DN$185,RANDBETWEEN(1,6)),IF($H$76=$DH$181,INDEX($DO$180:$DO$191,RANDBETWEEN(1,12)),IF($H$76=$DH$182,INDEX($DP$180:$DP$183,RANDBETWEEN(1,4)),IF($H$76=$DH$183,INDEX($DQ$180:$DQ$199,RANDBETWEEN(1,20))))))," on ",IF($H$77=$DJ$180,INDEX($EA$180:$EA$191,RANDBETWEEN(1,12)),$H$77))</f>
        <v>Roasted hot peppers and White cheese on a Pastry</v>
      </c>
      <c r="G76" s="772"/>
      <c r="H76" s="216" t="str">
        <f ca="1">INDEX($DH$180:$DH$183,RANDBETWEEN(1,4))</f>
        <v>Savory</v>
      </c>
      <c r="I76" s="350" t="s">
        <v>5483</v>
      </c>
      <c r="J76" s="771" t="str">
        <f ca="1">CONCATENATE(INDEX($DI$180:$DI$189,RANDBETWEEN(1,10))," ",IF($L$75=$DG$180,INDEX($DW$180:$DW$199,RANDBETWEEN(1,20)),IF($L$75=$DG$181,INDEX($DT$180:$DT$199,RANDBETWEEN(1,20)),IF($L$75=$DG$182,INDEX($DX$180:$DX$199,RANDBETWEEN(1,20)),IF($L$75=$DG$183,INDEX($DQ$180:$DQ$199,RANDBETWEEN(1,20)),IF($L$75=$DG$184,INDEX($DV$180:$DV$199,RANDBETWEEN(1,20)),IF($L$75=$DG$185,INDEX($DU$180:$DU$199,RANDBETWEEN(1,20)),IF($L$75=$DG$186,INDEX($DY$180:$DY$199,RANDBETWEEN(1,20)),"")))))))," and ",IF($L$76=$DH$180,INDEX($DN$180:$DN$185,RANDBETWEEN(1,6)),IF($L$76=$DH$181,INDEX($DO$180:$DO$191,RANDBETWEEN(1,12)),IF($L$76=$DH$182,INDEX($DP$180:$DP$183,RANDBETWEEN(1,4)),IF($L$76=$DH$183,INDEX($DQ$180:$DQ$199,RANDBETWEEN(1,20))))))," on ",IF($L$77=$DJ$180,INDEX($EA$180:$EA$191,RANDBETWEEN(1,12)),$L$77))</f>
        <v>Poached Dog and Red pepper on a Crusty roll</v>
      </c>
      <c r="K76" s="772"/>
      <c r="L76" s="216" t="str">
        <f ca="1">INDEX($DH$180:$DH$183,RANDBETWEEN(1,4))</f>
        <v>Spicy</v>
      </c>
      <c r="M76" s="350" t="s">
        <v>5483</v>
      </c>
      <c r="N76" s="771" t="str">
        <f ca="1">CONCATENATE(INDEX($DI$180:$DI$189,RANDBETWEEN(1,10))," ",IF($P$75=$DG$180,INDEX($DW$180:$DW$199,RANDBETWEEN(1,20)),IF($P$75=$DG$181,INDEX($DT$180:$DT$199,RANDBETWEEN(1,20)),IF($P$75=$DG$182,INDEX($DX$180:$DX$199,RANDBETWEEN(1,20)),IF($P$75=$DG$183,INDEX($DQ$180:$DQ$199,RANDBETWEEN(1,20)),IF($P$75=$DG$184,INDEX($DV$180:$DV$199,RANDBETWEEN(1,20)),IF($P$75=$DG$185,INDEX($DU$180:$DU$199,RANDBETWEEN(1,20)),IF($P$75=$DG$186,INDEX($DY$180:$DY$199,RANDBETWEEN(1,20)),"")))))))," and ",IF($P$76=$DH$180,INDEX($DN$180:$DN$185,RANDBETWEEN(1,6)),IF($P$76=$DH$181,INDEX($DO$180:$DO$191,RANDBETWEEN(1,12)),IF($P$76=$DH$182,INDEX($DP$180:$DP$183,RANDBETWEEN(1,4)),IF($P$76=$DH$183,INDEX($DQ$180:$DQ$199,RANDBETWEEN(1,20))))))," on ",IF($P$77=$DJ$180,INDEX($EA$180:$EA$191,RANDBETWEEN(1,12)),$P$77))</f>
        <v>Sauteed Smelt and  Pumpkin seeds on a Sourdough baguette</v>
      </c>
      <c r="O76" s="772"/>
      <c r="P76" s="216" t="str">
        <f ca="1">INDEX($DH$180:$DH$183,RANDBETWEEN(1,4))</f>
        <v>Savory</v>
      </c>
      <c r="Q76" s="350" t="s">
        <v>5483</v>
      </c>
      <c r="R76" s="771" t="str">
        <f ca="1">CONCATENATE(INDEX($DI$180:$DI$189,RANDBETWEEN(1,10))," ",IF($T$76=$DG$180,INDEX($DW$180:$DW$199,RANDBETWEEN(1,20)),IF($T$76=$DG$181,INDEX($DT$180:$DT$199,RANDBETWEEN(1,20)),IF($T$76=$DG$182,INDEX($DX$180:$DX$199,RANDBETWEEN(1,20)),IF($T$76=$DG$183,INDEX($DQ$180:$DQ$199,RANDBETWEEN(1,20)),IF($T$76=$DG$184,INDEX($DV$180:$DV$199,RANDBETWEEN(1,20)),IF($T$76=$DG$185,INDEX($DU$180:$DU$199,RANDBETWEEN(1,20)),IF($T$76=$DG$186,INDEX($DY$180:$DY$199,RANDBETWEEN(1,20)),"")))))))," and ",IF($T$77=$DH$180,INDEX($DN$180:$DN$185,RANDBETWEEN(1,6)),IF($T$77=$DH$181,INDEX($DO$180:$DO$191,RANDBETWEEN(1,12)),IF($T$77=$DH$182,INDEX($DP$180:$DP$183,RANDBETWEEN(1,4)),IF($T$77=$DH$183,INDEX($DQ$180:$DQ$199,RANDBETWEEN(1,20))))))," on ",IF($T$75=$DJ$180,INDEX($EA$180:$EA$191,RANDBETWEEN(1,12)),$T$75))</f>
        <v>Poached Pungent cheese and Cumin on a Pastry</v>
      </c>
      <c r="S76" s="772"/>
      <c r="T76" s="216" t="str">
        <f ca="1">INDEX($DG$180:$DG$186,RANDBETWEEN(1,7))</f>
        <v>Savories</v>
      </c>
      <c r="U76" s="350" t="s">
        <v>5483</v>
      </c>
      <c r="V76" s="771" t="str">
        <f ca="1">CONCATENATE(INDEX($DI$180:$DI$189,RANDBETWEEN(1,10))," ",IF($X$76=$DG$180,INDEX($DW$180:$DW$199,RANDBETWEEN(1,20)),IF($X$76=$DG$181,INDEX($DT$180:$DT$199,RANDBETWEEN(1,20)),IF($X$76=$DG$182,INDEX($DX$180:$DX$199,RANDBETWEEN(1,20)),IF($X$76=$DG$183,INDEX($DQ$180:$DQ$199,RANDBETWEEN(1,20)),IF($X$76=$DG$184,INDEX($DV$180:$DV$199,RANDBETWEEN(1,20)),IF($X$76=$DG$185,INDEX($DU$180:$DU$199,RANDBETWEEN(1,20)),IF($X$76=$DG$186,INDEX($DY$180:$DY$199,RANDBETWEEN(1,20)),"")))))))," and ",IF($X$77=$DH$180,INDEX($DN$180:$DN$185,RANDBETWEEN(1,6)),IF($X$77=$DH$181,INDEX($DO$180:$DO$191,RANDBETWEEN(1,12)),IF($X$77=$DH$182,INDEX($DP$180:$DP$183,RANDBETWEEN(1,4)),IF($X$77=$DH$183,INDEX($DQ$180:$DQ$199,RANDBETWEEN(1,20))))))," on ",IF($X$75=$DJ$180,INDEX($EA$180:$EA$191,RANDBETWEEN(1,12)),$X$75))</f>
        <v>Grilled Plum and  Blueberries Jam on a Leaf</v>
      </c>
      <c r="W76" s="772"/>
      <c r="X76" s="223" t="str">
        <f ca="1">INDEX($DG$180:$DG$186,RANDBETWEEN(1,7))</f>
        <v>Fruits</v>
      </c>
    </row>
    <row r="77" spans="1:24" s="17" customFormat="1" ht="30" customHeight="1" thickBot="1">
      <c r="A77" s="348" t="s">
        <v>5484</v>
      </c>
      <c r="B77" s="769" t="str">
        <f ca="1">INDEX($DK$180:$DK$187,RANDBETWEEN(1,8))</f>
        <v>Beer</v>
      </c>
      <c r="C77" s="770"/>
      <c r="D77" s="216" t="str">
        <f ca="1">INDEX($DJ$180:$DJ$183,RANDBETWEEN(1,4))</f>
        <v>Bread</v>
      </c>
      <c r="E77" s="348" t="s">
        <v>5484</v>
      </c>
      <c r="F77" s="769" t="str">
        <f ca="1">INDEX($DK$180:$DK$187,RANDBETWEEN(1,8))</f>
        <v>Wine</v>
      </c>
      <c r="G77" s="770"/>
      <c r="H77" s="216" t="str">
        <f ca="1">INDEX($DJ$180:$DJ$183,RANDBETWEEN(1,4))</f>
        <v>a Pastry</v>
      </c>
      <c r="I77" s="348" t="s">
        <v>5484</v>
      </c>
      <c r="J77" s="769" t="str">
        <f ca="1">INDEX($DK$180:$DK$187,RANDBETWEEN(1,8))</f>
        <v>Juice</v>
      </c>
      <c r="K77" s="770"/>
      <c r="L77" s="216" t="str">
        <f ca="1">INDEX($DJ$180:$DJ$183,RANDBETWEEN(1,4))</f>
        <v>Bread</v>
      </c>
      <c r="M77" s="348" t="s">
        <v>5484</v>
      </c>
      <c r="N77" s="769" t="str">
        <f ca="1">INDEX($DK$180:$DK$187,RANDBETWEEN(1,8))</f>
        <v>Cocktails</v>
      </c>
      <c r="O77" s="770"/>
      <c r="P77" s="216" t="str">
        <f ca="1">INDEX($DJ$180:$DJ$183,RANDBETWEEN(1,4))</f>
        <v>Bread</v>
      </c>
      <c r="Q77" s="348" t="s">
        <v>5484</v>
      </c>
      <c r="R77" s="769" t="str">
        <f ca="1">INDEX($DK$180:$DK$187,RANDBETWEEN(1,8))</f>
        <v>Cocktails</v>
      </c>
      <c r="S77" s="770"/>
      <c r="T77" s="231" t="str">
        <f ca="1">INDEX($DH$180:$DH$183,RANDBETWEEN(1,4))</f>
        <v>Spicy</v>
      </c>
      <c r="U77" s="348" t="s">
        <v>5484</v>
      </c>
      <c r="V77" s="769" t="str">
        <f ca="1">INDEX($DK$180:$DK$187,RANDBETWEEN(1,8))</f>
        <v>Mead</v>
      </c>
      <c r="W77" s="770"/>
      <c r="X77" s="223" t="str">
        <f ca="1">INDEX($DH$180:$DH$183,RANDBETWEEN(1,4))</f>
        <v>Sweet</v>
      </c>
    </row>
    <row r="78" spans="1:24" s="17" customFormat="1" ht="30" customHeight="1" thickBot="1">
      <c r="A78" s="217"/>
      <c r="B78" s="185"/>
      <c r="C78" s="185"/>
      <c r="D78" s="216"/>
      <c r="E78" s="185"/>
      <c r="F78" s="185"/>
      <c r="G78" s="185"/>
      <c r="H78" s="185"/>
      <c r="I78" s="185"/>
      <c r="J78" s="185"/>
      <c r="K78" s="185"/>
      <c r="L78" s="216"/>
      <c r="M78" s="185"/>
      <c r="N78" s="185"/>
      <c r="O78" s="185"/>
      <c r="P78" s="216"/>
      <c r="Q78" s="188"/>
      <c r="R78" s="188"/>
      <c r="S78" s="188"/>
      <c r="T78" s="230"/>
      <c r="U78" s="188"/>
      <c r="V78" s="188"/>
      <c r="W78" s="190"/>
      <c r="X78" s="221"/>
    </row>
    <row r="79" spans="1:24" s="17" customFormat="1" ht="30" customHeight="1">
      <c r="A79" s="349" t="s">
        <v>5482</v>
      </c>
      <c r="B79" s="773" t="str">
        <f ca="1">INDEX($T$180:$T$187,RANDBETWEEN(1,8))</f>
        <v>An old woman.</v>
      </c>
      <c r="C79" s="774"/>
      <c r="D79" s="216" t="str">
        <f ca="1">INDEX($DG$180:$DG$186,RANDBETWEEN(1,7))</f>
        <v>Fruits</v>
      </c>
      <c r="E79" s="349" t="s">
        <v>5482</v>
      </c>
      <c r="F79" s="773" t="str">
        <f ca="1">INDEX($T$180:$T$187,RANDBETWEEN(1,8))</f>
        <v>An old man.</v>
      </c>
      <c r="G79" s="774"/>
      <c r="H79" s="216" t="str">
        <f ca="1">INDEX($DG$180:$DG$186,RANDBETWEEN(1,7))</f>
        <v>Unusual Seafood</v>
      </c>
      <c r="I79" s="349" t="s">
        <v>5482</v>
      </c>
      <c r="J79" s="773" t="str">
        <f ca="1">INDEX($T$180:$T$187,RANDBETWEEN(1,8))</f>
        <v>An odd foreigner.</v>
      </c>
      <c r="K79" s="774"/>
      <c r="L79" s="216" t="str">
        <f ca="1">INDEX($DG$180:$DG$186,RANDBETWEEN(1,7))</f>
        <v>Fruits</v>
      </c>
      <c r="M79" s="349" t="s">
        <v>5482</v>
      </c>
      <c r="N79" s="773" t="str">
        <f ca="1">INDEX($T$180:$T$187,RANDBETWEEN(1,8))</f>
        <v>An odd foreigner.</v>
      </c>
      <c r="O79" s="774"/>
      <c r="P79" s="216" t="str">
        <f ca="1">INDEX($DG$180:$DG$186,RANDBETWEEN(1,7))</f>
        <v>Fruits</v>
      </c>
      <c r="Q79" s="349" t="s">
        <v>5482</v>
      </c>
      <c r="R79" s="773" t="str">
        <f ca="1">INDEX($T$180:$T$187,RANDBETWEEN(1,8))</f>
        <v>An odd foreigner.</v>
      </c>
      <c r="S79" s="774"/>
      <c r="T79" s="216" t="str">
        <f ca="1">INDEX($DJ$180:$DJ$183,RANDBETWEEN(1,4))</f>
        <v>Rice</v>
      </c>
      <c r="U79" s="349" t="s">
        <v>5482</v>
      </c>
      <c r="V79" s="773" t="str">
        <f ca="1">INDEX($T$180:$T$187,RANDBETWEEN(1,8))</f>
        <v>An odd foreigner.</v>
      </c>
      <c r="W79" s="774"/>
      <c r="X79" s="223" t="str">
        <f ca="1">INDEX($DJ$180:$DJ$183,RANDBETWEEN(1,4))</f>
        <v>Rice</v>
      </c>
    </row>
    <row r="80" spans="1:24" s="17" customFormat="1" ht="45" customHeight="1">
      <c r="A80" s="350" t="s">
        <v>5483</v>
      </c>
      <c r="B80" s="771" t="str">
        <f ca="1">CONCATENATE(INDEX($DI$180:$DI$189,RANDBETWEEN(1,10))," ",IF($D$79=$DG$180,INDEX($DW$180:$DW$199,RANDBETWEEN(1,20)),IF($D$79=$DG$181,INDEX($DT$180:$DT$199,RANDBETWEEN(1,20)),IF($D$79=$DG$182,INDEX($DX$180:$DX$199,RANDBETWEEN(1,20)),IF($D$79=$DG$183,INDEX($DQ$180:$DQ$199,RANDBETWEEN(1,20)),IF($D$79=$DG$184,INDEX($DV$180:$DV$199,RANDBETWEEN(1,20)),IF($D$79=$DG$185,INDEX($DU$180:$DU$199,RANDBETWEEN(1,20)),IF($D$79=$DG$186,INDEX($DY$180:$DY$199,RANDBETWEEN(1,20)),"")))))))," and ",IF($D$80=$DH$180,INDEX($DN$180:$DN$185,RANDBETWEEN(1,6)),IF($D$80=$DH$181,INDEX($DO$180:$DO$191,RANDBETWEEN(1,12)),IF($D$80=$DH$182,INDEX($DP$180:$DP$183,RANDBETWEEN(1,4)),IF($D$80=$DH$183,INDEX($DQ$180:$DQ$199,RANDBETWEEN(1,20))))))," on ",IF($D$81=$DJ$180,INDEX($EA$180:$EA$191,RANDBETWEEN(1,12)),$D$81))</f>
        <v>Seared Pear and  Sriracha on Rice</v>
      </c>
      <c r="C80" s="772"/>
      <c r="D80" s="216" t="str">
        <f ca="1">INDEX($DH$180:$DH$183,RANDBETWEEN(1,4))</f>
        <v>Spicy</v>
      </c>
      <c r="E80" s="350" t="s">
        <v>5483</v>
      </c>
      <c r="F80" s="771" t="str">
        <f ca="1">CONCATENATE(INDEX($DI$180:$DI$189,RANDBETWEEN(1,10))," ",IF($H$79=$DG$180,INDEX($DW$180:$DW$199,RANDBETWEEN(1,20)),IF($H$79=$DG$181,INDEX($DT$180:$DT$199,RANDBETWEEN(1,20)),IF($H$79=$DG$182,INDEX($DX$180:$DX$199,RANDBETWEEN(1,20)),IF($H$79=$DG$183,INDEX($DQ$180:$DQ$199,RANDBETWEEN(1,20)),IF($H$79=$DG$184,INDEX($DV$180:$DV$199,RANDBETWEEN(1,20)),IF($H$79=$DG$185,INDEX($DU$180:$DU$199,RANDBETWEEN(1,20)),IF($H$79=$DG$186,INDEX($DY$180:$DY$199,RANDBETWEEN(1,20)),"")))))))," and ",IF($H$80=$DH$180,INDEX($DN$180:$DN$185,RANDBETWEEN(1,6)),IF($H$80=$DH$181,INDEX($DO$180:$DO$191,RANDBETWEEN(1,12)),IF($H$80=$DH$182,INDEX($DP$180:$DP$183,RANDBETWEEN(1,4)),IF($H$80=$DH$183,INDEX($DQ$180:$DQ$199,RANDBETWEEN(1,20))))))," on ",IF($H$81=$DJ$180,INDEX($EA$180:$EA$191,RANDBETWEEN(1,12)),$H$81))</f>
        <v>Grilled Shark and  Pumpkin seeds on Rice</v>
      </c>
      <c r="G80" s="772"/>
      <c r="H80" s="216" t="str">
        <f ca="1">INDEX($DH$180:$DH$183,RANDBETWEEN(1,4))</f>
        <v>Savory</v>
      </c>
      <c r="I80" s="350" t="s">
        <v>5483</v>
      </c>
      <c r="J80" s="771" t="str">
        <f ca="1">CONCATENATE(INDEX($DI$180:$DI$189,RANDBETWEEN(1,10))," ",IF($L$79=$DG$180,INDEX($DW$180:$DW$199,RANDBETWEEN(1,20)),IF($L$79=$DG$181,INDEX($DT$180:$DT$199,RANDBETWEEN(1,20)),IF($L$79=$DG$182,INDEX($DX$180:$DX$199,RANDBETWEEN(1,20)),IF($L$79=$DG$183,INDEX($DQ$180:$DQ$199,RANDBETWEEN(1,20)),IF($L$79=$DG$184,INDEX($DV$180:$DV$199,RANDBETWEEN(1,20)),IF($L$79=$DG$185,INDEX($DU$180:$DU$199,RANDBETWEEN(1,20)),IF($L$79=$DG$186,INDEX($DY$180:$DY$199,RANDBETWEEN(1,20)),"")))))))," and ",IF($L$80=$DH$180,INDEX($DN$180:$DN$185,RANDBETWEEN(1,6)),IF($L$80=$DH$181,INDEX($DO$180:$DO$191,RANDBETWEEN(1,12)),IF($L$80=$DH$182,INDEX($DP$180:$DP$183,RANDBETWEEN(1,4)),IF($L$80=$DH$183,INDEX($DQ$180:$DQ$199,RANDBETWEEN(1,20))))))," on ",IF($L$81=$DJ$180,INDEX($EA$180:$EA$191,RANDBETWEEN(1,12)),$L$81))</f>
        <v>Broiled  Mango and Yogurt on Rice</v>
      </c>
      <c r="K80" s="772"/>
      <c r="L80" s="216" t="str">
        <f ca="1">INDEX($DH$180:$DH$183,RANDBETWEEN(1,4))</f>
        <v>Sour</v>
      </c>
      <c r="M80" s="350" t="s">
        <v>5483</v>
      </c>
      <c r="N80" s="771" t="str">
        <f ca="1">CONCATENATE(INDEX($DI$180:$DI$189,RANDBETWEEN(1,10))," ",IF($P$79=$DG$180,INDEX($DW$180:$DW$199,RANDBETWEEN(1,20)),IF($P$79=$DG$181,INDEX($DT$180:$DT$199,RANDBETWEEN(1,20)),IF($P$79=$DG$182,INDEX($DX$180:$DX$199,RANDBETWEEN(1,20)),IF($P$79=$DG$183,INDEX($DQ$180:$DQ$199,RANDBETWEEN(1,20)),IF($P$79=$DG$184,INDEX($DV$180:$DV$199,RANDBETWEEN(1,20)),IF($P$79=$DG$185,INDEX($DU$180:$DU$199,RANDBETWEEN(1,20)),IF($P$79=$DG$186,INDEX($DY$180:$DY$199,RANDBETWEEN(1,20)),"")))))))," and ",IF($P$80=$DH$180,INDEX($DN$180:$DN$185,RANDBETWEEN(1,6)),IF($P$80=$DH$181,INDEX($DO$180:$DO$191,RANDBETWEEN(1,12)),IF($P$80=$DH$182,INDEX($DP$180:$DP$183,RANDBETWEEN(1,4)),IF($P$80=$DH$183,INDEX($DQ$180:$DQ$199,RANDBETWEEN(1,20))))))," on ",IF($P$81=$DJ$180,INDEX($EA$180:$EA$191,RANDBETWEEN(1,12)),$P$81))</f>
        <v>Sauteed  Blueberries and Sour  Dryad melons Juice on Rice</v>
      </c>
      <c r="O80" s="772"/>
      <c r="P80" s="216" t="str">
        <f ca="1">INDEX($DH$180:$DH$183,RANDBETWEEN(1,4))</f>
        <v>Sour</v>
      </c>
      <c r="Q80" s="350" t="s">
        <v>5483</v>
      </c>
      <c r="R80" s="771" t="str">
        <f ca="1">CONCATENATE(INDEX($DI$180:$DI$189,RANDBETWEEN(1,10))," ",IF($T$80=$DG$180,INDEX($DW$180:$DW$199,RANDBETWEEN(1,20)),IF($T$80=$DG$181,INDEX($DT$180:$DT$199,RANDBETWEEN(1,20)),IF($T$80=$DG$182,INDEX($DX$180:$DX$199,RANDBETWEEN(1,20)),IF($T$80=$DG$183,INDEX($DQ$180:$DQ$199,RANDBETWEEN(1,20)),IF($T$80=$DG$184,INDEX($DV$180:$DV$199,RANDBETWEEN(1,20)),IF($T$80=$DG$185,INDEX($DU$180:$DU$199,RANDBETWEEN(1,20)),IF($T$80=$DG$186,INDEX($DY$180:$DY$199,RANDBETWEEN(1,20)),"")))))))," and ",IF($T$81=$DH$180,INDEX($DN$180:$DN$185,RANDBETWEEN(1,6)),IF($T$81=$DH$181,INDEX($DO$180:$DO$191,RANDBETWEEN(1,12)),IF($T$81=$DH$182,INDEX($DP$180:$DP$183,RANDBETWEEN(1,4)),IF($T$81=$DH$183,INDEX($DQ$180:$DQ$199,RANDBETWEEN(1,20))))))," on ",IF($T$79=$DJ$180,INDEX($EA$180:$EA$191,RANDBETWEEN(1,12)),$T$79))</f>
        <v>Boiled Asparagus and Red pepper on Rice</v>
      </c>
      <c r="S80" s="772"/>
      <c r="T80" s="216" t="str">
        <f ca="1">INDEX($DG$180:$DG$186,RANDBETWEEN(1,7))</f>
        <v>Vegetables</v>
      </c>
      <c r="U80" s="350" t="s">
        <v>5483</v>
      </c>
      <c r="V80" s="771" t="str">
        <f ca="1">CONCATENATE(INDEX($DI$180:$DI$189,RANDBETWEEN(1,10))," ",IF($X$80=$DG$180,INDEX($DW$180:$DW$199,RANDBETWEEN(1,20)),IF($X$80=$DG$181,INDEX($DT$180:$DT$199,RANDBETWEEN(1,20)),IF($X$80=$DG$182,INDEX($DX$180:$DX$199,RANDBETWEEN(1,20)),IF($X$80=$DG$183,INDEX($DQ$180:$DQ$199,RANDBETWEEN(1,20)),IF($X$80=$DG$184,INDEX($DV$180:$DV$199,RANDBETWEEN(1,20)),IF($X$80=$DG$185,INDEX($DU$180:$DU$199,RANDBETWEEN(1,20)),IF($X$80=$DG$186,INDEX($DY$180:$DY$199,RANDBETWEEN(1,20)),"")))))))," and ",IF($X$81=$DH$180,INDEX($DN$180:$DN$185,RANDBETWEEN(1,6)),IF($X$81=$DH$181,INDEX($DO$180:$DO$191,RANDBETWEEN(1,12)),IF($X$81=$DH$182,INDEX($DP$180:$DP$183,RANDBETWEEN(1,4)),IF($X$81=$DH$183,INDEX($DQ$180:$DQ$199,RANDBETWEEN(1,20))))))," on ",IF($X$79=$DJ$180,INDEX($EA$180:$EA$191,RANDBETWEEN(1,12)),$X$79))</f>
        <v>Sauteed  Turtle and Honey on Rice</v>
      </c>
      <c r="W80" s="772"/>
      <c r="X80" s="223" t="str">
        <f ca="1">INDEX($DG$180:$DG$186,RANDBETWEEN(1,7))</f>
        <v>Unusual Meats</v>
      </c>
    </row>
    <row r="81" spans="1:24" s="17" customFormat="1" ht="30" customHeight="1" thickBot="1">
      <c r="A81" s="348" t="s">
        <v>5484</v>
      </c>
      <c r="B81" s="769" t="str">
        <f ca="1">INDEX($DK$180:$DK$187,RANDBETWEEN(1,8))</f>
        <v>Juice</v>
      </c>
      <c r="C81" s="770"/>
      <c r="D81" s="218" t="str">
        <f ca="1">INDEX($DJ$180:$DJ$183,RANDBETWEEN(1,4))</f>
        <v>Rice</v>
      </c>
      <c r="E81" s="348" t="s">
        <v>5484</v>
      </c>
      <c r="F81" s="769" t="str">
        <f ca="1">INDEX($DK$180:$DK$187,RANDBETWEEN(1,8))</f>
        <v>Chocolate</v>
      </c>
      <c r="G81" s="770"/>
      <c r="H81" s="218" t="str">
        <f ca="1">INDEX($DJ$180:$DJ$183,RANDBETWEEN(1,4))</f>
        <v>Rice</v>
      </c>
      <c r="I81" s="348" t="s">
        <v>5484</v>
      </c>
      <c r="J81" s="769" t="str">
        <f ca="1">INDEX($DK$180:$DK$187,RANDBETWEEN(1,8))</f>
        <v>Chocolate</v>
      </c>
      <c r="K81" s="770"/>
      <c r="L81" s="218" t="str">
        <f ca="1">INDEX($DJ$180:$DJ$183,RANDBETWEEN(1,4))</f>
        <v>Rice</v>
      </c>
      <c r="M81" s="348" t="s">
        <v>5484</v>
      </c>
      <c r="N81" s="769" t="str">
        <f ca="1">INDEX($DK$180:$DK$187,RANDBETWEEN(1,8))</f>
        <v>Beer</v>
      </c>
      <c r="O81" s="770"/>
      <c r="P81" s="218" t="str">
        <f ca="1">INDEX($DJ$180:$DJ$183,RANDBETWEEN(1,4))</f>
        <v>Rice</v>
      </c>
      <c r="Q81" s="348" t="s">
        <v>5484</v>
      </c>
      <c r="R81" s="769" t="str">
        <f ca="1">INDEX($DK$180:$DK$187,RANDBETWEEN(1,8))</f>
        <v>Kiefer</v>
      </c>
      <c r="S81" s="770"/>
      <c r="T81" s="218" t="str">
        <f ca="1">INDEX($DH$180:$DH$183,RANDBETWEEN(1,4))</f>
        <v>Spicy</v>
      </c>
      <c r="U81" s="348" t="s">
        <v>5484</v>
      </c>
      <c r="V81" s="769" t="str">
        <f ca="1">INDEX($DK$180:$DK$187,RANDBETWEEN(1,8))</f>
        <v>Beer</v>
      </c>
      <c r="W81" s="770"/>
      <c r="X81" s="223" t="str">
        <f ca="1">INDEX($DH$180:$DH$183,RANDBETWEEN(1,4))</f>
        <v>Sweet</v>
      </c>
    </row>
    <row r="82" spans="1:24" s="228" customFormat="1" ht="30" customHeight="1" thickBot="1">
      <c r="A82" s="185"/>
      <c r="B82" s="185"/>
      <c r="C82" s="185"/>
      <c r="D82" s="219"/>
      <c r="E82" s="185"/>
      <c r="F82" s="185"/>
      <c r="G82" s="185"/>
      <c r="H82" s="185"/>
      <c r="I82" s="185"/>
      <c r="J82" s="185"/>
      <c r="K82" s="185"/>
      <c r="L82" s="219"/>
      <c r="M82" s="185"/>
      <c r="N82" s="185"/>
      <c r="O82" s="185"/>
      <c r="P82" s="219"/>
      <c r="Q82" s="185"/>
      <c r="R82" s="185"/>
      <c r="S82" s="185"/>
      <c r="T82" s="185"/>
      <c r="U82" s="185"/>
      <c r="V82" s="185"/>
      <c r="W82" s="185"/>
      <c r="X82" s="88"/>
    </row>
    <row r="83" spans="1:24" s="17" customFormat="1" ht="21.75" thickBot="1">
      <c r="A83" s="600" t="s">
        <v>5725</v>
      </c>
      <c r="B83" s="601"/>
      <c r="C83" s="601"/>
      <c r="D83" s="601"/>
      <c r="E83" s="601"/>
      <c r="F83" s="601"/>
      <c r="G83" s="601"/>
      <c r="H83" s="601"/>
      <c r="I83" s="601"/>
      <c r="J83" s="601"/>
      <c r="K83" s="601"/>
      <c r="L83" s="601"/>
      <c r="M83" s="601"/>
      <c r="N83" s="601"/>
      <c r="O83" s="601"/>
      <c r="P83" s="601"/>
      <c r="Q83" s="601"/>
      <c r="R83" s="601"/>
      <c r="S83" s="601"/>
      <c r="T83" s="601"/>
      <c r="U83" s="601"/>
      <c r="V83" s="601"/>
      <c r="W83" s="729"/>
      <c r="X83" s="222"/>
    </row>
    <row r="84" spans="1:24" s="17" customFormat="1" ht="35.1" customHeight="1">
      <c r="A84" s="795" t="s">
        <v>4241</v>
      </c>
      <c r="B84" s="796"/>
      <c r="C84" s="799" t="str">
        <f ca="1">INDEX($X$180:$X$249,RANDBETWEEN(1,70))</f>
        <v>Cultists, snake</v>
      </c>
      <c r="D84" s="799"/>
      <c r="E84" s="799"/>
      <c r="F84" s="799"/>
      <c r="G84" s="800"/>
      <c r="H84" s="187"/>
      <c r="I84" s="795" t="s">
        <v>4241</v>
      </c>
      <c r="J84" s="796"/>
      <c r="K84" s="799" t="str">
        <f ca="1">INDEX($X$180:$X$249,RANDBETWEEN(1,70))</f>
        <v>Orc warlords</v>
      </c>
      <c r="L84" s="799"/>
      <c r="M84" s="799"/>
      <c r="N84" s="799"/>
      <c r="O84" s="800"/>
      <c r="P84" s="187"/>
      <c r="Q84" s="795" t="s">
        <v>4241</v>
      </c>
      <c r="R84" s="796"/>
      <c r="S84" s="799" t="str">
        <f ca="1">INDEX($X$180:$X$249,RANDBETWEEN(1,70))</f>
        <v>Criminals</v>
      </c>
      <c r="T84" s="799"/>
      <c r="U84" s="799"/>
      <c r="V84" s="799"/>
      <c r="W84" s="800"/>
      <c r="X84" s="222"/>
    </row>
    <row r="85" spans="1:24" s="17" customFormat="1" ht="35.1" customHeight="1" thickBot="1">
      <c r="A85" s="784" t="s">
        <v>3664</v>
      </c>
      <c r="B85" s="785"/>
      <c r="C85" s="797" t="str">
        <f ca="1">INDEX('Random Motivations'!$B$2:$B$101,RANDBETWEEN(1,100))</f>
        <v>Building a small homestead/lair</v>
      </c>
      <c r="D85" s="797"/>
      <c r="E85" s="797"/>
      <c r="F85" s="797"/>
      <c r="G85" s="798"/>
      <c r="H85" s="187"/>
      <c r="I85" s="784" t="s">
        <v>3664</v>
      </c>
      <c r="J85" s="785"/>
      <c r="K85" s="797" t="str">
        <f ca="1">INDEX('Random Motivations'!$B$2:$B$101,RANDBETWEEN(1,100))</f>
        <v>Sick or diseased</v>
      </c>
      <c r="L85" s="797"/>
      <c r="M85" s="797"/>
      <c r="N85" s="797"/>
      <c r="O85" s="798"/>
      <c r="P85" s="187"/>
      <c r="Q85" s="784" t="s">
        <v>3664</v>
      </c>
      <c r="R85" s="785"/>
      <c r="S85" s="797" t="str">
        <f ca="1">INDEX('Random Motivations'!$B$2:$B$101,RANDBETWEEN(1,100))</f>
        <v>Dead (D.M. Should determine cause &amp; time of death)</v>
      </c>
      <c r="T85" s="797"/>
      <c r="U85" s="797"/>
      <c r="V85" s="797"/>
      <c r="W85" s="798"/>
      <c r="X85" s="222"/>
    </row>
    <row r="86" spans="1:24" ht="39.950000000000003" customHeight="1">
      <c r="A86" s="801"/>
      <c r="B86" s="232" t="s">
        <v>2416</v>
      </c>
      <c r="C86" s="802" t="str">
        <f ca="1">CONCATENATE(INDEX('NPC''s'!$I$106:$I$115,RANDBETWEEN(1,10))," in stature, with a ",INDEX('NPC''s'!$J$106:$J$125,RANDBETWEEN(1,20))," body, and ",INDEX('NPC''s'!$K$106:$K$111,RANDBETWEEN(1,6)))</f>
        <v>UNUSUALLY SHORT in stature, with a WIDE AND PONDEROUS body, and ROUGH HANDS.</v>
      </c>
      <c r="D86" s="803"/>
      <c r="E86" s="803"/>
      <c r="F86" s="803"/>
      <c r="G86" s="804"/>
      <c r="H86" s="20"/>
      <c r="I86" s="801"/>
      <c r="J86" s="232" t="s">
        <v>2416</v>
      </c>
      <c r="K86" s="802" t="str">
        <f ca="1">CONCATENATE(INDEX('NPC''s'!$I$106:$I$115,RANDBETWEEN(1,10))," in stature, with a ",INDEX('NPC''s'!$J$106:$J$125,RANDBETWEEN(1,20))," body, and ",INDEX('NPC''s'!$K$106:$K$111,RANDBETWEEN(1,6)))</f>
        <v>SHORT in stature, with a THIN AND DELICATE body, and A HEAVY TOUCH.</v>
      </c>
      <c r="L86" s="803"/>
      <c r="M86" s="803"/>
      <c r="N86" s="803"/>
      <c r="O86" s="804"/>
      <c r="P86" s="20"/>
      <c r="Q86" s="801"/>
      <c r="R86" s="232" t="s">
        <v>2416</v>
      </c>
      <c r="S86" s="802" t="str">
        <f ca="1">CONCATENATE(INDEX('NPC''s'!$I$106:$I$115,RANDBETWEEN(1,10))," in stature, with a ",INDEX('NPC''s'!$J$106:$J$125,RANDBETWEEN(1,20))," body, and ",INDEX('NPC''s'!$K$106:$K$111,RANDBETWEEN(1,6)))</f>
        <v>SLIGHTLY BELOW AVERAGE in stature, with a WIDE AND PONDEROUS body, and ROUGH HANDS.</v>
      </c>
      <c r="T86" s="803"/>
      <c r="U86" s="803"/>
      <c r="V86" s="803"/>
      <c r="W86" s="804"/>
      <c r="X86" s="220"/>
    </row>
    <row r="87" spans="1:24" ht="39.950000000000003" customHeight="1">
      <c r="A87" s="553"/>
      <c r="B87" s="201" t="s">
        <v>2415</v>
      </c>
      <c r="C87" s="506" t="str">
        <f ca="1">CONCATENATE(INDEX('NPC''s'!$B$106:$B$125,RANDBETWEEN(1,20)),", ",INDEX('NPC''s'!$C$106:$C$117,RANDBETWEEN(1,12)),", and ",INDEX('NPC''s'!$D$106:$D$115,RANDBETWEEN(1,10)),". They have ",INDEX('NPC''s'!$H$106:$H$113,RANDBETWEEN(1,8)),", ",INDEX('NPC''s'!$E$106:$E$117,RANDBETWEEN(1,12)),", ",INDEX('NPC''s'!$F$106:$F$113,RANDBETWEEN(1,8)),", and ",INDEX('NPC''s'!$G$106:$G$125,RANDBETWEEN(1,20)))</f>
        <v>DARK EYES, UNEVEN EARS, and CROOKED TEETH. They have A LARGE MOLE, A DELICATE NOSE, A SHARP JAWLINE, and A SHAVED HEAD</v>
      </c>
      <c r="D87" s="507"/>
      <c r="E87" s="507"/>
      <c r="F87" s="507"/>
      <c r="G87" s="508"/>
      <c r="H87" s="20"/>
      <c r="I87" s="553"/>
      <c r="J87" s="201" t="s">
        <v>2415</v>
      </c>
      <c r="K87" s="506" t="str">
        <f ca="1">CONCATENATE(INDEX('NPC''s'!$B$106:$B$125,RANDBETWEEN(1,20)),", ",INDEX('NPC''s'!$C$106:$C$117,RANDBETWEEN(1,12)),", and ",INDEX('NPC''s'!$D$106:$D$115,RANDBETWEEN(1,10)),". They have ",INDEX('NPC''s'!$H$106:$H$113,RANDBETWEEN(1,8)),", ",INDEX('NPC''s'!$E$106:$E$117,RANDBETWEEN(1,12)),", ",INDEX('NPC''s'!$F$106:$F$113,RANDBETWEEN(1,8)),", and ",INDEX('NPC''s'!$G$106:$G$125,RANDBETWEEN(1,20)))</f>
        <v>SMILING EYES, POINTY EARS, and THIN LIPS. They have CHUBBY CHEEKS, A BULBOUS NOSE, A ROUND JAW, and UNRULY HAIR</v>
      </c>
      <c r="L87" s="507"/>
      <c r="M87" s="507"/>
      <c r="N87" s="507"/>
      <c r="O87" s="508"/>
      <c r="P87" s="20"/>
      <c r="Q87" s="553"/>
      <c r="R87" s="201" t="s">
        <v>2415</v>
      </c>
      <c r="S87" s="506" t="str">
        <f ca="1">CONCATENATE(INDEX('NPC''s'!$B$106:$B$125,RANDBETWEEN(1,20)),", ",INDEX('NPC''s'!$C$106:$C$117,RANDBETWEEN(1,12)),", and ",INDEX('NPC''s'!$D$106:$D$115,RANDBETWEEN(1,10)),". They have ",INDEX('NPC''s'!$H$106:$H$113,RANDBETWEEN(1,8)),", ",INDEX('NPC''s'!$E$106:$E$117,RANDBETWEEN(1,12)),", ",INDEX('NPC''s'!$F$106:$F$113,RANDBETWEEN(1,8)),", and ",INDEX('NPC''s'!$G$106:$G$125,RANDBETWEEN(1,20)))</f>
        <v>BEADY EYES, UNEVEN EARS, and ONE+ FALSE TEETH. They have AN UNPLEASANT POSTULE, A LONG NOSE, A SHARP JAWLINE, and AN UNUSUAL HAIRSTYLE</v>
      </c>
      <c r="T87" s="507"/>
      <c r="U87" s="507"/>
      <c r="V87" s="507"/>
      <c r="W87" s="508"/>
      <c r="X87" s="220"/>
    </row>
    <row r="88" spans="1:24" ht="39.950000000000003" customHeight="1">
      <c r="A88" s="553"/>
      <c r="B88" s="201" t="s">
        <v>2417</v>
      </c>
      <c r="C88" s="506" t="str">
        <f ca="1">CONCATENATE(INDEX('NPC''s'!$M$106:$M$117,RANDBETWEEN(1,12)),", made of ",INDEX('NPC''s'!$N$106:$N$115,RANDBETWEEN(1,10)))</f>
        <v>A BRACELET, made of LEATHER</v>
      </c>
      <c r="D88" s="507"/>
      <c r="E88" s="507"/>
      <c r="F88" s="507"/>
      <c r="G88" s="508"/>
      <c r="H88" s="20"/>
      <c r="I88" s="553"/>
      <c r="J88" s="201" t="s">
        <v>2417</v>
      </c>
      <c r="K88" s="506" t="str">
        <f ca="1">CONCATENATE(INDEX('NPC''s'!$M$106:$M$117,RANDBETWEEN(1,12)),", made of ",INDEX('NPC''s'!$N$106:$N$115,RANDBETWEEN(1,10)))</f>
        <v>A LARGE CHAIN AROUND NECK, made of IRON</v>
      </c>
      <c r="L88" s="507"/>
      <c r="M88" s="507"/>
      <c r="N88" s="507"/>
      <c r="O88" s="508"/>
      <c r="P88" s="20"/>
      <c r="Q88" s="553"/>
      <c r="R88" s="201" t="s">
        <v>2417</v>
      </c>
      <c r="S88" s="506" t="str">
        <f ca="1">CONCATENATE(INDEX('NPC''s'!$M$106:$M$117,RANDBETWEEN(1,12)),", made of ",INDEX('NPC''s'!$N$106:$N$115,RANDBETWEEN(1,10)))</f>
        <v>A SMALL CHAIN AROUND NECK, made of STONE</v>
      </c>
      <c r="T88" s="507"/>
      <c r="U88" s="507"/>
      <c r="V88" s="507"/>
      <c r="W88" s="508"/>
      <c r="X88" s="220"/>
    </row>
    <row r="89" spans="1:24" ht="39.950000000000003" customHeight="1">
      <c r="A89" s="553"/>
      <c r="B89" s="201" t="s">
        <v>2418</v>
      </c>
      <c r="C89" s="506" t="str">
        <f ca="1">CONCATENATE(INDEX('NPC''s'!$O$106:$O$113,RANDBETWEEN(1,8)))</f>
        <v>FADED AND PATCHED</v>
      </c>
      <c r="D89" s="507"/>
      <c r="E89" s="507"/>
      <c r="F89" s="507"/>
      <c r="G89" s="508"/>
      <c r="H89" s="20"/>
      <c r="I89" s="553"/>
      <c r="J89" s="201" t="s">
        <v>2418</v>
      </c>
      <c r="K89" s="506" t="str">
        <f ca="1">CONCATENATE(INDEX('NPC''s'!$O$106:$O$113,RANDBETWEEN(1,8)))</f>
        <v>HIGHEST QUALITY</v>
      </c>
      <c r="L89" s="507"/>
      <c r="M89" s="507"/>
      <c r="N89" s="507"/>
      <c r="O89" s="508"/>
      <c r="P89" s="20"/>
      <c r="Q89" s="553"/>
      <c r="R89" s="201" t="s">
        <v>2418</v>
      </c>
      <c r="S89" s="506" t="str">
        <f ca="1">CONCATENATE(INDEX('NPC''s'!$O$106:$O$113,RANDBETWEEN(1,8)))</f>
        <v>HIGHEST QUALITY</v>
      </c>
      <c r="T89" s="507"/>
      <c r="U89" s="507"/>
      <c r="V89" s="507"/>
      <c r="W89" s="508"/>
      <c r="X89" s="220"/>
    </row>
    <row r="90" spans="1:24" ht="39.950000000000003" customHeight="1">
      <c r="A90" s="553"/>
      <c r="B90" s="201" t="s">
        <v>2435</v>
      </c>
      <c r="C90" s="506" t="str">
        <f ca="1">CONCATENATE(INDEX('NPC''s'!$S$106:$S$113,RANDBETWEEN(1,8)))</f>
        <v>QUIET, TRUE BELIEVER</v>
      </c>
      <c r="D90" s="507"/>
      <c r="E90" s="507"/>
      <c r="F90" s="507"/>
      <c r="G90" s="508"/>
      <c r="H90" s="20"/>
      <c r="I90" s="553"/>
      <c r="J90" s="201" t="s">
        <v>2435</v>
      </c>
      <c r="K90" s="506" t="str">
        <f ca="1">CONCATENATE(INDEX('NPC''s'!$S$106:$S$113,RANDBETWEEN(1,8)))</f>
        <v>OUTSPOKEN CYNIC</v>
      </c>
      <c r="L90" s="507"/>
      <c r="M90" s="507"/>
      <c r="N90" s="507"/>
      <c r="O90" s="508"/>
      <c r="P90" s="20"/>
      <c r="Q90" s="553"/>
      <c r="R90" s="201" t="s">
        <v>2435</v>
      </c>
      <c r="S90" s="506" t="str">
        <f ca="1">CONCATENATE(INDEX('NPC''s'!$S$106:$S$113,RANDBETWEEN(1,8)))</f>
        <v>QUIET, TRUE BELIEVER</v>
      </c>
      <c r="T90" s="507"/>
      <c r="U90" s="507"/>
      <c r="V90" s="507"/>
      <c r="W90" s="508"/>
      <c r="X90" s="220"/>
    </row>
    <row r="91" spans="1:24" ht="39.950000000000003" customHeight="1">
      <c r="A91" s="553"/>
      <c r="B91" s="201" t="s">
        <v>2420</v>
      </c>
      <c r="C91" s="506" t="str">
        <f ca="1">CONCATENATE(INDEX('NPC''s'!$T$106:$T$111,RANDBETWEEN(1,6)))</f>
        <v>CHILDREN</v>
      </c>
      <c r="D91" s="507"/>
      <c r="E91" s="507"/>
      <c r="F91" s="507"/>
      <c r="G91" s="508"/>
      <c r="H91" s="20"/>
      <c r="I91" s="553"/>
      <c r="J91" s="201" t="s">
        <v>2420</v>
      </c>
      <c r="K91" s="506" t="str">
        <f ca="1">CONCATENATE(INDEX('NPC''s'!$T$106:$T$111,RANDBETWEEN(1,6)))</f>
        <v>OTHER GENDERS</v>
      </c>
      <c r="L91" s="507"/>
      <c r="M91" s="507"/>
      <c r="N91" s="507"/>
      <c r="O91" s="508"/>
      <c r="P91" s="20"/>
      <c r="Q91" s="553"/>
      <c r="R91" s="201" t="s">
        <v>2420</v>
      </c>
      <c r="S91" s="506" t="str">
        <f ca="1">CONCATENATE(INDEX('NPC''s'!$T$106:$T$111,RANDBETWEEN(1,6)))</f>
        <v>CHILDREN</v>
      </c>
      <c r="T91" s="507"/>
      <c r="U91" s="507"/>
      <c r="V91" s="507"/>
      <c r="W91" s="508"/>
      <c r="X91" s="220"/>
    </row>
    <row r="92" spans="1:24" ht="39.950000000000003" customHeight="1" thickBot="1">
      <c r="A92" s="554"/>
      <c r="B92" s="202" t="s">
        <v>2419</v>
      </c>
      <c r="C92" s="509" t="str">
        <f ca="1">CONCATENATE("Their current mood is ",INDEX('NPC''s'!$R$106:$R$125,RANDBETWEEN(1,20)),". When calm, they are ",INDEX('NPC''s'!$P$106:$P$137,RANDBETWEEN(1,32)),", and when stressed they are ",INDEX('NPC''s'!$Q$106:$Q$137,RANDBETWEEN(1,32)))</f>
        <v>Their current mood is FRIENDLY. When calm, they are DECEITFUL, and when stressed they are DESTRUCTIVE</v>
      </c>
      <c r="D92" s="510"/>
      <c r="E92" s="510"/>
      <c r="F92" s="510"/>
      <c r="G92" s="511"/>
      <c r="H92" s="20"/>
      <c r="I92" s="554"/>
      <c r="J92" s="202" t="s">
        <v>2419</v>
      </c>
      <c r="K92" s="509" t="str">
        <f ca="1">CONCATENATE("Their current mood is ",INDEX('NPC''s'!$R$106:$R$125,RANDBETWEEN(1,20)),". When calm, they are ",INDEX('NPC''s'!$P$106:$P$137,RANDBETWEEN(1,32)),", and when stressed they are ",INDEX('NPC''s'!$Q$106:$Q$137,RANDBETWEEN(1,32)))</f>
        <v>Their current mood is TIRED. When calm, they are SOPHISTICATED, and when stressed they are ARGUMENTATIVE</v>
      </c>
      <c r="L92" s="510"/>
      <c r="M92" s="510"/>
      <c r="N92" s="510"/>
      <c r="O92" s="511"/>
      <c r="P92" s="20"/>
      <c r="Q92" s="554"/>
      <c r="R92" s="202" t="s">
        <v>2419</v>
      </c>
      <c r="S92" s="509" t="str">
        <f ca="1">CONCATENATE("Their current mood is ",INDEX('NPC''s'!$R$106:$R$125,RANDBETWEEN(1,20)),". When calm, they are ",INDEX('NPC''s'!$P$106:$P$137,RANDBETWEEN(1,32)),", and when stressed they are ",INDEX('NPC''s'!$Q$106:$Q$137,RANDBETWEEN(1,32)))</f>
        <v>Their current mood is HAPPY. When calm, they are DECEITFUL, and when stressed they are DESTRUCTIVE</v>
      </c>
      <c r="T92" s="510"/>
      <c r="U92" s="510"/>
      <c r="V92" s="510"/>
      <c r="W92" s="511"/>
      <c r="X92" s="220"/>
    </row>
    <row r="93" spans="1:24" ht="30" customHeight="1" thickBot="1">
      <c r="A93" s="20"/>
      <c r="B93" s="20"/>
      <c r="C93" s="20"/>
      <c r="D93" s="20"/>
      <c r="E93" s="20"/>
      <c r="F93" s="20"/>
      <c r="G93" s="20"/>
      <c r="H93" s="20"/>
      <c r="I93" s="20"/>
      <c r="J93" s="20"/>
      <c r="K93" s="20"/>
      <c r="L93" s="20"/>
      <c r="M93" s="20"/>
      <c r="N93" s="20"/>
      <c r="O93" s="20"/>
      <c r="P93" s="20"/>
      <c r="Q93" s="20"/>
      <c r="R93" s="20"/>
      <c r="S93" s="20"/>
      <c r="T93" s="20"/>
      <c r="U93" s="20"/>
      <c r="V93" s="20"/>
      <c r="W93" s="20"/>
      <c r="X93" s="220"/>
    </row>
    <row r="94" spans="1:24" ht="39.950000000000003" customHeight="1">
      <c r="A94" s="805" t="s">
        <v>4241</v>
      </c>
      <c r="B94" s="806"/>
      <c r="C94" s="807" t="str">
        <f ca="1">INDEX($X$180:$X$249,RANDBETWEEN(1,70))</f>
        <v>Quartermasters</v>
      </c>
      <c r="D94" s="807"/>
      <c r="E94" s="807"/>
      <c r="F94" s="807"/>
      <c r="G94" s="808"/>
      <c r="H94" s="187"/>
      <c r="I94" s="805" t="s">
        <v>4241</v>
      </c>
      <c r="J94" s="806"/>
      <c r="K94" s="807" t="str">
        <f ca="1">INDEX($X$180:$X$249,RANDBETWEEN(1,70))</f>
        <v>Law officials</v>
      </c>
      <c r="L94" s="807"/>
      <c r="M94" s="807"/>
      <c r="N94" s="807"/>
      <c r="O94" s="808"/>
      <c r="P94" s="187"/>
      <c r="Q94" s="805" t="s">
        <v>4241</v>
      </c>
      <c r="R94" s="806"/>
      <c r="S94" s="807" t="str">
        <f ca="1">INDEX($X$180:$X$249,RANDBETWEEN(1,70))</f>
        <v>Thieves</v>
      </c>
      <c r="T94" s="807"/>
      <c r="U94" s="807"/>
      <c r="V94" s="807"/>
      <c r="W94" s="808"/>
      <c r="X94" s="220"/>
    </row>
    <row r="95" spans="1:24" ht="39.950000000000003" customHeight="1" thickBot="1">
      <c r="A95" s="784" t="s">
        <v>3664</v>
      </c>
      <c r="B95" s="785"/>
      <c r="C95" s="797" t="str">
        <f ca="1">INDEX('Random Motivations'!$B$2:$B$101,RANDBETWEEN(1,100))</f>
        <v>Cooking &amp; eating</v>
      </c>
      <c r="D95" s="797"/>
      <c r="E95" s="797"/>
      <c r="F95" s="797"/>
      <c r="G95" s="798"/>
      <c r="H95" s="187"/>
      <c r="I95" s="784" t="s">
        <v>3664</v>
      </c>
      <c r="J95" s="785"/>
      <c r="K95" s="797" t="str">
        <f ca="1">INDEX('Random Motivations'!$B$2:$B$101,RANDBETWEEN(1,100))</f>
        <v>On a crusade</v>
      </c>
      <c r="L95" s="797"/>
      <c r="M95" s="797"/>
      <c r="N95" s="797"/>
      <c r="O95" s="798"/>
      <c r="P95" s="187"/>
      <c r="Q95" s="784" t="s">
        <v>3664</v>
      </c>
      <c r="R95" s="785"/>
      <c r="S95" s="797" t="str">
        <f ca="1">INDEX('Random Motivations'!$B$2:$B$101,RANDBETWEEN(1,100))</f>
        <v>Celebrating a religious festival</v>
      </c>
      <c r="T95" s="797"/>
      <c r="U95" s="797"/>
      <c r="V95" s="797"/>
      <c r="W95" s="798"/>
      <c r="X95" s="220"/>
    </row>
    <row r="96" spans="1:24" ht="39.950000000000003" customHeight="1">
      <c r="A96" s="801"/>
      <c r="B96" s="232" t="s">
        <v>2416</v>
      </c>
      <c r="C96" s="802" t="str">
        <f ca="1">CONCATENATE(INDEX('NPC''s'!$I$106:$I$115,RANDBETWEEN(1,10))," in stature, with a ",INDEX('NPC''s'!$J$106:$J$125,RANDBETWEEN(1,20))," body, and ",INDEX('NPC''s'!$K$106:$K$111,RANDBETWEEN(1,6)))</f>
        <v>AVERAGE  in stature, with a COVERED IN HAIR body, and SOFT HANDS.</v>
      </c>
      <c r="D96" s="803"/>
      <c r="E96" s="803"/>
      <c r="F96" s="803"/>
      <c r="G96" s="804"/>
      <c r="H96" s="20"/>
      <c r="I96" s="801"/>
      <c r="J96" s="232" t="s">
        <v>2416</v>
      </c>
      <c r="K96" s="802" t="str">
        <f ca="1">CONCATENATE(INDEX('NPC''s'!$I$106:$I$115,RANDBETWEEN(1,10))," in stature, with a ",INDEX('NPC''s'!$J$106:$J$125,RANDBETWEEN(1,20))," body, and ",INDEX('NPC''s'!$K$106:$K$111,RANDBETWEEN(1,6)))</f>
        <v>SLIGHTLY ABOVE AVERAGE in stature, with a SINEWY AND STRONG body, and A LIGHT TOUCH.</v>
      </c>
      <c r="L96" s="803"/>
      <c r="M96" s="803"/>
      <c r="N96" s="803"/>
      <c r="O96" s="804"/>
      <c r="P96" s="20"/>
      <c r="Q96" s="801"/>
      <c r="R96" s="232" t="s">
        <v>2416</v>
      </c>
      <c r="S96" s="802" t="str">
        <f ca="1">CONCATENATE(INDEX('NPC''s'!$I$106:$I$115,RANDBETWEEN(1,10))," in stature, with a ",INDEX('NPC''s'!$J$106:$J$125,RANDBETWEEN(1,20))," body, and ",INDEX('NPC''s'!$K$106:$K$111,RANDBETWEEN(1,6)))</f>
        <v>SLIGHTLY ABOVE AVERAGE in stature, with a THIN AND DELICATE body, and A HEAVY TOUCH.</v>
      </c>
      <c r="T96" s="803"/>
      <c r="U96" s="803"/>
      <c r="V96" s="803"/>
      <c r="W96" s="804"/>
      <c r="X96" s="220"/>
    </row>
    <row r="97" spans="1:24" ht="39.950000000000003" customHeight="1">
      <c r="A97" s="553"/>
      <c r="B97" s="201" t="s">
        <v>2415</v>
      </c>
      <c r="C97" s="506" t="str">
        <f ca="1">CONCATENATE(INDEX('NPC''s'!$B$106:$B$125,RANDBETWEEN(1,20)),", ",INDEX('NPC''s'!$C$106:$C$117,RANDBETWEEN(1,12)),", and ",INDEX('NPC''s'!$D$106:$D$115,RANDBETWEEN(1,10)),". They have ",INDEX('NPC''s'!$H$106:$H$113,RANDBETWEEN(1,8)),", ",INDEX('NPC''s'!$E$106:$E$117,RANDBETWEEN(1,12)),", ",INDEX('NPC''s'!$F$106:$F$113,RANDBETWEEN(1,8)),", and ",INDEX('NPC''s'!$G$106:$G$125,RANDBETWEEN(1,20)))</f>
        <v>SLEEPY EYES, HAIRY EARS, and ONE+ FALSE TEETH. They have TIGHT, DRAWN CHEEKS, AN ANGULAR NOSE, A CLEFT CHIN, and POOFY HAIR</v>
      </c>
      <c r="D97" s="507"/>
      <c r="E97" s="507"/>
      <c r="F97" s="507"/>
      <c r="G97" s="508"/>
      <c r="H97" s="20"/>
      <c r="I97" s="553"/>
      <c r="J97" s="201" t="s">
        <v>2415</v>
      </c>
      <c r="K97" s="506" t="str">
        <f ca="1">CONCATENATE(INDEX('NPC''s'!$B$106:$B$125,RANDBETWEEN(1,20)),", ",INDEX('NPC''s'!$C$106:$C$117,RANDBETWEEN(1,12)),", and ",INDEX('NPC''s'!$D$106:$D$115,RANDBETWEEN(1,10)),". They have ",INDEX('NPC''s'!$H$106:$H$113,RANDBETWEEN(1,8)),", ",INDEX('NPC''s'!$E$106:$E$117,RANDBETWEEN(1,12)),", ",INDEX('NPC''s'!$F$106:$F$113,RANDBETWEEN(1,8)),", and ",INDEX('NPC''s'!$G$106:$G$125,RANDBETWEEN(1,20)))</f>
        <v>SHIFTY EYES, JUG-HANDLE EARS, and THIN LIPS. They have FRECKLES, A ROUND NOSE, A ROUND JAW, and LUSH HAIR</v>
      </c>
      <c r="L97" s="507"/>
      <c r="M97" s="507"/>
      <c r="N97" s="507"/>
      <c r="O97" s="508"/>
      <c r="P97" s="20"/>
      <c r="Q97" s="553"/>
      <c r="R97" s="201" t="s">
        <v>2415</v>
      </c>
      <c r="S97" s="506" t="str">
        <f ca="1">CONCATENATE(INDEX('NPC''s'!$B$106:$B$125,RANDBETWEEN(1,20)),", ",INDEX('NPC''s'!$C$106:$C$117,RANDBETWEEN(1,12)),", and ",INDEX('NPC''s'!$D$106:$D$115,RANDBETWEEN(1,10)),". They have ",INDEX('NPC''s'!$H$106:$H$113,RANDBETWEEN(1,8)),", ",INDEX('NPC''s'!$E$106:$E$117,RANDBETWEEN(1,12)),", ",INDEX('NPC''s'!$F$106:$F$113,RANDBETWEEN(1,8)),", and ",INDEX('NPC''s'!$G$106:$G$125,RANDBETWEEN(1,20)))</f>
        <v>SHIFTY EYES, ELABORATELY PIERCED EARS, and CROOKED TEETH. They have TERRIBLE SCARRING, AN ANGULAR NOSE, A SHARP JAWLINE, and A HIGH-MAINTANENCE HAIRSTYLE</v>
      </c>
      <c r="T97" s="507"/>
      <c r="U97" s="507"/>
      <c r="V97" s="507"/>
      <c r="W97" s="508"/>
      <c r="X97" s="220"/>
    </row>
    <row r="98" spans="1:24" s="191" customFormat="1" ht="39.950000000000003" customHeight="1">
      <c r="A98" s="553"/>
      <c r="B98" s="201" t="s">
        <v>2417</v>
      </c>
      <c r="C98" s="506" t="str">
        <f ca="1">CONCATENATE(INDEX('NPC''s'!$M$106:$M$117,RANDBETWEEN(1,12)),", made of ",INDEX('NPC''s'!$N$106:$N$115,RANDBETWEEN(1,10)))</f>
        <v>A MEDALLION, made of PEWTER</v>
      </c>
      <c r="D98" s="507"/>
      <c r="E98" s="507"/>
      <c r="F98" s="507"/>
      <c r="G98" s="508"/>
      <c r="H98" s="20"/>
      <c r="I98" s="553"/>
      <c r="J98" s="201" t="s">
        <v>2417</v>
      </c>
      <c r="K98" s="506" t="str">
        <f ca="1">CONCATENATE(INDEX('NPC''s'!$M$106:$M$117,RANDBETWEEN(1,12)),", made of ",INDEX('NPC''s'!$N$106:$N$115,RANDBETWEEN(1,10)))</f>
        <v>AN EARING, made of GOLD</v>
      </c>
      <c r="L98" s="507"/>
      <c r="M98" s="507"/>
      <c r="N98" s="507"/>
      <c r="O98" s="508"/>
      <c r="P98" s="20"/>
      <c r="Q98" s="553"/>
      <c r="R98" s="201" t="s">
        <v>2417</v>
      </c>
      <c r="S98" s="506" t="str">
        <f ca="1">CONCATENATE(INDEX('NPC''s'!$M$106:$M$117,RANDBETWEEN(1,12)),", made of ",INDEX('NPC''s'!$N$106:$N$115,RANDBETWEEN(1,10)))</f>
        <v>A MEDALLION, made of COPPER</v>
      </c>
      <c r="T98" s="507"/>
      <c r="U98" s="507"/>
      <c r="V98" s="507"/>
      <c r="W98" s="508"/>
      <c r="X98" s="224"/>
    </row>
    <row r="99" spans="1:24" s="191" customFormat="1" ht="39.950000000000003" customHeight="1">
      <c r="A99" s="553"/>
      <c r="B99" s="201" t="s">
        <v>2418</v>
      </c>
      <c r="C99" s="506" t="str">
        <f ca="1">CONCATENATE(INDEX('NPC''s'!$O$106:$O$113,RANDBETWEEN(1,8)))</f>
        <v>A BIT OLD-FASHIONED</v>
      </c>
      <c r="D99" s="507"/>
      <c r="E99" s="507"/>
      <c r="F99" s="507"/>
      <c r="G99" s="508"/>
      <c r="H99" s="20"/>
      <c r="I99" s="553"/>
      <c r="J99" s="201" t="s">
        <v>2418</v>
      </c>
      <c r="K99" s="506" t="str">
        <f ca="1">CONCATENATE(INDEX('NPC''s'!$O$106:$O$113,RANDBETWEEN(1,8)))</f>
        <v>HIGHEST QUALITY</v>
      </c>
      <c r="L99" s="507"/>
      <c r="M99" s="507"/>
      <c r="N99" s="507"/>
      <c r="O99" s="508"/>
      <c r="P99" s="20"/>
      <c r="Q99" s="553"/>
      <c r="R99" s="201" t="s">
        <v>2418</v>
      </c>
      <c r="S99" s="506" t="str">
        <f ca="1">CONCATENATE(INDEX('NPC''s'!$O$106:$O$113,RANDBETWEEN(1,8)))</f>
        <v>A BIT OLD-FASHIONED</v>
      </c>
      <c r="T99" s="507"/>
      <c r="U99" s="507"/>
      <c r="V99" s="507"/>
      <c r="W99" s="508"/>
      <c r="X99" s="224"/>
    </row>
    <row r="100" spans="1:24" s="191" customFormat="1" ht="39.950000000000003" customHeight="1">
      <c r="A100" s="553"/>
      <c r="B100" s="201" t="s">
        <v>2435</v>
      </c>
      <c r="C100" s="506" t="str">
        <f ca="1">CONCATENATE(INDEX('NPC''s'!$S$106:$S$113,RANDBETWEEN(1,8)))</f>
        <v>CAUTIOUS LISTENER</v>
      </c>
      <c r="D100" s="507"/>
      <c r="E100" s="507"/>
      <c r="F100" s="507"/>
      <c r="G100" s="508"/>
      <c r="H100" s="20"/>
      <c r="I100" s="553"/>
      <c r="J100" s="201" t="s">
        <v>2435</v>
      </c>
      <c r="K100" s="506" t="str">
        <f ca="1">CONCATENATE(INDEX('NPC''s'!$S$106:$S$113,RANDBETWEEN(1,8)))</f>
        <v>FANATICAL TRUE BELIEVER</v>
      </c>
      <c r="L100" s="507"/>
      <c r="M100" s="507"/>
      <c r="N100" s="507"/>
      <c r="O100" s="508"/>
      <c r="P100" s="20"/>
      <c r="Q100" s="553"/>
      <c r="R100" s="201" t="s">
        <v>2435</v>
      </c>
      <c r="S100" s="506" t="str">
        <f ca="1">CONCATENATE(INDEX('NPC''s'!$S$106:$S$113,RANDBETWEEN(1,8)))</f>
        <v>CASUAL OBSERVER</v>
      </c>
      <c r="T100" s="507"/>
      <c r="U100" s="507"/>
      <c r="V100" s="507"/>
      <c r="W100" s="508"/>
      <c r="X100" s="224"/>
    </row>
    <row r="101" spans="1:24" s="191" customFormat="1" ht="39.950000000000003" customHeight="1">
      <c r="A101" s="553"/>
      <c r="B101" s="201" t="s">
        <v>2420</v>
      </c>
      <c r="C101" s="506" t="str">
        <f ca="1">CONCATENATE(INDEX('NPC''s'!$T$106:$T$111,RANDBETWEEN(1,6)))</f>
        <v>FISHERS</v>
      </c>
      <c r="D101" s="507"/>
      <c r="E101" s="507"/>
      <c r="F101" s="507"/>
      <c r="G101" s="508"/>
      <c r="H101" s="20"/>
      <c r="I101" s="553"/>
      <c r="J101" s="201" t="s">
        <v>2420</v>
      </c>
      <c r="K101" s="506" t="str">
        <f ca="1">CONCATENATE(INDEX('NPC''s'!$T$106:$T$111,RANDBETWEEN(1,6)))</f>
        <v>HALFLINGS</v>
      </c>
      <c r="L101" s="507"/>
      <c r="M101" s="507"/>
      <c r="N101" s="507"/>
      <c r="O101" s="508"/>
      <c r="P101" s="20"/>
      <c r="Q101" s="553"/>
      <c r="R101" s="201" t="s">
        <v>2420</v>
      </c>
      <c r="S101" s="506" t="str">
        <f ca="1">CONCATENATE(INDEX('NPC''s'!$T$106:$T$111,RANDBETWEEN(1,6)))</f>
        <v>CHILDREN</v>
      </c>
      <c r="T101" s="507"/>
      <c r="U101" s="507"/>
      <c r="V101" s="507"/>
      <c r="W101" s="508"/>
      <c r="X101" s="224"/>
    </row>
    <row r="102" spans="1:24" s="191" customFormat="1" ht="39.950000000000003" customHeight="1" thickBot="1">
      <c r="A102" s="554"/>
      <c r="B102" s="202" t="s">
        <v>2419</v>
      </c>
      <c r="C102" s="509" t="str">
        <f ca="1">CONCATENATE("Their current mood is ",INDEX('NPC''s'!$R$106:$R$125,RANDBETWEEN(1,20)),". When calm, they are ",INDEX('NPC''s'!$P$106:$P$137,RANDBETWEEN(1,32)),", and when stressed they are ",INDEX('NPC''s'!$Q$106:$Q$137,RANDBETWEEN(1,32)))</f>
        <v>Their current mood is SUSPICIOUS. When calm, they are DECEITFUL, and when stressed they are OBSESSIVE</v>
      </c>
      <c r="D102" s="510"/>
      <c r="E102" s="510"/>
      <c r="F102" s="510"/>
      <c r="G102" s="511"/>
      <c r="H102" s="20"/>
      <c r="I102" s="554"/>
      <c r="J102" s="202" t="s">
        <v>2419</v>
      </c>
      <c r="K102" s="509" t="str">
        <f ca="1">CONCATENATE("Their current mood is ",INDEX('NPC''s'!$R$106:$R$125,RANDBETWEEN(1,20)),". When calm, they are ",INDEX('NPC''s'!$P$106:$P$137,RANDBETWEEN(1,32)),", and when stressed they are ",INDEX('NPC''s'!$Q$106:$Q$137,RANDBETWEEN(1,32)))</f>
        <v>Their current mood is AGITATED. When calm, they are DOUR, and when stressed they are OBSESSIVE</v>
      </c>
      <c r="L102" s="510"/>
      <c r="M102" s="510"/>
      <c r="N102" s="510"/>
      <c r="O102" s="511"/>
      <c r="P102" s="20"/>
      <c r="Q102" s="554"/>
      <c r="R102" s="202" t="s">
        <v>2419</v>
      </c>
      <c r="S102" s="509" t="str">
        <f ca="1">CONCATENATE("Their current mood is ",INDEX('NPC''s'!$R$106:$R$125,RANDBETWEEN(1,20)),". When calm, they are ",INDEX('NPC''s'!$P$106:$P$137,RANDBETWEEN(1,32)),", and when stressed they are ",INDEX('NPC''s'!$Q$106:$Q$137,RANDBETWEEN(1,32)))</f>
        <v>Their current mood is CAREFREE. When calm, they are DOUR, and when stressed they are ARGUMENTATIVE</v>
      </c>
      <c r="T102" s="510"/>
      <c r="U102" s="510"/>
      <c r="V102" s="510"/>
      <c r="W102" s="511"/>
      <c r="X102" s="224"/>
    </row>
    <row r="103" spans="1:24" s="191" customFormat="1" ht="30" customHeight="1" thickBot="1">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224"/>
    </row>
    <row r="104" spans="1:24" s="191" customFormat="1" ht="30" customHeight="1" thickBot="1">
      <c r="A104" s="827" t="s">
        <v>6549</v>
      </c>
      <c r="B104" s="828"/>
      <c r="C104" s="828"/>
      <c r="D104" s="828"/>
      <c r="E104" s="828"/>
      <c r="F104" s="828"/>
      <c r="G104" s="828"/>
      <c r="H104" s="828"/>
      <c r="I104" s="828"/>
      <c r="J104" s="828"/>
      <c r="K104" s="828"/>
      <c r="L104" s="828"/>
      <c r="M104" s="828"/>
      <c r="N104" s="828"/>
      <c r="O104" s="828"/>
      <c r="P104" s="828"/>
      <c r="Q104" s="828"/>
      <c r="R104" s="828"/>
      <c r="S104" s="828"/>
      <c r="T104" s="828"/>
      <c r="U104" s="828"/>
      <c r="V104" s="828"/>
      <c r="W104" s="829"/>
      <c r="X104" s="224"/>
    </row>
    <row r="105" spans="1:24" s="191" customFormat="1" ht="30" customHeight="1">
      <c r="A105" s="830" t="s">
        <v>6550</v>
      </c>
      <c r="B105" s="831"/>
      <c r="C105" s="751" t="str">
        <f ca="1">CONCATENATE(INDEX($EE$180:$EE$199,RANDBETWEEN(1,20))," ",INDEX($EG$180:$EG$183,RANDBETWEEN(1,4))," ",INDEX($EH$180:$EH$199,RANDBETWEEN(1,20))," was ",INDEX($EI$180:$EI$199,RANDBETWEEN(1,20))," ",INDEX($EJ$180:$EJ$215,RANDBETWEEN(1,36))," ",INDEX($EK$180:$EK$189,RANDBETWEEN(1,10)))</f>
        <v>A young unknown  assassin was fed to wild animals  in the catacombs like several similar victims before.</v>
      </c>
      <c r="D105" s="751"/>
      <c r="E105" s="751"/>
      <c r="F105" s="751"/>
      <c r="G105" s="751"/>
      <c r="H105" s="751"/>
      <c r="I105" s="751"/>
      <c r="J105" s="751"/>
      <c r="K105" s="751"/>
      <c r="L105" s="751"/>
      <c r="M105" s="751"/>
      <c r="N105" s="751"/>
      <c r="O105" s="752"/>
      <c r="P105" s="188"/>
      <c r="Q105" s="188"/>
      <c r="R105" s="188"/>
      <c r="S105" s="188"/>
      <c r="T105" s="188"/>
      <c r="U105" s="188"/>
      <c r="V105" s="188"/>
      <c r="W105" s="188"/>
      <c r="X105" s="224"/>
    </row>
    <row r="106" spans="1:24" s="191" customFormat="1" ht="30" customHeight="1">
      <c r="A106" s="825" t="s">
        <v>6551</v>
      </c>
      <c r="B106" s="826"/>
      <c r="C106" s="721" t="str">
        <f ca="1">CONCATENATE("The case is being handled by ",INDEX($EL$180:$EL$189,RANDBETWEEN(1,10)),", who are ",INDEX($EM$180:$EM$185,RANDBETWEEN(1,6))," solving it, and ",INDEX($EN$180:$EN$191,RANDBETWEEN(1,12))," share details.")</f>
        <v>The case is being handled by the royal guard, who are doing all they can in solving it, and are in no way willing to share details.</v>
      </c>
      <c r="D106" s="721"/>
      <c r="E106" s="721"/>
      <c r="F106" s="721"/>
      <c r="G106" s="721"/>
      <c r="H106" s="721"/>
      <c r="I106" s="721"/>
      <c r="J106" s="721"/>
      <c r="K106" s="721"/>
      <c r="L106" s="721"/>
      <c r="M106" s="721"/>
      <c r="N106" s="721"/>
      <c r="O106" s="722"/>
      <c r="P106" s="188"/>
      <c r="Q106" s="188"/>
      <c r="R106" s="188"/>
      <c r="S106" s="188"/>
      <c r="T106" s="188"/>
      <c r="U106" s="188"/>
      <c r="V106" s="188"/>
      <c r="W106" s="188"/>
      <c r="X106" s="224"/>
    </row>
    <row r="107" spans="1:24" s="191" customFormat="1" ht="30" customHeight="1" thickBot="1">
      <c r="A107" s="821" t="s">
        <v>6552</v>
      </c>
      <c r="B107" s="822"/>
      <c r="C107" s="723" t="str">
        <f ca="1">CONCATENATE(INDEX($EO$180:$EO$189,RANDBETWEEN(1,10))," a connection to ",INDEX($EP$180:$EP$199,RANDBETWEEN(1,20)))</f>
        <v>According to the flyers distributed in quite overwhelming numbers around town, there is definitely a connection to  markings of a wild animal</v>
      </c>
      <c r="D107" s="723"/>
      <c r="E107" s="723"/>
      <c r="F107" s="723"/>
      <c r="G107" s="723"/>
      <c r="H107" s="723"/>
      <c r="I107" s="723"/>
      <c r="J107" s="723"/>
      <c r="K107" s="723"/>
      <c r="L107" s="723"/>
      <c r="M107" s="723"/>
      <c r="N107" s="723"/>
      <c r="O107" s="724"/>
      <c r="P107" s="188"/>
      <c r="Q107" s="188"/>
      <c r="R107" s="188"/>
      <c r="S107" s="188"/>
      <c r="T107" s="188"/>
      <c r="U107" s="188"/>
      <c r="V107" s="188"/>
      <c r="W107" s="188"/>
      <c r="X107" s="224"/>
    </row>
    <row r="108" spans="1:24" s="191" customFormat="1" ht="15" customHeight="1" thickBot="1">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224"/>
    </row>
    <row r="109" spans="1:24" s="191" customFormat="1" ht="35.1" customHeight="1">
      <c r="A109" s="823" t="s">
        <v>6550</v>
      </c>
      <c r="B109" s="824"/>
      <c r="C109" s="725" t="str">
        <f ca="1">CONCATENATE(INDEX($EE$180:$EE$199,RANDBETWEEN(1,20))," ",INDEX($EG$180:$EG$183,RANDBETWEEN(1,4))," ",INDEX($EH$180:$EH$199,RANDBETWEEN(1,20))," was ",INDEX($EI$180:$EI$199,RANDBETWEEN(1,20))," ",INDEX($EJ$180:$EJ$215,RANDBETWEEN(1,36))," ",INDEX($EK$180:$EK$189,RANDBETWEEN(1,10)))</f>
        <v>A down on his luck local  thief was taken hostage  in an old mansion to no real surprise to the local population.</v>
      </c>
      <c r="D109" s="725"/>
      <c r="E109" s="725"/>
      <c r="F109" s="725"/>
      <c r="G109" s="725"/>
      <c r="H109" s="725"/>
      <c r="I109" s="725"/>
      <c r="J109" s="725"/>
      <c r="K109" s="725"/>
      <c r="L109" s="725"/>
      <c r="M109" s="725"/>
      <c r="N109" s="725"/>
      <c r="O109" s="726"/>
      <c r="P109" s="188"/>
      <c r="Q109" s="192"/>
      <c r="R109" s="192"/>
      <c r="S109" s="192"/>
      <c r="T109" s="88"/>
      <c r="U109" s="88"/>
      <c r="V109" s="88"/>
      <c r="W109" s="88"/>
      <c r="X109" s="224"/>
    </row>
    <row r="110" spans="1:24" s="191" customFormat="1" ht="35.1" customHeight="1">
      <c r="A110" s="825" t="s">
        <v>6551</v>
      </c>
      <c r="B110" s="826"/>
      <c r="C110" s="721" t="str">
        <f ca="1">CONCATENATE("The case is being handled by ",INDEX($EL$180:$EL$189,RANDBETWEEN(1,10)),", who are ",INDEX($EM$180:$EM$185,RANDBETWEEN(1,6))," solving it, and ",INDEX($EN$180:$EN$191,RANDBETWEEN(1,12))," share details.")</f>
        <v>The case is being handled by an old man in a robe and his dog, who are not doing so much for solving it, and  way to willing to share details.</v>
      </c>
      <c r="D110" s="721"/>
      <c r="E110" s="721"/>
      <c r="F110" s="721"/>
      <c r="G110" s="721"/>
      <c r="H110" s="721"/>
      <c r="I110" s="721"/>
      <c r="J110" s="721"/>
      <c r="K110" s="721"/>
      <c r="L110" s="721"/>
      <c r="M110" s="721"/>
      <c r="N110" s="721"/>
      <c r="O110" s="722"/>
      <c r="P110" s="188"/>
      <c r="Q110" s="192"/>
      <c r="R110" s="192"/>
      <c r="S110" s="192"/>
      <c r="T110" s="88"/>
      <c r="U110" s="88"/>
      <c r="V110" s="88"/>
      <c r="W110" s="88"/>
      <c r="X110" s="224"/>
    </row>
    <row r="111" spans="1:24" s="191" customFormat="1" ht="35.1" customHeight="1" thickBot="1">
      <c r="A111" s="821" t="s">
        <v>6552</v>
      </c>
      <c r="B111" s="822"/>
      <c r="C111" s="723" t="str">
        <f ca="1">CONCATENATE(INDEX($EO$180:$EO$189,RANDBETWEEN(1,10))," a connection to ",INDEX($EP$180:$EP$199,RANDBETWEEN(1,20)))</f>
        <v>At the scene of the crime is a verse from a poem, written with intestines laid out in beautiful cursive - it has a connection to a local cult with rather extreme beliefs</v>
      </c>
      <c r="D111" s="723"/>
      <c r="E111" s="723"/>
      <c r="F111" s="723"/>
      <c r="G111" s="723"/>
      <c r="H111" s="723"/>
      <c r="I111" s="723"/>
      <c r="J111" s="723"/>
      <c r="K111" s="723"/>
      <c r="L111" s="723"/>
      <c r="M111" s="723"/>
      <c r="N111" s="723"/>
      <c r="O111" s="724"/>
      <c r="P111" s="188"/>
      <c r="Q111" s="192"/>
      <c r="R111" s="192"/>
      <c r="S111" s="192"/>
      <c r="T111" s="88"/>
      <c r="U111" s="88"/>
      <c r="V111" s="88"/>
      <c r="W111" s="88"/>
      <c r="X111" s="224"/>
    </row>
    <row r="112" spans="1:24" s="191" customFormat="1" ht="15" customHeight="1" thickBot="1">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224"/>
    </row>
    <row r="113" spans="1:24" s="191" customFormat="1" ht="35.1" customHeight="1">
      <c r="A113" s="823" t="s">
        <v>6550</v>
      </c>
      <c r="B113" s="824"/>
      <c r="C113" s="725" t="str">
        <f ca="1">CONCATENATE(INDEX($EE$180:$EE$199,RANDBETWEEN(1,20))," ",INDEX($EG$180:$EG$183,RANDBETWEEN(1,4))," ",INDEX($EH$180:$EH$199,RANDBETWEEN(1,20))," was ",INDEX($EI$180:$EI$199,RANDBETWEEN(1,20))," ",INDEX($EJ$180:$EJ$215,RANDBETWEEN(1,36))," ",INDEX($EK$180:$EK$189,RANDBETWEEN(1,10)))</f>
        <v>A commonly dressed local  hobo was blown up  in a crypt like several similar victims before.</v>
      </c>
      <c r="D113" s="725"/>
      <c r="E113" s="725"/>
      <c r="F113" s="725"/>
      <c r="G113" s="725"/>
      <c r="H113" s="725"/>
      <c r="I113" s="725"/>
      <c r="J113" s="725"/>
      <c r="K113" s="725"/>
      <c r="L113" s="725"/>
      <c r="M113" s="725"/>
      <c r="N113" s="725"/>
      <c r="O113" s="726"/>
      <c r="P113" s="188"/>
      <c r="Q113" s="188"/>
      <c r="R113" s="188"/>
      <c r="S113" s="188"/>
      <c r="T113" s="188"/>
      <c r="U113" s="188"/>
      <c r="V113" s="188"/>
      <c r="W113" s="188"/>
      <c r="X113" s="224"/>
    </row>
    <row r="114" spans="1:24" s="191" customFormat="1" ht="35.1" customHeight="1">
      <c r="A114" s="825" t="s">
        <v>6551</v>
      </c>
      <c r="B114" s="826"/>
      <c r="C114" s="721" t="str">
        <f ca="1">CONCATENATE("The case is being handled by ",INDEX($EL$180:$EL$189,RANDBETWEEN(1,10)),", who are ",INDEX($EM$180:$EM$185,RANDBETWEEN(1,6))," solving it, and ",INDEX($EN$180:$EN$191,RANDBETWEEN(1,12))," share details.")</f>
        <v>The case is being handled by a peculiar woman who won't disclose her relationship to the victim, who are not very interested in solving it, and are very skeptical to share details.</v>
      </c>
      <c r="D114" s="721"/>
      <c r="E114" s="721"/>
      <c r="F114" s="721"/>
      <c r="G114" s="721"/>
      <c r="H114" s="721"/>
      <c r="I114" s="721"/>
      <c r="J114" s="721"/>
      <c r="K114" s="721"/>
      <c r="L114" s="721"/>
      <c r="M114" s="721"/>
      <c r="N114" s="721"/>
      <c r="O114" s="722"/>
      <c r="P114" s="188"/>
      <c r="Q114" s="188"/>
      <c r="R114" s="188"/>
      <c r="S114" s="188"/>
      <c r="T114" s="188"/>
      <c r="U114" s="188"/>
      <c r="V114" s="188"/>
      <c r="W114" s="188"/>
      <c r="X114" s="224"/>
    </row>
    <row r="115" spans="1:24" s="191" customFormat="1" ht="35.1" customHeight="1" thickBot="1">
      <c r="A115" s="821" t="s">
        <v>6552</v>
      </c>
      <c r="B115" s="822"/>
      <c r="C115" s="723" t="str">
        <f ca="1">CONCATENATE(INDEX($EO$180:$EO$189,RANDBETWEEN(1,10))," a connection to ",INDEX($EP$180:$EP$199,RANDBETWEEN(1,20)))</f>
        <v>A group of craftsmen walking by talks about a connection to  the terrible story no one wants to remember</v>
      </c>
      <c r="D115" s="723"/>
      <c r="E115" s="723"/>
      <c r="F115" s="723"/>
      <c r="G115" s="723"/>
      <c r="H115" s="723"/>
      <c r="I115" s="723"/>
      <c r="J115" s="723"/>
      <c r="K115" s="723"/>
      <c r="L115" s="723"/>
      <c r="M115" s="723"/>
      <c r="N115" s="723"/>
      <c r="O115" s="724"/>
      <c r="P115" s="185"/>
      <c r="Q115" s="185"/>
      <c r="R115" s="185"/>
      <c r="S115" s="185"/>
      <c r="T115" s="185"/>
      <c r="U115" s="188"/>
      <c r="V115" s="188"/>
      <c r="W115" s="188"/>
      <c r="X115" s="224"/>
    </row>
    <row r="116" spans="1:24" s="191" customFormat="1" ht="35.1" customHeight="1" thickBot="1">
      <c r="A116" s="297"/>
      <c r="B116" s="297"/>
      <c r="C116" s="185"/>
      <c r="D116" s="185"/>
      <c r="E116" s="185"/>
      <c r="F116" s="185"/>
      <c r="G116" s="185"/>
      <c r="H116" s="185"/>
      <c r="I116" s="185"/>
      <c r="J116" s="188"/>
      <c r="K116" s="188"/>
      <c r="L116" s="297"/>
      <c r="M116" s="297"/>
      <c r="N116" s="185"/>
      <c r="O116" s="185"/>
      <c r="P116" s="185"/>
      <c r="Q116" s="185"/>
      <c r="R116" s="185"/>
      <c r="S116" s="185"/>
      <c r="T116" s="185"/>
      <c r="U116" s="188"/>
      <c r="V116" s="188"/>
      <c r="W116" s="188"/>
      <c r="X116" s="224"/>
    </row>
    <row r="117" spans="1:24" s="191" customFormat="1" ht="35.1" customHeight="1" thickBot="1">
      <c r="A117" s="817" t="s">
        <v>7121</v>
      </c>
      <c r="B117" s="818"/>
      <c r="C117" s="818"/>
      <c r="D117" s="818"/>
      <c r="E117" s="818"/>
      <c r="F117" s="818"/>
      <c r="G117" s="818"/>
      <c r="H117" s="818"/>
      <c r="I117" s="818"/>
      <c r="J117" s="818"/>
      <c r="K117" s="818"/>
      <c r="L117" s="818"/>
      <c r="M117" s="818"/>
      <c r="N117" s="818"/>
      <c r="O117" s="818"/>
      <c r="P117" s="819"/>
      <c r="Q117" s="819"/>
      <c r="R117" s="819"/>
      <c r="S117" s="819"/>
      <c r="T117" s="819"/>
      <c r="U117" s="819"/>
      <c r="V117" s="819"/>
      <c r="W117" s="820"/>
      <c r="X117" s="224"/>
    </row>
    <row r="118" spans="1:24" s="191" customFormat="1" ht="35.1" customHeight="1">
      <c r="A118" s="805" t="s">
        <v>7123</v>
      </c>
      <c r="B118" s="806"/>
      <c r="C118" s="834" t="str">
        <f ca="1">CONCATENATE(INDEX($EZ$180:$EZ$191,RANDBETWEEN(1,12))," says that ",INDEX($EU$180:$EU$185,RANDBETWEEN(1,6))," ",INDEX($EV$180:$EV$199,RANDBETWEEN(1,20))," is trying to ",INDEX($EW$180:$EW$199,RANDBETWEEN(1,20)),". They will ",INDEX($EX$180:$EX$189,RANDBETWEEN(1,10))," because ",INDEX($EY$180:$EY$189,RANDBETWEEN(1,10)))</f>
        <v>Someone close to the leader's relation says that A noble's Cook is trying to Defect. They will Trade favors for sex because They wish to regain a lost station</v>
      </c>
      <c r="D118" s="834"/>
      <c r="E118" s="834"/>
      <c r="F118" s="834"/>
      <c r="G118" s="834"/>
      <c r="H118" s="834"/>
      <c r="I118" s="834"/>
      <c r="J118" s="834"/>
      <c r="K118" s="834"/>
      <c r="L118" s="834"/>
      <c r="M118" s="834"/>
      <c r="N118" s="834"/>
      <c r="O118" s="835"/>
      <c r="P118" s="88"/>
      <c r="Q118" s="88"/>
      <c r="R118" s="88"/>
      <c r="S118" s="88"/>
      <c r="T118" s="88"/>
      <c r="U118" s="188"/>
      <c r="V118" s="188"/>
      <c r="W118" s="188"/>
      <c r="X118" s="224"/>
    </row>
    <row r="119" spans="1:24" s="191" customFormat="1" ht="35.1" customHeight="1">
      <c r="A119" s="836" t="s">
        <v>7122</v>
      </c>
      <c r="B119" s="837"/>
      <c r="C119" s="833" t="str">
        <f ca="1">CONCATENATE(INDEX($EZ$180:$EZ$191,RANDBETWEEN(1,12))," says that ",INDEX($EU$180:$EU$185,RANDBETWEEN(1,6))," ",INDEX($EV$180:$EV$199,RANDBETWEEN(1,20))," is trying to ",INDEX($EW$180:$EW$199,RANDBETWEEN(1,20)),". They will ",INDEX($EX$180:$EX$189,RANDBETWEEN(1,10))," because ",INDEX($EY$180:$EY$189,RANDBETWEEN(1,10)))</f>
        <v>Rumors in a tavern says that A citizen's Aunt / Uncle is trying to Discredit a rival. They will Only assist friends because They are being manipulated / threatened by A secret society</v>
      </c>
      <c r="D119" s="833"/>
      <c r="E119" s="833"/>
      <c r="F119" s="833"/>
      <c r="G119" s="833"/>
      <c r="H119" s="833"/>
      <c r="I119" s="833"/>
      <c r="J119" s="833"/>
      <c r="K119" s="833"/>
      <c r="L119" s="833"/>
      <c r="M119" s="833"/>
      <c r="N119" s="833"/>
      <c r="O119" s="772"/>
      <c r="P119" s="88"/>
      <c r="Q119" s="188"/>
      <c r="R119" s="88"/>
      <c r="S119" s="88"/>
      <c r="T119" s="88"/>
      <c r="U119" s="188"/>
      <c r="V119" s="188"/>
      <c r="W119" s="188"/>
      <c r="X119" s="224"/>
    </row>
    <row r="120" spans="1:24" s="191" customFormat="1" ht="35.1" customHeight="1" thickBot="1">
      <c r="A120" s="784" t="s">
        <v>7124</v>
      </c>
      <c r="B120" s="785"/>
      <c r="C120" s="832" t="str">
        <f ca="1">CONCATENATE(INDEX($EZ$180:$EZ$191,RANDBETWEEN(1,12))," says that ",INDEX($EU$180:$EU$185,RANDBETWEEN(1,6))," ",INDEX($EV$180:$EV$199,RANDBETWEEN(1,20))," is trying to ",INDEX($EW$180:$EW$199,RANDBETWEEN(1,20)),". They will ",INDEX($EX$180:$EX$189,RANDBETWEEN(1,10))," because ",INDEX($EY$180:$EY$189,RANDBETWEEN(1,10)))</f>
        <v>Someone close to the leader's relation says that A mayor's Self is trying to Commit genocide. They will Trade favors for influence because They are simply bored</v>
      </c>
      <c r="D120" s="832"/>
      <c r="E120" s="832"/>
      <c r="F120" s="832"/>
      <c r="G120" s="832"/>
      <c r="H120" s="832"/>
      <c r="I120" s="832"/>
      <c r="J120" s="832"/>
      <c r="K120" s="832"/>
      <c r="L120" s="832"/>
      <c r="M120" s="832"/>
      <c r="N120" s="832"/>
      <c r="O120" s="770"/>
      <c r="P120" s="88"/>
      <c r="Q120" s="188"/>
      <c r="R120" s="88"/>
      <c r="S120" s="88"/>
      <c r="T120" s="88"/>
      <c r="U120" s="188"/>
      <c r="V120" s="188"/>
      <c r="W120" s="188"/>
      <c r="X120" s="224"/>
    </row>
    <row r="121" spans="1:24" s="191" customFormat="1" ht="35.1" customHeight="1" thickBot="1">
      <c r="A121" s="334"/>
      <c r="B121" s="334"/>
      <c r="C121" s="334"/>
      <c r="D121" s="334"/>
      <c r="E121" s="334"/>
      <c r="F121" s="334"/>
      <c r="G121" s="334"/>
      <c r="H121" s="334"/>
      <c r="I121" s="334"/>
      <c r="J121" s="334"/>
      <c r="K121" s="334"/>
      <c r="L121" s="334"/>
      <c r="M121" s="334"/>
      <c r="N121" s="334"/>
      <c r="O121" s="334"/>
      <c r="P121" s="88"/>
      <c r="Q121" s="335"/>
      <c r="R121" s="88"/>
      <c r="S121" s="88"/>
      <c r="T121" s="88"/>
      <c r="U121" s="188"/>
      <c r="V121" s="188"/>
      <c r="W121" s="188"/>
      <c r="X121" s="224"/>
    </row>
    <row r="122" spans="1:24" s="191" customFormat="1" ht="35.1" customHeight="1" thickBot="1">
      <c r="A122" s="497" t="s">
        <v>7125</v>
      </c>
      <c r="B122" s="498"/>
      <c r="C122" s="498"/>
      <c r="D122" s="498"/>
      <c r="E122" s="498"/>
      <c r="F122" s="498"/>
      <c r="G122" s="498"/>
      <c r="H122" s="498"/>
      <c r="I122" s="498"/>
      <c r="J122" s="498"/>
      <c r="K122" s="498"/>
      <c r="L122" s="498"/>
      <c r="M122" s="498"/>
      <c r="N122" s="498"/>
      <c r="O122" s="498"/>
      <c r="P122" s="498"/>
      <c r="Q122" s="498"/>
      <c r="R122" s="498"/>
      <c r="S122" s="498"/>
      <c r="T122" s="498"/>
      <c r="U122" s="498"/>
      <c r="V122" s="498"/>
      <c r="W122" s="499"/>
      <c r="X122" s="224"/>
    </row>
    <row r="123" spans="1:24" s="191" customFormat="1" ht="35.1" customHeight="1">
      <c r="A123" s="583" t="str">
        <f ca="1">IF(RAND()&lt;$S$124,INDEX('Source Data'!$Q$5:$Q$24,RANDBETWEEN(1,20))&amp;" "&amp;INDEX('Source Data'!$R$5:$R$24,RANDBETWEEN(1,20))&amp;" from "&amp;INDEX('Source Data'!$S$5:$S$24,RANDBETWEEN(1,20)),"")</f>
        <v>A fugitive  street poet from the docks</v>
      </c>
      <c r="B123" s="541"/>
      <c r="C123" s="540" t="str">
        <f ca="1">IF(AND(A123&lt;&gt;"",E123&lt;&gt;""),IF(RANDBETWEEN(0,1)=1,"&lt;"&amp;INDEX('Source Data'!$T$5:$T$24,RANDBETWEEN(1,20))&amp;"&lt;","&gt;"&amp;INDEX('Source Data'!$T$5:$T$24,RANDBETWEEN(1,20))&amp;"&gt;"),"")</f>
        <v>&lt; ally of &lt;</v>
      </c>
      <c r="D123" s="540"/>
      <c r="E123" s="541" t="str">
        <f ca="1">IF(RAND()&lt;$S$124,INDEX('Source Data'!$Q$5:$Q$24,RANDBETWEEN(1,20))&amp;" "&amp;INDEX('Source Data'!$R$5:$R$24,RANDBETWEEN(1,20))&amp;" from "&amp;INDEX('Source Data'!$S$5:$S$24,RANDBETWEEN(1,20)),"")</f>
        <v>A dishonest  beggar from a rundown building</v>
      </c>
      <c r="F123" s="541"/>
      <c r="G123" s="540" t="str">
        <f ca="1">IF(AND(E123&lt;&gt;"",J123&lt;&gt;""),IF(RANDBETWEEN(0,1)=1,"&lt;"&amp;INDEX('Source Data'!$T$5:$T$24,RANDBETWEEN(1,20))&amp;"&lt;","&gt;"&amp;INDEX('Source Data'!$T$5:$T$24,RANDBETWEEN(1,20))&amp;"&gt;"),"")</f>
        <v>&lt; friend of &lt;</v>
      </c>
      <c r="H123" s="540"/>
      <c r="I123" s="540"/>
      <c r="J123" s="541" t="str">
        <f ca="1">IF(RAND()&lt;$S$124,INDEX('Source Data'!$Q$5:$Q$24,RANDBETWEEN(1,20))&amp;" "&amp;INDEX('Source Data'!$R$5:$R$24,RANDBETWEEN(1,20))&amp;" from "&amp;INDEX('Source Data'!$S$5:$S$24,RANDBETWEEN(1,20)),"")</f>
        <v>A retired  cultist from a forgotten temple</v>
      </c>
      <c r="K123" s="541"/>
      <c r="L123" s="540" t="str">
        <f ca="1">IF(AND(J123&lt;&gt;"",N123&lt;&gt;""),IF(RANDBETWEEN(0,1)=1,"&lt;"&amp;INDEX('Source Data'!$T$5:$T$24,RANDBETWEEN(1,20))&amp;"&lt;","&gt;"&amp;INDEX('Source Data'!$T$5:$T$24,RANDBETWEEN(1,20))&amp;"&gt;"),"")</f>
        <v>&lt; ally of &lt;</v>
      </c>
      <c r="M123" s="540"/>
      <c r="N123" s="541" t="str">
        <f ca="1">IF(RAND()&lt;$S$124,INDEX('Source Data'!$Q$5:$Q$24,RANDBETWEEN(1,20))&amp;" "&amp;INDEX('Source Data'!$R$5:$R$24,RANDBETWEEN(1,20))&amp;" from "&amp;INDEX('Source Data'!$S$5:$S$24,RANDBETWEEN(1,20)),"")</f>
        <v>An evil  sage from a rival's house</v>
      </c>
      <c r="O123" s="541"/>
      <c r="P123" s="540" t="str">
        <f ca="1">IF(AND(N123&lt;&gt;"",R123&lt;&gt;""),IF(RANDBETWEEN(0,1)=1,"&lt;"&amp;INDEX('Source Data'!$T$5:$T$24,RANDBETWEEN(1,20))&amp;"&lt;","&gt;"&amp;INDEX('Source Data'!$T$5:$T$24,RANDBETWEEN(1,20))&amp;"&gt;"),"")</f>
        <v>&gt; secret lover of &gt;</v>
      </c>
      <c r="Q123" s="540"/>
      <c r="R123" s="539" t="str">
        <f ca="1">IF(RAND()&lt;$S$124,INDEX('Source Data'!$Q$5:$Q$24,RANDBETWEEN(1,20))&amp;" "&amp;INDEX('Source Data'!$R$5:$R$24,RANDBETWEEN(1,20))&amp;" from "&amp;INDEX('Source Data'!$S$5:$S$24,RANDBETWEEN(1,20)),"")</f>
        <v>A radical  artisan from a wealthy neighborhood</v>
      </c>
      <c r="S123" s="321" t="s">
        <v>7120</v>
      </c>
      <c r="T123" s="88"/>
      <c r="U123" s="188"/>
      <c r="V123" s="188"/>
      <c r="W123" s="188"/>
      <c r="X123" s="224"/>
    </row>
    <row r="124" spans="1:24" s="191" customFormat="1" ht="35.1" customHeight="1" thickBot="1">
      <c r="A124" s="583"/>
      <c r="B124" s="541"/>
      <c r="C124" s="540"/>
      <c r="D124" s="540"/>
      <c r="E124" s="541"/>
      <c r="F124" s="541"/>
      <c r="G124" s="540"/>
      <c r="H124" s="540"/>
      <c r="I124" s="540"/>
      <c r="J124" s="541"/>
      <c r="K124" s="541"/>
      <c r="L124" s="540"/>
      <c r="M124" s="540"/>
      <c r="N124" s="541"/>
      <c r="O124" s="541"/>
      <c r="P124" s="540"/>
      <c r="Q124" s="540"/>
      <c r="R124" s="539"/>
      <c r="S124" s="320">
        <v>0.7</v>
      </c>
      <c r="T124" s="88"/>
      <c r="U124" s="188"/>
      <c r="V124" s="188"/>
      <c r="W124" s="188"/>
      <c r="X124" s="224"/>
    </row>
    <row r="125" spans="1:24" s="191" customFormat="1" ht="51" customHeight="1">
      <c r="A125" s="587" t="str">
        <f ca="1">IF(AND(A123&lt;&gt;"",A127&lt;&gt;""),IF(RANDBETWEEN(0,1)=1,"^"&amp;INDEX('Source Data'!$T$5:$T$24,RANDBETWEEN(1,20))&amp;"^","v"&amp;INDEX('Source Data'!$T$5:$T$24,RANDBETWEEN(1,20))&amp;"v"),"")</f>
        <v>^ heard rumor about ^</v>
      </c>
      <c r="B125" s="540"/>
      <c r="C125" s="585"/>
      <c r="D125" s="585"/>
      <c r="E125" s="540" t="str">
        <f ca="1">IF(AND(E123&lt;&gt;"",E127&lt;&gt;""),IF(RANDBETWEEN(0,1)=1,"^"&amp;INDEX('Source Data'!$T$5:$T$24,RANDBETWEEN(1,20))&amp;"^","v"&amp;INDEX('Source Data'!$T$5:$T$24,RANDBETWEEN(1,20))&amp;"v"),"")</f>
        <v>v hates v</v>
      </c>
      <c r="F125" s="540"/>
      <c r="G125" s="585"/>
      <c r="H125" s="585"/>
      <c r="I125" s="585"/>
      <c r="J125" s="540" t="str">
        <f ca="1">IF(AND(J123&lt;&gt;"",J127&lt;&gt;""),IF(RANDBETWEEN(0,1)=1,"^"&amp;INDEX('Source Data'!$T$5:$T$24,RANDBETWEEN(1,20))&amp;"^","v"&amp;INDEX('Source Data'!$T$5:$T$24,RANDBETWEEN(1,20))&amp;"v"),"")</f>
        <v>v envies v</v>
      </c>
      <c r="K125" s="540"/>
      <c r="L125" s="585"/>
      <c r="M125" s="585"/>
      <c r="N125" s="540" t="str">
        <f ca="1">IF(AND(N123&lt;&gt;"",N127&lt;&gt;""),IF(RANDBETWEEN(0,1)=1,"^"&amp;INDEX('Source Data'!$T$5:$T$24,RANDBETWEEN(1,20))&amp;"^","v"&amp;INDEX('Source Data'!$T$5:$T$24,RANDBETWEEN(1,20))&amp;"v"),"")</f>
        <v>v friend of v</v>
      </c>
      <c r="O125" s="540"/>
      <c r="P125" s="585"/>
      <c r="Q125" s="585"/>
      <c r="R125" s="584" t="str">
        <f ca="1">IF(AND(R123&lt;&gt;"",R127&lt;&gt;""),IF(RANDBETWEEN(0,1)=1,"^"&amp;INDEX('Source Data'!$T$5:$T$24,RANDBETWEEN(1,20))&amp;"^","v"&amp;INDEX('Source Data'!$T$5:$T$24,RANDBETWEEN(1,20))&amp;"v"),"")</f>
        <v/>
      </c>
      <c r="S125" s="188"/>
      <c r="T125" s="188"/>
      <c r="U125" s="188"/>
      <c r="V125" s="188"/>
      <c r="W125" s="188"/>
      <c r="X125" s="224"/>
    </row>
    <row r="126" spans="1:24" s="191" customFormat="1" ht="35.1" customHeight="1">
      <c r="A126" s="587"/>
      <c r="B126" s="540"/>
      <c r="C126" s="585"/>
      <c r="D126" s="585"/>
      <c r="E126" s="540"/>
      <c r="F126" s="540"/>
      <c r="G126" s="585"/>
      <c r="H126" s="585"/>
      <c r="I126" s="585"/>
      <c r="J126" s="540"/>
      <c r="K126" s="540"/>
      <c r="L126" s="585"/>
      <c r="M126" s="585"/>
      <c r="N126" s="540"/>
      <c r="O126" s="540"/>
      <c r="P126" s="585"/>
      <c r="Q126" s="585"/>
      <c r="R126" s="584"/>
      <c r="S126" s="185"/>
      <c r="T126" s="185"/>
      <c r="U126" s="188"/>
      <c r="V126" s="188"/>
      <c r="W126" s="188"/>
      <c r="X126" s="224"/>
    </row>
    <row r="127" spans="1:24" s="191" customFormat="1" ht="35.1" customHeight="1">
      <c r="A127" s="583" t="str">
        <f ca="1">IF(RAND()&lt;$S$124,INDEX('Source Data'!$Q$5:$Q$24,RANDBETWEEN(1,20))&amp;" "&amp;INDEX('Source Data'!$R$5:$R$24,RANDBETWEEN(1,20))&amp;" from "&amp;INDEX('Source Data'!$S$5:$S$24,RANDBETWEEN(1,20)),"")</f>
        <v>A mad  wizard from an overstuffed warehouse</v>
      </c>
      <c r="B127" s="541"/>
      <c r="C127" s="540" t="str">
        <f ca="1">IF(AND(A127&lt;&gt;"",E127&lt;&gt;""),IF(RANDBETWEEN(0,1)=1,"&lt;"&amp;INDEX('Source Data'!$T$5:$T$24,RANDBETWEEN(1,20))&amp;"&lt;","&gt;"&amp;INDEX('Source Data'!$T$5:$T$24,RANDBETWEEN(1,20))&amp;"&gt;"),"")</f>
        <v>&lt; knows secret about &lt;</v>
      </c>
      <c r="D127" s="540"/>
      <c r="E127" s="541" t="str">
        <f ca="1">IF(RAND()&lt;$S$124,INDEX('Source Data'!$Q$5:$Q$24,RANDBETWEEN(1,20))&amp;" "&amp;INDEX('Source Data'!$R$5:$R$24,RANDBETWEEN(1,20))&amp;" from "&amp;INDEX('Source Data'!$S$5:$S$24,RANDBETWEEN(1,20)),"")</f>
        <v>A visiting  wizard from a dangerous neighborhood</v>
      </c>
      <c r="F127" s="541"/>
      <c r="G127" s="540" t="str">
        <f ca="1">IF(AND(E127&lt;&gt;"",J127&lt;&gt;""),IF(RANDBETWEEN(0,1)=1,"&lt;"&amp;INDEX('Source Data'!$T$5:$T$24,RANDBETWEEN(1,20))&amp;"&lt;","&gt;"&amp;INDEX('Source Data'!$T$5:$T$24,RANDBETWEEN(1,20))&amp;"&gt;"),"")</f>
        <v>&gt; is aware of &gt;</v>
      </c>
      <c r="H127" s="540"/>
      <c r="I127" s="540"/>
      <c r="J127" s="541" t="str">
        <f ca="1">IF(RAND()&lt;$S$124,INDEX('Source Data'!$Q$5:$Q$24,RANDBETWEEN(1,20))&amp;" "&amp;INDEX('Source Data'!$R$5:$R$24,RANDBETWEEN(1,20))&amp;" from "&amp;INDEX('Source Data'!$S$5:$S$24,RANDBETWEEN(1,20)),"")</f>
        <v>A reclusive  sage from a ship in port</v>
      </c>
      <c r="K127" s="541"/>
      <c r="L127" s="540" t="str">
        <f ca="1">IF(AND(J127&lt;&gt;"",N127&lt;&gt;""),IF(RANDBETWEEN(0,1)=1,"&lt;"&amp;INDEX('Source Data'!$T$5:$T$24,RANDBETWEEN(1,20))&amp;"&lt;","&gt;"&amp;INDEX('Source Data'!$T$5:$T$24,RANDBETWEEN(1,20))&amp;"&gt;"),"")</f>
        <v>&lt; secret lover of &lt;</v>
      </c>
      <c r="M127" s="540"/>
      <c r="N127" s="541" t="str">
        <f ca="1">IF(RAND()&lt;$S$124,INDEX('Source Data'!$Q$5:$Q$24,RANDBETWEEN(1,20))&amp;" "&amp;INDEX('Source Data'!$R$5:$R$24,RANDBETWEEN(1,20))&amp;" from "&amp;INDEX('Source Data'!$S$5:$S$24,RANDBETWEEN(1,20)),"")</f>
        <v>A mad  huckster from an overstuffed warehouse</v>
      </c>
      <c r="O127" s="541"/>
      <c r="P127" s="540" t="str">
        <f ca="1">IF(AND(N127&lt;&gt;"",R127&lt;&gt;""),IF(RANDBETWEEN(0,1)=1,"&lt;"&amp;INDEX('Source Data'!$T$5:$T$24,RANDBETWEEN(1,20))&amp;"&lt;","&gt;"&amp;INDEX('Source Data'!$T$5:$T$24,RANDBETWEEN(1,20))&amp;"&gt;"),"")</f>
        <v/>
      </c>
      <c r="Q127" s="540"/>
      <c r="R127" s="539" t="str">
        <f ca="1">IF(RAND()&lt;$S$124,INDEX('Source Data'!$Q$5:$Q$24,RANDBETWEEN(1,20))&amp;" "&amp;INDEX('Source Data'!$R$5:$R$24,RANDBETWEEN(1,20))&amp;" from "&amp;INDEX('Source Data'!$S$5:$S$24,RANDBETWEEN(1,20)),"")</f>
        <v/>
      </c>
      <c r="S127" s="185"/>
      <c r="T127" s="185"/>
      <c r="U127" s="188"/>
      <c r="V127" s="188"/>
      <c r="W127" s="188"/>
      <c r="X127" s="224"/>
    </row>
    <row r="128" spans="1:24" s="191" customFormat="1" ht="35.1" customHeight="1">
      <c r="A128" s="583"/>
      <c r="B128" s="541"/>
      <c r="C128" s="540"/>
      <c r="D128" s="540"/>
      <c r="E128" s="541"/>
      <c r="F128" s="541"/>
      <c r="G128" s="540"/>
      <c r="H128" s="540"/>
      <c r="I128" s="540"/>
      <c r="J128" s="541"/>
      <c r="K128" s="541"/>
      <c r="L128" s="540"/>
      <c r="M128" s="540"/>
      <c r="N128" s="541"/>
      <c r="O128" s="541"/>
      <c r="P128" s="540"/>
      <c r="Q128" s="540"/>
      <c r="R128" s="539"/>
      <c r="S128" s="88"/>
      <c r="T128" s="88"/>
      <c r="U128" s="188"/>
      <c r="V128" s="188"/>
      <c r="W128" s="188"/>
      <c r="X128" s="224"/>
    </row>
    <row r="129" spans="1:25" s="191" customFormat="1" ht="35.1" customHeight="1">
      <c r="A129" s="587" t="str">
        <f ca="1">IF(AND(A127&lt;&gt;"",A131&lt;&gt;""),IF(RANDBETWEEN(0,1)=1,"^"&amp;INDEX('Source Data'!$T$5:$T$24,RANDBETWEEN(1,20))&amp;"^","v"&amp;INDEX('Source Data'!$T$5:$T$24,RANDBETWEEN(1,20))&amp;"v"),"")</f>
        <v/>
      </c>
      <c r="B129" s="540"/>
      <c r="C129" s="585"/>
      <c r="D129" s="585"/>
      <c r="E129" s="540" t="str">
        <f ca="1">IF(AND(E127&lt;&gt;"",E131&lt;&gt;""),IF(RANDBETWEEN(0,1)=1,"^"&amp;INDEX('Source Data'!$T$5:$T$24,RANDBETWEEN(1,20))&amp;"^","v"&amp;INDEX('Source Data'!$T$5:$T$24,RANDBETWEEN(1,20))&amp;"v"),"")</f>
        <v/>
      </c>
      <c r="F129" s="540"/>
      <c r="G129" s="585"/>
      <c r="H129" s="585"/>
      <c r="I129" s="585"/>
      <c r="J129" s="540" t="str">
        <f ca="1">IF(AND(J127&lt;&gt;"",J131&lt;&gt;""),IF(RANDBETWEEN(0,1)=1,"^"&amp;INDEX('Source Data'!$T$5:$T$24,RANDBETWEEN(1,20))&amp;"^","v"&amp;INDEX('Source Data'!$T$5:$T$24,RANDBETWEEN(1,20))&amp;"v"),"")</f>
        <v/>
      </c>
      <c r="K129" s="540"/>
      <c r="L129" s="585"/>
      <c r="M129" s="585"/>
      <c r="N129" s="540" t="str">
        <f ca="1">IF(AND(N127&lt;&gt;"",N131&lt;&gt;""),IF(RANDBETWEEN(0,1)=1,"^"&amp;INDEX('Source Data'!$T$5:$T$24,RANDBETWEEN(1,20))&amp;"^","v"&amp;INDEX('Source Data'!$T$5:$T$24,RANDBETWEEN(1,20))&amp;"v"),"")</f>
        <v/>
      </c>
      <c r="O129" s="540"/>
      <c r="P129" s="585"/>
      <c r="Q129" s="585"/>
      <c r="R129" s="584" t="str">
        <f ca="1">IF(AND(R127&lt;&gt;"",R131&lt;&gt;""),IF(RANDBETWEEN(0,1)=1,"^"&amp;INDEX('Source Data'!$T$5:$T$24,RANDBETWEEN(1,20))&amp;"^","v"&amp;INDEX('Source Data'!$T$5:$T$24,RANDBETWEEN(1,20))&amp;"v"),"")</f>
        <v/>
      </c>
      <c r="S129" s="88"/>
      <c r="T129" s="88"/>
      <c r="U129" s="188"/>
      <c r="V129" s="188"/>
      <c r="W129" s="188"/>
      <c r="X129" s="224"/>
    </row>
    <row r="130" spans="1:25" s="191" customFormat="1" ht="35.1" customHeight="1">
      <c r="A130" s="587"/>
      <c r="B130" s="540"/>
      <c r="C130" s="585"/>
      <c r="D130" s="585"/>
      <c r="E130" s="540"/>
      <c r="F130" s="540"/>
      <c r="G130" s="585"/>
      <c r="H130" s="585"/>
      <c r="I130" s="585"/>
      <c r="J130" s="540"/>
      <c r="K130" s="540"/>
      <c r="L130" s="585"/>
      <c r="M130" s="585"/>
      <c r="N130" s="540"/>
      <c r="O130" s="540"/>
      <c r="P130" s="585"/>
      <c r="Q130" s="585"/>
      <c r="R130" s="584"/>
      <c r="S130" s="88"/>
      <c r="T130" s="88"/>
      <c r="U130" s="188"/>
      <c r="V130" s="188"/>
      <c r="W130" s="188"/>
      <c r="X130" s="224"/>
    </row>
    <row r="131" spans="1:25" s="191" customFormat="1" ht="35.1" customHeight="1">
      <c r="A131" s="583" t="str">
        <f ca="1">IF(RAND()&lt;$S$124,INDEX('Source Data'!$Q$5:$Q$24,RANDBETWEEN(1,20))&amp;" "&amp;INDEX('Source Data'!$R$5:$R$24,RANDBETWEEN(1,20))&amp;" from "&amp;INDEX('Source Data'!$S$5:$S$24,RANDBETWEEN(1,20)),"")</f>
        <v/>
      </c>
      <c r="B131" s="541"/>
      <c r="C131" s="540" t="str">
        <f ca="1">IF(AND(A131&lt;&gt;"",E131&lt;&gt;""),IF(RANDBETWEEN(0,1)=1,"&lt;"&amp;INDEX('Source Data'!$T$5:$T$24,RANDBETWEEN(1,20))&amp;"&lt;","&gt;"&amp;INDEX('Source Data'!$T$5:$T$24,RANDBETWEEN(1,20))&amp;"&gt;"),"")</f>
        <v/>
      </c>
      <c r="D131" s="540"/>
      <c r="E131" s="541" t="str">
        <f ca="1">IF(RAND()&lt;$S$124,INDEX('Source Data'!$Q$5:$Q$24,RANDBETWEEN(1,20))&amp;" "&amp;INDEX('Source Data'!$R$5:$R$24,RANDBETWEEN(1,20))&amp;" from "&amp;INDEX('Source Data'!$S$5:$S$24,RANDBETWEEN(1,20)),"")</f>
        <v/>
      </c>
      <c r="F131" s="541"/>
      <c r="G131" s="540" t="str">
        <f ca="1">IF(AND(E131&lt;&gt;"",J131&lt;&gt;""),IF(RANDBETWEEN(0,1)=1,"&lt;"&amp;INDEX('Source Data'!$T$5:$T$24,RANDBETWEEN(1,20))&amp;"&lt;","&gt;"&amp;INDEX('Source Data'!$T$5:$T$24,RANDBETWEEN(1,20))&amp;"&gt;"),"")</f>
        <v/>
      </c>
      <c r="H131" s="540"/>
      <c r="I131" s="540"/>
      <c r="J131" s="541" t="str">
        <f ca="1">IF(RAND()&lt;$S$124,INDEX('Source Data'!$Q$5:$Q$24,RANDBETWEEN(1,20))&amp;" "&amp;INDEX('Source Data'!$R$5:$R$24,RANDBETWEEN(1,20))&amp;" from "&amp;INDEX('Source Data'!$S$5:$S$24,RANDBETWEEN(1,20)),"")</f>
        <v/>
      </c>
      <c r="K131" s="541"/>
      <c r="L131" s="540" t="str">
        <f ca="1">IF(AND(J131&lt;&gt;"",N131&lt;&gt;""),IF(RANDBETWEEN(0,1)=1,"&lt;"&amp;INDEX('Source Data'!$T$5:$T$24,RANDBETWEEN(1,20))&amp;"&lt;","&gt;"&amp;INDEX('Source Data'!$T$5:$T$24,RANDBETWEEN(1,20))&amp;"&gt;"),"")</f>
        <v/>
      </c>
      <c r="M131" s="540"/>
      <c r="N131" s="541" t="str">
        <f ca="1">IF(RAND()&lt;$S$124,INDEX('Source Data'!$Q$5:$Q$24,RANDBETWEEN(1,20))&amp;" "&amp;INDEX('Source Data'!$R$5:$R$24,RANDBETWEEN(1,20))&amp;" from "&amp;INDEX('Source Data'!$S$5:$S$24,RANDBETWEEN(1,20)),"")</f>
        <v/>
      </c>
      <c r="O131" s="541"/>
      <c r="P131" s="540" t="str">
        <f ca="1">IF(AND(N131&lt;&gt;"",R131&lt;&gt;""),IF(RANDBETWEEN(0,1)=1,"&lt;"&amp;INDEX('Source Data'!$T$5:$T$24,RANDBETWEEN(1,20))&amp;"&lt;","&gt;"&amp;INDEX('Source Data'!$T$5:$T$24,RANDBETWEEN(1,20))&amp;"&gt;"),"")</f>
        <v/>
      </c>
      <c r="Q131" s="540"/>
      <c r="R131" s="539" t="str">
        <f ca="1">IF(RAND()&lt;$S$124,INDEX('Source Data'!$Q$5:$Q$24,RANDBETWEEN(1,20))&amp;" "&amp;INDEX('Source Data'!$R$5:$R$24,RANDBETWEEN(1,20))&amp;" from "&amp;INDEX('Source Data'!$S$5:$S$24,RANDBETWEEN(1,20)),"")</f>
        <v/>
      </c>
      <c r="S131" s="88"/>
      <c r="T131" s="88"/>
      <c r="U131" s="188"/>
      <c r="V131" s="188"/>
      <c r="W131" s="188"/>
      <c r="X131" s="224"/>
    </row>
    <row r="132" spans="1:25" s="191" customFormat="1" ht="35.1" customHeight="1">
      <c r="A132" s="583"/>
      <c r="B132" s="541"/>
      <c r="C132" s="540"/>
      <c r="D132" s="540"/>
      <c r="E132" s="541"/>
      <c r="F132" s="541"/>
      <c r="G132" s="540"/>
      <c r="H132" s="540"/>
      <c r="I132" s="540"/>
      <c r="J132" s="541"/>
      <c r="K132" s="541"/>
      <c r="L132" s="540"/>
      <c r="M132" s="540"/>
      <c r="N132" s="541"/>
      <c r="O132" s="541"/>
      <c r="P132" s="540"/>
      <c r="Q132" s="540"/>
      <c r="R132" s="539"/>
      <c r="S132" s="88"/>
      <c r="T132" s="88"/>
      <c r="U132" s="188"/>
      <c r="V132" s="188"/>
      <c r="W132" s="188"/>
      <c r="X132" s="224"/>
    </row>
    <row r="133" spans="1:25" s="191" customFormat="1" ht="35.1" customHeight="1">
      <c r="A133" s="587" t="str">
        <f ca="1">IF(AND(A131&lt;&gt;"",A135&lt;&gt;""),IF(RANDBETWEEN(0,1)=1,"^"&amp;INDEX('Source Data'!$T$5:$T$24,RANDBETWEEN(1,20))&amp;"^","v"&amp;INDEX('Source Data'!$T$5:$T$24,RANDBETWEEN(1,20))&amp;"v"),"")</f>
        <v/>
      </c>
      <c r="B133" s="540"/>
      <c r="C133" s="585"/>
      <c r="D133" s="585"/>
      <c r="E133" s="540" t="str">
        <f ca="1">IF(AND(E131&lt;&gt;"",E135&lt;&gt;""),IF(RANDBETWEEN(0,1)=1,"^"&amp;INDEX('Source Data'!$T$5:$T$24,RANDBETWEEN(1,20))&amp;"^","v"&amp;INDEX('Source Data'!$T$5:$T$24,RANDBETWEEN(1,20))&amp;"v"),"")</f>
        <v/>
      </c>
      <c r="F133" s="540"/>
      <c r="G133" s="585"/>
      <c r="H133" s="585"/>
      <c r="I133" s="585"/>
      <c r="J133" s="540" t="str">
        <f ca="1">IF(AND(J131&lt;&gt;"",J135&lt;&gt;""),IF(RANDBETWEEN(0,1)=1,"^"&amp;INDEX('Source Data'!$T$5:$T$24,RANDBETWEEN(1,20))&amp;"^","v"&amp;INDEX('Source Data'!$T$5:$T$24,RANDBETWEEN(1,20))&amp;"v"),"")</f>
        <v/>
      </c>
      <c r="K133" s="540"/>
      <c r="L133" s="585"/>
      <c r="M133" s="585"/>
      <c r="N133" s="540" t="str">
        <f ca="1">IF(AND(N131&lt;&gt;"",N135&lt;&gt;""),IF(RANDBETWEEN(0,1)=1,"^"&amp;INDEX('Source Data'!$T$5:$T$24,RANDBETWEEN(1,20))&amp;"^","v"&amp;INDEX('Source Data'!$T$5:$T$24,RANDBETWEEN(1,20))&amp;"v"),"")</f>
        <v/>
      </c>
      <c r="O133" s="540"/>
      <c r="P133" s="585"/>
      <c r="Q133" s="585"/>
      <c r="R133" s="584" t="str">
        <f ca="1">IF(AND(R131&lt;&gt;"",R135&lt;&gt;""),IF(RANDBETWEEN(0,1)=1,"^"&amp;INDEX('Source Data'!$T$5:$T$24,RANDBETWEEN(1,20))&amp;"^","v"&amp;INDEX('Source Data'!$T$5:$T$24,RANDBETWEEN(1,20))&amp;"v"),"")</f>
        <v/>
      </c>
      <c r="S133" s="88"/>
      <c r="T133" s="88"/>
      <c r="U133" s="188"/>
      <c r="V133" s="188"/>
      <c r="W133" s="188"/>
      <c r="X133" s="224"/>
    </row>
    <row r="134" spans="1:25" s="191" customFormat="1" ht="35.1" customHeight="1">
      <c r="A134" s="587"/>
      <c r="B134" s="540"/>
      <c r="C134" s="585"/>
      <c r="D134" s="585"/>
      <c r="E134" s="540"/>
      <c r="F134" s="540"/>
      <c r="G134" s="585"/>
      <c r="H134" s="585"/>
      <c r="I134" s="585"/>
      <c r="J134" s="540"/>
      <c r="K134" s="540"/>
      <c r="L134" s="585"/>
      <c r="M134" s="585"/>
      <c r="N134" s="540"/>
      <c r="O134" s="540"/>
      <c r="P134" s="585"/>
      <c r="Q134" s="585"/>
      <c r="R134" s="584"/>
      <c r="S134" s="88"/>
      <c r="T134" s="88"/>
      <c r="U134" s="188"/>
      <c r="V134" s="188"/>
      <c r="W134" s="188"/>
      <c r="X134" s="224"/>
    </row>
    <row r="135" spans="1:25" s="191" customFormat="1" ht="15.75" customHeight="1">
      <c r="A135" s="583" t="str">
        <f ca="1">IF(RAND()&lt;$S$124,INDEX('Source Data'!$Q$5:$Q$24,RANDBETWEEN(1,20))&amp;" "&amp;INDEX('Source Data'!$R$5:$R$24,RANDBETWEEN(1,20))&amp;" from "&amp;INDEX('Source Data'!$S$5:$S$24,RANDBETWEEN(1,20)),"")</f>
        <v/>
      </c>
      <c r="B135" s="541"/>
      <c r="C135" s="540" t="str">
        <f ca="1">IF(AND(A135&lt;&gt;"",E135&lt;&gt;""),IF(RANDBETWEEN(0,1)=1,"&lt;"&amp;INDEX('Source Data'!$T$5:$T$24,RANDBETWEEN(1,20))&amp;"&lt;","&gt;"&amp;INDEX('Source Data'!$T$5:$T$24,RANDBETWEEN(1,20))&amp;"&gt;"),"")</f>
        <v/>
      </c>
      <c r="D135" s="540"/>
      <c r="E135" s="541" t="str">
        <f ca="1">IF(RAND()&lt;$S$124,INDEX('Source Data'!$Q$5:$Q$24,RANDBETWEEN(1,20))&amp;" "&amp;INDEX('Source Data'!$R$5:$R$24,RANDBETWEEN(1,20))&amp;" from "&amp;INDEX('Source Data'!$S$5:$S$24,RANDBETWEEN(1,20)),"")</f>
        <v>An evil  street poet from a public square</v>
      </c>
      <c r="F135" s="541"/>
      <c r="G135" s="540" t="str">
        <f ca="1">IF(AND(E135&lt;&gt;"",J135&lt;&gt;""),IF(RANDBETWEEN(0,1)=1,"&lt;"&amp;INDEX('Source Data'!$T$5:$T$24,RANDBETWEEN(1,20))&amp;"&lt;","&gt;"&amp;INDEX('Source Data'!$T$5:$T$24,RANDBETWEEN(1,20))&amp;"&gt;"),"")</f>
        <v>&lt; has heard of &lt;</v>
      </c>
      <c r="H135" s="540"/>
      <c r="I135" s="540"/>
      <c r="J135" s="541" t="str">
        <f ca="1">IF(RAND()&lt;$S$124,INDEX('Source Data'!$Q$5:$Q$24,RANDBETWEEN(1,20))&amp;" "&amp;INDEX('Source Data'!$R$5:$R$24,RANDBETWEEN(1,20))&amp;" from "&amp;INDEX('Source Data'!$S$5:$S$24,RANDBETWEEN(1,20)),"")</f>
        <v>A vicious  priest from a forgotten temple</v>
      </c>
      <c r="K135" s="541"/>
      <c r="L135" s="540" t="str">
        <f ca="1">IF(AND(J135&lt;&gt;"",N135&lt;&gt;""),IF(RANDBETWEEN(0,1)=1,"&lt;"&amp;INDEX('Source Data'!$T$5:$T$24,RANDBETWEEN(1,20))&amp;"&lt;","&gt;"&amp;INDEX('Source Data'!$T$5:$T$24,RANDBETWEEN(1,20))&amp;"&gt;"),"")</f>
        <v>&gt; tells lies about &gt;</v>
      </c>
      <c r="M135" s="540"/>
      <c r="N135" s="541" t="str">
        <f ca="1">IF(RAND()&lt;$S$124,INDEX('Source Data'!$Q$5:$Q$24,RANDBETWEEN(1,20))&amp;" "&amp;INDEX('Source Data'!$R$5:$R$24,RANDBETWEEN(1,20))&amp;" from "&amp;INDEX('Source Data'!$S$5:$S$24,RANDBETWEEN(1,20)),"")</f>
        <v>A reclusive  thief from the court district</v>
      </c>
      <c r="O135" s="541"/>
      <c r="P135" s="540" t="str">
        <f ca="1">IF(AND(N135&lt;&gt;"",R135&lt;&gt;""),IF(RANDBETWEEN(0,1)=1,"&lt;"&amp;INDEX('Source Data'!$T$5:$T$24,RANDBETWEEN(1,20))&amp;"&lt;","&gt;"&amp;INDEX('Source Data'!$T$5:$T$24,RANDBETWEEN(1,20))&amp;"&gt;"),"")</f>
        <v>&lt; friend of &lt;</v>
      </c>
      <c r="Q135" s="540"/>
      <c r="R135" s="539" t="str">
        <f ca="1">IF(RAND()&lt;$S$124,INDEX('Source Data'!$Q$5:$Q$24,RANDBETWEEN(1,20))&amp;" "&amp;INDEX('Source Data'!$R$5:$R$24,RANDBETWEEN(1,20))&amp;" from "&amp;INDEX('Source Data'!$S$5:$S$24,RANDBETWEEN(1,20)),"")</f>
        <v>An aging  scholar from a nearby city</v>
      </c>
      <c r="S135" s="188"/>
      <c r="T135" s="188"/>
      <c r="U135" s="188"/>
      <c r="V135" s="188"/>
      <c r="W135" s="188"/>
      <c r="X135" s="224"/>
    </row>
    <row r="136" spans="1:25" s="191" customFormat="1" ht="35.1" customHeight="1">
      <c r="A136" s="583"/>
      <c r="B136" s="541"/>
      <c r="C136" s="540"/>
      <c r="D136" s="540"/>
      <c r="E136" s="541"/>
      <c r="F136" s="541"/>
      <c r="G136" s="540"/>
      <c r="H136" s="540"/>
      <c r="I136" s="540"/>
      <c r="J136" s="541"/>
      <c r="K136" s="541"/>
      <c r="L136" s="540"/>
      <c r="M136" s="540"/>
      <c r="N136" s="541"/>
      <c r="O136" s="541"/>
      <c r="P136" s="540"/>
      <c r="Q136" s="540"/>
      <c r="R136" s="539"/>
      <c r="S136" s="185"/>
      <c r="T136" s="185"/>
      <c r="U136" s="188"/>
      <c r="V136" s="188"/>
      <c r="W136" s="188"/>
      <c r="X136" s="224"/>
    </row>
    <row r="137" spans="1:25" s="191" customFormat="1" ht="35.1" customHeight="1">
      <c r="A137" s="587" t="str">
        <f ca="1">IF(AND(A135&lt;&gt;"",A139&lt;&gt;""),IF(RANDBETWEEN(0,1)=1,"^"&amp;INDEX('Source Data'!$T$5:$T$24,RANDBETWEEN(1,20))&amp;"^","v"&amp;INDEX('Source Data'!$T$5:$T$24,RANDBETWEEN(1,20))&amp;"v"),"")</f>
        <v/>
      </c>
      <c r="B137" s="540"/>
      <c r="C137" s="585"/>
      <c r="D137" s="585"/>
      <c r="E137" s="540" t="str">
        <f ca="1">IF(AND(E135&lt;&gt;"",E139&lt;&gt;""),IF(RANDBETWEEN(0,1)=1,"^"&amp;INDEX('Source Data'!$T$5:$T$24,RANDBETWEEN(1,20))&amp;"^","v"&amp;INDEX('Source Data'!$T$5:$T$24,RANDBETWEEN(1,20))&amp;"v"),"")</f>
        <v>v knows v</v>
      </c>
      <c r="F137" s="540"/>
      <c r="G137" s="585"/>
      <c r="H137" s="585"/>
      <c r="I137" s="585"/>
      <c r="J137" s="540" t="str">
        <f ca="1">IF(AND(J135&lt;&gt;"",J139&lt;&gt;""),IF(RANDBETWEEN(0,1)=1,"^"&amp;INDEX('Source Data'!$T$5:$T$24,RANDBETWEEN(1,20))&amp;"^","v"&amp;INDEX('Source Data'!$T$5:$T$24,RANDBETWEEN(1,20))&amp;"v"),"")</f>
        <v/>
      </c>
      <c r="K137" s="540"/>
      <c r="L137" s="585"/>
      <c r="M137" s="585"/>
      <c r="N137" s="540" t="str">
        <f ca="1">IF(AND(N135&lt;&gt;"",N139&lt;&gt;""),IF(RANDBETWEEN(0,1)=1,"^"&amp;INDEX('Source Data'!$T$5:$T$24,RANDBETWEEN(1,20))&amp;"^","v"&amp;INDEX('Source Data'!$T$5:$T$24,RANDBETWEEN(1,20))&amp;"v"),"")</f>
        <v>^ knows ^</v>
      </c>
      <c r="O137" s="540"/>
      <c r="P137" s="585"/>
      <c r="Q137" s="585"/>
      <c r="R137" s="584" t="str">
        <f ca="1">IF(AND(R135&lt;&gt;"",R139&lt;&gt;""),IF(RANDBETWEEN(0,1)=1,"^"&amp;INDEX('Source Data'!$T$5:$T$24,RANDBETWEEN(1,20))&amp;"^","v"&amp;INDEX('Source Data'!$T$5:$T$24,RANDBETWEEN(1,20))&amp;"v"),"")</f>
        <v>v once met v</v>
      </c>
      <c r="S137" s="185"/>
      <c r="T137" s="185"/>
      <c r="U137" s="188"/>
      <c r="V137" s="188"/>
      <c r="W137" s="188"/>
      <c r="X137" s="224"/>
    </row>
    <row r="138" spans="1:25" s="191" customFormat="1" ht="35.1" customHeight="1">
      <c r="A138" s="587"/>
      <c r="B138" s="540"/>
      <c r="C138" s="585"/>
      <c r="D138" s="585"/>
      <c r="E138" s="540"/>
      <c r="F138" s="540"/>
      <c r="G138" s="585"/>
      <c r="H138" s="585"/>
      <c r="I138" s="585"/>
      <c r="J138" s="540"/>
      <c r="K138" s="540"/>
      <c r="L138" s="585"/>
      <c r="M138" s="585"/>
      <c r="N138" s="540"/>
      <c r="O138" s="540"/>
      <c r="P138" s="585"/>
      <c r="Q138" s="585"/>
      <c r="R138" s="584"/>
      <c r="S138" s="88"/>
      <c r="T138" s="88"/>
      <c r="U138" s="188"/>
      <c r="V138" s="188"/>
      <c r="W138" s="188"/>
      <c r="X138" s="224"/>
    </row>
    <row r="139" spans="1:25" s="191" customFormat="1" ht="35.1" customHeight="1">
      <c r="A139" s="583" t="str">
        <f ca="1">IF(RAND()&lt;$S$124,INDEX('Source Data'!$Q$5:$Q$24,RANDBETWEEN(1,20))&amp;" "&amp;INDEX('Source Data'!$R$5:$R$24,RANDBETWEEN(1,20))&amp;" from "&amp;INDEX('Source Data'!$S$5:$S$24,RANDBETWEEN(1,20)),"")</f>
        <v>A wealthy  thief from a wealthy neighborhood</v>
      </c>
      <c r="B139" s="541"/>
      <c r="C139" s="540" t="str">
        <f ca="1">IF(AND(A139&lt;&gt;"",E139&lt;&gt;""),IF(RANDBETWEEN(0,1)=1,"&lt;"&amp;INDEX('Source Data'!$T$5:$T$24,RANDBETWEEN(1,20))&amp;"&lt;","&gt;"&amp;INDEX('Source Data'!$T$5:$T$24,RANDBETWEEN(1,20))&amp;"&gt;"),"")</f>
        <v>&lt; cuckolding &lt;</v>
      </c>
      <c r="D139" s="540"/>
      <c r="E139" s="541" t="str">
        <f ca="1">IF(RAND()&lt;$S$124,INDEX('Source Data'!$Q$5:$Q$24,RANDBETWEEN(1,20))&amp;" "&amp;INDEX('Source Data'!$R$5:$R$24,RANDBETWEEN(1,20))&amp;" from "&amp;INDEX('Source Data'!$S$5:$S$24,RANDBETWEEN(1,20)),"")</f>
        <v>A vicious  widow from a forgotten temple</v>
      </c>
      <c r="F139" s="541"/>
      <c r="G139" s="540" t="str">
        <f ca="1">IF(AND(E139&lt;&gt;"",J139&lt;&gt;""),IF(RANDBETWEEN(0,1)=1,"&lt;"&amp;INDEX('Source Data'!$T$5:$T$24,RANDBETWEEN(1,20))&amp;"&lt;","&gt;"&amp;INDEX('Source Data'!$T$5:$T$24,RANDBETWEEN(1,20))&amp;"&gt;"),"")</f>
        <v/>
      </c>
      <c r="H139" s="540"/>
      <c r="I139" s="540"/>
      <c r="J139" s="541" t="str">
        <f ca="1">IF(RAND()&lt;$S$124,INDEX('Source Data'!$Q$5:$Q$24,RANDBETWEEN(1,20))&amp;" "&amp;INDEX('Source Data'!$R$5:$R$24,RANDBETWEEN(1,20))&amp;" from "&amp;INDEX('Source Data'!$S$5:$S$24,RANDBETWEEN(1,20)),"")</f>
        <v/>
      </c>
      <c r="K139" s="541"/>
      <c r="L139" s="540" t="str">
        <f ca="1">IF(AND(J139&lt;&gt;"",N139&lt;&gt;""),IF(RANDBETWEEN(0,1)=1,"&lt;"&amp;INDEX('Source Data'!$T$5:$T$24,RANDBETWEEN(1,20))&amp;"&lt;","&gt;"&amp;INDEX('Source Data'!$T$5:$T$24,RANDBETWEEN(1,20))&amp;"&gt;"),"")</f>
        <v/>
      </c>
      <c r="M139" s="540"/>
      <c r="N139" s="541" t="str">
        <f ca="1">IF(RAND()&lt;$S$124,INDEX('Source Data'!$Q$5:$Q$24,RANDBETWEEN(1,20))&amp;" "&amp;INDEX('Source Data'!$R$5:$R$24,RANDBETWEEN(1,20))&amp;" from "&amp;INDEX('Source Data'!$S$5:$S$24,RANDBETWEEN(1,20)),"")</f>
        <v>A mad  tribesman from a dangerous neighborhood</v>
      </c>
      <c r="O139" s="541"/>
      <c r="P139" s="540" t="str">
        <f ca="1">IF(AND(N139&lt;&gt;"",R139&lt;&gt;""),IF(RANDBETWEEN(0,1)=1,"&lt;"&amp;INDEX('Source Data'!$T$5:$T$24,RANDBETWEEN(1,20))&amp;"&lt;","&gt;"&amp;INDEX('Source Data'!$T$5:$T$24,RANDBETWEEN(1,20))&amp;"&gt;"),"")</f>
        <v>&gt; owes money to &gt;</v>
      </c>
      <c r="Q139" s="540"/>
      <c r="R139" s="539" t="str">
        <f ca="1">IF(RAND()&lt;$S$124,INDEX('Source Data'!$Q$5:$Q$24,RANDBETWEEN(1,20))&amp;" "&amp;INDEX('Source Data'!$R$5:$R$24,RANDBETWEEN(1,20))&amp;" from "&amp;INDEX('Source Data'!$S$5:$S$24,RANDBETWEEN(1,20)),"")</f>
        <v>A reclusive  tribesman from a wealthy neighborhood</v>
      </c>
      <c r="S139" s="88"/>
      <c r="T139" s="88"/>
      <c r="U139" s="188"/>
      <c r="V139" s="188"/>
      <c r="W139" s="188"/>
      <c r="X139" s="224"/>
    </row>
    <row r="140" spans="1:25" s="191" customFormat="1" ht="35.1" customHeight="1" thickBot="1">
      <c r="A140" s="591"/>
      <c r="B140" s="590"/>
      <c r="C140" s="589"/>
      <c r="D140" s="589"/>
      <c r="E140" s="590"/>
      <c r="F140" s="590"/>
      <c r="G140" s="589"/>
      <c r="H140" s="589"/>
      <c r="I140" s="589"/>
      <c r="J140" s="590"/>
      <c r="K140" s="590"/>
      <c r="L140" s="589"/>
      <c r="M140" s="589"/>
      <c r="N140" s="590"/>
      <c r="O140" s="590"/>
      <c r="P140" s="589"/>
      <c r="Q140" s="589"/>
      <c r="R140" s="588"/>
      <c r="S140" s="88"/>
      <c r="T140" s="88"/>
      <c r="U140" s="188"/>
      <c r="V140" s="188"/>
      <c r="W140" s="188"/>
      <c r="X140" s="224"/>
    </row>
    <row r="141" spans="1:25" s="191" customFormat="1" ht="35.1" customHeight="1" thickBot="1">
      <c r="A141" s="336"/>
      <c r="B141" s="336"/>
      <c r="C141" s="336"/>
      <c r="D141" s="336"/>
      <c r="E141" s="336"/>
      <c r="F141" s="336"/>
      <c r="G141" s="336"/>
      <c r="H141" s="336"/>
      <c r="I141" s="336"/>
      <c r="J141" s="336"/>
      <c r="K141" s="336"/>
      <c r="L141" s="336"/>
      <c r="M141" s="336"/>
      <c r="N141" s="336"/>
      <c r="O141" s="336"/>
      <c r="P141" s="336"/>
      <c r="Q141" s="336"/>
      <c r="R141" s="336"/>
      <c r="S141" s="88"/>
      <c r="T141" s="88"/>
      <c r="U141" s="188"/>
      <c r="V141" s="188"/>
      <c r="W141" s="188"/>
      <c r="X141" s="224"/>
    </row>
    <row r="142" spans="1:25" s="191" customFormat="1" ht="35.1" customHeight="1" thickBot="1">
      <c r="A142" s="838" t="s">
        <v>7255</v>
      </c>
      <c r="B142" s="839"/>
      <c r="C142" s="839"/>
      <c r="D142" s="839"/>
      <c r="E142" s="839"/>
      <c r="F142" s="839"/>
      <c r="G142" s="839"/>
      <c r="H142" s="839"/>
      <c r="I142" s="839"/>
      <c r="J142" s="839"/>
      <c r="K142" s="839"/>
      <c r="L142" s="839"/>
      <c r="M142" s="839"/>
      <c r="N142" s="839"/>
      <c r="O142" s="839"/>
      <c r="P142" s="839"/>
      <c r="Q142" s="839"/>
      <c r="R142" s="839"/>
      <c r="S142" s="839"/>
      <c r="T142" s="839"/>
      <c r="U142" s="839"/>
      <c r="V142" s="839"/>
      <c r="W142" s="840"/>
      <c r="X142" s="224"/>
    </row>
    <row r="143" spans="1:25" s="191" customFormat="1" ht="35.1" customHeight="1" thickBot="1">
      <c r="A143" s="336"/>
      <c r="B143" s="336"/>
      <c r="C143" s="336"/>
      <c r="D143" s="336"/>
      <c r="E143" s="336"/>
      <c r="F143" s="336"/>
      <c r="G143" s="336"/>
      <c r="H143" s="336"/>
      <c r="I143" s="336"/>
      <c r="J143" s="841" t="s">
        <v>7310</v>
      </c>
      <c r="K143" s="842"/>
      <c r="L143" s="842"/>
      <c r="M143" s="842"/>
      <c r="N143" s="842"/>
      <c r="O143" s="842"/>
      <c r="P143" s="842"/>
      <c r="Q143" s="842"/>
      <c r="R143" s="842"/>
      <c r="S143" s="843"/>
      <c r="T143" s="88"/>
      <c r="U143" s="88"/>
      <c r="V143" s="188"/>
      <c r="W143" s="188"/>
      <c r="X143" s="188"/>
      <c r="Y143" s="224"/>
    </row>
    <row r="144" spans="1:25" s="191" customFormat="1" ht="39.950000000000003" customHeight="1">
      <c r="A144" s="515" t="s">
        <v>7305</v>
      </c>
      <c r="B144" s="516"/>
      <c r="C144" s="516"/>
      <c r="D144" s="578" t="str">
        <f ca="1">INDEX($A$206:$A$211,RANDBETWEEN(1,6))</f>
        <v>Ancient and built to list; the tunnels have been here for ages and will last for many years.</v>
      </c>
      <c r="E144" s="578"/>
      <c r="F144" s="578"/>
      <c r="G144" s="578"/>
      <c r="H144" s="579"/>
      <c r="I144" s="336"/>
      <c r="J144" s="582" t="str">
        <f ca="1">IF(RAND()&lt;$G$149,INDEX('Source Data'!$N$28:$N$47,RANDBETWEEN(1,20))&amp;", with "&amp;INDEX('Source Data'!$M$28:$M$51,RANDBETWEEN(1,22))&amp;" *"&amp;INDEX('Source Data'!$J$5:$J$24,RANDBETWEEN(1,20)),"")</f>
        <v>large tunnel, with a pocket of warm, mucky water *Key</v>
      </c>
      <c r="K144" s="580" t="str">
        <f ca="1">IF(AND(J144&lt;&gt;"",L144&lt;&gt;""),INDEX('Source Data'!$B$28:$B$47,RANDBETWEEN(1,20)),"")</f>
        <v>open doorway</v>
      </c>
      <c r="L144" s="581" t="str">
        <f ca="1">IF(RAND()&lt;$G$149,INDEX('Source Data'!$N$28:$N$47,RANDBETWEEN(1,20))&amp;", with "&amp;INDEX('Source Data'!$M$28:$M$51,RANDBETWEEN(1,22))&amp;" *"&amp;INDEX('Source Data'!$J$5:$J$24,RANDBETWEEN(1,20)),"")</f>
        <v>T intersection, with bubbling, murky water *Entrance/Access</v>
      </c>
      <c r="M144" s="580" t="str">
        <f ca="1">IF(AND(L144&lt;&gt;"",N144&lt;&gt;""),INDEX('Source Data'!$B$28:$B$47,RANDBETWEEN(1,20)),"")</f>
        <v>broken archway</v>
      </c>
      <c r="N144" s="581" t="str">
        <f ca="1">IF(RAND()&lt;$G$149,INDEX('Source Data'!$N$28:$N$47,RANDBETWEEN(1,20))&amp;", with "&amp;INDEX('Source Data'!$M$28:$M$51,RANDBETWEEN(1,22))&amp;" *"&amp;INDEX('Source Data'!$J$5:$J$24,RANDBETWEEN(1,20)),"")</f>
        <v>X intersection, with ladder or narrow stair going up *Entrance/Access</v>
      </c>
      <c r="O144" s="580" t="str">
        <f ca="1">IF(AND(N144&lt;&gt;"",Q144&lt;&gt;""),INDEX('Source Data'!$B$28:$B$47,RANDBETWEEN(1,20)),"")</f>
        <v/>
      </c>
      <c r="P144" s="580"/>
      <c r="Q144" s="581" t="str">
        <f ca="1">IF(RAND()&lt;$G$149,INDEX('Source Data'!$N$28:$N$47,RANDBETWEEN(1,20))&amp;", with "&amp;INDEX('Source Data'!$M$28:$M$51,RANDBETWEEN(1,22))&amp;" *"&amp;INDEX('Source Data'!$J$5:$J$24,RANDBETWEEN(1,20)),"")</f>
        <v/>
      </c>
      <c r="R144" s="580" t="str">
        <f ca="1">IF(AND(Q144&lt;&gt;"",S144&lt;&gt;""),INDEX('Source Data'!$B$28:$B$47,RANDBETWEEN(1,20)),"")</f>
        <v/>
      </c>
      <c r="S144" s="586" t="str">
        <f ca="1">IF(RAND()&lt;$G$149,INDEX('Source Data'!$N$28:$N$47,RANDBETWEEN(1,20))&amp;", with "&amp;INDEX('Source Data'!$M$28:$M$51,RANDBETWEEN(1,22))&amp;" *"&amp;INDEX('Source Data'!$J$5:$J$24,RANDBETWEEN(1,20)),"")</f>
        <v>small room, with bubbling, murky water *Entrance/Access</v>
      </c>
      <c r="T144" s="88"/>
      <c r="U144" s="88"/>
      <c r="V144" s="188"/>
      <c r="W144" s="188"/>
      <c r="X144" s="188"/>
      <c r="Y144" s="224"/>
    </row>
    <row r="145" spans="1:25" s="191" customFormat="1" ht="39.950000000000003" customHeight="1">
      <c r="A145" s="844" t="s">
        <v>7306</v>
      </c>
      <c r="B145" s="845"/>
      <c r="C145" s="845"/>
      <c r="D145" s="447" t="str">
        <f ca="1">INDEX($B$206:$B$211,RANDBETWEEN(1,6))</f>
        <v>Baked clay tiles.</v>
      </c>
      <c r="E145" s="447"/>
      <c r="F145" s="447"/>
      <c r="G145" s="447"/>
      <c r="H145" s="448"/>
      <c r="I145" s="336"/>
      <c r="J145" s="583"/>
      <c r="K145" s="540"/>
      <c r="L145" s="541"/>
      <c r="M145" s="540"/>
      <c r="N145" s="541"/>
      <c r="O145" s="540"/>
      <c r="P145" s="540"/>
      <c r="Q145" s="541"/>
      <c r="R145" s="540"/>
      <c r="S145" s="539"/>
      <c r="T145" s="88"/>
      <c r="U145" s="88"/>
      <c r="V145" s="188"/>
      <c r="W145" s="188"/>
      <c r="X145" s="188"/>
      <c r="Y145" s="224"/>
    </row>
    <row r="146" spans="1:25" s="191" customFormat="1" ht="39.950000000000003" customHeight="1">
      <c r="A146" s="844" t="s">
        <v>7307</v>
      </c>
      <c r="B146" s="845"/>
      <c r="C146" s="845"/>
      <c r="D146" s="447" t="str">
        <f ca="1">INDEX($C$206:$C$211,RANDBETWEEN(1,6))</f>
        <v>Flood at high tide.</v>
      </c>
      <c r="E146" s="447"/>
      <c r="F146" s="447"/>
      <c r="G146" s="447"/>
      <c r="H146" s="448"/>
      <c r="I146" s="336"/>
      <c r="J146" s="587" t="str">
        <f ca="1">IF(AND(J144&lt;&gt;"",J148&lt;&gt;""),INDEX('Source Data'!$B$28:$B$47,RANDBETWEEN(1,20)),"")</f>
        <v/>
      </c>
      <c r="K146" s="585" t="str">
        <f ca="1">IF(AND(L144&lt;&gt;"",J148&lt;&gt;"",J144="",L148=""),INDEX('Source Data'!$B$28:$B$47,RANDBETWEEN(1,20)),IF(AND(J144&lt;&gt;"",L148&lt;&gt;"",J148="",L144=""),INDEX('Source Data'!$B$28:$B$47,RANDBETWEEN(1,20)),""))</f>
        <v/>
      </c>
      <c r="L146" s="540" t="str">
        <f ca="1">IF(AND(L144&lt;&gt;"",L148&lt;&gt;""),INDEX('Source Data'!$B$28:$B$47,RANDBETWEEN(1,20)),"")</f>
        <v>false wall</v>
      </c>
      <c r="M146" s="585" t="str">
        <f ca="1">IF(AND(N144&lt;&gt;"",L148&lt;&gt;"",L144="",N148=""),INDEX('Source Data'!$B$28:$B$47,RANDBETWEEN(1,20)),IF(AND(L144&lt;&gt;"",N148&lt;&gt;"",L148="",N144=""),INDEX('Source Data'!$B$28:$B$47,RANDBETWEEN(1,20)),""))</f>
        <v/>
      </c>
      <c r="N146" s="540" t="str">
        <f ca="1">IF(AND(N144&lt;&gt;"",N148&lt;&gt;""),INDEX('Source Data'!$B$28:$B$47,RANDBETWEEN(1,20)),"")</f>
        <v>broken doorway</v>
      </c>
      <c r="O146" s="585" t="str">
        <f ca="1">IF(AND(Q144&lt;&gt;"",N148&lt;&gt;"",N144="",Q148=""),INDEX('Source Data'!$B$28:$B$47,RANDBETWEEN(1,20)),IF(AND(N144&lt;&gt;"",Q148&lt;&gt;"",N148="",Q144=""),INDEX('Source Data'!$B$28:$B$47,RANDBETWEEN(1,20)),""))</f>
        <v/>
      </c>
      <c r="P146" s="585"/>
      <c r="Q146" s="540" t="str">
        <f ca="1">IF(AND(Q144&lt;&gt;"",Q148&lt;&gt;""),INDEX('Source Data'!$B$28:$B$47,RANDBETWEEN(1,20)),"")</f>
        <v/>
      </c>
      <c r="R146" s="585" t="str">
        <f ca="1">IF(AND(S144&lt;&gt;"",Q148&lt;&gt;"",Q144="",S148=""),INDEX('Source Data'!$B$28:$B$47,RANDBETWEEN(1,20)),IF(AND(Q144&lt;&gt;"",S148&lt;&gt;"",Q148="",S144=""),INDEX('Source Data'!$B$28:$B$47,RANDBETWEEN(1,20)),""))</f>
        <v>broken archway</v>
      </c>
      <c r="S146" s="584" t="str">
        <f ca="1">IF(AND(S144&lt;&gt;"",S148&lt;&gt;""),INDEX('Source Data'!$B$28:$B$47,RANDBETWEEN(1,20)),"")</f>
        <v/>
      </c>
      <c r="T146" s="88"/>
      <c r="U146" s="88"/>
      <c r="V146" s="188"/>
      <c r="W146" s="188"/>
      <c r="X146" s="188"/>
      <c r="Y146" s="224"/>
    </row>
    <row r="147" spans="1:25" s="191" customFormat="1" ht="39.950000000000003" customHeight="1" thickBot="1">
      <c r="A147" s="517" t="s">
        <v>7308</v>
      </c>
      <c r="B147" s="518"/>
      <c r="C147" s="518"/>
      <c r="D147" s="445" t="str">
        <f ca="1">INDEX($D$206:$D$211,RANDBETWEEN(1,6))</f>
        <v>A wide river.</v>
      </c>
      <c r="E147" s="445"/>
      <c r="F147" s="445"/>
      <c r="G147" s="445"/>
      <c r="H147" s="446"/>
      <c r="I147" s="336"/>
      <c r="J147" s="587"/>
      <c r="K147" s="585"/>
      <c r="L147" s="540"/>
      <c r="M147" s="585"/>
      <c r="N147" s="540"/>
      <c r="O147" s="585"/>
      <c r="P147" s="585"/>
      <c r="Q147" s="540"/>
      <c r="R147" s="585"/>
      <c r="S147" s="584"/>
      <c r="T147" s="88"/>
      <c r="U147" s="88"/>
      <c r="V147" s="188"/>
      <c r="W147" s="188"/>
      <c r="X147" s="188"/>
      <c r="Y147" s="224"/>
    </row>
    <row r="148" spans="1:25" s="191" customFormat="1" ht="39.950000000000003" customHeight="1" thickBot="1">
      <c r="A148" s="336"/>
      <c r="B148" s="336"/>
      <c r="C148" s="336"/>
      <c r="D148" s="336"/>
      <c r="E148" s="336"/>
      <c r="F148" s="336"/>
      <c r="G148" s="336"/>
      <c r="H148" s="336"/>
      <c r="I148" s="336"/>
      <c r="J148" s="583" t="str">
        <f ca="1">IF(RAND()&lt;$G$149,INDEX('Source Data'!$N$28:$N$47,RANDBETWEEN(1,20))&amp;", with "&amp;INDEX('Source Data'!$M$28:$M$51,RANDBETWEEN(1,22))&amp;" *"&amp;INDEX('Source Data'!$J$5:$J$24,RANDBETWEEN(1,20)),"")</f>
        <v/>
      </c>
      <c r="K148" s="540" t="str">
        <f ca="1">IF(AND(J148&lt;&gt;"",L148&lt;&gt;""),INDEX('Source Data'!$B$28:$B$47,RANDBETWEEN(1,20)),"")</f>
        <v/>
      </c>
      <c r="L148" s="541" t="str">
        <f ca="1">IF(RAND()&lt;$G$149,INDEX('Source Data'!$N$28:$N$47,RANDBETWEEN(1,20))&amp;", with "&amp;INDEX('Source Data'!$M$28:$M$51,RANDBETWEEN(1,22))&amp;" *"&amp;INDEX('Source Data'!$J$5:$J$24,RANDBETWEEN(1,20)),"")</f>
        <v>drain room, with jagged cracks in the tunnel wall *Exit/Access</v>
      </c>
      <c r="M148" s="540" t="str">
        <f ca="1">IF(AND(L148&lt;&gt;"",N148&lt;&gt;""),INDEX('Source Data'!$B$28:$B$47,RANDBETWEEN(1,20)),"")</f>
        <v>open doorway</v>
      </c>
      <c r="N148" s="541" t="str">
        <f ca="1">IF(RAND()&lt;$G$149,INDEX('Source Data'!$N$28:$N$47,RANDBETWEEN(1,20))&amp;", with "&amp;INDEX('Source Data'!$M$28:$M$51,RANDBETWEEN(1,22))&amp;" *"&amp;INDEX('Source Data'!$J$5:$J$24,RANDBETWEEN(1,20)),"")</f>
        <v>vaulted tunnel, with bubbling, murky water *Hazard</v>
      </c>
      <c r="O148" s="540" t="str">
        <f ca="1">IF(AND(N148&lt;&gt;"",Q148&lt;&gt;""),INDEX('Source Data'!$B$28:$B$47,RANDBETWEEN(1,20)),"")</f>
        <v>broken archway</v>
      </c>
      <c r="P148" s="540"/>
      <c r="Q148" s="541" t="str">
        <f ca="1">IF(RAND()&lt;$G$149,INDEX('Source Data'!$N$28:$N$47,RANDBETWEEN(1,20))&amp;", with "&amp;INDEX('Source Data'!$M$28:$M$51,RANDBETWEEN(1,22))&amp;" *"&amp;INDEX('Source Data'!$J$5:$J$24,RANDBETWEEN(1,20)),"")</f>
        <v>access room, with large pipe or drain leading downard *Interaction</v>
      </c>
      <c r="R148" s="540" t="str">
        <f ca="1">IF(AND(Q148&lt;&gt;"",S148&lt;&gt;""),INDEX('Source Data'!$B$28:$B$47,RANDBETWEEN(1,20)),"")</f>
        <v/>
      </c>
      <c r="S148" s="539" t="str">
        <f ca="1">IF(RAND()&lt;$G$149,INDEX('Source Data'!$N$28:$N$47,RANDBETWEEN(1,20))&amp;", with "&amp;INDEX('Source Data'!$M$28:$M$51,RANDBETWEEN(1,22))&amp;" *"&amp;INDEX('Source Data'!$J$5:$J$24,RANDBETWEEN(1,20)),"")</f>
        <v/>
      </c>
      <c r="T148" s="88"/>
      <c r="U148" s="88"/>
      <c r="V148" s="188"/>
      <c r="W148" s="188"/>
      <c r="X148" s="188"/>
      <c r="Y148" s="224"/>
    </row>
    <row r="149" spans="1:25" s="191" customFormat="1" ht="39.950000000000003" customHeight="1" thickBot="1">
      <c r="A149" s="336"/>
      <c r="B149" s="336"/>
      <c r="C149" s="336"/>
      <c r="D149" s="461" t="s">
        <v>7309</v>
      </c>
      <c r="E149" s="462"/>
      <c r="F149" s="462"/>
      <c r="G149" s="344">
        <v>0.7</v>
      </c>
      <c r="H149" s="336"/>
      <c r="I149" s="336"/>
      <c r="J149" s="583"/>
      <c r="K149" s="540"/>
      <c r="L149" s="541"/>
      <c r="M149" s="540"/>
      <c r="N149" s="541"/>
      <c r="O149" s="540"/>
      <c r="P149" s="540"/>
      <c r="Q149" s="541"/>
      <c r="R149" s="540"/>
      <c r="S149" s="539"/>
      <c r="T149" s="88"/>
      <c r="U149" s="88"/>
      <c r="V149" s="188"/>
      <c r="W149" s="188"/>
      <c r="X149" s="188"/>
      <c r="Y149" s="224"/>
    </row>
    <row r="150" spans="1:25" s="191" customFormat="1" ht="39.950000000000003" customHeight="1">
      <c r="A150" s="336"/>
      <c r="B150" s="336"/>
      <c r="C150" s="336"/>
      <c r="D150" s="336"/>
      <c r="E150" s="336"/>
      <c r="F150" s="336"/>
      <c r="G150" s="336"/>
      <c r="H150" s="336"/>
      <c r="I150" s="336"/>
      <c r="J150" s="587" t="str">
        <f ca="1">IF(AND(J148&lt;&gt;"",J152&lt;&gt;""),INDEX('Source Data'!$B$28:$B$47,RANDBETWEEN(1,20)),"")</f>
        <v/>
      </c>
      <c r="K150" s="585" t="str">
        <f ca="1">IF(AND(L148&lt;&gt;"",J152&lt;&gt;"",J148="",L152=""),INDEX('Source Data'!$B$28:$B$47,RANDBETWEEN(1,20)),IF(AND(J148&lt;&gt;"",L152&lt;&gt;"",J152="",L148=""),INDEX('Source Data'!$B$28:$B$47,RANDBETWEEN(1,20)),""))</f>
        <v>hole</v>
      </c>
      <c r="L150" s="540" t="str">
        <f ca="1">IF(AND(L148&lt;&gt;"",L152&lt;&gt;""),INDEX('Source Data'!$B$28:$B$47,RANDBETWEEN(1,20)),"")</f>
        <v/>
      </c>
      <c r="M150" s="585" t="str">
        <f ca="1">IF(AND(N148&lt;&gt;"",L152&lt;&gt;"",L148="",N152=""),INDEX('Source Data'!$B$28:$B$47,RANDBETWEEN(1,20)),IF(AND(L148&lt;&gt;"",N152&lt;&gt;"",L152="",N148=""),INDEX('Source Data'!$B$28:$B$47,RANDBETWEEN(1,20)),""))</f>
        <v/>
      </c>
      <c r="N150" s="540" t="str">
        <f ca="1">IF(AND(N148&lt;&gt;"",N152&lt;&gt;""),INDEX('Source Data'!$B$28:$B$47,RANDBETWEEN(1,20)),"")</f>
        <v>hole</v>
      </c>
      <c r="O150" s="585" t="str">
        <f ca="1">IF(AND(Q148&lt;&gt;"",N152&lt;&gt;"",N148="",Q152=""),INDEX('Source Data'!$B$28:$B$47,RANDBETWEEN(1,20)),IF(AND(N148&lt;&gt;"",Q152&lt;&gt;"",N152="",Q148=""),INDEX('Source Data'!$B$28:$B$47,RANDBETWEEN(1,20)),""))</f>
        <v/>
      </c>
      <c r="P150" s="585"/>
      <c r="Q150" s="540" t="str">
        <f ca="1">IF(AND(Q148&lt;&gt;"",Q152&lt;&gt;""),INDEX('Source Data'!$B$28:$B$47,RANDBETWEEN(1,20)),"")</f>
        <v>narrow archway</v>
      </c>
      <c r="R150" s="585" t="str">
        <f ca="1">IF(AND(S148&lt;&gt;"",Q152&lt;&gt;"",Q148="",S152=""),INDEX('Source Data'!$B$28:$B$47,RANDBETWEEN(1,20)),IF(AND(Q148&lt;&gt;"",S152&lt;&gt;"",Q152="",S148=""),INDEX('Source Data'!$B$28:$B$47,RANDBETWEEN(1,20)),""))</f>
        <v/>
      </c>
      <c r="S150" s="584" t="str">
        <f ca="1">IF(AND(S148&lt;&gt;"",S152&lt;&gt;""),INDEX('Source Data'!$B$28:$B$47,RANDBETWEEN(1,20)),"")</f>
        <v/>
      </c>
      <c r="T150" s="88"/>
      <c r="U150" s="88"/>
      <c r="V150" s="188"/>
      <c r="W150" s="188"/>
      <c r="X150" s="188"/>
      <c r="Y150" s="224"/>
    </row>
    <row r="151" spans="1:25" s="191" customFormat="1" ht="39.950000000000003" customHeight="1">
      <c r="A151" s="336"/>
      <c r="B151" s="336"/>
      <c r="C151" s="336"/>
      <c r="D151" s="336"/>
      <c r="E151" s="336"/>
      <c r="F151" s="336"/>
      <c r="G151" s="336"/>
      <c r="H151" s="336"/>
      <c r="I151" s="336"/>
      <c r="J151" s="587"/>
      <c r="K151" s="585"/>
      <c r="L151" s="540"/>
      <c r="M151" s="585"/>
      <c r="N151" s="540"/>
      <c r="O151" s="585"/>
      <c r="P151" s="585"/>
      <c r="Q151" s="540"/>
      <c r="R151" s="585"/>
      <c r="S151" s="584"/>
      <c r="T151" s="88"/>
      <c r="U151" s="88"/>
      <c r="V151" s="188"/>
      <c r="W151" s="188"/>
      <c r="X151" s="188"/>
      <c r="Y151" s="224"/>
    </row>
    <row r="152" spans="1:25" s="191" customFormat="1" ht="39.950000000000003" customHeight="1">
      <c r="A152" s="336"/>
      <c r="B152" s="336"/>
      <c r="C152" s="336"/>
      <c r="D152" s="336"/>
      <c r="E152" s="336"/>
      <c r="F152" s="336"/>
      <c r="G152" s="336"/>
      <c r="H152" s="336"/>
      <c r="I152" s="336"/>
      <c r="J152" s="583" t="str">
        <f ca="1">IF(RAND()&lt;$G$149,INDEX('Source Data'!$N$28:$N$47,RANDBETWEEN(1,20))&amp;", with "&amp;INDEX('Source Data'!$M$28:$M$51,RANDBETWEEN(1,22))&amp;" *"&amp;INDEX('Source Data'!$J$5:$J$24,RANDBETWEEN(1,20)),"")</f>
        <v>large room, with skeleton or decaying corpse *Encounter</v>
      </c>
      <c r="K152" s="540" t="str">
        <f ca="1">IF(AND(J152&lt;&gt;"",L152&lt;&gt;""),INDEX('Source Data'!$B$28:$B$47,RANDBETWEEN(1,20)),"")</f>
        <v/>
      </c>
      <c r="L152" s="541" t="str">
        <f ca="1">IF(RAND()&lt;$G$149,INDEX('Source Data'!$N$28:$N$47,RANDBETWEEN(1,20))&amp;", with "&amp;INDEX('Source Data'!$M$28:$M$51,RANDBETWEEN(1,22))&amp;" *"&amp;INDEX('Source Data'!$J$5:$J$24,RANDBETWEEN(1,20)),"")</f>
        <v/>
      </c>
      <c r="M152" s="540" t="str">
        <f ca="1">IF(AND(L152&lt;&gt;"",N152&lt;&gt;""),INDEX('Source Data'!$B$28:$B$47,RANDBETWEEN(1,20)),"")</f>
        <v/>
      </c>
      <c r="N152" s="541" t="str">
        <f ca="1">IF(RAND()&lt;$G$149,INDEX('Source Data'!$N$28:$N$47,RANDBETWEEN(1,20))&amp;", with "&amp;INDEX('Source Data'!$M$28:$M$51,RANDBETWEEN(1,22))&amp;" *"&amp;INDEX('Source Data'!$J$5:$J$24,RANDBETWEEN(1,20)),"")</f>
        <v>X intersection, with bubbling, murky water *Encounter</v>
      </c>
      <c r="O152" s="540" t="str">
        <f ca="1">IF(AND(N152&lt;&gt;"",Q152&lt;&gt;""),INDEX('Source Data'!$B$28:$B$47,RANDBETWEEN(1,20)),"")</f>
        <v>climb/descend</v>
      </c>
      <c r="P152" s="540"/>
      <c r="Q152" s="541" t="str">
        <f ca="1">IF(RAND()&lt;$G$149,INDEX('Source Data'!$N$28:$N$47,RANDBETWEEN(1,20))&amp;", with "&amp;INDEX('Source Data'!$M$28:$M$51,RANDBETWEEN(1,22))&amp;" *"&amp;INDEX('Source Data'!$J$5:$J$24,RANDBETWEEN(1,20)),"")</f>
        <v>low tunnel, with bubbling, murky water *Entrance/Access</v>
      </c>
      <c r="R152" s="540" t="str">
        <f ca="1">IF(AND(Q152&lt;&gt;"",S152&lt;&gt;""),INDEX('Source Data'!$B$28:$B$47,RANDBETWEEN(1,20)),"")</f>
        <v>hole</v>
      </c>
      <c r="S152" s="539" t="str">
        <f ca="1">IF(RAND()&lt;$G$149,INDEX('Source Data'!$N$28:$N$47,RANDBETWEEN(1,20))&amp;", with "&amp;INDEX('Source Data'!$M$28:$M$51,RANDBETWEEN(1,22))&amp;" *"&amp;INDEX('Source Data'!$J$5:$J$24,RANDBETWEEN(1,20)),"")</f>
        <v>X intersection, with ladder or narrow stair going up *Exploration</v>
      </c>
      <c r="T152" s="88"/>
      <c r="U152" s="88"/>
      <c r="V152" s="188"/>
      <c r="W152" s="188"/>
      <c r="X152" s="188"/>
      <c r="Y152" s="224"/>
    </row>
    <row r="153" spans="1:25" s="191" customFormat="1" ht="39.950000000000003" customHeight="1">
      <c r="A153" s="336"/>
      <c r="B153" s="336"/>
      <c r="C153" s="336"/>
      <c r="D153" s="336"/>
      <c r="E153" s="336"/>
      <c r="F153" s="336"/>
      <c r="G153" s="336"/>
      <c r="H153" s="336"/>
      <c r="I153" s="336"/>
      <c r="J153" s="583"/>
      <c r="K153" s="540"/>
      <c r="L153" s="541"/>
      <c r="M153" s="540"/>
      <c r="N153" s="541"/>
      <c r="O153" s="540"/>
      <c r="P153" s="540"/>
      <c r="Q153" s="541"/>
      <c r="R153" s="540"/>
      <c r="S153" s="539"/>
      <c r="T153" s="88"/>
      <c r="U153" s="88"/>
      <c r="V153" s="188"/>
      <c r="W153" s="188"/>
      <c r="X153" s="188"/>
      <c r="Y153" s="224"/>
    </row>
    <row r="154" spans="1:25" s="191" customFormat="1" ht="39.950000000000003" customHeight="1">
      <c r="A154" s="336"/>
      <c r="B154" s="336"/>
      <c r="C154" s="336"/>
      <c r="D154" s="336"/>
      <c r="E154" s="336"/>
      <c r="F154" s="336"/>
      <c r="G154" s="336"/>
      <c r="H154" s="336"/>
      <c r="I154" s="336"/>
      <c r="J154" s="587" t="str">
        <f ca="1">IF(AND(J152&lt;&gt;"",J156&lt;&gt;""),INDEX('Source Data'!$B$28:$B$47,RANDBETWEEN(1,20)),"")</f>
        <v>broken archway</v>
      </c>
      <c r="K154" s="585" t="str">
        <f ca="1">IF(AND(L152&lt;&gt;"",J156&lt;&gt;"",J152="",L156=""),INDEX('Source Data'!$B$28:$B$47,RANDBETWEEN(1,20)),IF(AND(J152&lt;&gt;"",L156&lt;&gt;"",J156="",L152=""),INDEX('Source Data'!$B$28:$B$47,RANDBETWEEN(1,20)),""))</f>
        <v/>
      </c>
      <c r="L154" s="540" t="str">
        <f ca="1">IF(AND(L152&lt;&gt;"",L156&lt;&gt;""),INDEX('Source Data'!$B$28:$B$47,RANDBETWEEN(1,20)),"")</f>
        <v/>
      </c>
      <c r="M154" s="585" t="str">
        <f ca="1">IF(AND(N152&lt;&gt;"",L156&lt;&gt;"",L152="",N156=""),INDEX('Source Data'!$B$28:$B$47,RANDBETWEEN(1,20)),IF(AND(L152&lt;&gt;"",N156&lt;&gt;"",L156="",N152=""),INDEX('Source Data'!$B$28:$B$47,RANDBETWEEN(1,20)),""))</f>
        <v>hole</v>
      </c>
      <c r="N154" s="540" t="str">
        <f ca="1">IF(AND(N152&lt;&gt;"",N156&lt;&gt;""),INDEX('Source Data'!$B$28:$B$47,RANDBETWEEN(1,20)),"")</f>
        <v/>
      </c>
      <c r="O154" s="585" t="str">
        <f ca="1">IF(AND(Q152&lt;&gt;"",N156&lt;&gt;"",N152="",Q156=""),INDEX('Source Data'!$B$28:$B$47,RANDBETWEEN(1,20)),IF(AND(N152&lt;&gt;"",Q156&lt;&gt;"",N156="",Q152=""),INDEX('Source Data'!$B$28:$B$47,RANDBETWEEN(1,20)),""))</f>
        <v/>
      </c>
      <c r="P154" s="585"/>
      <c r="Q154" s="540" t="str">
        <f ca="1">IF(AND(Q152&lt;&gt;"",Q156&lt;&gt;""),INDEX('Source Data'!$B$28:$B$47,RANDBETWEEN(1,20)),"")</f>
        <v/>
      </c>
      <c r="R154" s="585" t="str">
        <f ca="1">IF(AND(S152&lt;&gt;"",Q156&lt;&gt;"",Q152="",S156=""),INDEX('Source Data'!$B$28:$B$47,RANDBETWEEN(1,20)),IF(AND(Q152&lt;&gt;"",S156&lt;&gt;"",Q156="",S152=""),INDEX('Source Data'!$B$28:$B$47,RANDBETWEEN(1,20)),""))</f>
        <v/>
      </c>
      <c r="S154" s="584" t="str">
        <f ca="1">IF(AND(S152&lt;&gt;"",S156&lt;&gt;""),INDEX('Source Data'!$B$28:$B$47,RANDBETWEEN(1,20)),"")</f>
        <v/>
      </c>
      <c r="T154" s="88"/>
      <c r="U154" s="88"/>
      <c r="V154" s="188"/>
      <c r="W154" s="188"/>
      <c r="X154" s="188"/>
      <c r="Y154" s="224"/>
    </row>
    <row r="155" spans="1:25" s="191" customFormat="1" ht="39.950000000000003" customHeight="1">
      <c r="A155" s="336"/>
      <c r="B155" s="336"/>
      <c r="C155" s="336"/>
      <c r="D155" s="336"/>
      <c r="E155" s="336"/>
      <c r="F155" s="336"/>
      <c r="G155" s="336"/>
      <c r="H155" s="336"/>
      <c r="I155" s="336"/>
      <c r="J155" s="587"/>
      <c r="K155" s="585"/>
      <c r="L155" s="540"/>
      <c r="M155" s="585"/>
      <c r="N155" s="540"/>
      <c r="O155" s="585"/>
      <c r="P155" s="585"/>
      <c r="Q155" s="540"/>
      <c r="R155" s="585"/>
      <c r="S155" s="584"/>
      <c r="T155" s="88"/>
      <c r="U155" s="88"/>
      <c r="V155" s="188"/>
      <c r="W155" s="188"/>
      <c r="X155" s="188"/>
      <c r="Y155" s="224"/>
    </row>
    <row r="156" spans="1:25" s="191" customFormat="1" ht="39.950000000000003" customHeight="1">
      <c r="A156" s="336"/>
      <c r="B156" s="336"/>
      <c r="C156" s="336"/>
      <c r="D156" s="336"/>
      <c r="E156" s="336"/>
      <c r="F156" s="336"/>
      <c r="G156" s="336"/>
      <c r="H156" s="336"/>
      <c r="I156" s="336"/>
      <c r="J156" s="583" t="str">
        <f ca="1">IF(RAND()&lt;$G$149,INDEX('Source Data'!$N$28:$N$47,RANDBETWEEN(1,20))&amp;", with "&amp;INDEX('Source Data'!$M$28:$M$51,RANDBETWEEN(1,22))&amp;" *"&amp;INDEX('Source Data'!$J$5:$J$24,RANDBETWEEN(1,20)),"")</f>
        <v>large room, with skeleton or decaying corpse *Lock</v>
      </c>
      <c r="K156" s="540" t="str">
        <f ca="1">IF(AND(J156&lt;&gt;"",L156&lt;&gt;""),INDEX('Source Data'!$B$28:$B$47,RANDBETWEEN(1,20)),"")</f>
        <v>hole</v>
      </c>
      <c r="L156" s="541" t="str">
        <f ca="1">IF(RAND()&lt;$G$149,INDEX('Source Data'!$N$28:$N$47,RANDBETWEEN(1,20))&amp;", with "&amp;INDEX('Source Data'!$M$28:$M$51,RANDBETWEEN(1,22))&amp;" *"&amp;INDEX('Source Data'!$J$5:$J$24,RANDBETWEEN(1,20)),"")</f>
        <v>T intersection, with giant grate or net *Key</v>
      </c>
      <c r="M156" s="540" t="str">
        <f ca="1">IF(AND(L156&lt;&gt;"",N156&lt;&gt;""),INDEX('Source Data'!$B$28:$B$47,RANDBETWEEN(1,20)),"")</f>
        <v/>
      </c>
      <c r="N156" s="541" t="str">
        <f ca="1">IF(RAND()&lt;$G$149,INDEX('Source Data'!$N$28:$N$47,RANDBETWEEN(1,20))&amp;", with "&amp;INDEX('Source Data'!$M$28:$M$51,RANDBETWEEN(1,22))&amp;" *"&amp;INDEX('Source Data'!$J$5:$J$24,RANDBETWEEN(1,20)),"")</f>
        <v/>
      </c>
      <c r="O156" s="540" t="str">
        <f ca="1">IF(AND(N156&lt;&gt;"",Q156&lt;&gt;""),INDEX('Source Data'!$B$28:$B$47,RANDBETWEEN(1,20)),"")</f>
        <v/>
      </c>
      <c r="P156" s="540"/>
      <c r="Q156" s="541" t="str">
        <f ca="1">IF(RAND()&lt;$G$149,INDEX('Source Data'!$N$28:$N$47,RANDBETWEEN(1,20))&amp;", with "&amp;INDEX('Source Data'!$M$28:$M$51,RANDBETWEEN(1,22))&amp;" *"&amp;INDEX('Source Data'!$J$5:$J$24,RANDBETWEEN(1,20)),"")</f>
        <v/>
      </c>
      <c r="R156" s="540" t="str">
        <f ca="1">IF(AND(Q156&lt;&gt;"",S156&lt;&gt;""),INDEX('Source Data'!$B$28:$B$47,RANDBETWEEN(1,20)),"")</f>
        <v/>
      </c>
      <c r="S156" s="539" t="str">
        <f ca="1">IF(RAND()&lt;$G$149,INDEX('Source Data'!$N$28:$N$47,RANDBETWEEN(1,20))&amp;", with "&amp;INDEX('Source Data'!$M$28:$M$51,RANDBETWEEN(1,22))&amp;" *"&amp;INDEX('Source Data'!$J$5:$J$24,RANDBETWEEN(1,20)),"")</f>
        <v/>
      </c>
      <c r="T156" s="88"/>
      <c r="U156" s="88"/>
      <c r="V156" s="188"/>
      <c r="W156" s="188"/>
      <c r="X156" s="188"/>
      <c r="Y156" s="224"/>
    </row>
    <row r="157" spans="1:25" s="191" customFormat="1" ht="39.950000000000003" customHeight="1">
      <c r="A157" s="336"/>
      <c r="B157" s="336"/>
      <c r="C157" s="336"/>
      <c r="D157" s="336"/>
      <c r="E157" s="336"/>
      <c r="F157" s="336"/>
      <c r="G157" s="336"/>
      <c r="H157" s="336"/>
      <c r="I157" s="336"/>
      <c r="J157" s="583"/>
      <c r="K157" s="540"/>
      <c r="L157" s="541"/>
      <c r="M157" s="540"/>
      <c r="N157" s="541"/>
      <c r="O157" s="540"/>
      <c r="P157" s="540"/>
      <c r="Q157" s="541"/>
      <c r="R157" s="540"/>
      <c r="S157" s="539"/>
      <c r="T157" s="88"/>
      <c r="U157" s="88"/>
      <c r="V157" s="188"/>
      <c r="W157" s="188"/>
      <c r="X157" s="188"/>
      <c r="Y157" s="224"/>
    </row>
    <row r="158" spans="1:25" s="191" customFormat="1" ht="39.950000000000003" customHeight="1">
      <c r="A158" s="336"/>
      <c r="B158" s="336"/>
      <c r="C158" s="336"/>
      <c r="D158" s="336"/>
      <c r="E158" s="336"/>
      <c r="F158" s="336"/>
      <c r="G158" s="336"/>
      <c r="H158" s="336"/>
      <c r="I158" s="336"/>
      <c r="J158" s="587" t="str">
        <f ca="1">IF(AND(J156&lt;&gt;"",J160&lt;&gt;""),INDEX('Source Data'!$B$28:$B$47,RANDBETWEEN(1,20)),"")</f>
        <v/>
      </c>
      <c r="K158" s="585" t="str">
        <f ca="1">IF(AND(L156&lt;&gt;"",J160&lt;&gt;"",J156="",L160=""),INDEX('Source Data'!$B$28:$B$47,RANDBETWEEN(1,20)),IF(AND(J156&lt;&gt;"",L160&lt;&gt;"",J160="",L156=""),INDEX('Source Data'!$B$28:$B$47,RANDBETWEEN(1,20)),""))</f>
        <v/>
      </c>
      <c r="L158" s="540" t="str">
        <f ca="1">IF(AND(L156&lt;&gt;"",L160&lt;&gt;""),INDEX('Source Data'!$B$28:$B$47,RANDBETWEEN(1,20)),"")</f>
        <v/>
      </c>
      <c r="M158" s="585" t="str">
        <f ca="1">IF(AND(N156&lt;&gt;"",L160&lt;&gt;"",L156="",N160=""),INDEX('Source Data'!$B$28:$B$47,RANDBETWEEN(1,20)),IF(AND(L156&lt;&gt;"",N160&lt;&gt;"",L160="",N156=""),INDEX('Source Data'!$B$28:$B$47,RANDBETWEEN(1,20)),""))</f>
        <v>false wall</v>
      </c>
      <c r="N158" s="540" t="str">
        <f ca="1">IF(AND(N156&lt;&gt;"",N160&lt;&gt;""),INDEX('Source Data'!$B$28:$B$47,RANDBETWEEN(1,20)),"")</f>
        <v/>
      </c>
      <c r="O158" s="585" t="str">
        <f ca="1">IF(AND(Q156&lt;&gt;"",N160&lt;&gt;"",N156="",Q160=""),INDEX('Source Data'!$B$28:$B$47,RANDBETWEEN(1,20)),IF(AND(N156&lt;&gt;"",Q160&lt;&gt;"",N160="",Q156=""),INDEX('Source Data'!$B$28:$B$47,RANDBETWEEN(1,20)),""))</f>
        <v/>
      </c>
      <c r="P158" s="585"/>
      <c r="Q158" s="540" t="str">
        <f ca="1">IF(AND(Q156&lt;&gt;"",Q160&lt;&gt;""),INDEX('Source Data'!$B$28:$B$47,RANDBETWEEN(1,20)),"")</f>
        <v/>
      </c>
      <c r="R158" s="585" t="str">
        <f ca="1">IF(AND(S156&lt;&gt;"",Q160&lt;&gt;"",Q156="",S160=""),INDEX('Source Data'!$B$28:$B$47,RANDBETWEEN(1,20)),IF(AND(Q156&lt;&gt;"",S160&lt;&gt;"",Q160="",S156=""),INDEX('Source Data'!$B$28:$B$47,RANDBETWEEN(1,20)),""))</f>
        <v/>
      </c>
      <c r="S158" s="584" t="str">
        <f ca="1">IF(AND(S156&lt;&gt;"",S160&lt;&gt;""),INDEX('Source Data'!$B$28:$B$47,RANDBETWEEN(1,20)),"")</f>
        <v/>
      </c>
      <c r="T158" s="88"/>
      <c r="U158" s="88"/>
      <c r="V158" s="188"/>
      <c r="W158" s="188"/>
      <c r="X158" s="188"/>
      <c r="Y158" s="224"/>
    </row>
    <row r="159" spans="1:25" s="191" customFormat="1" ht="39.950000000000003" customHeight="1">
      <c r="A159" s="336"/>
      <c r="B159" s="336"/>
      <c r="C159" s="336"/>
      <c r="D159" s="336"/>
      <c r="E159" s="336"/>
      <c r="F159" s="336"/>
      <c r="G159" s="336"/>
      <c r="H159" s="336"/>
      <c r="I159" s="336"/>
      <c r="J159" s="587"/>
      <c r="K159" s="585"/>
      <c r="L159" s="540"/>
      <c r="M159" s="585"/>
      <c r="N159" s="540"/>
      <c r="O159" s="585"/>
      <c r="P159" s="585"/>
      <c r="Q159" s="540"/>
      <c r="R159" s="585"/>
      <c r="S159" s="584"/>
      <c r="T159" s="88"/>
      <c r="U159" s="88"/>
      <c r="V159" s="188"/>
      <c r="W159" s="188"/>
      <c r="X159" s="188"/>
      <c r="Y159" s="224"/>
    </row>
    <row r="160" spans="1:25" s="191" customFormat="1" ht="39.950000000000003" customHeight="1">
      <c r="A160" s="336"/>
      <c r="B160" s="336"/>
      <c r="C160" s="336"/>
      <c r="D160" s="336"/>
      <c r="E160" s="336"/>
      <c r="F160" s="336"/>
      <c r="G160" s="336"/>
      <c r="H160" s="336"/>
      <c r="I160" s="336"/>
      <c r="J160" s="583" t="str">
        <f ca="1">IF(RAND()&lt;$G$149,INDEX('Source Data'!$N$28:$N$47,RANDBETWEEN(1,20))&amp;", with "&amp;INDEX('Source Data'!$M$28:$M$51,RANDBETWEEN(1,22))&amp;" *"&amp;INDEX('Source Data'!$J$5:$J$24,RANDBETWEEN(1,20)),"")</f>
        <v/>
      </c>
      <c r="K160" s="540" t="str">
        <f ca="1">IF(AND(J160&lt;&gt;"",L160&lt;&gt;""),INDEX('Source Data'!$B$28:$B$47,RANDBETWEEN(1,20)),"")</f>
        <v/>
      </c>
      <c r="L160" s="541" t="str">
        <f ca="1">IF(RAND()&lt;$G$149,INDEX('Source Data'!$N$28:$N$47,RANDBETWEEN(1,20))&amp;", with "&amp;INDEX('Source Data'!$M$28:$M$51,RANDBETWEEN(1,22))&amp;" *"&amp;INDEX('Source Data'!$J$5:$J$24,RANDBETWEEN(1,20)),"")</f>
        <v/>
      </c>
      <c r="M160" s="540" t="str">
        <f ca="1">IF(AND(L160&lt;&gt;"",N160&lt;&gt;""),INDEX('Source Data'!$B$28:$B$47,RANDBETWEEN(1,20)),"")</f>
        <v/>
      </c>
      <c r="N160" s="541" t="str">
        <f ca="1">IF(RAND()&lt;$G$149,INDEX('Source Data'!$N$28:$N$47,RANDBETWEEN(1,20))&amp;", with "&amp;INDEX('Source Data'!$M$28:$M$51,RANDBETWEEN(1,22))&amp;" *"&amp;INDEX('Source Data'!$J$5:$J$24,RANDBETWEEN(1,20)),"")</f>
        <v>large room, with filthy rags in some mucky water *Exploration</v>
      </c>
      <c r="O160" s="540" t="str">
        <f ca="1">IF(AND(N160&lt;&gt;"",Q160&lt;&gt;""),INDEX('Source Data'!$B$28:$B$47,RANDBETWEEN(1,20)),"")</f>
        <v/>
      </c>
      <c r="P160" s="540"/>
      <c r="Q160" s="541" t="str">
        <f ca="1">IF(RAND()&lt;$G$149,INDEX('Source Data'!$N$28:$N$47,RANDBETWEEN(1,20))&amp;", with "&amp;INDEX('Source Data'!$M$28:$M$51,RANDBETWEEN(1,22))&amp;" *"&amp;INDEX('Source Data'!$J$5:$J$24,RANDBETWEEN(1,20)),"")</f>
        <v/>
      </c>
      <c r="R160" s="540" t="str">
        <f ca="1">IF(AND(Q160&lt;&gt;"",S160&lt;&gt;""),INDEX('Source Data'!$B$28:$B$47,RANDBETWEEN(1,20)),"")</f>
        <v/>
      </c>
      <c r="S160" s="539" t="str">
        <f ca="1">IF(RAND()&lt;$G$149,INDEX('Source Data'!$N$28:$N$47,RANDBETWEEN(1,20))&amp;", with "&amp;INDEX('Source Data'!$M$28:$M$51,RANDBETWEEN(1,22))&amp;" *"&amp;INDEX('Source Data'!$J$5:$J$24,RANDBETWEEN(1,20)),"")</f>
        <v/>
      </c>
      <c r="T160" s="88"/>
      <c r="U160" s="88"/>
      <c r="V160" s="188"/>
      <c r="W160" s="188"/>
      <c r="X160" s="188"/>
      <c r="Y160" s="224"/>
    </row>
    <row r="161" spans="1:25" s="191" customFormat="1" ht="39.950000000000003" customHeight="1" thickBot="1">
      <c r="A161" s="336"/>
      <c r="B161" s="336"/>
      <c r="C161" s="336"/>
      <c r="D161" s="336"/>
      <c r="E161" s="336"/>
      <c r="F161" s="336"/>
      <c r="G161" s="336"/>
      <c r="H161" s="336"/>
      <c r="I161" s="336"/>
      <c r="J161" s="591"/>
      <c r="K161" s="589"/>
      <c r="L161" s="590"/>
      <c r="M161" s="589"/>
      <c r="N161" s="590"/>
      <c r="O161" s="589"/>
      <c r="P161" s="589"/>
      <c r="Q161" s="590"/>
      <c r="R161" s="589"/>
      <c r="S161" s="588"/>
      <c r="T161" s="88"/>
      <c r="U161" s="88"/>
      <c r="V161" s="188"/>
      <c r="W161" s="188"/>
      <c r="X161" s="188"/>
      <c r="Y161" s="224"/>
    </row>
    <row r="162" spans="1:25" s="191" customFormat="1" ht="35.1" customHeight="1">
      <c r="A162" s="336"/>
      <c r="B162" s="336"/>
      <c r="C162" s="336"/>
      <c r="D162" s="336"/>
      <c r="E162" s="336"/>
      <c r="F162" s="336"/>
      <c r="G162" s="336"/>
      <c r="H162" s="336"/>
      <c r="I162" s="336"/>
      <c r="J162" s="336"/>
      <c r="K162" s="336"/>
      <c r="L162" s="336"/>
      <c r="M162" s="336"/>
      <c r="N162" s="336"/>
      <c r="O162" s="336"/>
      <c r="P162" s="336"/>
      <c r="Q162" s="336"/>
      <c r="R162" s="336"/>
      <c r="S162" s="88"/>
      <c r="T162" s="88"/>
      <c r="U162" s="188"/>
      <c r="V162" s="188"/>
      <c r="W162" s="188"/>
      <c r="X162" s="224"/>
    </row>
    <row r="163" spans="1:25" s="191" customFormat="1" ht="35.1" customHeight="1">
      <c r="A163" s="336"/>
      <c r="B163" s="336"/>
      <c r="C163" s="336"/>
      <c r="D163" s="336"/>
      <c r="E163" s="336"/>
      <c r="F163" s="336"/>
      <c r="G163" s="336"/>
      <c r="H163" s="336"/>
      <c r="I163" s="336"/>
      <c r="J163" s="336"/>
      <c r="K163" s="336"/>
      <c r="L163" s="336"/>
      <c r="M163" s="336"/>
      <c r="N163" s="336"/>
      <c r="O163" s="336"/>
      <c r="P163" s="336"/>
      <c r="Q163" s="336"/>
      <c r="R163" s="336"/>
      <c r="S163" s="88"/>
      <c r="T163" s="88"/>
      <c r="U163" s="188"/>
      <c r="V163" s="188"/>
      <c r="W163" s="188"/>
      <c r="X163" s="224"/>
    </row>
    <row r="164" spans="1:25" s="191" customFormat="1" ht="35.1" customHeight="1">
      <c r="A164" s="194"/>
      <c r="B164" s="195"/>
      <c r="C164" s="193"/>
      <c r="D164" s="193"/>
      <c r="E164" s="193"/>
      <c r="F164" s="193"/>
      <c r="G164" s="193"/>
      <c r="H164" s="193"/>
      <c r="I164" s="193"/>
      <c r="L164" s="194"/>
      <c r="M164" s="195"/>
      <c r="N164" s="193"/>
      <c r="O164" s="193"/>
      <c r="P164" s="193"/>
      <c r="Q164" s="193"/>
      <c r="R164" s="193"/>
      <c r="S164" s="193"/>
      <c r="T164" s="193"/>
      <c r="X164" s="225"/>
    </row>
    <row r="165" spans="1:25" s="191" customFormat="1" ht="35.1" customHeight="1">
      <c r="A165" s="194"/>
      <c r="B165" s="195"/>
      <c r="C165" s="193"/>
      <c r="D165" s="193"/>
      <c r="E165" s="193"/>
      <c r="F165" s="193"/>
      <c r="G165" s="193"/>
      <c r="H165" s="193"/>
      <c r="I165" s="193"/>
      <c r="L165" s="194"/>
      <c r="M165" s="195"/>
      <c r="N165" s="193"/>
      <c r="O165" s="193"/>
      <c r="P165" s="193"/>
      <c r="Q165" s="193"/>
      <c r="R165" s="193"/>
      <c r="S165" s="193"/>
      <c r="T165" s="193"/>
      <c r="X165" s="225"/>
    </row>
    <row r="166" spans="1:25" s="191" customFormat="1" ht="35.1" customHeight="1">
      <c r="A166" s="194"/>
      <c r="B166" s="195"/>
      <c r="C166" s="193"/>
      <c r="D166" s="193"/>
      <c r="E166" s="193"/>
      <c r="F166" s="193"/>
      <c r="G166" s="193"/>
      <c r="H166" s="193"/>
      <c r="I166" s="193"/>
      <c r="L166" s="194"/>
      <c r="M166" s="195"/>
      <c r="N166" s="193"/>
      <c r="O166" s="193"/>
      <c r="P166" s="193"/>
      <c r="Q166" s="193"/>
      <c r="R166" s="193"/>
      <c r="S166" s="193"/>
      <c r="T166" s="193"/>
      <c r="X166" s="225"/>
    </row>
    <row r="170" spans="1:25" s="196" customFormat="1">
      <c r="A170" s="184"/>
      <c r="B170" s="184"/>
      <c r="C170" s="184"/>
      <c r="D170" s="184"/>
      <c r="E170" s="184"/>
      <c r="F170" s="184"/>
      <c r="G170" s="184"/>
      <c r="H170" s="184"/>
      <c r="I170" s="184"/>
      <c r="J170" s="184"/>
      <c r="K170" s="184"/>
      <c r="L170" s="184"/>
      <c r="M170" s="184"/>
      <c r="N170" s="184"/>
      <c r="O170" s="184"/>
      <c r="P170" s="184"/>
      <c r="Q170" s="184"/>
      <c r="R170" s="184"/>
      <c r="S170" s="184"/>
      <c r="T170" s="184"/>
      <c r="X170" s="226"/>
    </row>
    <row r="179" spans="1:156" s="196" customFormat="1">
      <c r="A179" s="196" t="s">
        <v>4159</v>
      </c>
      <c r="B179" s="196" t="s">
        <v>4166</v>
      </c>
      <c r="C179" s="196" t="s">
        <v>4165</v>
      </c>
      <c r="E179" s="196" t="s">
        <v>4160</v>
      </c>
      <c r="F179" s="196" t="s">
        <v>4167</v>
      </c>
      <c r="G179" s="196" t="s">
        <v>4161</v>
      </c>
      <c r="H179" s="196" t="s">
        <v>4162</v>
      </c>
      <c r="I179" s="196" t="s">
        <v>4163</v>
      </c>
      <c r="J179" s="196" t="s">
        <v>4164</v>
      </c>
      <c r="N179" s="196" t="s">
        <v>4168</v>
      </c>
      <c r="O179" s="196" t="s">
        <v>4169</v>
      </c>
      <c r="P179" s="196" t="s">
        <v>4170</v>
      </c>
      <c r="Q179" s="196" t="s">
        <v>4171</v>
      </c>
      <c r="R179" s="196" t="s">
        <v>4172</v>
      </c>
      <c r="S179" s="196" t="s">
        <v>4173</v>
      </c>
      <c r="T179" s="196" t="s">
        <v>4174</v>
      </c>
      <c r="U179" s="196" t="s">
        <v>4175</v>
      </c>
      <c r="V179" s="196" t="s">
        <v>4176</v>
      </c>
      <c r="X179" s="226" t="s">
        <v>4241</v>
      </c>
      <c r="Z179" s="196" t="s">
        <v>4242</v>
      </c>
      <c r="AB179" s="196" t="s">
        <v>4476</v>
      </c>
      <c r="AC179" s="196" t="s">
        <v>4477</v>
      </c>
      <c r="AD179" s="196" t="s">
        <v>4479</v>
      </c>
      <c r="AG179" s="196" t="s">
        <v>4667</v>
      </c>
      <c r="AH179" s="196" t="s">
        <v>4668</v>
      </c>
      <c r="AI179" s="196" t="s">
        <v>4669</v>
      </c>
      <c r="AJ179" s="196" t="s">
        <v>4670</v>
      </c>
      <c r="AK179" s="196" t="s">
        <v>4671</v>
      </c>
      <c r="AL179" s="196" t="s">
        <v>4672</v>
      </c>
      <c r="AM179" s="196" t="s">
        <v>4673</v>
      </c>
      <c r="AN179" s="196" t="s">
        <v>4674</v>
      </c>
      <c r="AO179" s="196" t="s">
        <v>4675</v>
      </c>
      <c r="AP179" s="196" t="s">
        <v>4676</v>
      </c>
      <c r="AT179" s="196" t="s">
        <v>4755</v>
      </c>
      <c r="AU179" s="196" t="s">
        <v>4756</v>
      </c>
      <c r="AV179" s="196" t="s">
        <v>4757</v>
      </c>
      <c r="AW179" s="196" t="s">
        <v>4758</v>
      </c>
      <c r="AX179" s="196" t="s">
        <v>4759</v>
      </c>
      <c r="AY179" s="196" t="s">
        <v>4760</v>
      </c>
      <c r="AZ179" s="196" t="s">
        <v>4761</v>
      </c>
      <c r="BA179" s="196" t="s">
        <v>4762</v>
      </c>
      <c r="BD179" s="196" t="s">
        <v>4764</v>
      </c>
      <c r="BF179" s="196" t="s">
        <v>5047</v>
      </c>
      <c r="BG179" s="196" t="s">
        <v>5048</v>
      </c>
      <c r="BH179" s="196" t="s">
        <v>5049</v>
      </c>
      <c r="BI179" s="196" t="s">
        <v>5050</v>
      </c>
      <c r="BL179" s="197" t="s">
        <v>5052</v>
      </c>
      <c r="BM179" s="196" t="s">
        <v>5053</v>
      </c>
      <c r="BN179" s="196" t="s">
        <v>5054</v>
      </c>
      <c r="BO179" s="196" t="s">
        <v>5055</v>
      </c>
      <c r="BQ179" s="196" t="s">
        <v>5056</v>
      </c>
      <c r="BR179" s="196" t="s">
        <v>5057</v>
      </c>
      <c r="BS179" s="196" t="s">
        <v>5058</v>
      </c>
      <c r="BT179" s="196" t="s">
        <v>2683</v>
      </c>
      <c r="BW179" s="196" t="s">
        <v>5165</v>
      </c>
      <c r="BX179" s="196" t="s">
        <v>5166</v>
      </c>
      <c r="BY179" s="196" t="s">
        <v>5167</v>
      </c>
      <c r="BZ179" s="196" t="s">
        <v>5169</v>
      </c>
      <c r="CA179" s="196" t="s">
        <v>5170</v>
      </c>
      <c r="CB179" s="196" t="s">
        <v>5171</v>
      </c>
      <c r="CC179" s="196" t="s">
        <v>5172</v>
      </c>
      <c r="CD179" s="196" t="s">
        <v>5176</v>
      </c>
      <c r="CE179" s="196" t="s">
        <v>5173</v>
      </c>
      <c r="CF179" s="196" t="s">
        <v>5174</v>
      </c>
      <c r="CG179" s="196" t="s">
        <v>5175</v>
      </c>
      <c r="CJ179" s="196" t="s">
        <v>5178</v>
      </c>
      <c r="CK179" s="196" t="s">
        <v>5179</v>
      </c>
      <c r="CL179" s="196" t="s">
        <v>5180</v>
      </c>
      <c r="CM179" s="196" t="s">
        <v>5181</v>
      </c>
      <c r="CN179" s="196" t="s">
        <v>5182</v>
      </c>
      <c r="CO179" s="196" t="s">
        <v>5183</v>
      </c>
      <c r="CP179" s="196" t="s">
        <v>5184</v>
      </c>
      <c r="CS179" s="197" t="s">
        <v>5185</v>
      </c>
      <c r="CT179" s="196" t="s">
        <v>5186</v>
      </c>
      <c r="CU179" s="196" t="s">
        <v>5187</v>
      </c>
      <c r="CV179" s="196" t="s">
        <v>5188</v>
      </c>
      <c r="CX179" s="197" t="s">
        <v>5189</v>
      </c>
      <c r="CY179" s="196" t="s">
        <v>5190</v>
      </c>
      <c r="CZ179" s="196" t="s">
        <v>5191</v>
      </c>
      <c r="DG179" s="196" t="s">
        <v>5302</v>
      </c>
      <c r="DH179" s="196" t="s">
        <v>5304</v>
      </c>
      <c r="DI179" s="196" t="s">
        <v>5305</v>
      </c>
      <c r="DJ179" s="196" t="s">
        <v>5306</v>
      </c>
      <c r="DK179" s="196" t="s">
        <v>5307</v>
      </c>
      <c r="DN179" s="196" t="s">
        <v>5308</v>
      </c>
      <c r="DO179" s="196" t="s">
        <v>5309</v>
      </c>
      <c r="DP179" s="196" t="s">
        <v>5311</v>
      </c>
      <c r="DQ179" s="196" t="s">
        <v>5314</v>
      </c>
      <c r="DT179" s="196" t="s">
        <v>5312</v>
      </c>
      <c r="DU179" s="196" t="s">
        <v>5313</v>
      </c>
      <c r="DV179" s="196" t="s">
        <v>5315</v>
      </c>
      <c r="DW179" s="196" t="s">
        <v>5316</v>
      </c>
      <c r="DX179" s="196" t="s">
        <v>884</v>
      </c>
      <c r="DY179" s="196" t="s">
        <v>5317</v>
      </c>
      <c r="EA179" s="196" t="s">
        <v>5318</v>
      </c>
      <c r="EE179" s="196" t="s">
        <v>6407</v>
      </c>
      <c r="EG179" s="44" t="s">
        <v>6415</v>
      </c>
      <c r="EH179" s="44" t="s">
        <v>6420</v>
      </c>
      <c r="EI179" s="44" t="s">
        <v>6432</v>
      </c>
      <c r="EJ179" s="196" t="s">
        <v>6547</v>
      </c>
      <c r="EK179" s="44" t="s">
        <v>6479</v>
      </c>
      <c r="EL179" s="44" t="s">
        <v>6490</v>
      </c>
      <c r="EM179" s="44" t="s">
        <v>6496</v>
      </c>
      <c r="EN179" s="44" t="s">
        <v>6503</v>
      </c>
      <c r="EO179" s="44" t="s">
        <v>6515</v>
      </c>
      <c r="EP179" s="44" t="s">
        <v>6526</v>
      </c>
      <c r="EU179" s="196" t="s">
        <v>6953</v>
      </c>
      <c r="EV179" s="196" t="s">
        <v>7001</v>
      </c>
      <c r="EW179" s="196" t="s">
        <v>7002</v>
      </c>
      <c r="EX179" s="196" t="s">
        <v>7003</v>
      </c>
      <c r="EY179" s="196" t="s">
        <v>7004</v>
      </c>
      <c r="EZ179" s="196" t="s">
        <v>7005</v>
      </c>
    </row>
    <row r="180" spans="1:156" ht="18">
      <c r="A180" s="184" t="s">
        <v>3952</v>
      </c>
      <c r="B180" s="184" t="s">
        <v>3962</v>
      </c>
      <c r="C180" s="184" t="s">
        <v>3982</v>
      </c>
      <c r="E180" s="184" t="s">
        <v>4002</v>
      </c>
      <c r="F180" s="184" t="s">
        <v>4012</v>
      </c>
      <c r="G180" s="184" t="s">
        <v>4032</v>
      </c>
      <c r="H180" s="184" t="s">
        <v>4044</v>
      </c>
      <c r="I180" s="184" t="s">
        <v>4054</v>
      </c>
      <c r="J180" s="184" t="s">
        <v>4066</v>
      </c>
      <c r="N180" s="184" t="s">
        <v>4086</v>
      </c>
      <c r="O180" s="184" t="s">
        <v>4093</v>
      </c>
      <c r="P180" s="184" t="s">
        <v>4103</v>
      </c>
      <c r="Q180" s="184" t="s">
        <v>4115</v>
      </c>
      <c r="R180" s="184" t="s">
        <v>4123</v>
      </c>
      <c r="S180" s="184" t="s">
        <v>4131</v>
      </c>
      <c r="T180" s="184" t="s">
        <v>4139</v>
      </c>
      <c r="U180" s="184" t="s">
        <v>4147</v>
      </c>
      <c r="V180" s="184" t="s">
        <v>4155</v>
      </c>
      <c r="X180" s="227" t="s">
        <v>4177</v>
      </c>
      <c r="Z180" s="198" t="s">
        <v>4243</v>
      </c>
      <c r="AB180" s="184" t="s">
        <v>4439</v>
      </c>
      <c r="AC180" s="184" t="s">
        <v>4457</v>
      </c>
      <c r="AD180" s="184" t="s">
        <v>4480</v>
      </c>
      <c r="AG180" s="184" t="s">
        <v>4511</v>
      </c>
      <c r="AH180" s="184" t="s">
        <v>4561</v>
      </c>
      <c r="AI180" s="184" t="s">
        <v>4571</v>
      </c>
      <c r="AJ180" s="184" t="s">
        <v>4583</v>
      </c>
      <c r="AK180" s="184" t="s">
        <v>4589</v>
      </c>
      <c r="AL180" s="184" t="s">
        <v>4594</v>
      </c>
      <c r="AM180" s="184" t="s">
        <v>4600</v>
      </c>
      <c r="AN180" s="184" t="s">
        <v>4608</v>
      </c>
      <c r="AO180" s="184" t="s">
        <v>4613</v>
      </c>
      <c r="AP180" s="184" t="s">
        <v>4617</v>
      </c>
      <c r="AT180" s="184" t="s">
        <v>4679</v>
      </c>
      <c r="AU180" s="184" t="s">
        <v>3575</v>
      </c>
      <c r="AV180" s="184" t="str">
        <f ca="1">CHOOSE(RANDBETWEEN(1,8),"Arrow","Axe","Dagger","Hammer","Mace","Spear","Staff","Sword")</f>
        <v>Staff</v>
      </c>
      <c r="AW180" s="184" t="s">
        <v>4698</v>
      </c>
      <c r="AX180" s="184" t="s">
        <v>4718</v>
      </c>
      <c r="AY180" s="184" t="s">
        <v>4729</v>
      </c>
      <c r="AZ180" s="184" t="s">
        <v>4739</v>
      </c>
      <c r="BA180" s="184" t="s">
        <v>4747</v>
      </c>
      <c r="BD180" s="198" t="s">
        <v>4765</v>
      </c>
      <c r="BF180" s="184" t="s">
        <v>5005</v>
      </c>
      <c r="BG180" s="184" t="s">
        <v>5023</v>
      </c>
      <c r="BH180" s="184" t="s">
        <v>5031</v>
      </c>
      <c r="BI180" s="184" t="s">
        <v>5039</v>
      </c>
      <c r="BL180" s="184" t="s">
        <v>5059</v>
      </c>
      <c r="BM180" s="184" t="s">
        <v>5065</v>
      </c>
      <c r="BN180" s="184" t="str">
        <f ca="1">CHOOSE(RANDBETWEEN(1,4),"cotton","linen","silk","wool")</f>
        <v>linen</v>
      </c>
      <c r="BO180" s="184" t="s">
        <v>5075</v>
      </c>
      <c r="BQ180" s="184" t="s">
        <v>2152</v>
      </c>
      <c r="BR180" s="184" t="s">
        <v>5080</v>
      </c>
      <c r="BS180" s="184" t="s">
        <v>5087</v>
      </c>
      <c r="BT180" s="184" t="s">
        <v>2284</v>
      </c>
      <c r="BW180" s="184" t="s">
        <v>5168</v>
      </c>
      <c r="BX180" s="184" t="s">
        <v>3575</v>
      </c>
      <c r="BY180" s="184" t="s">
        <v>3670</v>
      </c>
      <c r="BZ180" s="184" t="s">
        <v>5114</v>
      </c>
      <c r="CA180" s="184" t="s">
        <v>3697</v>
      </c>
      <c r="CB180" s="184" t="s">
        <v>5125</v>
      </c>
      <c r="CC180" s="184" t="s">
        <v>5134</v>
      </c>
      <c r="CD180" s="184" t="s">
        <v>3719</v>
      </c>
      <c r="CE180" s="184" t="s">
        <v>3774</v>
      </c>
      <c r="CF180" s="184" t="s">
        <v>5148</v>
      </c>
      <c r="CG180" s="184" t="s">
        <v>5158</v>
      </c>
      <c r="CJ180" s="199" t="s">
        <v>3575</v>
      </c>
      <c r="CK180" s="199" t="s">
        <v>3673</v>
      </c>
      <c r="CL180" s="199" t="s">
        <v>5192</v>
      </c>
      <c r="CM180" s="199" t="s">
        <v>3602</v>
      </c>
      <c r="CN180" s="199" t="s">
        <v>5193</v>
      </c>
      <c r="CO180" s="199" t="s">
        <v>5194</v>
      </c>
      <c r="CP180" s="199" t="s">
        <v>5195</v>
      </c>
      <c r="CS180" s="199" t="s">
        <v>5196</v>
      </c>
      <c r="CT180" s="199" t="s">
        <v>1520</v>
      </c>
      <c r="CU180" s="199" t="s">
        <v>5197</v>
      </c>
      <c r="CV180" s="199" t="s">
        <v>5198</v>
      </c>
      <c r="CX180" s="199" t="s">
        <v>5199</v>
      </c>
      <c r="CY180" s="199" t="s">
        <v>5278</v>
      </c>
      <c r="CZ180" s="199" t="s">
        <v>5288</v>
      </c>
      <c r="DG180" s="184" t="s">
        <v>5316</v>
      </c>
      <c r="DH180" s="184" t="s">
        <v>5319</v>
      </c>
      <c r="DI180" s="184" t="s">
        <v>5320</v>
      </c>
      <c r="DJ180" s="184" t="s">
        <v>770</v>
      </c>
      <c r="DK180" s="184" t="s">
        <v>5331</v>
      </c>
      <c r="DN180" s="184" t="s">
        <v>5332</v>
      </c>
      <c r="DO180" s="184" t="s">
        <v>5333</v>
      </c>
      <c r="DP180" s="184" t="s">
        <v>5334</v>
      </c>
      <c r="DQ180" s="184" t="s">
        <v>5335</v>
      </c>
      <c r="DT180" s="184" t="s">
        <v>5336</v>
      </c>
      <c r="DU180" s="184" t="s">
        <v>5337</v>
      </c>
      <c r="DV180" s="184" t="s">
        <v>5338</v>
      </c>
      <c r="DW180" s="184" t="s">
        <v>5339</v>
      </c>
      <c r="DX180" s="184" t="s">
        <v>824</v>
      </c>
      <c r="DY180" s="184" t="s">
        <v>699</v>
      </c>
      <c r="EA180" s="184" t="s">
        <v>5470</v>
      </c>
      <c r="EE180" s="44" t="s">
        <v>6892</v>
      </c>
      <c r="EG180" s="44" t="s">
        <v>6416</v>
      </c>
      <c r="EH180" s="44" t="s">
        <v>6421</v>
      </c>
      <c r="EI180" s="44" t="s">
        <v>6433</v>
      </c>
      <c r="EJ180" s="44" t="s">
        <v>6443</v>
      </c>
      <c r="EK180" s="44" t="s">
        <v>6480</v>
      </c>
      <c r="EL180" s="44" t="s">
        <v>6491</v>
      </c>
      <c r="EM180" s="44" t="s">
        <v>6497</v>
      </c>
      <c r="EN180" s="44" t="s">
        <v>6504</v>
      </c>
      <c r="EO180" s="44" t="s">
        <v>6516</v>
      </c>
      <c r="EP180" s="44" t="s">
        <v>6527</v>
      </c>
      <c r="EU180" s="184" t="s">
        <v>6954</v>
      </c>
      <c r="EV180" s="184" t="s">
        <v>6960</v>
      </c>
      <c r="EW180" s="184" t="s">
        <v>6970</v>
      </c>
      <c r="EX180" s="184" t="s">
        <v>6979</v>
      </c>
      <c r="EY180" s="184" t="s">
        <v>7028</v>
      </c>
      <c r="EZ180" s="184" t="s">
        <v>6994</v>
      </c>
    </row>
    <row r="181" spans="1:156" ht="18">
      <c r="A181" s="184" t="s">
        <v>3953</v>
      </c>
      <c r="B181" s="184" t="s">
        <v>3963</v>
      </c>
      <c r="C181" s="184" t="s">
        <v>3983</v>
      </c>
      <c r="E181" s="184" t="s">
        <v>4003</v>
      </c>
      <c r="F181" s="184" t="s">
        <v>4013</v>
      </c>
      <c r="G181" s="184" t="s">
        <v>4033</v>
      </c>
      <c r="H181" s="184" t="s">
        <v>4045</v>
      </c>
      <c r="I181" s="184" t="s">
        <v>4055</v>
      </c>
      <c r="J181" s="184" t="s">
        <v>4067</v>
      </c>
      <c r="N181" s="184" t="s">
        <v>4087</v>
      </c>
      <c r="O181" s="184" t="s">
        <v>4094</v>
      </c>
      <c r="P181" s="184" t="s">
        <v>4104</v>
      </c>
      <c r="Q181" s="184" t="s">
        <v>4116</v>
      </c>
      <c r="R181" s="184" t="s">
        <v>4124</v>
      </c>
      <c r="S181" s="184" t="s">
        <v>4132</v>
      </c>
      <c r="T181" s="184" t="s">
        <v>4140</v>
      </c>
      <c r="U181" s="184" t="s">
        <v>4148</v>
      </c>
      <c r="V181" s="184" t="s">
        <v>4156</v>
      </c>
      <c r="X181" s="227" t="s">
        <v>4178</v>
      </c>
      <c r="Z181" s="198" t="s">
        <v>4244</v>
      </c>
      <c r="AB181" s="184" t="s">
        <v>4440</v>
      </c>
      <c r="AC181" s="184" t="s">
        <v>4458</v>
      </c>
      <c r="AD181" s="184" t="s">
        <v>4481</v>
      </c>
      <c r="AG181" s="184" t="s">
        <v>4512</v>
      </c>
      <c r="AH181" s="184" t="s">
        <v>4562</v>
      </c>
      <c r="AI181" s="184" t="s">
        <v>4572</v>
      </c>
      <c r="AJ181" s="184" t="s">
        <v>4584</v>
      </c>
      <c r="AK181" s="184" t="s">
        <v>4590</v>
      </c>
      <c r="AL181" s="184" t="s">
        <v>4595</v>
      </c>
      <c r="AM181" s="184" t="s">
        <v>4601</v>
      </c>
      <c r="AN181" s="184" t="s">
        <v>4609</v>
      </c>
      <c r="AO181" s="184" t="s">
        <v>4614</v>
      </c>
      <c r="AP181" s="184" t="s">
        <v>4618</v>
      </c>
      <c r="AT181" s="184" t="s">
        <v>4680</v>
      </c>
      <c r="AU181" s="184" t="s">
        <v>3576</v>
      </c>
      <c r="AV181" s="184" t="str">
        <f ca="1">CHOOSE(RANDBETWEEN(1,4),"Breastplate","Gauntlet","Helm","Shield")</f>
        <v>Shield</v>
      </c>
      <c r="AW181" s="184" t="s">
        <v>4699</v>
      </c>
      <c r="AX181" s="184" t="s">
        <v>4719</v>
      </c>
      <c r="AY181" s="184" t="s">
        <v>4730</v>
      </c>
      <c r="AZ181" s="184" t="s">
        <v>4740</v>
      </c>
      <c r="BA181" s="184" t="s">
        <v>4748</v>
      </c>
      <c r="BD181" s="198" t="s">
        <v>4766</v>
      </c>
      <c r="BF181" s="184" t="s">
        <v>5006</v>
      </c>
      <c r="BG181" s="184" t="s">
        <v>5024</v>
      </c>
      <c r="BH181" s="184" t="s">
        <v>5032</v>
      </c>
      <c r="BI181" s="184" t="s">
        <v>5040</v>
      </c>
      <c r="BL181" s="184" t="s">
        <v>5060</v>
      </c>
      <c r="BM181" s="184" t="s">
        <v>5066</v>
      </c>
      <c r="BN181" s="184" t="s">
        <v>5072</v>
      </c>
      <c r="BO181" s="184" t="s">
        <v>5076</v>
      </c>
      <c r="BQ181" s="184" t="s">
        <v>2275</v>
      </c>
      <c r="BR181" s="184" t="s">
        <v>5081</v>
      </c>
      <c r="BS181" s="184" t="s">
        <v>5088</v>
      </c>
      <c r="BT181" s="184" t="s">
        <v>5093</v>
      </c>
      <c r="BW181" s="184" t="s">
        <v>5098</v>
      </c>
      <c r="BX181" s="184" t="s">
        <v>3576</v>
      </c>
      <c r="BY181" s="184" t="s">
        <v>3671</v>
      </c>
      <c r="BZ181" s="184" t="s">
        <v>5115</v>
      </c>
      <c r="CA181" s="184" t="s">
        <v>3597</v>
      </c>
      <c r="CB181" s="184" t="s">
        <v>5126</v>
      </c>
      <c r="CC181" s="184" t="s">
        <v>5135</v>
      </c>
      <c r="CD181" s="184" t="s">
        <v>5140</v>
      </c>
      <c r="CE181" s="184" t="s">
        <v>3632</v>
      </c>
      <c r="CF181" s="184" t="s">
        <v>5149</v>
      </c>
      <c r="CG181" s="184" t="s">
        <v>5159</v>
      </c>
      <c r="CJ181" s="199" t="s">
        <v>3576</v>
      </c>
      <c r="CK181" s="199" t="s">
        <v>5200</v>
      </c>
      <c r="CL181" s="199" t="s">
        <v>5201</v>
      </c>
      <c r="CM181" s="199" t="s">
        <v>3603</v>
      </c>
      <c r="CN181" s="199" t="s">
        <v>5202</v>
      </c>
      <c r="CO181" s="199" t="s">
        <v>5203</v>
      </c>
      <c r="CP181" s="199" t="s">
        <v>3652</v>
      </c>
      <c r="CS181" s="199" t="s">
        <v>5204</v>
      </c>
      <c r="CT181" s="199" t="s">
        <v>5205</v>
      </c>
      <c r="CU181" s="199" t="s">
        <v>5206</v>
      </c>
      <c r="CV181" s="199" t="str">
        <f ca="1">CONCATENATE("A blade with a carved hilt of ",CHOOSE(RANDBETWEEN(1,6),"ivory","jade","soapstone","ebony","mahogany","oak"))</f>
        <v>A blade with a carved hilt of jade</v>
      </c>
      <c r="CX181" s="199" t="s">
        <v>5207</v>
      </c>
      <c r="CY181" s="199" t="s">
        <v>2122</v>
      </c>
      <c r="CZ181" s="199" t="s">
        <v>5289</v>
      </c>
      <c r="DG181" s="184" t="s">
        <v>5312</v>
      </c>
      <c r="DH181" s="184" t="s">
        <v>5321</v>
      </c>
      <c r="DI181" s="184" t="s">
        <v>5322</v>
      </c>
      <c r="DJ181" s="184" t="str">
        <f ca="1">CHOOSE(RANDBETWEEN(1,2),"a Leaf","a Skewer")</f>
        <v>a Leaf</v>
      </c>
      <c r="DK181" s="184" t="s">
        <v>5340</v>
      </c>
      <c r="DN181" s="184" t="s">
        <v>5341</v>
      </c>
      <c r="DO181" s="184" t="s">
        <v>5342</v>
      </c>
      <c r="DP181" s="184" t="s">
        <v>5343</v>
      </c>
      <c r="DQ181" s="184" t="s">
        <v>5344</v>
      </c>
      <c r="DT181" s="184" t="s">
        <v>5345</v>
      </c>
      <c r="DU181" s="184" t="s">
        <v>5346</v>
      </c>
      <c r="DV181" s="184" t="s">
        <v>5347</v>
      </c>
      <c r="DW181" s="184" t="s">
        <v>5348</v>
      </c>
      <c r="DX181" s="184" t="s">
        <v>833</v>
      </c>
      <c r="DY181" s="184" t="s">
        <v>701</v>
      </c>
      <c r="EA181" s="184" t="s">
        <v>5471</v>
      </c>
      <c r="EE181" s="44" t="s">
        <v>6893</v>
      </c>
      <c r="EG181" s="184" t="s">
        <v>6417</v>
      </c>
      <c r="EH181" s="44" t="s">
        <v>6422</v>
      </c>
      <c r="EI181" s="44" t="s">
        <v>6434</v>
      </c>
      <c r="EJ181" s="44" t="s">
        <v>6444</v>
      </c>
      <c r="EK181" s="44" t="s">
        <v>6481</v>
      </c>
      <c r="EL181" s="44" t="s">
        <v>6919</v>
      </c>
      <c r="EM181" s="44" t="s">
        <v>6498</v>
      </c>
      <c r="EN181" s="44" t="s">
        <v>6505</v>
      </c>
      <c r="EO181" s="44" t="s">
        <v>6517</v>
      </c>
      <c r="EP181" s="44" t="s">
        <v>6528</v>
      </c>
      <c r="EU181" s="184" t="s">
        <v>6955</v>
      </c>
      <c r="EV181" s="184" t="s">
        <v>6961</v>
      </c>
      <c r="EW181" s="184" t="s">
        <v>6971</v>
      </c>
      <c r="EX181" s="184" t="s">
        <v>6980</v>
      </c>
      <c r="EY181" s="184" t="s">
        <v>7029</v>
      </c>
      <c r="EZ181" s="184" t="s">
        <v>6995</v>
      </c>
    </row>
    <row r="182" spans="1:156" ht="18">
      <c r="A182" s="184" t="s">
        <v>3954</v>
      </c>
      <c r="B182" s="184" t="s">
        <v>3964</v>
      </c>
      <c r="C182" s="184" t="s">
        <v>3984</v>
      </c>
      <c r="E182" s="184" t="s">
        <v>4004</v>
      </c>
      <c r="F182" s="184" t="s">
        <v>4014</v>
      </c>
      <c r="G182" s="184" t="s">
        <v>4034</v>
      </c>
      <c r="H182" s="184" t="s">
        <v>4046</v>
      </c>
      <c r="I182" s="184" t="s">
        <v>4056</v>
      </c>
      <c r="J182" s="184" t="s">
        <v>4068</v>
      </c>
      <c r="N182" s="184" t="str">
        <f ca="1">CONCATENATE("A large plaza in the shape of a ",CHOOSE(RANDBETWEEN(1,4),"perfect square","trapezoid","triangle","pentagon"))</f>
        <v>A large plaza in the shape of a perfect square</v>
      </c>
      <c r="O182" s="184" t="s">
        <v>4095</v>
      </c>
      <c r="P182" s="184" t="s">
        <v>4105</v>
      </c>
      <c r="Q182" s="184" t="s">
        <v>4117</v>
      </c>
      <c r="R182" s="184" t="s">
        <v>4125</v>
      </c>
      <c r="S182" s="184" t="s">
        <v>4133</v>
      </c>
      <c r="T182" s="184" t="s">
        <v>4141</v>
      </c>
      <c r="U182" s="184" t="s">
        <v>4149</v>
      </c>
      <c r="V182" s="184" t="s">
        <v>4157</v>
      </c>
      <c r="X182" s="227" t="s">
        <v>4179</v>
      </c>
      <c r="Z182" s="198" t="s">
        <v>4245</v>
      </c>
      <c r="AB182" s="184" t="s">
        <v>4441</v>
      </c>
      <c r="AC182" s="184" t="s">
        <v>4459</v>
      </c>
      <c r="AD182" s="184" t="s">
        <v>4482</v>
      </c>
      <c r="AG182" s="184" t="s">
        <v>4513</v>
      </c>
      <c r="AH182" s="184" t="s">
        <v>4563</v>
      </c>
      <c r="AI182" s="184" t="s">
        <v>4573</v>
      </c>
      <c r="AJ182" s="184" t="s">
        <v>4585</v>
      </c>
      <c r="AK182" s="184" t="s">
        <v>4591</v>
      </c>
      <c r="AL182" s="184" t="s">
        <v>4596</v>
      </c>
      <c r="AM182" s="184" t="s">
        <v>4602</v>
      </c>
      <c r="AN182" s="184" t="s">
        <v>4610</v>
      </c>
      <c r="AO182" s="184" t="s">
        <v>4615</v>
      </c>
      <c r="AP182" s="184" t="s">
        <v>4619</v>
      </c>
      <c r="AT182" s="184" t="s">
        <v>4681</v>
      </c>
      <c r="AU182" s="184" t="s">
        <v>1359</v>
      </c>
      <c r="AV182" s="184" t="str">
        <f ca="1">CHOOSE(RANDBETWEEN(1,4),"Sun","Moon","Star","Comet")</f>
        <v>Sun</v>
      </c>
      <c r="AW182" s="184" t="s">
        <v>4700</v>
      </c>
      <c r="AX182" s="184" t="s">
        <v>4720</v>
      </c>
      <c r="AY182" s="184" t="s">
        <v>4731</v>
      </c>
      <c r="AZ182" s="184" t="s">
        <v>4741</v>
      </c>
      <c r="BA182" s="184" t="s">
        <v>4749</v>
      </c>
      <c r="BD182" s="198" t="s">
        <v>4767</v>
      </c>
      <c r="BF182" s="184" t="s">
        <v>5007</v>
      </c>
      <c r="BG182" s="184" t="s">
        <v>5025</v>
      </c>
      <c r="BH182" s="184" t="s">
        <v>5033</v>
      </c>
      <c r="BI182" s="184" t="s">
        <v>5041</v>
      </c>
      <c r="BL182" s="184" t="s">
        <v>5061</v>
      </c>
      <c r="BM182" s="184" t="s">
        <v>5067</v>
      </c>
      <c r="BN182" s="184" t="str">
        <f ca="1">CHOOSE(RANDBETWEEN(1,10),"diamonds","emeralds","jade","obsidian","opals","pearls","rubies","sapphires","topaz","turquoise")</f>
        <v>diamonds</v>
      </c>
      <c r="BO182" s="184" t="s">
        <v>5077</v>
      </c>
      <c r="BQ182" s="184" t="s">
        <v>3598</v>
      </c>
      <c r="BR182" s="184" t="s">
        <v>5082</v>
      </c>
      <c r="BS182" s="184" t="s">
        <v>5089</v>
      </c>
      <c r="BT182" s="184" t="s">
        <v>2285</v>
      </c>
      <c r="BW182" s="184" t="s">
        <v>5099</v>
      </c>
      <c r="BX182" s="184" t="s">
        <v>1359</v>
      </c>
      <c r="BY182" s="184" t="s">
        <v>5104</v>
      </c>
      <c r="BZ182" s="184" t="s">
        <v>5116</v>
      </c>
      <c r="CA182" s="184" t="s">
        <v>2152</v>
      </c>
      <c r="CB182" s="184" t="s">
        <v>5127</v>
      </c>
      <c r="CC182" s="184" t="s">
        <v>5136</v>
      </c>
      <c r="CD182" s="184" t="s">
        <v>3720</v>
      </c>
      <c r="CE182" s="184" t="s">
        <v>3775</v>
      </c>
      <c r="CF182" s="184" t="s">
        <v>5150</v>
      </c>
      <c r="CG182" s="184" t="s">
        <v>5160</v>
      </c>
      <c r="CJ182" s="199" t="s">
        <v>1359</v>
      </c>
      <c r="CK182" s="199" t="s">
        <v>5208</v>
      </c>
      <c r="CL182" s="199" t="s">
        <v>3598</v>
      </c>
      <c r="CM182" s="199" t="s">
        <v>5209</v>
      </c>
      <c r="CN182" s="199" t="s">
        <v>5210</v>
      </c>
      <c r="CO182" s="199" t="s">
        <v>5211</v>
      </c>
      <c r="CP182" s="199" t="s">
        <v>3649</v>
      </c>
      <c r="CS182" s="199" t="s">
        <v>5212</v>
      </c>
      <c r="CT182" s="199" t="s">
        <v>5213</v>
      </c>
      <c r="CU182" s="199" t="s">
        <v>5214</v>
      </c>
      <c r="CV182" s="199" t="str">
        <f ca="1">CONCATENATE("A blade with ",CHOOSE(RANDBETWEEN(1,6),"dragons","lions","scorpions","snakes","spiders","wolves")," sculpted into the steel of the guard")</f>
        <v>A blade with lions sculpted into the steel of the guard</v>
      </c>
      <c r="CX182" s="199" t="s">
        <v>5215</v>
      </c>
      <c r="CY182" s="199" t="s">
        <v>5279</v>
      </c>
      <c r="CZ182" s="199" t="s">
        <v>2126</v>
      </c>
      <c r="DG182" s="184" t="s">
        <v>5323</v>
      </c>
      <c r="DH182" s="184" t="s">
        <v>5324</v>
      </c>
      <c r="DI182" s="184" t="s">
        <v>5325</v>
      </c>
      <c r="DJ182" s="184" t="s">
        <v>5486</v>
      </c>
      <c r="DK182" s="184" t="s">
        <v>596</v>
      </c>
      <c r="DN182" s="184" t="s">
        <v>801</v>
      </c>
      <c r="DO182" s="184" t="s">
        <v>5349</v>
      </c>
      <c r="DP182" s="184" t="str">
        <f ca="1">CONCATENATE("Sour ",INDEX($DT$180:$DT$199,RANDBETWEEN(1,20))," Juice")</f>
        <v>Sour  Dryad melons Juice</v>
      </c>
      <c r="DQ182" s="184" t="s">
        <v>5350</v>
      </c>
      <c r="DT182" s="184" t="s">
        <v>5351</v>
      </c>
      <c r="DU182" s="184" t="s">
        <v>5352</v>
      </c>
      <c r="DV182" s="184" t="s">
        <v>5353</v>
      </c>
      <c r="DW182" s="184" t="s">
        <v>5354</v>
      </c>
      <c r="DX182" s="184" t="s">
        <v>5355</v>
      </c>
      <c r="DY182" s="184" t="s">
        <v>562</v>
      </c>
      <c r="EA182" s="184" t="s">
        <v>5472</v>
      </c>
      <c r="EE182" s="44" t="s">
        <v>6894</v>
      </c>
      <c r="EG182" s="184" t="s">
        <v>6418</v>
      </c>
      <c r="EH182" s="44" t="s">
        <v>6408</v>
      </c>
      <c r="EI182" s="44" t="s">
        <v>6435</v>
      </c>
      <c r="EJ182" s="44" t="s">
        <v>6445</v>
      </c>
      <c r="EK182" s="44" t="s">
        <v>6482</v>
      </c>
      <c r="EL182" s="44" t="s">
        <v>6492</v>
      </c>
      <c r="EM182" s="44" t="s">
        <v>6499</v>
      </c>
      <c r="EN182" s="44" t="s">
        <v>6506</v>
      </c>
      <c r="EO182" s="44" t="s">
        <v>6518</v>
      </c>
      <c r="EP182" s="44" t="s">
        <v>6529</v>
      </c>
      <c r="EU182" s="184" t="s">
        <v>6956</v>
      </c>
      <c r="EV182" s="184" t="s">
        <v>6962</v>
      </c>
      <c r="EW182" s="184" t="str">
        <f ca="1">CONCATENATE("Frame the leader for ",CHOOSE(RANDBETWEEN(1,4),"corruption","inappropriate relations","murder","embezzlement"))</f>
        <v>Frame the leader for inappropriate relations</v>
      </c>
      <c r="EX182" s="184" t="s">
        <v>6981</v>
      </c>
      <c r="EY182" s="184" t="s">
        <v>7030</v>
      </c>
      <c r="EZ182" s="184" t="s">
        <v>6996</v>
      </c>
    </row>
    <row r="183" spans="1:156" ht="18">
      <c r="A183" s="184" t="s">
        <v>3955</v>
      </c>
      <c r="B183" s="184" t="s">
        <v>3965</v>
      </c>
      <c r="C183" s="184" t="s">
        <v>3985</v>
      </c>
      <c r="E183" s="184" t="s">
        <v>4005</v>
      </c>
      <c r="F183" s="184" t="s">
        <v>4015</v>
      </c>
      <c r="G183" s="184" t="s">
        <v>4035</v>
      </c>
      <c r="H183" s="184" t="s">
        <v>4047</v>
      </c>
      <c r="I183" s="184" t="s">
        <v>4057</v>
      </c>
      <c r="J183" s="184" t="s">
        <v>4069</v>
      </c>
      <c r="N183" s="184" t="s">
        <v>4088</v>
      </c>
      <c r="O183" s="184" t="s">
        <v>4096</v>
      </c>
      <c r="P183" s="184" t="s">
        <v>4106</v>
      </c>
      <c r="Q183" s="184" t="s">
        <v>4118</v>
      </c>
      <c r="R183" s="184" t="s">
        <v>4126</v>
      </c>
      <c r="S183" s="184" t="s">
        <v>4134</v>
      </c>
      <c r="T183" s="184" t="s">
        <v>4142</v>
      </c>
      <c r="U183" s="184" t="s">
        <v>4150</v>
      </c>
      <c r="V183" s="184" t="s">
        <v>4158</v>
      </c>
      <c r="X183" s="227" t="s">
        <v>4180</v>
      </c>
      <c r="Z183" s="198" t="s">
        <v>4246</v>
      </c>
      <c r="AB183" s="184" t="s">
        <v>4442</v>
      </c>
      <c r="AC183" s="184" t="s">
        <v>4460</v>
      </c>
      <c r="AD183" s="184" t="s">
        <v>4483</v>
      </c>
      <c r="AG183" s="184" t="s">
        <v>4514</v>
      </c>
      <c r="AH183" s="184" t="s">
        <v>4564</v>
      </c>
      <c r="AI183" s="184" t="s">
        <v>4574</v>
      </c>
      <c r="AJ183" s="184" t="s">
        <v>4586</v>
      </c>
      <c r="AK183" s="184" t="s">
        <v>4592</v>
      </c>
      <c r="AL183" s="184" t="s">
        <v>4597</v>
      </c>
      <c r="AM183" s="184" t="s">
        <v>4603</v>
      </c>
      <c r="AN183" s="184" t="s">
        <v>4611</v>
      </c>
      <c r="AO183" s="184" t="s">
        <v>4616</v>
      </c>
      <c r="AP183" s="184" t="s">
        <v>4620</v>
      </c>
      <c r="AT183" s="184" t="s">
        <v>4682</v>
      </c>
      <c r="AU183" s="184" t="s">
        <v>3577</v>
      </c>
      <c r="AV183" s="184" t="str">
        <f ca="1">CHOOSE(RANDBETWEEN(1,12),"Apple","Barley bunch","Briar","Fig","Grape cluster","Lily","Maple tree","Oak tree","Olive branch","Pine tree","Rose","Wheat bunch")</f>
        <v>Fig</v>
      </c>
      <c r="AW183" s="184" t="s">
        <v>4701</v>
      </c>
      <c r="AX183" s="184" t="s">
        <v>4721</v>
      </c>
      <c r="AY183" s="184" t="s">
        <v>4732</v>
      </c>
      <c r="AZ183" s="184" t="s">
        <v>4742</v>
      </c>
      <c r="BA183" s="184" t="s">
        <v>4750</v>
      </c>
      <c r="BD183" s="198" t="s">
        <v>4768</v>
      </c>
      <c r="BF183" s="184" t="s">
        <v>5008</v>
      </c>
      <c r="BG183" s="184" t="s">
        <v>5026</v>
      </c>
      <c r="BH183" s="184" t="s">
        <v>5034</v>
      </c>
      <c r="BI183" s="184" t="s">
        <v>5042</v>
      </c>
      <c r="BL183" s="184" t="s">
        <v>5062</v>
      </c>
      <c r="BM183" s="184" t="s">
        <v>5068</v>
      </c>
      <c r="BN183" s="184" t="str">
        <f ca="1">CHOOSE(RANDBETWEEN(1,6),"arsenic","copper","gold","lead","silver","tin")</f>
        <v>tin</v>
      </c>
      <c r="BO183" s="184" t="s">
        <v>5078</v>
      </c>
      <c r="BQ183" s="184" t="s">
        <v>5079</v>
      </c>
      <c r="BR183" s="184" t="s">
        <v>5083</v>
      </c>
      <c r="BS183" s="184" t="s">
        <v>5090</v>
      </c>
      <c r="BT183" s="184" t="s">
        <v>2286</v>
      </c>
      <c r="BW183" s="184" t="s">
        <v>5100</v>
      </c>
      <c r="BX183" s="184" t="s">
        <v>3577</v>
      </c>
      <c r="BY183" s="184" t="s">
        <v>3672</v>
      </c>
      <c r="BZ183" s="184" t="s">
        <v>5117</v>
      </c>
      <c r="CA183" s="184" t="s">
        <v>3698</v>
      </c>
      <c r="CB183" s="184" t="s">
        <v>5128</v>
      </c>
      <c r="CC183" s="184" t="s">
        <v>5137</v>
      </c>
      <c r="CD183" s="184" t="s">
        <v>5141</v>
      </c>
      <c r="CE183" s="184" t="s">
        <v>3776</v>
      </c>
      <c r="CF183" s="184" t="s">
        <v>3732</v>
      </c>
      <c r="CG183" s="184" t="s">
        <v>5161</v>
      </c>
      <c r="CJ183" s="199" t="s">
        <v>3577</v>
      </c>
      <c r="CK183" s="199" t="s">
        <v>3676</v>
      </c>
      <c r="CL183" s="199" t="s">
        <v>2273</v>
      </c>
      <c r="CM183" s="199" t="s">
        <v>3604</v>
      </c>
      <c r="CN183" s="199" t="s">
        <v>5216</v>
      </c>
      <c r="CO183" s="199" t="s">
        <v>5217</v>
      </c>
      <c r="CP183" s="199" t="s">
        <v>3651</v>
      </c>
      <c r="CS183" s="199" t="s">
        <v>2152</v>
      </c>
      <c r="CT183" s="199" t="s">
        <v>5298</v>
      </c>
      <c r="CU183" s="199" t="s">
        <v>5218</v>
      </c>
      <c r="CV183" s="199" t="s">
        <v>5219</v>
      </c>
      <c r="CX183" s="199" t="s">
        <v>5220</v>
      </c>
      <c r="CY183" s="199" t="s">
        <v>5280</v>
      </c>
      <c r="CZ183" s="199" t="s">
        <v>5290</v>
      </c>
      <c r="DG183" s="184" t="s">
        <v>5469</v>
      </c>
      <c r="DH183" s="184" t="s">
        <v>5314</v>
      </c>
      <c r="DI183" s="184" t="s">
        <v>5326</v>
      </c>
      <c r="DJ183" s="184" t="s">
        <v>5327</v>
      </c>
      <c r="DK183" s="184" t="str">
        <f ca="1">CHOOSE(RANDBETWEEN(1,2),"Milk","Kiefer")</f>
        <v>Kiefer</v>
      </c>
      <c r="DN183" s="184" t="str">
        <f ca="1">CONCATENATE(INDEX($DT$180:$DT$199,RANDBETWEEN(1,20))," Glaze")</f>
        <v>Apple Glaze</v>
      </c>
      <c r="DO183" s="184" t="s">
        <v>5356</v>
      </c>
      <c r="DP183" s="184" t="str">
        <f ca="1">CONCATENATE(CHOOSE(RANDBETWEEN(1,3),"Red Wine","White Wine",INDEX($DT$180:$DT$185,RANDBETWEEN(1,6)))," Vinegar")</f>
        <v>Lime Vinegar</v>
      </c>
      <c r="DQ183" s="184" t="s">
        <v>5357</v>
      </c>
      <c r="DT183" s="184" t="s">
        <v>5358</v>
      </c>
      <c r="DU183" s="184" t="s">
        <v>5359</v>
      </c>
      <c r="DV183" s="184" t="s">
        <v>5360</v>
      </c>
      <c r="DW183" s="184" t="s">
        <v>5361</v>
      </c>
      <c r="DX183" s="184" t="s">
        <v>5362</v>
      </c>
      <c r="DY183" s="184" t="s">
        <v>546</v>
      </c>
      <c r="EA183" s="184" t="s">
        <v>5473</v>
      </c>
      <c r="EE183" s="44" t="s">
        <v>6895</v>
      </c>
      <c r="EG183" s="184" t="s">
        <v>6419</v>
      </c>
      <c r="EH183" s="44" t="s">
        <v>6409</v>
      </c>
      <c r="EI183" s="44" t="s">
        <v>6436</v>
      </c>
      <c r="EJ183" s="44" t="s">
        <v>6446</v>
      </c>
      <c r="EK183" s="44" t="s">
        <v>6483</v>
      </c>
      <c r="EL183" s="44" t="s">
        <v>6493</v>
      </c>
      <c r="EM183" s="44" t="s">
        <v>6500</v>
      </c>
      <c r="EN183" s="44" t="s">
        <v>6507</v>
      </c>
      <c r="EO183" s="44" t="s">
        <v>6519</v>
      </c>
      <c r="EP183" s="44" t="s">
        <v>6530</v>
      </c>
      <c r="EU183" s="184" t="s">
        <v>6957</v>
      </c>
      <c r="EV183" s="184" t="s">
        <v>6963</v>
      </c>
      <c r="EW183" s="184" t="s">
        <v>6972</v>
      </c>
      <c r="EX183" s="184" t="s">
        <v>6982</v>
      </c>
      <c r="EY183" s="184" t="s">
        <v>7031</v>
      </c>
      <c r="EZ183" s="184" t="s">
        <v>6997</v>
      </c>
    </row>
    <row r="184" spans="1:156" ht="18">
      <c r="A184" s="184" t="s">
        <v>3956</v>
      </c>
      <c r="B184" s="184" t="s">
        <v>3966</v>
      </c>
      <c r="C184" s="184" t="s">
        <v>3986</v>
      </c>
      <c r="E184" s="184" t="s">
        <v>4006</v>
      </c>
      <c r="F184" s="184" t="s">
        <v>4016</v>
      </c>
      <c r="G184" s="184" t="s">
        <v>4036</v>
      </c>
      <c r="H184" s="184" t="s">
        <v>4048</v>
      </c>
      <c r="I184" s="184" t="s">
        <v>4058</v>
      </c>
      <c r="J184" s="184" t="s">
        <v>4070</v>
      </c>
      <c r="N184" s="184" t="s">
        <v>4089</v>
      </c>
      <c r="O184" s="184" t="s">
        <v>4097</v>
      </c>
      <c r="P184" s="184" t="s">
        <v>4107</v>
      </c>
      <c r="Q184" s="184" t="s">
        <v>4119</v>
      </c>
      <c r="R184" s="184" t="s">
        <v>4127</v>
      </c>
      <c r="S184" s="184" t="s">
        <v>4135</v>
      </c>
      <c r="T184" s="184" t="s">
        <v>4143</v>
      </c>
      <c r="U184" s="184" t="s">
        <v>4151</v>
      </c>
      <c r="X184" s="227" t="s">
        <v>4239</v>
      </c>
      <c r="Z184" s="198" t="s">
        <v>4247</v>
      </c>
      <c r="AB184" s="184" t="s">
        <v>4443</v>
      </c>
      <c r="AC184" s="184" t="s">
        <v>4461</v>
      </c>
      <c r="AD184" s="184" t="s">
        <v>4484</v>
      </c>
      <c r="AG184" s="184" t="s">
        <v>4515</v>
      </c>
      <c r="AH184" s="184" t="s">
        <v>4565</v>
      </c>
      <c r="AI184" s="184" t="s">
        <v>4575</v>
      </c>
      <c r="AJ184" s="184" t="s">
        <v>4587</v>
      </c>
      <c r="AK184" s="184" t="s">
        <v>1030</v>
      </c>
      <c r="AL184" s="184" t="s">
        <v>4598</v>
      </c>
      <c r="AM184" s="184" t="s">
        <v>4604</v>
      </c>
      <c r="AN184" s="184" t="s">
        <v>4612</v>
      </c>
      <c r="AP184" s="184" t="s">
        <v>4621</v>
      </c>
      <c r="AT184" s="184" t="s">
        <v>4683</v>
      </c>
      <c r="AU184" s="184" t="s">
        <v>3578</v>
      </c>
      <c r="AV184" s="184" t="str">
        <f ca="1">CHOOSE(RANDBETWEEN(1,6),"Crab","Crocodile","Frog","Fish","Octopus","Whale")</f>
        <v>Crocodile</v>
      </c>
      <c r="AW184" s="184" t="s">
        <v>4702</v>
      </c>
      <c r="AX184" s="184" t="s">
        <v>4722</v>
      </c>
      <c r="AY184" s="184" t="s">
        <v>4733</v>
      </c>
      <c r="AZ184" s="184" t="s">
        <v>4743</v>
      </c>
      <c r="BA184" s="184" t="s">
        <v>4751</v>
      </c>
      <c r="BD184" s="198" t="s">
        <v>4769</v>
      </c>
      <c r="BF184" s="184" t="s">
        <v>5009</v>
      </c>
      <c r="BG184" s="184" t="s">
        <v>5027</v>
      </c>
      <c r="BH184" s="184" t="s">
        <v>5035</v>
      </c>
      <c r="BI184" s="184" t="s">
        <v>5043</v>
      </c>
      <c r="BL184" s="184" t="s">
        <v>5063</v>
      </c>
      <c r="BM184" s="184" t="s">
        <v>5069</v>
      </c>
      <c r="BN184" s="184" t="s">
        <v>5073</v>
      </c>
      <c r="BQ184" s="184" t="s">
        <v>3700</v>
      </c>
      <c r="BR184" s="184" t="s">
        <v>5084</v>
      </c>
      <c r="BS184" s="184" t="s">
        <v>5091</v>
      </c>
      <c r="BT184" s="184" t="s">
        <v>2287</v>
      </c>
      <c r="BW184" s="184" t="str">
        <f ca="1">CONCATENATE("Running ",CHOOSE(RANDBETWEEN(1,3),"exotic","high-class","low-end")," brothels")</f>
        <v>Running exotic brothels</v>
      </c>
      <c r="BX184" s="184" t="s">
        <v>3578</v>
      </c>
      <c r="BY184" s="184" t="s">
        <v>3674</v>
      </c>
      <c r="BZ184" s="184" t="s">
        <v>5118</v>
      </c>
      <c r="CA184" s="184" t="s">
        <v>5124</v>
      </c>
      <c r="CB184" s="184" t="s">
        <v>5129</v>
      </c>
      <c r="CC184" s="184" t="s">
        <v>5138</v>
      </c>
      <c r="CD184" s="184" t="s">
        <v>3723</v>
      </c>
      <c r="CE184" s="184" t="s">
        <v>3777</v>
      </c>
      <c r="CF184" s="184" t="s">
        <v>3733</v>
      </c>
      <c r="CG184" s="184" t="s">
        <v>3741</v>
      </c>
      <c r="CJ184" s="199" t="s">
        <v>3578</v>
      </c>
      <c r="CK184" s="199" t="s">
        <v>3669</v>
      </c>
      <c r="CL184" s="199" t="s">
        <v>2131</v>
      </c>
      <c r="CM184" s="199" t="s">
        <v>5221</v>
      </c>
      <c r="CN184" s="199" t="s">
        <v>5222</v>
      </c>
      <c r="CO184" s="199" t="s">
        <v>5223</v>
      </c>
      <c r="CP184" s="199" t="s">
        <v>5297</v>
      </c>
      <c r="CS184" s="199" t="s">
        <v>5224</v>
      </c>
      <c r="CT184" s="199" t="s">
        <v>5225</v>
      </c>
      <c r="CU184" s="199" t="s">
        <v>5226</v>
      </c>
      <c r="CV184" s="199" t="s">
        <v>5227</v>
      </c>
      <c r="CX184" s="199" t="s">
        <v>5228</v>
      </c>
      <c r="CY184" s="199" t="s">
        <v>5281</v>
      </c>
      <c r="CZ184" s="199" t="s">
        <v>5291</v>
      </c>
      <c r="DG184" s="184" t="s">
        <v>5315</v>
      </c>
      <c r="DI184" s="184" t="s">
        <v>5328</v>
      </c>
      <c r="DK184" s="184" t="str">
        <f ca="1">CHOOSE(RANDBETWEEN(1,3),"Coffee","Tea","Chocolate")</f>
        <v>Chocolate</v>
      </c>
      <c r="DN184" s="184" t="str">
        <f ca="1">CONCATENATE(INDEX($DT$180:$DT$199,RANDBETWEEN(1,20))," Jam")</f>
        <v xml:space="preserve"> Blueberries Jam</v>
      </c>
      <c r="DO184" s="184" t="s">
        <v>5363</v>
      </c>
      <c r="DQ184" s="184" t="s">
        <v>5364</v>
      </c>
      <c r="DT184" s="184" t="s">
        <v>551</v>
      </c>
      <c r="DU184" s="184" t="s">
        <v>5365</v>
      </c>
      <c r="DV184" s="184" t="s">
        <v>5366</v>
      </c>
      <c r="DW184" s="184" t="s">
        <v>5367</v>
      </c>
      <c r="DX184" s="184" t="s">
        <v>5368</v>
      </c>
      <c r="DY184" s="184" t="s">
        <v>5369</v>
      </c>
      <c r="EA184" s="184" t="s">
        <v>5474</v>
      </c>
      <c r="EE184" s="44" t="s">
        <v>6896</v>
      </c>
      <c r="EH184" s="44" t="s">
        <v>6410</v>
      </c>
      <c r="EI184" s="44" t="s">
        <v>6437</v>
      </c>
      <c r="EJ184" s="44" t="s">
        <v>6447</v>
      </c>
      <c r="EK184" s="44" t="s">
        <v>6484</v>
      </c>
      <c r="EL184" s="44" t="s">
        <v>6494</v>
      </c>
      <c r="EM184" s="44" t="s">
        <v>6501</v>
      </c>
      <c r="EN184" s="44" t="s">
        <v>6508</v>
      </c>
      <c r="EO184" s="44" t="s">
        <v>6520</v>
      </c>
      <c r="EP184" s="44" t="s">
        <v>6531</v>
      </c>
      <c r="EU184" s="184" t="s">
        <v>6958</v>
      </c>
      <c r="EV184" s="184" t="s">
        <v>6964</v>
      </c>
      <c r="EW184" s="184" t="s">
        <v>6973</v>
      </c>
      <c r="EX184" s="184" t="s">
        <v>6983</v>
      </c>
      <c r="EY184" s="184" t="str">
        <f ca="1">CONCATENATE("They are being manipulated / threatened by ",CHOOSE(RANDBETWEEN(1,6),"A secret society",CONCATENATE("A relation (",INDEX($EV$181:$EV$199,RANDBETWEEN(1,19)),")"),"A personal rival","The leader's rival","A foreign nation","A fiend"))</f>
        <v>They are being manipulated / threatened by A secret society</v>
      </c>
      <c r="EZ184" s="184" t="s">
        <v>6998</v>
      </c>
    </row>
    <row r="185" spans="1:156" ht="18">
      <c r="A185" s="184" t="s">
        <v>3957</v>
      </c>
      <c r="B185" s="184" t="s">
        <v>3967</v>
      </c>
      <c r="C185" s="184" t="s">
        <v>3987</v>
      </c>
      <c r="E185" s="184" t="s">
        <v>4007</v>
      </c>
      <c r="F185" s="184" t="s">
        <v>4017</v>
      </c>
      <c r="G185" s="184" t="s">
        <v>4037</v>
      </c>
      <c r="H185" s="184" t="s">
        <v>4049</v>
      </c>
      <c r="I185" s="184" t="s">
        <v>4059</v>
      </c>
      <c r="J185" s="184" t="s">
        <v>4071</v>
      </c>
      <c r="N185" s="184" t="s">
        <v>4090</v>
      </c>
      <c r="O185" s="184" t="s">
        <v>4098</v>
      </c>
      <c r="P185" s="184" t="s">
        <v>4108</v>
      </c>
      <c r="Q185" s="184" t="s">
        <v>4120</v>
      </c>
      <c r="R185" s="184" t="s">
        <v>4128</v>
      </c>
      <c r="S185" s="184" t="s">
        <v>4136</v>
      </c>
      <c r="T185" s="184" t="s">
        <v>4144</v>
      </c>
      <c r="U185" s="184" t="s">
        <v>4152</v>
      </c>
      <c r="X185" s="227" t="s">
        <v>4181</v>
      </c>
      <c r="Z185" s="198" t="s">
        <v>4248</v>
      </c>
      <c r="AB185" s="184" t="s">
        <v>4444</v>
      </c>
      <c r="AC185" s="184" t="s">
        <v>4462</v>
      </c>
      <c r="AD185" s="184" t="s">
        <v>4485</v>
      </c>
      <c r="AG185" s="184" t="s">
        <v>4516</v>
      </c>
      <c r="AH185" s="184" t="s">
        <v>4566</v>
      </c>
      <c r="AI185" s="184" t="s">
        <v>4576</v>
      </c>
      <c r="AJ185" s="184" t="s">
        <v>4588</v>
      </c>
      <c r="AK185" s="184" t="s">
        <v>4593</v>
      </c>
      <c r="AL185" s="184" t="s">
        <v>4599</v>
      </c>
      <c r="AM185" s="184" t="s">
        <v>4605</v>
      </c>
      <c r="AP185" s="184" t="s">
        <v>4622</v>
      </c>
      <c r="AT185" s="184" t="s">
        <v>4684</v>
      </c>
      <c r="AU185" s="184" t="s">
        <v>4685</v>
      </c>
      <c r="AV185" s="184" t="str">
        <f ca="1">CHOOSE(RANDBETWEEN(1,12),"Badger","Bat","Beaver","Dog","Ferret","Fox","Hedgehog","Lizard","Rat","Scorpion","Snake","Spider")</f>
        <v>Ferret</v>
      </c>
      <c r="AW185" s="184" t="s">
        <v>4703</v>
      </c>
      <c r="AX185" s="184" t="s">
        <v>4723</v>
      </c>
      <c r="AY185" s="184" t="s">
        <v>4734</v>
      </c>
      <c r="AZ185" s="184" t="s">
        <v>4744</v>
      </c>
      <c r="BA185" s="184" t="s">
        <v>4752</v>
      </c>
      <c r="BD185" s="198" t="s">
        <v>4770</v>
      </c>
      <c r="BF185" s="184" t="s">
        <v>5010</v>
      </c>
      <c r="BG185" s="184" t="s">
        <v>5028</v>
      </c>
      <c r="BH185" s="184" t="s">
        <v>5036</v>
      </c>
      <c r="BI185" s="184" t="s">
        <v>5044</v>
      </c>
      <c r="BL185" s="184" t="s">
        <v>5064</v>
      </c>
      <c r="BM185" s="184" t="s">
        <v>5070</v>
      </c>
      <c r="BN185" s="184" t="s">
        <v>5074</v>
      </c>
      <c r="BQ185" s="184" t="s">
        <v>3701</v>
      </c>
      <c r="BR185" s="184" t="s">
        <v>5085</v>
      </c>
      <c r="BS185" s="184" t="s">
        <v>5092</v>
      </c>
      <c r="BT185" s="184" t="s">
        <v>5094</v>
      </c>
      <c r="BW185" s="184" t="s">
        <v>5101</v>
      </c>
      <c r="BX185" s="184" t="s">
        <v>4685</v>
      </c>
      <c r="BY185" s="184" t="s">
        <v>3675</v>
      </c>
      <c r="BZ185" s="184" t="s">
        <v>5119</v>
      </c>
      <c r="CA185" s="184" t="s">
        <v>3599</v>
      </c>
      <c r="CB185" s="184" t="s">
        <v>5091</v>
      </c>
      <c r="CC185" s="184" t="s">
        <v>5139</v>
      </c>
      <c r="CD185" s="184" t="s">
        <v>5142</v>
      </c>
      <c r="CE185" s="184" t="s">
        <v>5144</v>
      </c>
      <c r="CF185" s="184" t="s">
        <v>5151</v>
      </c>
      <c r="CG185" s="184" t="s">
        <v>3742</v>
      </c>
      <c r="CJ185" s="199" t="s">
        <v>4686</v>
      </c>
      <c r="CK185" s="199" t="s">
        <v>5229</v>
      </c>
      <c r="CL185" s="199" t="s">
        <v>1544</v>
      </c>
      <c r="CM185" s="199" t="s">
        <v>5230</v>
      </c>
      <c r="CN185" s="199" t="s">
        <v>5231</v>
      </c>
      <c r="CO185" s="199" t="s">
        <v>5232</v>
      </c>
      <c r="CP185" s="199" t="s">
        <v>5233</v>
      </c>
      <c r="CS185" s="199" t="s">
        <v>5234</v>
      </c>
      <c r="CT185" s="199" t="s">
        <v>5235</v>
      </c>
      <c r="CU185" s="199" t="s">
        <v>5236</v>
      </c>
      <c r="CV185" s="199" t="s">
        <v>5237</v>
      </c>
      <c r="CX185" s="199" t="s">
        <v>5238</v>
      </c>
      <c r="CY185" s="199" t="s">
        <v>5282</v>
      </c>
      <c r="CZ185" s="199" t="s">
        <v>5292</v>
      </c>
      <c r="DG185" s="184" t="s">
        <v>5313</v>
      </c>
      <c r="DI185" s="184" t="s">
        <v>5329</v>
      </c>
      <c r="DK185" s="184" t="s">
        <v>5370</v>
      </c>
      <c r="DN185" s="184" t="s">
        <v>5310</v>
      </c>
      <c r="DO185" s="184" t="s">
        <v>5371</v>
      </c>
      <c r="DQ185" s="184" t="s">
        <v>5372</v>
      </c>
      <c r="DT185" s="184" t="s">
        <v>5373</v>
      </c>
      <c r="DU185" s="184" t="s">
        <v>5374</v>
      </c>
      <c r="DV185" s="184" t="s">
        <v>841</v>
      </c>
      <c r="DW185" s="184" t="s">
        <v>5375</v>
      </c>
      <c r="DX185" s="184" t="s">
        <v>722</v>
      </c>
      <c r="DY185" s="184" t="s">
        <v>550</v>
      </c>
      <c r="EA185" s="184" t="s">
        <v>5475</v>
      </c>
      <c r="EE185" s="44" t="s">
        <v>6897</v>
      </c>
      <c r="EH185" s="44" t="s">
        <v>6411</v>
      </c>
      <c r="EI185" s="44" t="s">
        <v>6438</v>
      </c>
      <c r="EJ185" s="44" t="s">
        <v>6448</v>
      </c>
      <c r="EK185" s="44" t="s">
        <v>6485</v>
      </c>
      <c r="EL185" s="44" t="s">
        <v>6495</v>
      </c>
      <c r="EM185" s="44" t="s">
        <v>6502</v>
      </c>
      <c r="EN185" s="44" t="s">
        <v>6509</v>
      </c>
      <c r="EO185" s="44" t="s">
        <v>6521</v>
      </c>
      <c r="EP185" s="44" t="s">
        <v>6532</v>
      </c>
      <c r="EU185" s="184" t="s">
        <v>6959</v>
      </c>
      <c r="EV185" s="184" t="s">
        <v>6965</v>
      </c>
      <c r="EW185" s="184" t="s">
        <v>6974</v>
      </c>
      <c r="EX185" s="184" t="s">
        <v>6984</v>
      </c>
      <c r="EY185" s="184" t="s">
        <v>7032</v>
      </c>
      <c r="EZ185" s="184" t="s">
        <v>6999</v>
      </c>
    </row>
    <row r="186" spans="1:156" ht="18">
      <c r="A186" s="184" t="s">
        <v>3958</v>
      </c>
      <c r="B186" s="184" t="s">
        <v>3968</v>
      </c>
      <c r="C186" s="184" t="s">
        <v>3988</v>
      </c>
      <c r="E186" s="184" t="s">
        <v>4008</v>
      </c>
      <c r="F186" s="184" t="s">
        <v>4018</v>
      </c>
      <c r="G186" s="184" t="s">
        <v>4038</v>
      </c>
      <c r="H186" s="184" t="s">
        <v>4050</v>
      </c>
      <c r="I186" s="184" t="s">
        <v>4060</v>
      </c>
      <c r="J186" s="184" t="s">
        <v>4072</v>
      </c>
      <c r="N186" s="184" t="s">
        <v>4091</v>
      </c>
      <c r="O186" s="184" t="s">
        <v>4099</v>
      </c>
      <c r="P186" s="184" t="s">
        <v>4109</v>
      </c>
      <c r="Q186" s="184" t="s">
        <v>4121</v>
      </c>
      <c r="R186" s="184" t="s">
        <v>4129</v>
      </c>
      <c r="S186" s="184" t="s">
        <v>4137</v>
      </c>
      <c r="T186" s="184" t="s">
        <v>4145</v>
      </c>
      <c r="U186" s="184" t="s">
        <v>4153</v>
      </c>
      <c r="X186" s="227" t="s">
        <v>4182</v>
      </c>
      <c r="Z186" s="198" t="s">
        <v>4249</v>
      </c>
      <c r="AB186" s="184" t="s">
        <v>4445</v>
      </c>
      <c r="AC186" s="184" t="s">
        <v>4463</v>
      </c>
      <c r="AD186" s="184" t="s">
        <v>4486</v>
      </c>
      <c r="AG186" s="184" t="s">
        <v>4517</v>
      </c>
      <c r="AH186" s="184" t="s">
        <v>4567</v>
      </c>
      <c r="AI186" s="184" t="s">
        <v>4577</v>
      </c>
      <c r="AM186" s="184" t="s">
        <v>4606</v>
      </c>
      <c r="AP186" s="184" t="s">
        <v>4623</v>
      </c>
      <c r="AU186" s="184" t="s">
        <v>4686</v>
      </c>
      <c r="AV186" s="184" t="str">
        <f ca="1">CHOOSE(RANDBETWEEN(1,8),"Bear","Boar","Bull","Dragon","Lion","Ox","Stag","Wolf")</f>
        <v>Dragon</v>
      </c>
      <c r="AW186" s="184" t="s">
        <v>4704</v>
      </c>
      <c r="AX186" s="184" t="s">
        <v>4724</v>
      </c>
      <c r="AY186" s="184" t="s">
        <v>4735</v>
      </c>
      <c r="AZ186" s="184" t="s">
        <v>4745</v>
      </c>
      <c r="BA186" s="184" t="s">
        <v>4753</v>
      </c>
      <c r="BD186" s="198" t="s">
        <v>4771</v>
      </c>
      <c r="BF186" s="184" t="s">
        <v>5011</v>
      </c>
      <c r="BG186" s="184" t="s">
        <v>5029</v>
      </c>
      <c r="BH186" s="184" t="s">
        <v>5037</v>
      </c>
      <c r="BI186" s="184" t="s">
        <v>5045</v>
      </c>
      <c r="BL186" s="199"/>
      <c r="BM186" s="184" t="s">
        <v>5071</v>
      </c>
      <c r="BQ186" s="184" t="s">
        <v>2273</v>
      </c>
      <c r="BR186" s="184" t="s">
        <v>5086</v>
      </c>
      <c r="BT186" s="184" t="s">
        <v>5095</v>
      </c>
      <c r="BW186" s="184" t="s">
        <v>3686</v>
      </c>
      <c r="BX186" s="184" t="s">
        <v>4686</v>
      </c>
      <c r="BY186" s="184" t="s">
        <v>3676</v>
      </c>
      <c r="BZ186" s="184" t="s">
        <v>5120</v>
      </c>
      <c r="CA186" s="184" t="s">
        <v>3700</v>
      </c>
      <c r="CB186" s="184" t="s">
        <v>5130</v>
      </c>
      <c r="CD186" s="184" t="s">
        <v>3725</v>
      </c>
      <c r="CE186" s="184" t="s">
        <v>3778</v>
      </c>
      <c r="CF186" s="184" t="s">
        <v>5152</v>
      </c>
      <c r="CG186" s="184" t="s">
        <v>3743</v>
      </c>
      <c r="CJ186" s="199" t="s">
        <v>3579</v>
      </c>
      <c r="CK186" s="199" t="s">
        <v>5239</v>
      </c>
      <c r="CL186" s="199" t="s">
        <v>2274</v>
      </c>
      <c r="CN186" s="199" t="s">
        <v>5240</v>
      </c>
      <c r="CP186" s="199" t="s">
        <v>5241</v>
      </c>
      <c r="CS186" s="199" t="s">
        <v>5242</v>
      </c>
      <c r="CU186" s="199" t="s">
        <v>5243</v>
      </c>
      <c r="CV186" s="199" t="s">
        <v>5244</v>
      </c>
      <c r="CX186" s="199" t="s">
        <v>5245</v>
      </c>
      <c r="CY186" s="199" t="s">
        <v>5283</v>
      </c>
      <c r="CZ186" s="199" t="s">
        <v>5293</v>
      </c>
      <c r="DG186" s="184" t="s">
        <v>5468</v>
      </c>
      <c r="DI186" s="184" t="s">
        <v>5330</v>
      </c>
      <c r="DK186" s="184" t="s">
        <v>593</v>
      </c>
      <c r="DO186" s="184" t="s">
        <v>5376</v>
      </c>
      <c r="DQ186" s="184" t="s">
        <v>5377</v>
      </c>
      <c r="DT186" s="184" t="s">
        <v>5378</v>
      </c>
      <c r="DU186" s="184" t="str">
        <f ca="1">CONCATENATE(CHOOSE(RANDBETWEEN(1,4),"black","red","string","white")," beans")</f>
        <v>string beans</v>
      </c>
      <c r="DV186" s="184" t="s">
        <v>5379</v>
      </c>
      <c r="DW186" s="184" t="s">
        <v>5380</v>
      </c>
      <c r="DX186" s="184" t="s">
        <v>720</v>
      </c>
      <c r="DY186" s="184" t="s">
        <v>5381</v>
      </c>
      <c r="EA186" s="184" t="s">
        <v>5476</v>
      </c>
      <c r="EE186" s="44" t="s">
        <v>6898</v>
      </c>
      <c r="EH186" s="44" t="s">
        <v>6412</v>
      </c>
      <c r="EI186" s="44" t="s">
        <v>6439</v>
      </c>
      <c r="EJ186" s="44" t="s">
        <v>6449</v>
      </c>
      <c r="EK186" s="44" t="s">
        <v>6486</v>
      </c>
      <c r="EL186" s="44" t="s">
        <v>6921</v>
      </c>
      <c r="EN186" s="44" t="s">
        <v>6510</v>
      </c>
      <c r="EO186" s="44" t="s">
        <v>6522</v>
      </c>
      <c r="EP186" s="44" t="s">
        <v>6533</v>
      </c>
      <c r="EV186" s="184" t="s">
        <v>6966</v>
      </c>
      <c r="EW186" s="184" t="s">
        <v>6975</v>
      </c>
      <c r="EX186" s="184" t="s">
        <v>6985</v>
      </c>
      <c r="EY186" s="184" t="s">
        <v>6990</v>
      </c>
      <c r="EZ186" s="184" t="s">
        <v>7000</v>
      </c>
    </row>
    <row r="187" spans="1:156" ht="18">
      <c r="A187" s="184" t="s">
        <v>3959</v>
      </c>
      <c r="B187" s="184" t="s">
        <v>3969</v>
      </c>
      <c r="C187" s="184" t="s">
        <v>3989</v>
      </c>
      <c r="E187" s="184" t="s">
        <v>4009</v>
      </c>
      <c r="F187" s="184" t="s">
        <v>4019</v>
      </c>
      <c r="G187" s="184" t="s">
        <v>4039</v>
      </c>
      <c r="H187" s="184" t="s">
        <v>4051</v>
      </c>
      <c r="I187" s="184" t="s">
        <v>4061</v>
      </c>
      <c r="J187" s="184" t="s">
        <v>4073</v>
      </c>
      <c r="N187" s="184" t="s">
        <v>4092</v>
      </c>
      <c r="O187" s="184" t="s">
        <v>4100</v>
      </c>
      <c r="P187" s="184" t="s">
        <v>4110</v>
      </c>
      <c r="Q187" s="184" t="s">
        <v>4122</v>
      </c>
      <c r="R187" s="184" t="s">
        <v>4130</v>
      </c>
      <c r="S187" s="184" t="s">
        <v>4138</v>
      </c>
      <c r="T187" s="184" t="s">
        <v>4146</v>
      </c>
      <c r="U187" s="184" t="s">
        <v>4154</v>
      </c>
      <c r="X187" s="227" t="s">
        <v>4183</v>
      </c>
      <c r="Z187" s="198" t="s">
        <v>4250</v>
      </c>
      <c r="AB187" s="184" t="s">
        <v>4446</v>
      </c>
      <c r="AC187" s="184" t="s">
        <v>6139</v>
      </c>
      <c r="AD187" s="184" t="s">
        <v>4487</v>
      </c>
      <c r="AG187" s="184" t="s">
        <v>4518</v>
      </c>
      <c r="AH187" s="184" t="s">
        <v>4568</v>
      </c>
      <c r="AI187" s="184" t="s">
        <v>4578</v>
      </c>
      <c r="AM187" s="184" t="s">
        <v>4607</v>
      </c>
      <c r="AP187" s="184" t="s">
        <v>4624</v>
      </c>
      <c r="AU187" s="184" t="s">
        <v>3687</v>
      </c>
      <c r="AV187" s="184" t="str">
        <f ca="1">CHOOSE(RANDBETWEEN(1,12),"Cardinal","Dove","Eagle","Hawk","Mockingbird","Owl","Pelican","Raven","Rooster","Sparrow","Swan","Vulture")</f>
        <v>Hawk</v>
      </c>
      <c r="AW187" s="184" t="s">
        <v>4705</v>
      </c>
      <c r="AX187" s="184" t="s">
        <v>2273</v>
      </c>
      <c r="AY187" s="184" t="s">
        <v>4736</v>
      </c>
      <c r="AZ187" s="184" t="s">
        <v>4746</v>
      </c>
      <c r="BA187" s="184" t="s">
        <v>4754</v>
      </c>
      <c r="BD187" s="198" t="s">
        <v>4772</v>
      </c>
      <c r="BF187" s="184" t="s">
        <v>5012</v>
      </c>
      <c r="BG187" s="184" t="s">
        <v>5030</v>
      </c>
      <c r="BH187" s="184" t="s">
        <v>5038</v>
      </c>
      <c r="BI187" s="184" t="s">
        <v>5046</v>
      </c>
      <c r="BM187" s="184" t="s">
        <v>5096</v>
      </c>
      <c r="BQ187" s="184" t="s">
        <v>2131</v>
      </c>
      <c r="BR187" s="184" t="s">
        <v>2283</v>
      </c>
      <c r="BT187" s="184" t="s">
        <v>2289</v>
      </c>
      <c r="BW187" s="184" t="s">
        <v>5102</v>
      </c>
      <c r="BX187" s="184" t="s">
        <v>3687</v>
      </c>
      <c r="BY187" s="184" t="s">
        <v>2184</v>
      </c>
      <c r="BZ187" s="184" t="s">
        <v>5121</v>
      </c>
      <c r="CA187" s="184" t="s">
        <v>3701</v>
      </c>
      <c r="CB187" s="184" t="s">
        <v>3709</v>
      </c>
      <c r="CD187" s="184" t="s">
        <v>3726</v>
      </c>
      <c r="CE187" s="184" t="s">
        <v>5145</v>
      </c>
      <c r="CF187" s="184" t="s">
        <v>5153</v>
      </c>
      <c r="CG187" s="184" t="s">
        <v>5162</v>
      </c>
      <c r="CJ187" s="199" t="s">
        <v>5246</v>
      </c>
      <c r="CK187" s="199" t="s">
        <v>5247</v>
      </c>
      <c r="CL187" s="199" t="s">
        <v>2275</v>
      </c>
      <c r="CN187" s="199" t="s">
        <v>5248</v>
      </c>
      <c r="CP187" s="199" t="s">
        <v>5249</v>
      </c>
      <c r="CS187" s="199" t="s">
        <v>5250</v>
      </c>
      <c r="CU187" s="199" t="s">
        <v>5251</v>
      </c>
      <c r="CV187" s="199" t="s">
        <v>5252</v>
      </c>
      <c r="CX187" s="199" t="s">
        <v>5253</v>
      </c>
      <c r="CY187" s="199" t="s">
        <v>5257</v>
      </c>
      <c r="CZ187" s="199" t="s">
        <v>5294</v>
      </c>
      <c r="DI187" s="184" t="s">
        <v>5382</v>
      </c>
      <c r="DK187" s="184" t="str">
        <f ca="1">CHOOSE(RANDBETWEEN(1,2),"Spirits","Cocktails")</f>
        <v>Cocktails</v>
      </c>
      <c r="DO187" s="184" t="s">
        <v>5383</v>
      </c>
      <c r="DQ187" s="184" t="s">
        <v>5384</v>
      </c>
      <c r="DT187" s="184" t="s">
        <v>5385</v>
      </c>
      <c r="DU187" s="184" t="str">
        <f ca="1">CONCATENATE(CHOOSE(RANDBETWEEN(1,4),"bell","chili","hot","sweet")," peppers")</f>
        <v>hot peppers</v>
      </c>
      <c r="DV187" s="184" t="s">
        <v>5386</v>
      </c>
      <c r="DW187" s="184" t="s">
        <v>622</v>
      </c>
      <c r="DX187" s="184" t="s">
        <v>839</v>
      </c>
      <c r="DY187" s="184" t="s">
        <v>652</v>
      </c>
      <c r="EA187" s="184" t="s">
        <v>5477</v>
      </c>
      <c r="EE187" s="44" t="s">
        <v>6899</v>
      </c>
      <c r="EH187" s="44" t="s">
        <v>6413</v>
      </c>
      <c r="EI187" s="44" t="s">
        <v>6440</v>
      </c>
      <c r="EJ187" s="44" t="s">
        <v>6450</v>
      </c>
      <c r="EK187" s="44" t="s">
        <v>6487</v>
      </c>
      <c r="EL187" s="44" t="s">
        <v>6920</v>
      </c>
      <c r="EN187" s="44" t="s">
        <v>6511</v>
      </c>
      <c r="EO187" s="44" t="s">
        <v>6523</v>
      </c>
      <c r="EP187" s="44" t="s">
        <v>6534</v>
      </c>
      <c r="EV187" s="184" t="s">
        <v>6967</v>
      </c>
      <c r="EW187" s="184" t="s">
        <v>6976</v>
      </c>
      <c r="EX187" s="184" t="s">
        <v>6986</v>
      </c>
      <c r="EY187" s="184" t="s">
        <v>6991</v>
      </c>
      <c r="EZ187" s="184" t="s">
        <v>7034</v>
      </c>
    </row>
    <row r="188" spans="1:156" ht="18">
      <c r="A188" s="184" t="s">
        <v>3960</v>
      </c>
      <c r="B188" s="184" t="s">
        <v>3970</v>
      </c>
      <c r="C188" s="184" t="s">
        <v>3990</v>
      </c>
      <c r="E188" s="184" t="s">
        <v>4010</v>
      </c>
      <c r="F188" s="184" t="s">
        <v>4020</v>
      </c>
      <c r="G188" s="184" t="s">
        <v>4040</v>
      </c>
      <c r="H188" s="184" t="s">
        <v>4052</v>
      </c>
      <c r="I188" s="184" t="s">
        <v>4062</v>
      </c>
      <c r="J188" s="184" t="s">
        <v>4074</v>
      </c>
      <c r="O188" s="184" t="s">
        <v>4101</v>
      </c>
      <c r="P188" s="184" t="s">
        <v>4111</v>
      </c>
      <c r="X188" s="227" t="s">
        <v>4184</v>
      </c>
      <c r="Z188" s="198" t="s">
        <v>4251</v>
      </c>
      <c r="AB188" s="184" t="s">
        <v>4447</v>
      </c>
      <c r="AC188" s="184" t="s">
        <v>4464</v>
      </c>
      <c r="AD188" s="184" t="s">
        <v>4488</v>
      </c>
      <c r="AG188" s="184" t="s">
        <v>4519</v>
      </c>
      <c r="AH188" s="184" t="s">
        <v>4569</v>
      </c>
      <c r="AI188" s="184" t="s">
        <v>4579</v>
      </c>
      <c r="AP188" s="184" t="s">
        <v>4625</v>
      </c>
      <c r="AU188" s="184" t="s">
        <v>3688</v>
      </c>
      <c r="AW188" s="184" t="s">
        <v>4706</v>
      </c>
      <c r="AX188" s="184" t="s">
        <v>4725</v>
      </c>
      <c r="AY188" s="184" t="s">
        <v>4737</v>
      </c>
      <c r="BD188" s="198" t="s">
        <v>4773</v>
      </c>
      <c r="BF188" s="184" t="s">
        <v>5013</v>
      </c>
      <c r="BT188" s="199"/>
      <c r="BX188" s="184" t="s">
        <v>3688</v>
      </c>
      <c r="BY188" s="184" t="s">
        <v>5105</v>
      </c>
      <c r="BZ188" s="184" t="s">
        <v>5122</v>
      </c>
      <c r="CA188" s="184" t="s">
        <v>2273</v>
      </c>
      <c r="CB188" s="184" t="s">
        <v>5008</v>
      </c>
      <c r="CD188" s="184" t="s">
        <v>3727</v>
      </c>
      <c r="CE188" s="184" t="s">
        <v>5146</v>
      </c>
      <c r="CF188" s="184" t="s">
        <v>5154</v>
      </c>
      <c r="CG188" s="184" t="s">
        <v>3746</v>
      </c>
      <c r="CJ188" s="199" t="s">
        <v>3581</v>
      </c>
      <c r="CK188" s="199" t="s">
        <v>3588</v>
      </c>
      <c r="CL188" s="199" t="s">
        <v>5254</v>
      </c>
      <c r="CN188" s="199" t="s">
        <v>5255</v>
      </c>
      <c r="CP188" s="199" t="s">
        <v>5256</v>
      </c>
      <c r="CS188" s="199" t="s">
        <v>2132</v>
      </c>
      <c r="CU188" s="199" t="s">
        <v>5257</v>
      </c>
      <c r="CV188" s="199" t="s">
        <v>5258</v>
      </c>
      <c r="CX188" s="199" t="s">
        <v>5259</v>
      </c>
      <c r="CY188" s="199" t="s">
        <v>5284</v>
      </c>
      <c r="CZ188" s="199" t="s">
        <v>5296</v>
      </c>
      <c r="DI188" s="184" t="s">
        <v>5387</v>
      </c>
      <c r="DO188" s="184" t="s">
        <v>5388</v>
      </c>
      <c r="DQ188" s="184" t="s">
        <v>5389</v>
      </c>
      <c r="DT188" s="184" t="s">
        <v>595</v>
      </c>
      <c r="DU188" s="184" t="str">
        <f ca="1">CONCATENATE(CHOOSE(RANDBETWEEN(1,4),"green","red","sweet","yellow")," onions")</f>
        <v>yellow onions</v>
      </c>
      <c r="DV188" s="184" t="s">
        <v>5390</v>
      </c>
      <c r="DW188" s="184" t="s">
        <v>5391</v>
      </c>
      <c r="DX188" s="184" t="s">
        <v>594</v>
      </c>
      <c r="DY188" s="184" t="s">
        <v>658</v>
      </c>
      <c r="EA188" s="184" t="s">
        <v>5478</v>
      </c>
      <c r="EE188" s="44" t="s">
        <v>6900</v>
      </c>
      <c r="EH188" s="44" t="s">
        <v>6414</v>
      </c>
      <c r="EI188" s="44" t="s">
        <v>6441</v>
      </c>
      <c r="EJ188" s="44" t="s">
        <v>6451</v>
      </c>
      <c r="EK188" s="44" t="s">
        <v>6488</v>
      </c>
      <c r="EL188" s="184" t="s">
        <v>6918</v>
      </c>
      <c r="EN188" s="44" t="s">
        <v>6512</v>
      </c>
      <c r="EO188" s="44" t="s">
        <v>6524</v>
      </c>
      <c r="EP188" s="44" t="s">
        <v>6535</v>
      </c>
      <c r="EV188" s="184" t="s">
        <v>6968</v>
      </c>
      <c r="EW188" s="184" t="s">
        <v>6977</v>
      </c>
      <c r="EX188" s="184" t="s">
        <v>6987</v>
      </c>
      <c r="EY188" s="184" t="s">
        <v>6992</v>
      </c>
      <c r="EZ188" s="184" t="s">
        <v>7035</v>
      </c>
    </row>
    <row r="189" spans="1:156" ht="18">
      <c r="A189" s="184" t="s">
        <v>3961</v>
      </c>
      <c r="B189" s="184" t="s">
        <v>3971</v>
      </c>
      <c r="C189" s="184" t="s">
        <v>3991</v>
      </c>
      <c r="E189" s="184" t="s">
        <v>4011</v>
      </c>
      <c r="F189" s="184" t="s">
        <v>4021</v>
      </c>
      <c r="G189" s="184" t="s">
        <v>4041</v>
      </c>
      <c r="H189" s="184" t="s">
        <v>4053</v>
      </c>
      <c r="I189" s="184" t="s">
        <v>4063</v>
      </c>
      <c r="J189" s="184" t="s">
        <v>4075</v>
      </c>
      <c r="O189" s="184" t="s">
        <v>4102</v>
      </c>
      <c r="P189" s="184" t="s">
        <v>4112</v>
      </c>
      <c r="X189" s="227" t="s">
        <v>4185</v>
      </c>
      <c r="Z189" s="198" t="s">
        <v>4252</v>
      </c>
      <c r="AB189" s="184" t="s">
        <v>4448</v>
      </c>
      <c r="AC189" s="184" t="s">
        <v>4465</v>
      </c>
      <c r="AD189" s="184" t="s">
        <v>4489</v>
      </c>
      <c r="AG189" s="184" t="s">
        <v>4520</v>
      </c>
      <c r="AH189" s="184" t="s">
        <v>4570</v>
      </c>
      <c r="AI189" s="184" t="s">
        <v>4580</v>
      </c>
      <c r="AP189" s="184" t="s">
        <v>4626</v>
      </c>
      <c r="AU189" s="184" t="s">
        <v>4687</v>
      </c>
      <c r="AW189" s="184" t="s">
        <v>4707</v>
      </c>
      <c r="AX189" s="184" t="s">
        <v>4726</v>
      </c>
      <c r="AY189" s="184" t="s">
        <v>4738</v>
      </c>
      <c r="BD189" s="198" t="s">
        <v>4774</v>
      </c>
      <c r="BF189" s="184" t="s">
        <v>5014</v>
      </c>
      <c r="BX189" s="184" t="s">
        <v>4687</v>
      </c>
      <c r="BY189" s="184" t="s">
        <v>5106</v>
      </c>
      <c r="BZ189" s="184" t="s">
        <v>5123</v>
      </c>
      <c r="CA189" s="184" t="s">
        <v>3702</v>
      </c>
      <c r="CB189" s="184" t="s">
        <v>5131</v>
      </c>
      <c r="CD189" s="184" t="s">
        <v>5143</v>
      </c>
      <c r="CE189" s="184" t="s">
        <v>5147</v>
      </c>
      <c r="CF189" s="184" t="s">
        <v>5155</v>
      </c>
      <c r="CG189" s="184" t="s">
        <v>5163</v>
      </c>
      <c r="CJ189" s="199" t="s">
        <v>4691</v>
      </c>
      <c r="CK189" s="199" t="s">
        <v>5260</v>
      </c>
      <c r="CL189" s="199" t="s">
        <v>5261</v>
      </c>
      <c r="CN189" s="199" t="s">
        <v>5262</v>
      </c>
      <c r="CP189" s="199" t="s">
        <v>5263</v>
      </c>
      <c r="CS189" s="199" t="s">
        <v>5264</v>
      </c>
      <c r="CU189" s="199" t="s">
        <v>5265</v>
      </c>
      <c r="CV189" s="199" t="s">
        <v>5266</v>
      </c>
      <c r="CX189" s="199" t="s">
        <v>5267</v>
      </c>
      <c r="CY189" s="199" t="s">
        <v>5285</v>
      </c>
      <c r="CZ189" s="199" t="s">
        <v>5295</v>
      </c>
      <c r="DI189" s="184" t="s">
        <v>5392</v>
      </c>
      <c r="DO189" s="184" t="s">
        <v>5393</v>
      </c>
      <c r="DQ189" s="184" t="s">
        <v>5394</v>
      </c>
      <c r="DT189" s="184" t="s">
        <v>5395</v>
      </c>
      <c r="DU189" s="184" t="s">
        <v>5396</v>
      </c>
      <c r="DV189" s="184" t="s">
        <v>5397</v>
      </c>
      <c r="DW189" s="184" t="s">
        <v>5398</v>
      </c>
      <c r="DX189" s="184" t="s">
        <v>5399</v>
      </c>
      <c r="DY189" s="184" t="s">
        <v>5400</v>
      </c>
      <c r="EA189" s="184" t="s">
        <v>5481</v>
      </c>
      <c r="EE189" s="44" t="s">
        <v>6901</v>
      </c>
      <c r="EH189" s="44" t="s">
        <v>6423</v>
      </c>
      <c r="EI189" s="44" t="s">
        <v>6926</v>
      </c>
      <c r="EJ189" s="44" t="s">
        <v>6452</v>
      </c>
      <c r="EK189" s="44" t="s">
        <v>6489</v>
      </c>
      <c r="EL189" s="184" t="s">
        <v>6922</v>
      </c>
      <c r="EN189" s="44" t="s">
        <v>6513</v>
      </c>
      <c r="EO189" s="44" t="s">
        <v>6525</v>
      </c>
      <c r="EP189" s="44" t="s">
        <v>6536</v>
      </c>
      <c r="EV189" s="184" t="s">
        <v>7006</v>
      </c>
      <c r="EW189" s="184" t="s">
        <v>7017</v>
      </c>
      <c r="EX189" s="184" t="s">
        <v>6988</v>
      </c>
      <c r="EY189" s="184" t="s">
        <v>7033</v>
      </c>
      <c r="EZ189" s="184" t="s">
        <v>7036</v>
      </c>
    </row>
    <row r="190" spans="1:156" ht="18">
      <c r="B190" s="184" t="s">
        <v>3972</v>
      </c>
      <c r="C190" s="184" t="s">
        <v>3992</v>
      </c>
      <c r="F190" s="184" t="s">
        <v>4022</v>
      </c>
      <c r="G190" s="184" t="s">
        <v>4042</v>
      </c>
      <c r="I190" s="184" t="s">
        <v>4064</v>
      </c>
      <c r="J190" s="184" t="s">
        <v>4076</v>
      </c>
      <c r="P190" s="184" t="s">
        <v>4113</v>
      </c>
      <c r="X190" s="227" t="s">
        <v>4240</v>
      </c>
      <c r="Z190" s="198" t="s">
        <v>4253</v>
      </c>
      <c r="AB190" s="184" t="s">
        <v>4449</v>
      </c>
      <c r="AC190" s="184" t="s">
        <v>4466</v>
      </c>
      <c r="AD190" s="184" t="s">
        <v>4490</v>
      </c>
      <c r="AG190" s="184" t="s">
        <v>4521</v>
      </c>
      <c r="AI190" s="184" t="s">
        <v>4581</v>
      </c>
      <c r="AP190" s="184" t="s">
        <v>4627</v>
      </c>
      <c r="AU190" s="184" t="s">
        <v>4688</v>
      </c>
      <c r="AW190" s="184" t="s">
        <v>4708</v>
      </c>
      <c r="AX190" s="184" t="s">
        <v>4727</v>
      </c>
      <c r="BD190" s="198" t="s">
        <v>4765</v>
      </c>
      <c r="BF190" s="184" t="s">
        <v>5015</v>
      </c>
      <c r="BX190" s="184" t="s">
        <v>4688</v>
      </c>
      <c r="BY190" s="184" t="s">
        <v>5107</v>
      </c>
      <c r="CB190" s="184" t="s">
        <v>5132</v>
      </c>
      <c r="CF190" s="184" t="s">
        <v>5156</v>
      </c>
      <c r="CG190" s="184" t="s">
        <v>5164</v>
      </c>
      <c r="CJ190" s="199" t="s">
        <v>4692</v>
      </c>
      <c r="CK190" s="199" t="s">
        <v>5268</v>
      </c>
      <c r="CL190" s="199" t="s">
        <v>5269</v>
      </c>
      <c r="CS190" s="199"/>
      <c r="CU190" s="199" t="s">
        <v>5270</v>
      </c>
      <c r="CX190" s="199" t="s">
        <v>5271</v>
      </c>
      <c r="CY190" s="199" t="s">
        <v>5286</v>
      </c>
      <c r="DO190" s="184" t="s">
        <v>5401</v>
      </c>
      <c r="DQ190" s="184" t="s">
        <v>5402</v>
      </c>
      <c r="DT190" s="184" t="s">
        <v>5403</v>
      </c>
      <c r="DU190" s="184" t="s">
        <v>5404</v>
      </c>
      <c r="DV190" s="184" t="s">
        <v>5405</v>
      </c>
      <c r="DW190" s="184" t="s">
        <v>5406</v>
      </c>
      <c r="DX190" s="184" t="s">
        <v>5407</v>
      </c>
      <c r="DY190" s="184" t="s">
        <v>5408</v>
      </c>
      <c r="EA190" s="184" t="s">
        <v>5479</v>
      </c>
      <c r="EE190" s="44" t="s">
        <v>6902</v>
      </c>
      <c r="EH190" s="44" t="s">
        <v>6424</v>
      </c>
      <c r="EI190" s="44" t="s">
        <v>6925</v>
      </c>
      <c r="EJ190" s="44" t="s">
        <v>6453</v>
      </c>
      <c r="EN190" s="44" t="s">
        <v>6514</v>
      </c>
      <c r="EP190" s="44" t="s">
        <v>6537</v>
      </c>
      <c r="EV190" s="184" t="s">
        <v>7007</v>
      </c>
      <c r="EW190" s="184" t="s">
        <v>7018</v>
      </c>
      <c r="EZ190" s="184" t="s">
        <v>7037</v>
      </c>
    </row>
    <row r="191" spans="1:156" ht="18">
      <c r="B191" s="184" t="s">
        <v>3973</v>
      </c>
      <c r="C191" s="184" t="s">
        <v>3993</v>
      </c>
      <c r="F191" s="184" t="s">
        <v>4023</v>
      </c>
      <c r="G191" s="184" t="s">
        <v>4043</v>
      </c>
      <c r="I191" s="184" t="s">
        <v>4065</v>
      </c>
      <c r="J191" s="184" t="s">
        <v>4077</v>
      </c>
      <c r="P191" s="184" t="s">
        <v>4114</v>
      </c>
      <c r="X191" s="227" t="s">
        <v>1346</v>
      </c>
      <c r="Z191" s="198" t="s">
        <v>4254</v>
      </c>
      <c r="AB191" s="184" t="str">
        <f ca="1">CONCATENATE("Memorial ",CHOOSE(RANDBETWEEN(1,4),"Mausoleum","Reflecting Pool","Large Statue","Botanical Garden"))</f>
        <v>Memorial Mausoleum</v>
      </c>
      <c r="AC191" s="184" t="s">
        <v>4467</v>
      </c>
      <c r="AD191" s="184" t="s">
        <v>4491</v>
      </c>
      <c r="AG191" s="184" t="s">
        <v>4522</v>
      </c>
      <c r="AI191" s="184" t="s">
        <v>4582</v>
      </c>
      <c r="AP191" s="184" t="s">
        <v>4628</v>
      </c>
      <c r="AU191" s="184" t="s">
        <v>4689</v>
      </c>
      <c r="AW191" s="184" t="s">
        <v>4709</v>
      </c>
      <c r="AX191" s="184" t="s">
        <v>4728</v>
      </c>
      <c r="BD191" s="198" t="s">
        <v>4766</v>
      </c>
      <c r="BF191" s="184" t="s">
        <v>5016</v>
      </c>
      <c r="BX191" s="184" t="s">
        <v>4689</v>
      </c>
      <c r="BY191" s="184" t="s">
        <v>5108</v>
      </c>
      <c r="CB191" s="184" t="s">
        <v>5133</v>
      </c>
      <c r="CF191" s="184" t="s">
        <v>5157</v>
      </c>
      <c r="CG191" s="184" t="s">
        <v>3748</v>
      </c>
      <c r="CJ191" s="199" t="s">
        <v>4693</v>
      </c>
      <c r="CK191" s="199" t="s">
        <v>3695</v>
      </c>
      <c r="CL191" s="199" t="s">
        <v>5272</v>
      </c>
      <c r="CU191" s="199" t="s">
        <v>5273</v>
      </c>
      <c r="CX191" s="199" t="s">
        <v>1520</v>
      </c>
      <c r="CY191" s="199" t="s">
        <v>5287</v>
      </c>
      <c r="DO191" s="184" t="s">
        <v>5409</v>
      </c>
      <c r="DQ191" s="184" t="s">
        <v>5410</v>
      </c>
      <c r="DT191" s="184" t="s">
        <v>5411</v>
      </c>
      <c r="DU191" s="184" t="str">
        <f ca="1">CONCATENATE(CHOOSE(RANDBETWEEN(1,4),"green","red","purple","white")," cabbage")</f>
        <v>red cabbage</v>
      </c>
      <c r="DV191" s="184" t="s">
        <v>5412</v>
      </c>
      <c r="DW191" s="184" t="s">
        <v>5413</v>
      </c>
      <c r="DX191" s="184" t="s">
        <v>5414</v>
      </c>
      <c r="DY191" s="184" t="s">
        <v>5415</v>
      </c>
      <c r="EA191" s="184" t="s">
        <v>5480</v>
      </c>
      <c r="EE191" s="44" t="s">
        <v>6903</v>
      </c>
      <c r="EH191" s="44" t="s">
        <v>6259</v>
      </c>
      <c r="EI191" s="44" t="s">
        <v>6912</v>
      </c>
      <c r="EJ191" s="44" t="s">
        <v>6454</v>
      </c>
      <c r="EN191" s="44" t="s">
        <v>6548</v>
      </c>
      <c r="EP191" s="44" t="s">
        <v>6538</v>
      </c>
      <c r="EV191" s="184" t="s">
        <v>7008</v>
      </c>
      <c r="EW191" s="184" t="s">
        <v>7019</v>
      </c>
      <c r="EZ191" s="184" t="s">
        <v>7038</v>
      </c>
    </row>
    <row r="192" spans="1:156" ht="18">
      <c r="B192" s="184" t="s">
        <v>3974</v>
      </c>
      <c r="C192" s="184" t="s">
        <v>3994</v>
      </c>
      <c r="F192" s="184" t="s">
        <v>4024</v>
      </c>
      <c r="J192" s="184" t="s">
        <v>4078</v>
      </c>
      <c r="X192" s="227" t="s">
        <v>4186</v>
      </c>
      <c r="Z192" s="198" t="s">
        <v>4255</v>
      </c>
      <c r="AB192" s="184" t="str">
        <f ca="1">CONCATENATE("Monument ",CHOOSE(RANDBETWEEN(1,6),"Colossus","Column","Obelisk","Plaque","Statue Garden","Wall"))</f>
        <v>Monument Wall</v>
      </c>
      <c r="AC192" s="184" t="s">
        <v>4468</v>
      </c>
      <c r="AD192" s="184" t="s">
        <v>4492</v>
      </c>
      <c r="AG192" s="184" t="s">
        <v>4523</v>
      </c>
      <c r="AP192" s="184" t="s">
        <v>4629</v>
      </c>
      <c r="AU192" s="184" t="s">
        <v>4690</v>
      </c>
      <c r="AW192" s="184" t="s">
        <v>4710</v>
      </c>
      <c r="BD192" s="198" t="s">
        <v>4767</v>
      </c>
      <c r="BF192" s="184" t="s">
        <v>5017</v>
      </c>
      <c r="BX192" s="184" t="s">
        <v>4690</v>
      </c>
      <c r="BY192" s="184" t="s">
        <v>5109</v>
      </c>
      <c r="CX192" s="199" t="s">
        <v>5274</v>
      </c>
      <c r="DQ192" s="184" t="s">
        <v>5416</v>
      </c>
      <c r="DT192" s="184" t="s">
        <v>5417</v>
      </c>
      <c r="DU192" s="184" t="s">
        <v>5418</v>
      </c>
      <c r="DV192" s="184" t="s">
        <v>5419</v>
      </c>
      <c r="DW192" s="184" t="s">
        <v>5420</v>
      </c>
      <c r="DX192" s="184" t="s">
        <v>5421</v>
      </c>
      <c r="DY192" s="184" t="s">
        <v>5422</v>
      </c>
      <c r="EE192" s="44" t="s">
        <v>6904</v>
      </c>
      <c r="EH192" s="44" t="s">
        <v>6425</v>
      </c>
      <c r="EI192" s="44" t="s">
        <v>6913</v>
      </c>
      <c r="EJ192" s="44" t="s">
        <v>6455</v>
      </c>
      <c r="EP192" s="44" t="s">
        <v>6539</v>
      </c>
      <c r="EV192" s="184" t="s">
        <v>7009</v>
      </c>
      <c r="EW192" s="184" t="s">
        <v>7020</v>
      </c>
    </row>
    <row r="193" spans="1:153" ht="18">
      <c r="B193" s="184" t="s">
        <v>3975</v>
      </c>
      <c r="C193" s="184" t="s">
        <v>3995</v>
      </c>
      <c r="F193" s="184" t="s">
        <v>4025</v>
      </c>
      <c r="J193" s="184" t="s">
        <v>4079</v>
      </c>
      <c r="X193" s="227" t="s">
        <v>4187</v>
      </c>
      <c r="Z193" s="198" t="s">
        <v>4256</v>
      </c>
      <c r="AB193" s="184" t="s">
        <v>4450</v>
      </c>
      <c r="AC193" s="184" t="s">
        <v>4469</v>
      </c>
      <c r="AD193" s="184" t="s">
        <v>4493</v>
      </c>
      <c r="AG193" s="184" t="s">
        <v>4524</v>
      </c>
      <c r="AP193" s="184" t="s">
        <v>4630</v>
      </c>
      <c r="AU193" s="184" t="s">
        <v>4691</v>
      </c>
      <c r="AW193" s="184" t="s">
        <v>4711</v>
      </c>
      <c r="BD193" s="198" t="s">
        <v>4768</v>
      </c>
      <c r="BF193" s="184" t="s">
        <v>5018</v>
      </c>
      <c r="BX193" s="184" t="s">
        <v>4691</v>
      </c>
      <c r="BY193" s="184" t="s">
        <v>5110</v>
      </c>
      <c r="CJ193" s="199"/>
      <c r="CX193" s="199" t="s">
        <v>5213</v>
      </c>
      <c r="DQ193" s="184" t="s">
        <v>5423</v>
      </c>
      <c r="DT193" s="184" t="s">
        <v>5424</v>
      </c>
      <c r="DU193" s="184" t="s">
        <v>5425</v>
      </c>
      <c r="DV193" s="184" t="s">
        <v>5426</v>
      </c>
      <c r="DW193" s="184" t="s">
        <v>5427</v>
      </c>
      <c r="DX193" s="184" t="s">
        <v>5428</v>
      </c>
      <c r="DY193" s="184" t="s">
        <v>5429</v>
      </c>
      <c r="EE193" s="44" t="s">
        <v>6905</v>
      </c>
      <c r="EH193" s="44" t="s">
        <v>6426</v>
      </c>
      <c r="EI193" s="44" t="s">
        <v>6442</v>
      </c>
      <c r="EJ193" s="44" t="s">
        <v>6456</v>
      </c>
      <c r="EP193" s="44" t="s">
        <v>6540</v>
      </c>
      <c r="EV193" s="184" t="s">
        <v>7010</v>
      </c>
      <c r="EW193" s="184" t="s">
        <v>7021</v>
      </c>
    </row>
    <row r="194" spans="1:153" ht="18">
      <c r="B194" s="184" t="s">
        <v>3976</v>
      </c>
      <c r="C194" s="184" t="s">
        <v>3996</v>
      </c>
      <c r="F194" s="184" t="s">
        <v>4026</v>
      </c>
      <c r="J194" s="184" t="s">
        <v>4080</v>
      </c>
      <c r="X194" s="227" t="s">
        <v>4188</v>
      </c>
      <c r="Z194" s="198" t="s">
        <v>4257</v>
      </c>
      <c r="AB194" s="184" t="s">
        <v>4451</v>
      </c>
      <c r="AC194" s="184" t="s">
        <v>4470</v>
      </c>
      <c r="AD194" s="184" t="s">
        <v>4494</v>
      </c>
      <c r="AG194" s="184" t="s">
        <v>4525</v>
      </c>
      <c r="AP194" s="184" t="s">
        <v>4631</v>
      </c>
      <c r="AU194" s="184" t="s">
        <v>4692</v>
      </c>
      <c r="AW194" s="184" t="s">
        <v>4712</v>
      </c>
      <c r="BD194" s="198" t="s">
        <v>4769</v>
      </c>
      <c r="BF194" s="184" t="s">
        <v>5019</v>
      </c>
      <c r="BX194" s="184" t="s">
        <v>4692</v>
      </c>
      <c r="BY194" s="184" t="s">
        <v>5111</v>
      </c>
      <c r="CX194" s="199" t="s">
        <v>5275</v>
      </c>
      <c r="DQ194" s="184" t="s">
        <v>5430</v>
      </c>
      <c r="DT194" s="184" t="s">
        <v>5431</v>
      </c>
      <c r="DU194" s="184" t="s">
        <v>5432</v>
      </c>
      <c r="DV194" s="184" t="s">
        <v>5433</v>
      </c>
      <c r="DW194" s="184" t="s">
        <v>5434</v>
      </c>
      <c r="DX194" s="184" t="s">
        <v>5435</v>
      </c>
      <c r="DY194" s="184" t="s">
        <v>5436</v>
      </c>
      <c r="EE194" s="44" t="s">
        <v>6906</v>
      </c>
      <c r="EH194" s="44" t="s">
        <v>6427</v>
      </c>
      <c r="EI194" s="44" t="s">
        <v>6914</v>
      </c>
      <c r="EJ194" s="44" t="s">
        <v>6457</v>
      </c>
      <c r="EP194" s="44" t="s">
        <v>6541</v>
      </c>
      <c r="EV194" s="184" t="s">
        <v>7011</v>
      </c>
      <c r="EW194" s="184" t="s">
        <v>7022</v>
      </c>
    </row>
    <row r="195" spans="1:153" ht="18">
      <c r="B195" s="184" t="s">
        <v>3977</v>
      </c>
      <c r="C195" s="184" t="s">
        <v>3997</v>
      </c>
      <c r="F195" s="184" t="s">
        <v>4027</v>
      </c>
      <c r="J195" s="184" t="s">
        <v>4081</v>
      </c>
      <c r="X195" s="227" t="s">
        <v>4189</v>
      </c>
      <c r="Z195" s="198" t="s">
        <v>4258</v>
      </c>
      <c r="AB195" s="184" t="s">
        <v>4452</v>
      </c>
      <c r="AC195" s="184" t="s">
        <v>4471</v>
      </c>
      <c r="AD195" s="184" t="s">
        <v>4495</v>
      </c>
      <c r="AG195" s="184" t="s">
        <v>4526</v>
      </c>
      <c r="AP195" s="184" t="s">
        <v>4632</v>
      </c>
      <c r="AU195" s="184" t="s">
        <v>4693</v>
      </c>
      <c r="AW195" s="184" t="s">
        <v>4713</v>
      </c>
      <c r="BD195" s="198" t="s">
        <v>4770</v>
      </c>
      <c r="BF195" s="184" t="s">
        <v>5020</v>
      </c>
      <c r="BL195" s="199"/>
      <c r="BX195" s="184" t="s">
        <v>4693</v>
      </c>
      <c r="BY195" s="184" t="s">
        <v>5112</v>
      </c>
      <c r="CX195" s="199" t="s">
        <v>5276</v>
      </c>
      <c r="DQ195" s="184" t="s">
        <v>5437</v>
      </c>
      <c r="DT195" s="184" t="s">
        <v>5438</v>
      </c>
      <c r="DU195" s="184" t="s">
        <v>5439</v>
      </c>
      <c r="DV195" s="184" t="s">
        <v>5440</v>
      </c>
      <c r="DW195" s="184" t="s">
        <v>5441</v>
      </c>
      <c r="DX195" s="184" t="s">
        <v>5442</v>
      </c>
      <c r="DY195" s="184" t="s">
        <v>5443</v>
      </c>
      <c r="EE195" s="44" t="s">
        <v>6907</v>
      </c>
      <c r="EH195" s="44" t="s">
        <v>6428</v>
      </c>
      <c r="EI195" s="44" t="s">
        <v>6915</v>
      </c>
      <c r="EJ195" s="44" t="s">
        <v>6458</v>
      </c>
      <c r="EP195" s="44" t="s">
        <v>6542</v>
      </c>
      <c r="EV195" s="184" t="s">
        <v>7012</v>
      </c>
      <c r="EW195" s="184" t="s">
        <v>7023</v>
      </c>
    </row>
    <row r="196" spans="1:153" ht="18">
      <c r="B196" s="184" t="s">
        <v>3978</v>
      </c>
      <c r="C196" s="184" t="s">
        <v>3998</v>
      </c>
      <c r="F196" s="184" t="s">
        <v>4028</v>
      </c>
      <c r="J196" s="184" t="s">
        <v>4082</v>
      </c>
      <c r="X196" s="227" t="s">
        <v>4190</v>
      </c>
      <c r="Z196" s="198" t="s">
        <v>4259</v>
      </c>
      <c r="AB196" s="184" t="s">
        <v>4453</v>
      </c>
      <c r="AC196" s="184" t="s">
        <v>4472</v>
      </c>
      <c r="AD196" s="184" t="s">
        <v>4496</v>
      </c>
      <c r="AG196" s="184" t="s">
        <v>4527</v>
      </c>
      <c r="AP196" s="184" t="s">
        <v>4633</v>
      </c>
      <c r="AU196" s="184" t="s">
        <v>4694</v>
      </c>
      <c r="AW196" s="184" t="s">
        <v>4714</v>
      </c>
      <c r="BD196" s="198" t="s">
        <v>4771</v>
      </c>
      <c r="BF196" s="184" t="s">
        <v>5021</v>
      </c>
      <c r="BX196" s="184" t="s">
        <v>4694</v>
      </c>
      <c r="BY196" s="184" t="s">
        <v>3694</v>
      </c>
      <c r="CX196" s="199" t="s">
        <v>5277</v>
      </c>
      <c r="DQ196" s="184" t="s">
        <v>5444</v>
      </c>
      <c r="DT196" s="184" t="s">
        <v>5445</v>
      </c>
      <c r="DU196" s="184" t="s">
        <v>5446</v>
      </c>
      <c r="DV196" s="184" t="s">
        <v>5447</v>
      </c>
      <c r="DW196" s="184" t="s">
        <v>5448</v>
      </c>
      <c r="DX196" s="184" t="s">
        <v>5449</v>
      </c>
      <c r="DY196" s="184" t="s">
        <v>5450</v>
      </c>
      <c r="EE196" s="44" t="s">
        <v>6908</v>
      </c>
      <c r="EH196" s="44" t="s">
        <v>6270</v>
      </c>
      <c r="EI196" s="44" t="s">
        <v>6916</v>
      </c>
      <c r="EJ196" s="44" t="s">
        <v>6459</v>
      </c>
      <c r="EP196" s="44" t="s">
        <v>6543</v>
      </c>
      <c r="EV196" s="184" t="s">
        <v>7013</v>
      </c>
      <c r="EW196" s="184" t="s">
        <v>7024</v>
      </c>
    </row>
    <row r="197" spans="1:153" ht="18">
      <c r="B197" s="184" t="s">
        <v>3979</v>
      </c>
      <c r="C197" s="184" t="s">
        <v>3999</v>
      </c>
      <c r="F197" s="184" t="s">
        <v>4029</v>
      </c>
      <c r="J197" s="184" t="s">
        <v>4083</v>
      </c>
      <c r="X197" s="227" t="s">
        <v>4191</v>
      </c>
      <c r="Z197" s="198" t="s">
        <v>4260</v>
      </c>
      <c r="AB197" s="184" t="s">
        <v>4454</v>
      </c>
      <c r="AC197" s="184" t="s">
        <v>4473</v>
      </c>
      <c r="AD197" s="184" t="s">
        <v>4497</v>
      </c>
      <c r="AG197" s="184" t="s">
        <v>4528</v>
      </c>
      <c r="AP197" s="184" t="s">
        <v>4634</v>
      </c>
      <c r="AU197" s="184" t="s">
        <v>4695</v>
      </c>
      <c r="AW197" s="184" t="s">
        <v>4715</v>
      </c>
      <c r="BD197" s="198" t="s">
        <v>4772</v>
      </c>
      <c r="BF197" s="184" t="s">
        <v>5022</v>
      </c>
      <c r="BX197" s="184" t="s">
        <v>5103</v>
      </c>
      <c r="BY197" s="184" t="s">
        <v>3695</v>
      </c>
      <c r="CS197" s="199"/>
      <c r="CX197" s="199"/>
      <c r="DQ197" s="184" t="s">
        <v>5451</v>
      </c>
      <c r="DT197" s="184" t="s">
        <v>5452</v>
      </c>
      <c r="DU197" s="184" t="s">
        <v>5453</v>
      </c>
      <c r="DV197" s="184" t="s">
        <v>5454</v>
      </c>
      <c r="DW197" s="184" t="s">
        <v>5455</v>
      </c>
      <c r="DX197" s="184" t="s">
        <v>5456</v>
      </c>
      <c r="DY197" s="184" t="s">
        <v>5457</v>
      </c>
      <c r="EE197" s="44" t="s">
        <v>6909</v>
      </c>
      <c r="EH197" s="44" t="s">
        <v>6429</v>
      </c>
      <c r="EI197" s="44" t="s">
        <v>6917</v>
      </c>
      <c r="EJ197" s="44" t="s">
        <v>6460</v>
      </c>
      <c r="EP197" s="44" t="s">
        <v>6544</v>
      </c>
      <c r="EV197" s="184" t="s">
        <v>7014</v>
      </c>
      <c r="EW197" s="184" t="s">
        <v>7025</v>
      </c>
    </row>
    <row r="198" spans="1:153" ht="18">
      <c r="B198" s="184" t="s">
        <v>3980</v>
      </c>
      <c r="C198" s="184" t="s">
        <v>4000</v>
      </c>
      <c r="F198" s="184" t="s">
        <v>4030</v>
      </c>
      <c r="J198" s="184" t="s">
        <v>4084</v>
      </c>
      <c r="X198" s="227" t="s">
        <v>4192</v>
      </c>
      <c r="Z198" s="198" t="s">
        <v>4261</v>
      </c>
      <c r="AB198" s="184" t="s">
        <v>4455</v>
      </c>
      <c r="AC198" s="184" t="s">
        <v>4474</v>
      </c>
      <c r="AD198" s="184" t="s">
        <v>4498</v>
      </c>
      <c r="AG198" s="184" t="s">
        <v>4529</v>
      </c>
      <c r="AP198" s="184" t="s">
        <v>4635</v>
      </c>
      <c r="AU198" s="184" t="s">
        <v>4696</v>
      </c>
      <c r="AW198" s="184" t="s">
        <v>4716</v>
      </c>
      <c r="BD198" s="198" t="s">
        <v>4773</v>
      </c>
      <c r="BF198" s="184" t="str">
        <f ca="1">CHOOSE(RANDBETWEEN(1,8),"alchemists","architects","calligraphers","historians","lawyers and judges","scribes","siege engineers","writers")</f>
        <v>siege engineers</v>
      </c>
      <c r="BX198" s="184" t="s">
        <v>4696</v>
      </c>
      <c r="BY198" s="184" t="s">
        <v>3696</v>
      </c>
      <c r="DQ198" s="184" t="s">
        <v>5458</v>
      </c>
      <c r="DT198" s="184" t="s">
        <v>5459</v>
      </c>
      <c r="DU198" s="184" t="str">
        <f ca="1">CONCATENATE(CHOOSE(RANDBETWEEN(1,4),"butter","iceberg","romaine","weedy")," lettuce")</f>
        <v>iceberg lettuce</v>
      </c>
      <c r="DV198" s="184" t="s">
        <v>5460</v>
      </c>
      <c r="DW198" s="184" t="s">
        <v>5461</v>
      </c>
      <c r="DX198" s="184" t="str">
        <f ca="1">CONCATENATE(INDEX($DX$180:$DX$197,RANDBETWEEN(1,18))," sausage")</f>
        <v>Turkey sausage</v>
      </c>
      <c r="DY198" s="184" t="s">
        <v>5462</v>
      </c>
      <c r="EE198" s="44" t="s">
        <v>6910</v>
      </c>
      <c r="EH198" s="44" t="s">
        <v>6430</v>
      </c>
      <c r="EI198" s="44" t="s">
        <v>6924</v>
      </c>
      <c r="EJ198" s="44" t="s">
        <v>6461</v>
      </c>
      <c r="EP198" s="44" t="s">
        <v>6545</v>
      </c>
      <c r="EV198" s="184" t="s">
        <v>7015</v>
      </c>
      <c r="EW198" s="184" t="s">
        <v>7026</v>
      </c>
    </row>
    <row r="199" spans="1:153" ht="18">
      <c r="B199" s="184" t="s">
        <v>3981</v>
      </c>
      <c r="C199" s="184" t="s">
        <v>4001</v>
      </c>
      <c r="F199" s="184" t="s">
        <v>4031</v>
      </c>
      <c r="J199" s="184" t="s">
        <v>4085</v>
      </c>
      <c r="X199" s="227" t="s">
        <v>4193</v>
      </c>
      <c r="Z199" s="198" t="s">
        <v>4262</v>
      </c>
      <c r="AB199" s="184" t="s">
        <v>4456</v>
      </c>
      <c r="AC199" s="184" t="s">
        <v>4475</v>
      </c>
      <c r="AD199" s="184" t="s">
        <v>4499</v>
      </c>
      <c r="AG199" s="184" t="s">
        <v>4530</v>
      </c>
      <c r="AP199" s="184" t="s">
        <v>4636</v>
      </c>
      <c r="AU199" s="184" t="s">
        <v>3689</v>
      </c>
      <c r="AW199" s="184" t="s">
        <v>4717</v>
      </c>
      <c r="BD199" s="198" t="s">
        <v>4774</v>
      </c>
      <c r="BF199" s="184" t="str">
        <f ca="1">CHOOSE(RANDBETWEEN(1,10),"brewers","candlers","chefs","glassblowers","historical reenactors","goldsmiths","musicians","painters","sculptors","silversmiths")</f>
        <v>painters</v>
      </c>
      <c r="BX199" s="184" t="s">
        <v>3689</v>
      </c>
      <c r="BY199" s="184" t="s">
        <v>5113</v>
      </c>
      <c r="DQ199" s="184" t="s">
        <v>5463</v>
      </c>
      <c r="DT199" s="184" t="s">
        <v>5464</v>
      </c>
      <c r="DU199" s="184" t="str">
        <f ca="1">CONCATENATE(CHOOSE(RANDBETWEEN(1,4),"butternut","pumpkin","summer","zucchini")," squash")</f>
        <v>pumpkin squash</v>
      </c>
      <c r="DV199" s="184" t="s">
        <v>5465</v>
      </c>
      <c r="DW199" s="184" t="s">
        <v>5466</v>
      </c>
      <c r="DX199" s="184" t="str">
        <f ca="1">CONCATENATE(INDEX($DX$180:$DX$198,RANDBETWEEN(1,19))," and ",INDEX($DX$180:$DX$198,RANDBETWEEN(1,19)))</f>
        <v xml:space="preserve"> Veal and Chicken</v>
      </c>
      <c r="DY199" s="184" t="s">
        <v>5467</v>
      </c>
      <c r="EE199" s="44" t="s">
        <v>6911</v>
      </c>
      <c r="EH199" s="44" t="s">
        <v>6431</v>
      </c>
      <c r="EI199" s="44" t="s">
        <v>6923</v>
      </c>
      <c r="EJ199" s="44" t="s">
        <v>6462</v>
      </c>
      <c r="EP199" s="44" t="s">
        <v>6546</v>
      </c>
      <c r="EV199" s="184" t="s">
        <v>7016</v>
      </c>
      <c r="EW199" s="184" t="s">
        <v>7027</v>
      </c>
    </row>
    <row r="200" spans="1:153" ht="18">
      <c r="X200" s="227" t="s">
        <v>4194</v>
      </c>
      <c r="Z200" s="198" t="s">
        <v>4261</v>
      </c>
      <c r="AD200" s="184" t="s">
        <v>4500</v>
      </c>
      <c r="AG200" s="184" t="s">
        <v>4531</v>
      </c>
      <c r="AP200" s="184" t="s">
        <v>4637</v>
      </c>
      <c r="BD200" s="198" t="s">
        <v>4775</v>
      </c>
      <c r="EJ200" s="44" t="s">
        <v>6463</v>
      </c>
    </row>
    <row r="201" spans="1:153" ht="18">
      <c r="X201" s="227" t="s">
        <v>4195</v>
      </c>
      <c r="Z201" s="198" t="s">
        <v>4263</v>
      </c>
      <c r="AD201" s="184" t="s">
        <v>4501</v>
      </c>
      <c r="AG201" s="184" t="s">
        <v>4532</v>
      </c>
      <c r="AP201" s="184" t="s">
        <v>4638</v>
      </c>
      <c r="BD201" s="198" t="s">
        <v>4776</v>
      </c>
      <c r="DQ201" s="184" t="str">
        <f ca="1">INDEX($DG$180:$DG$186,RANDBETWEEN(1,7))</f>
        <v>Unusual Seafood</v>
      </c>
      <c r="DR201" s="184" t="str">
        <f ca="1">IF($DQ$201=$DG$180,INDEX($DW$180:$DW$199,RANDBETWEEN(1,20)),IF($DQ$201=$DG$181,INDEX($DT$180:$DT$199,RANDBETWEEN(1,20)),IF($DQ$201=$DG$182,INDEX($DX$180:$DX$199,RANDBETWEEN(1,20)),IF($DQ$201=$DG$183,INDEX($DQ$180:$DQ$199,RANDBETWEEN(1,20)),IF($DQ$201=$DG$184,INDEX($DV$180:$DV$199,RANDBETWEEN(1,20)),IF($DQ$201=$DG$185,INDEX($DU$180:$DU$199,RANDBETWEEN(1,20)),IF($DQ$201=$DG$186,INDEX($DY$180:$DY$199,RANDBETWEEN(1,20)),"")))))))</f>
        <v>Swordfish</v>
      </c>
      <c r="EJ201" s="44" t="s">
        <v>6464</v>
      </c>
    </row>
    <row r="202" spans="1:153" ht="18">
      <c r="X202" s="227" t="s">
        <v>4196</v>
      </c>
      <c r="Z202" s="198" t="s">
        <v>4264</v>
      </c>
      <c r="AD202" s="184" t="s">
        <v>4502</v>
      </c>
      <c r="AG202" s="184" t="s">
        <v>4533</v>
      </c>
      <c r="AP202" s="184" t="s">
        <v>4639</v>
      </c>
      <c r="BD202" s="198" t="s">
        <v>4777</v>
      </c>
      <c r="BL202" s="199"/>
      <c r="DR202" s="184" t="str">
        <f ca="1">INDEX($DI$180:$DI$189,RANDBETWEEN(1,10))</f>
        <v xml:space="preserve"> Steamed</v>
      </c>
      <c r="EJ202" s="44" t="s">
        <v>6465</v>
      </c>
    </row>
    <row r="203" spans="1:153" ht="18">
      <c r="X203" s="227" t="s">
        <v>4197</v>
      </c>
      <c r="Z203" s="198" t="s">
        <v>4265</v>
      </c>
      <c r="AD203" s="184" t="s">
        <v>4503</v>
      </c>
      <c r="AG203" s="184" t="s">
        <v>4534</v>
      </c>
      <c r="AP203" s="184" t="s">
        <v>4640</v>
      </c>
      <c r="BD203" s="198" t="s">
        <v>4778</v>
      </c>
      <c r="DQ203" s="184" t="str">
        <f ca="1">INDEX($DH$180:$DH$183,RANDBETWEEN(1,4))</f>
        <v>Savory</v>
      </c>
      <c r="DR203" s="184" t="str">
        <f ca="1">IF($DQ$203=$DH$180,INDEX($DN$180:$DN$185,RANDBETWEEN(1,6)),IF($DQ$203=$DH$181,INDEX($DO$180:$DO$191,RANDBETWEEN(1,12)),IF($DQ$203=$DH$182,INDEX($DP$180:$DP$183,RANDBETWEEN(1,4)),IF($DQ$203=$DH$183,INDEX($DQ$180:$DQ$199,RANDBETWEEN(1,20))))))</f>
        <v>Stinky cheese</v>
      </c>
      <c r="EJ203" s="44" t="s">
        <v>6466</v>
      </c>
    </row>
    <row r="204" spans="1:153" ht="18">
      <c r="X204" s="227" t="s">
        <v>4238</v>
      </c>
      <c r="Z204" s="198" t="s">
        <v>4266</v>
      </c>
      <c r="AD204" s="184" t="s">
        <v>4504</v>
      </c>
      <c r="AG204" s="184" t="s">
        <v>4535</v>
      </c>
      <c r="AP204" s="184" t="s">
        <v>4641</v>
      </c>
      <c r="BD204" s="198" t="s">
        <v>4779</v>
      </c>
      <c r="DQ204" s="184" t="str">
        <f ca="1">INDEX($DJ$180:$DJ$183,RANDBETWEEN(1,4))</f>
        <v>Bread</v>
      </c>
      <c r="DR204" s="184" t="str">
        <f ca="1">IF($DQ$204=$DJ$180,INDEX($EA$180:$EA$191,RANDBETWEEN(1,12)),$DQ$204)</f>
        <v>a Pumpernickel roll</v>
      </c>
      <c r="EJ204" s="44" t="s">
        <v>6467</v>
      </c>
    </row>
    <row r="205" spans="1:153" ht="33">
      <c r="B205" s="184" t="s">
        <v>7284</v>
      </c>
      <c r="C205" s="184" t="s">
        <v>7291</v>
      </c>
      <c r="D205" s="184" t="s">
        <v>7298</v>
      </c>
      <c r="I205" s="343"/>
      <c r="X205" s="227" t="s">
        <v>4198</v>
      </c>
      <c r="Z205" s="198" t="s">
        <v>4267</v>
      </c>
      <c r="AD205" s="184" t="s">
        <v>4505</v>
      </c>
      <c r="AG205" s="184" t="s">
        <v>4536</v>
      </c>
      <c r="AP205" s="184" t="s">
        <v>4642</v>
      </c>
      <c r="BD205" s="198" t="s">
        <v>4780</v>
      </c>
      <c r="EJ205" s="44" t="s">
        <v>6468</v>
      </c>
    </row>
    <row r="206" spans="1:153" ht="18">
      <c r="A206" s="184" t="s">
        <v>7278</v>
      </c>
      <c r="B206" s="184" t="s">
        <v>7285</v>
      </c>
      <c r="C206" s="184" t="s">
        <v>7292</v>
      </c>
      <c r="D206" s="184" t="s">
        <v>7299</v>
      </c>
      <c r="I206" s="43"/>
      <c r="X206" s="227" t="s">
        <v>4237</v>
      </c>
      <c r="Z206" s="198" t="s">
        <v>4268</v>
      </c>
      <c r="AD206" s="184" t="s">
        <v>4506</v>
      </c>
      <c r="AG206" s="184" t="s">
        <v>4537</v>
      </c>
      <c r="AP206" s="184" t="s">
        <v>4643</v>
      </c>
      <c r="BD206" s="198" t="s">
        <v>4781</v>
      </c>
      <c r="CJ206" s="199"/>
      <c r="EJ206" s="44" t="s">
        <v>6469</v>
      </c>
    </row>
    <row r="207" spans="1:153" ht="18">
      <c r="A207" s="184" t="s">
        <v>7279</v>
      </c>
      <c r="B207" s="184" t="s">
        <v>7286</v>
      </c>
      <c r="C207" s="184" t="s">
        <v>7293</v>
      </c>
      <c r="D207" s="184" t="s">
        <v>7300</v>
      </c>
      <c r="I207" s="43"/>
      <c r="X207" s="227" t="s">
        <v>4236</v>
      </c>
      <c r="Z207" s="198" t="s">
        <v>4269</v>
      </c>
      <c r="AD207" s="184" t="s">
        <v>4507</v>
      </c>
      <c r="AG207" s="184" t="s">
        <v>4538</v>
      </c>
      <c r="AP207" s="184" t="s">
        <v>4644</v>
      </c>
      <c r="BD207" s="198" t="s">
        <v>4782</v>
      </c>
      <c r="BL207" s="199"/>
      <c r="EJ207" s="44" t="s">
        <v>6470</v>
      </c>
      <c r="EU207" s="184" t="s">
        <v>6969</v>
      </c>
    </row>
    <row r="208" spans="1:153" ht="18">
      <c r="A208" s="184" t="s">
        <v>7280</v>
      </c>
      <c r="B208" s="184" t="s">
        <v>7287</v>
      </c>
      <c r="C208" s="184" t="s">
        <v>7294</v>
      </c>
      <c r="D208" s="184" t="s">
        <v>7301</v>
      </c>
      <c r="I208" s="43"/>
      <c r="X208" s="227" t="s">
        <v>4199</v>
      </c>
      <c r="Z208" s="198" t="s">
        <v>4270</v>
      </c>
      <c r="AD208" s="184" t="s">
        <v>4508</v>
      </c>
      <c r="AG208" s="184" t="s">
        <v>4539</v>
      </c>
      <c r="AP208" s="184" t="s">
        <v>4645</v>
      </c>
      <c r="AT208" s="184" t="s">
        <v>4697</v>
      </c>
      <c r="BD208" s="198" t="s">
        <v>4783</v>
      </c>
      <c r="BL208" s="199"/>
      <c r="EJ208" s="44" t="s">
        <v>6471</v>
      </c>
    </row>
    <row r="209" spans="1:140" ht="18">
      <c r="A209" s="184" t="s">
        <v>7281</v>
      </c>
      <c r="B209" s="184" t="s">
        <v>7288</v>
      </c>
      <c r="C209" s="184" t="s">
        <v>7295</v>
      </c>
      <c r="D209" s="184" t="s">
        <v>7302</v>
      </c>
      <c r="I209" s="43"/>
      <c r="X209" s="227" t="s">
        <v>4200</v>
      </c>
      <c r="Z209" s="198" t="s">
        <v>4271</v>
      </c>
      <c r="AD209" s="184" t="s">
        <v>4509</v>
      </c>
      <c r="AG209" s="184" t="s">
        <v>4540</v>
      </c>
      <c r="AP209" s="184" t="s">
        <v>4646</v>
      </c>
      <c r="BD209" s="198" t="s">
        <v>4784</v>
      </c>
      <c r="EJ209" s="44" t="s">
        <v>6472</v>
      </c>
    </row>
    <row r="210" spans="1:140" ht="18">
      <c r="A210" s="184" t="s">
        <v>7282</v>
      </c>
      <c r="B210" s="184" t="s">
        <v>7289</v>
      </c>
      <c r="C210" s="184" t="s">
        <v>7296</v>
      </c>
      <c r="D210" s="184" t="s">
        <v>7303</v>
      </c>
      <c r="I210" s="43"/>
      <c r="X210" s="227" t="s">
        <v>4201</v>
      </c>
      <c r="Z210" s="198" t="s">
        <v>4272</v>
      </c>
      <c r="AG210" s="184" t="s">
        <v>4541</v>
      </c>
      <c r="AP210" s="184" t="s">
        <v>4647</v>
      </c>
      <c r="BD210" s="198" t="s">
        <v>4785</v>
      </c>
      <c r="CS210" s="199"/>
      <c r="CX210" s="199"/>
      <c r="EJ210" s="44" t="s">
        <v>6473</v>
      </c>
    </row>
    <row r="211" spans="1:140" ht="18">
      <c r="A211" s="184" t="s">
        <v>7283</v>
      </c>
      <c r="B211" s="184" t="s">
        <v>7290</v>
      </c>
      <c r="C211" s="184" t="s">
        <v>7297</v>
      </c>
      <c r="D211" s="184" t="s">
        <v>7304</v>
      </c>
      <c r="I211" s="43"/>
      <c r="X211" s="227" t="s">
        <v>4202</v>
      </c>
      <c r="Z211" s="198" t="s">
        <v>4273</v>
      </c>
      <c r="AG211" s="184" t="s">
        <v>4542</v>
      </c>
      <c r="AP211" s="184" t="s">
        <v>4648</v>
      </c>
      <c r="BD211" s="198" t="s">
        <v>4786</v>
      </c>
      <c r="EJ211" s="44" t="s">
        <v>6474</v>
      </c>
    </row>
    <row r="212" spans="1:140" ht="18">
      <c r="I212" s="343"/>
      <c r="X212" s="227" t="s">
        <v>4203</v>
      </c>
      <c r="Z212" s="198" t="s">
        <v>4274</v>
      </c>
      <c r="AG212" s="184" t="s">
        <v>4543</v>
      </c>
      <c r="AP212" s="184" t="s">
        <v>4649</v>
      </c>
      <c r="BD212" s="198" t="s">
        <v>4787</v>
      </c>
      <c r="EJ212" s="44" t="s">
        <v>6475</v>
      </c>
    </row>
    <row r="213" spans="1:140" ht="18">
      <c r="I213" s="43"/>
      <c r="X213" s="227" t="s">
        <v>4204</v>
      </c>
      <c r="Z213" s="198" t="s">
        <v>4275</v>
      </c>
      <c r="AG213" s="184" t="s">
        <v>4544</v>
      </c>
      <c r="AP213" s="184" t="s">
        <v>4650</v>
      </c>
      <c r="BD213" s="198" t="s">
        <v>4788</v>
      </c>
      <c r="EJ213" s="44" t="s">
        <v>6476</v>
      </c>
    </row>
    <row r="214" spans="1:140" ht="18">
      <c r="I214" s="43"/>
      <c r="X214" s="227" t="s">
        <v>4205</v>
      </c>
      <c r="Z214" s="198" t="s">
        <v>4276</v>
      </c>
      <c r="AG214" s="184" t="s">
        <v>4545</v>
      </c>
      <c r="AP214" s="184" t="s">
        <v>4651</v>
      </c>
      <c r="BD214" s="198" t="s">
        <v>4789</v>
      </c>
      <c r="EJ214" s="44" t="s">
        <v>6477</v>
      </c>
    </row>
    <row r="215" spans="1:140" ht="18">
      <c r="I215" s="43"/>
      <c r="X215" s="227" t="s">
        <v>4206</v>
      </c>
      <c r="Z215" s="198" t="s">
        <v>4277</v>
      </c>
      <c r="AG215" s="184" t="s">
        <v>4546</v>
      </c>
      <c r="AP215" s="184" t="s">
        <v>4652</v>
      </c>
      <c r="BD215" s="198" t="s">
        <v>4790</v>
      </c>
      <c r="EJ215" s="44" t="s">
        <v>6478</v>
      </c>
    </row>
    <row r="216" spans="1:140" ht="18">
      <c r="I216" s="43"/>
      <c r="X216" s="227" t="s">
        <v>4207</v>
      </c>
      <c r="Z216" s="198" t="s">
        <v>4278</v>
      </c>
      <c r="AG216" s="184" t="s">
        <v>4547</v>
      </c>
      <c r="AP216" s="184" t="s">
        <v>4653</v>
      </c>
      <c r="BD216" s="198" t="s">
        <v>4791</v>
      </c>
    </row>
    <row r="217" spans="1:140" ht="48.75">
      <c r="I217" s="43"/>
      <c r="X217" s="227" t="s">
        <v>4208</v>
      </c>
      <c r="Z217" s="198" t="s">
        <v>4279</v>
      </c>
      <c r="AG217" s="184" t="s">
        <v>4548</v>
      </c>
      <c r="AP217" s="184" t="s">
        <v>4654</v>
      </c>
      <c r="BD217" s="198" t="s">
        <v>4792</v>
      </c>
      <c r="BL217" s="199"/>
    </row>
    <row r="218" spans="1:140" ht="18">
      <c r="I218" s="43"/>
      <c r="X218" s="227" t="s">
        <v>4209</v>
      </c>
      <c r="Z218" s="198" t="s">
        <v>4280</v>
      </c>
      <c r="AG218" s="184" t="s">
        <v>4549</v>
      </c>
      <c r="AP218" s="184" t="s">
        <v>4655</v>
      </c>
      <c r="BD218" s="198" t="s">
        <v>4793</v>
      </c>
    </row>
    <row r="219" spans="1:140" ht="18">
      <c r="I219" s="343"/>
      <c r="X219" s="227" t="s">
        <v>4210</v>
      </c>
      <c r="Z219" s="198" t="s">
        <v>4281</v>
      </c>
      <c r="AG219" s="184" t="s">
        <v>4550</v>
      </c>
      <c r="AP219" s="184" t="s">
        <v>4656</v>
      </c>
      <c r="BD219" s="198" t="s">
        <v>4794</v>
      </c>
      <c r="CJ219" s="199"/>
    </row>
    <row r="220" spans="1:140" ht="18">
      <c r="I220" s="43"/>
      <c r="X220" s="227" t="s">
        <v>4211</v>
      </c>
      <c r="Z220" s="198" t="s">
        <v>4282</v>
      </c>
      <c r="AG220" s="184" t="s">
        <v>4551</v>
      </c>
      <c r="AP220" s="184" t="s">
        <v>4657</v>
      </c>
      <c r="BD220" s="198" t="s">
        <v>4795</v>
      </c>
    </row>
    <row r="221" spans="1:140" ht="18">
      <c r="I221" s="43"/>
      <c r="X221" s="227" t="s">
        <v>4212</v>
      </c>
      <c r="Z221" s="198" t="s">
        <v>4283</v>
      </c>
      <c r="AG221" s="184" t="s">
        <v>4552</v>
      </c>
      <c r="AP221" s="184" t="s">
        <v>4658</v>
      </c>
      <c r="BD221" s="198" t="s">
        <v>4796</v>
      </c>
      <c r="CS221" s="199"/>
    </row>
    <row r="222" spans="1:140" ht="18">
      <c r="I222" s="43"/>
      <c r="X222" s="227" t="s">
        <v>4213</v>
      </c>
      <c r="Z222" s="198" t="s">
        <v>4253</v>
      </c>
      <c r="AG222" s="184" t="s">
        <v>4553</v>
      </c>
      <c r="AP222" s="184" t="s">
        <v>4659</v>
      </c>
      <c r="BD222" s="198" t="s">
        <v>4797</v>
      </c>
    </row>
    <row r="223" spans="1:140" ht="18">
      <c r="I223" s="43"/>
      <c r="X223" s="227" t="s">
        <v>4214</v>
      </c>
      <c r="Z223" s="198" t="s">
        <v>4284</v>
      </c>
      <c r="AG223" s="184" t="s">
        <v>4554</v>
      </c>
      <c r="AP223" s="184" t="s">
        <v>4660</v>
      </c>
      <c r="BD223" s="198" t="s">
        <v>4798</v>
      </c>
    </row>
    <row r="224" spans="1:140" ht="18">
      <c r="I224" s="43"/>
      <c r="X224" s="227" t="s">
        <v>4215</v>
      </c>
      <c r="Z224" s="198" t="s">
        <v>4285</v>
      </c>
      <c r="AG224" s="184" t="s">
        <v>4555</v>
      </c>
      <c r="AP224" s="184" t="s">
        <v>4661</v>
      </c>
      <c r="BD224" s="198" t="s">
        <v>4799</v>
      </c>
    </row>
    <row r="225" spans="9:151" ht="18">
      <c r="I225" s="43"/>
      <c r="X225" s="227" t="s">
        <v>4216</v>
      </c>
      <c r="Z225" s="198" t="s">
        <v>4286</v>
      </c>
      <c r="AG225" s="184" t="s">
        <v>4556</v>
      </c>
      <c r="AP225" s="184" t="s">
        <v>4662</v>
      </c>
      <c r="BD225" s="198" t="s">
        <v>4800</v>
      </c>
    </row>
    <row r="226" spans="9:151" ht="18">
      <c r="I226" s="343"/>
      <c r="X226" s="227" t="s">
        <v>4217</v>
      </c>
      <c r="Z226" s="198" t="s">
        <v>4287</v>
      </c>
      <c r="AG226" s="184" t="s">
        <v>4557</v>
      </c>
      <c r="AP226" s="184" t="s">
        <v>4663</v>
      </c>
      <c r="BD226" s="198" t="s">
        <v>4801</v>
      </c>
      <c r="BL226" s="199"/>
      <c r="CJ226" s="199"/>
    </row>
    <row r="227" spans="9:151" ht="18">
      <c r="I227" s="43"/>
      <c r="X227" s="227" t="s">
        <v>4178</v>
      </c>
      <c r="Z227" s="198" t="s">
        <v>4288</v>
      </c>
      <c r="AG227" s="184" t="s">
        <v>4558</v>
      </c>
      <c r="AP227" s="184" t="s">
        <v>4664</v>
      </c>
      <c r="BD227" s="198" t="s">
        <v>4802</v>
      </c>
    </row>
    <row r="228" spans="9:151" ht="18">
      <c r="I228" s="43"/>
      <c r="X228" s="227" t="s">
        <v>4218</v>
      </c>
      <c r="Z228" s="198" t="s">
        <v>4289</v>
      </c>
      <c r="AG228" s="184" t="s">
        <v>4559</v>
      </c>
      <c r="AP228" s="184" t="s">
        <v>4665</v>
      </c>
      <c r="BD228" s="198" t="s">
        <v>4803</v>
      </c>
      <c r="EE228" s="44"/>
      <c r="EU228" s="184" t="s">
        <v>6978</v>
      </c>
    </row>
    <row r="229" spans="9:151" ht="18">
      <c r="I229" s="43"/>
      <c r="X229" s="227" t="s">
        <v>4219</v>
      </c>
      <c r="Z229" s="198" t="s">
        <v>4290</v>
      </c>
      <c r="AG229" s="184" t="s">
        <v>4560</v>
      </c>
      <c r="AP229" s="184" t="s">
        <v>4666</v>
      </c>
      <c r="BD229" s="198" t="s">
        <v>4804</v>
      </c>
    </row>
    <row r="230" spans="9:151" ht="18">
      <c r="I230" s="43"/>
      <c r="X230" s="227" t="s">
        <v>4220</v>
      </c>
      <c r="Z230" s="198" t="s">
        <v>4291</v>
      </c>
      <c r="BD230" s="198" t="s">
        <v>4805</v>
      </c>
    </row>
    <row r="231" spans="9:151" ht="18">
      <c r="I231" s="43"/>
      <c r="X231" s="227" t="s">
        <v>4213</v>
      </c>
      <c r="Z231" s="198" t="s">
        <v>4292</v>
      </c>
      <c r="BD231" s="198" t="s">
        <v>4806</v>
      </c>
    </row>
    <row r="232" spans="9:151" ht="18">
      <c r="I232" s="43"/>
      <c r="X232" s="227" t="s">
        <v>4217</v>
      </c>
      <c r="Z232" s="198" t="s">
        <v>4293</v>
      </c>
      <c r="BD232" s="198" t="s">
        <v>4807</v>
      </c>
    </row>
    <row r="233" spans="9:151" ht="18">
      <c r="X233" s="227" t="s">
        <v>4221</v>
      </c>
      <c r="Z233" s="198" t="s">
        <v>4294</v>
      </c>
      <c r="BD233" s="198" t="s">
        <v>4808</v>
      </c>
    </row>
    <row r="234" spans="9:151" ht="18">
      <c r="X234" s="227" t="s">
        <v>4222</v>
      </c>
      <c r="Z234" s="198" t="s">
        <v>4295</v>
      </c>
      <c r="BD234" s="198" t="s">
        <v>4809</v>
      </c>
    </row>
    <row r="235" spans="9:151" ht="18">
      <c r="X235" s="227" t="s">
        <v>4223</v>
      </c>
      <c r="Z235" s="198" t="s">
        <v>4296</v>
      </c>
      <c r="BD235" s="198" t="s">
        <v>4810</v>
      </c>
    </row>
    <row r="236" spans="9:151" ht="18">
      <c r="X236" s="227" t="s">
        <v>4224</v>
      </c>
      <c r="Z236" s="198" t="s">
        <v>4297</v>
      </c>
      <c r="BD236" s="198" t="s">
        <v>4811</v>
      </c>
    </row>
    <row r="237" spans="9:151" ht="18">
      <c r="X237" s="227" t="s">
        <v>4225</v>
      </c>
      <c r="Z237" s="198" t="s">
        <v>4298</v>
      </c>
      <c r="BD237" s="198" t="s">
        <v>4812</v>
      </c>
      <c r="CJ237" s="199"/>
    </row>
    <row r="238" spans="9:151" ht="33">
      <c r="X238" s="227" t="s">
        <v>4226</v>
      </c>
      <c r="Z238" s="198" t="s">
        <v>4299</v>
      </c>
      <c r="BD238" s="198" t="s">
        <v>4813</v>
      </c>
    </row>
    <row r="239" spans="9:151" ht="18">
      <c r="X239" s="227" t="s">
        <v>4235</v>
      </c>
      <c r="Z239" s="198" t="s">
        <v>4300</v>
      </c>
      <c r="BD239" s="198" t="s">
        <v>4814</v>
      </c>
      <c r="EU239" s="184" t="s">
        <v>6989</v>
      </c>
    </row>
    <row r="240" spans="9:151" ht="18">
      <c r="X240" s="227" t="s">
        <v>4227</v>
      </c>
      <c r="Z240" s="198" t="s">
        <v>4301</v>
      </c>
      <c r="BD240" s="198" t="s">
        <v>4815</v>
      </c>
    </row>
    <row r="241" spans="24:151" ht="18">
      <c r="X241" s="227" t="s">
        <v>4228</v>
      </c>
      <c r="Z241" s="198" t="s">
        <v>4302</v>
      </c>
      <c r="BD241" s="198" t="s">
        <v>4816</v>
      </c>
    </row>
    <row r="242" spans="24:151" ht="18">
      <c r="X242" s="227" t="s">
        <v>4221</v>
      </c>
      <c r="Z242" s="198" t="s">
        <v>4303</v>
      </c>
      <c r="BD242" s="198" t="s">
        <v>4817</v>
      </c>
    </row>
    <row r="243" spans="24:151" ht="18">
      <c r="X243" s="227" t="s">
        <v>4229</v>
      </c>
      <c r="Z243" s="198" t="s">
        <v>4304</v>
      </c>
      <c r="BD243" s="198" t="s">
        <v>4818</v>
      </c>
    </row>
    <row r="244" spans="24:151" ht="18">
      <c r="X244" s="227" t="s">
        <v>4234</v>
      </c>
      <c r="Z244" s="198" t="s">
        <v>4305</v>
      </c>
      <c r="BD244" s="198" t="s">
        <v>4819</v>
      </c>
      <c r="CJ244" s="199"/>
    </row>
    <row r="245" spans="24:151" ht="18">
      <c r="X245" s="227" t="s">
        <v>4230</v>
      </c>
      <c r="Z245" s="198" t="s">
        <v>4306</v>
      </c>
      <c r="BD245" s="198" t="s">
        <v>4820</v>
      </c>
    </row>
    <row r="246" spans="24:151" ht="18">
      <c r="X246" s="227" t="s">
        <v>4207</v>
      </c>
      <c r="Z246" s="198" t="s">
        <v>4307</v>
      </c>
      <c r="BD246" s="198" t="s">
        <v>4821</v>
      </c>
    </row>
    <row r="247" spans="24:151" ht="18">
      <c r="X247" s="227" t="s">
        <v>4231</v>
      </c>
      <c r="Z247" s="198" t="s">
        <v>4308</v>
      </c>
      <c r="BD247" s="198" t="s">
        <v>4822</v>
      </c>
    </row>
    <row r="248" spans="24:151" ht="18">
      <c r="X248" s="227" t="s">
        <v>4233</v>
      </c>
      <c r="Z248" s="198" t="s">
        <v>4309</v>
      </c>
      <c r="BD248" s="198" t="s">
        <v>4823</v>
      </c>
    </row>
    <row r="249" spans="24:151" ht="18">
      <c r="X249" s="227" t="s">
        <v>4232</v>
      </c>
      <c r="Z249" s="198" t="s">
        <v>4310</v>
      </c>
      <c r="BD249" s="198" t="s">
        <v>4824</v>
      </c>
    </row>
    <row r="250" spans="24:151" ht="18">
      <c r="Z250" s="198" t="s">
        <v>4311</v>
      </c>
      <c r="BD250" s="198" t="s">
        <v>4825</v>
      </c>
      <c r="EE250" s="44"/>
      <c r="EU250" s="184" t="s">
        <v>6993</v>
      </c>
    </row>
    <row r="251" spans="24:151" ht="18">
      <c r="Z251" s="198" t="s">
        <v>4312</v>
      </c>
      <c r="BD251" s="198" t="s">
        <v>4826</v>
      </c>
      <c r="EE251" s="44"/>
    </row>
    <row r="252" spans="24:151" ht="18">
      <c r="Z252" s="198" t="s">
        <v>4313</v>
      </c>
      <c r="BD252" s="198" t="s">
        <v>4827</v>
      </c>
    </row>
    <row r="253" spans="24:151" ht="18">
      <c r="Z253" s="198" t="s">
        <v>4314</v>
      </c>
      <c r="BD253" s="198" t="s">
        <v>4828</v>
      </c>
    </row>
    <row r="254" spans="24:151" ht="18">
      <c r="Z254" s="198" t="s">
        <v>4315</v>
      </c>
      <c r="BD254" s="198" t="s">
        <v>4829</v>
      </c>
    </row>
    <row r="255" spans="24:151" ht="18">
      <c r="Z255" s="198" t="s">
        <v>4256</v>
      </c>
      <c r="BD255" s="198" t="s">
        <v>4830</v>
      </c>
      <c r="CJ255" s="199" t="e">
        <f t="shared" ref="CJ255" si="0">RIGHT(CE255,LEN(CE255)-3)</f>
        <v>#VALUE!</v>
      </c>
    </row>
    <row r="256" spans="24:151" ht="18">
      <c r="Z256" s="198" t="s">
        <v>4316</v>
      </c>
      <c r="BD256" s="198" t="s">
        <v>4831</v>
      </c>
    </row>
    <row r="257" spans="26:56" ht="18">
      <c r="Z257" s="198" t="s">
        <v>4317</v>
      </c>
      <c r="BD257" s="198" t="s">
        <v>4832</v>
      </c>
    </row>
    <row r="258" spans="26:56" ht="18">
      <c r="Z258" s="198" t="s">
        <v>4318</v>
      </c>
      <c r="BD258" s="198" t="s">
        <v>4833</v>
      </c>
    </row>
    <row r="259" spans="26:56" ht="18">
      <c r="Z259" s="198" t="s">
        <v>4319</v>
      </c>
      <c r="BD259" s="198" t="s">
        <v>4834</v>
      </c>
    </row>
    <row r="260" spans="26:56" ht="18">
      <c r="Z260" s="198" t="s">
        <v>4320</v>
      </c>
      <c r="BD260" s="198" t="s">
        <v>4835</v>
      </c>
    </row>
    <row r="261" spans="26:56" ht="18">
      <c r="Z261" s="198" t="s">
        <v>4321</v>
      </c>
      <c r="BD261" s="198" t="s">
        <v>4836</v>
      </c>
    </row>
    <row r="262" spans="26:56" ht="18">
      <c r="Z262" s="198" t="s">
        <v>4322</v>
      </c>
      <c r="BD262" s="198" t="s">
        <v>4837</v>
      </c>
    </row>
    <row r="263" spans="26:56" ht="18">
      <c r="Z263" s="198" t="s">
        <v>4323</v>
      </c>
      <c r="BD263" s="198" t="s">
        <v>4838</v>
      </c>
    </row>
    <row r="264" spans="26:56" ht="18">
      <c r="Z264" s="198" t="s">
        <v>4324</v>
      </c>
      <c r="BD264" s="198" t="s">
        <v>4839</v>
      </c>
    </row>
    <row r="265" spans="26:56" ht="18">
      <c r="Z265" s="198" t="s">
        <v>4325</v>
      </c>
      <c r="BD265" s="198" t="s">
        <v>4840</v>
      </c>
    </row>
    <row r="266" spans="26:56" ht="18">
      <c r="Z266" s="198" t="s">
        <v>4326</v>
      </c>
      <c r="BD266" s="198" t="s">
        <v>4841</v>
      </c>
    </row>
    <row r="267" spans="26:56" ht="18">
      <c r="Z267" s="198" t="s">
        <v>4327</v>
      </c>
      <c r="BD267" s="198" t="s">
        <v>4842</v>
      </c>
    </row>
    <row r="268" spans="26:56" ht="18">
      <c r="Z268" s="198" t="s">
        <v>4328</v>
      </c>
      <c r="BD268" s="198" t="s">
        <v>4843</v>
      </c>
    </row>
    <row r="269" spans="26:56" ht="18">
      <c r="Z269" s="198" t="s">
        <v>4279</v>
      </c>
      <c r="BD269" s="198" t="s">
        <v>4844</v>
      </c>
    </row>
    <row r="270" spans="26:56" ht="18">
      <c r="Z270" s="198" t="s">
        <v>4329</v>
      </c>
      <c r="BD270" s="198" t="s">
        <v>4845</v>
      </c>
    </row>
    <row r="271" spans="26:56" ht="18">
      <c r="Z271" s="198" t="s">
        <v>4330</v>
      </c>
      <c r="BD271" s="198" t="s">
        <v>4846</v>
      </c>
    </row>
    <row r="272" spans="26:56" ht="18">
      <c r="Z272" s="198" t="s">
        <v>4331</v>
      </c>
      <c r="BD272" s="198" t="s">
        <v>4847</v>
      </c>
    </row>
    <row r="273" spans="26:135" ht="18">
      <c r="Z273" s="198" t="s">
        <v>4332</v>
      </c>
      <c r="BD273" s="198" t="s">
        <v>4848</v>
      </c>
    </row>
    <row r="274" spans="26:135" ht="18">
      <c r="Z274" s="198" t="s">
        <v>4333</v>
      </c>
      <c r="BD274" s="198" t="s">
        <v>4849</v>
      </c>
    </row>
    <row r="275" spans="26:135" ht="18">
      <c r="Z275" s="198" t="s">
        <v>4334</v>
      </c>
      <c r="BD275" s="198" t="s">
        <v>4850</v>
      </c>
    </row>
    <row r="276" spans="26:135" ht="18">
      <c r="Z276" s="198" t="s">
        <v>4335</v>
      </c>
      <c r="BD276" s="198" t="s">
        <v>4851</v>
      </c>
    </row>
    <row r="277" spans="26:135" ht="18">
      <c r="Z277" s="198" t="s">
        <v>4336</v>
      </c>
      <c r="BD277" s="198" t="s">
        <v>4852</v>
      </c>
    </row>
    <row r="278" spans="26:135" ht="18">
      <c r="Z278" s="198" t="s">
        <v>4337</v>
      </c>
      <c r="BD278" s="198" t="s">
        <v>4853</v>
      </c>
    </row>
    <row r="279" spans="26:135" ht="18">
      <c r="Z279" s="198" t="s">
        <v>4338</v>
      </c>
      <c r="BD279" s="198" t="s">
        <v>4854</v>
      </c>
    </row>
    <row r="280" spans="26:135" ht="18">
      <c r="Z280" s="198" t="s">
        <v>4339</v>
      </c>
      <c r="BD280" s="198" t="s">
        <v>4855</v>
      </c>
    </row>
    <row r="281" spans="26:135" ht="18">
      <c r="Z281" s="198" t="s">
        <v>4340</v>
      </c>
      <c r="BD281" s="198" t="s">
        <v>4856</v>
      </c>
    </row>
    <row r="282" spans="26:135" ht="18">
      <c r="Z282" s="198" t="s">
        <v>4341</v>
      </c>
      <c r="BD282" s="198" t="s">
        <v>4857</v>
      </c>
    </row>
    <row r="283" spans="26:135" ht="18">
      <c r="Z283" s="198" t="s">
        <v>4342</v>
      </c>
      <c r="BD283" s="198" t="s">
        <v>4858</v>
      </c>
    </row>
    <row r="284" spans="26:135" ht="18">
      <c r="Z284" s="198" t="s">
        <v>4343</v>
      </c>
      <c r="BD284" s="198" t="s">
        <v>4859</v>
      </c>
    </row>
    <row r="285" spans="26:135" ht="18">
      <c r="Z285" s="198" t="s">
        <v>4344</v>
      </c>
      <c r="BD285" s="198" t="s">
        <v>4860</v>
      </c>
    </row>
    <row r="286" spans="26:135" ht="18">
      <c r="Z286" s="198" t="s">
        <v>4345</v>
      </c>
      <c r="BD286" s="198" t="s">
        <v>4861</v>
      </c>
    </row>
    <row r="287" spans="26:135" ht="18">
      <c r="Z287" s="198" t="s">
        <v>4346</v>
      </c>
      <c r="BD287" s="198" t="s">
        <v>4862</v>
      </c>
    </row>
    <row r="288" spans="26:135" ht="18">
      <c r="Z288" s="198" t="s">
        <v>4347</v>
      </c>
      <c r="BD288" s="198" t="s">
        <v>4863</v>
      </c>
      <c r="EE288" s="44"/>
    </row>
    <row r="289" spans="26:135" ht="18">
      <c r="Z289" s="198" t="s">
        <v>4348</v>
      </c>
      <c r="BD289" s="198" t="s">
        <v>4864</v>
      </c>
    </row>
    <row r="290" spans="26:135" ht="18">
      <c r="Z290" s="198" t="s">
        <v>4349</v>
      </c>
      <c r="BD290" s="198" t="s">
        <v>4865</v>
      </c>
    </row>
    <row r="291" spans="26:135" ht="18">
      <c r="Z291" s="198" t="s">
        <v>4350</v>
      </c>
      <c r="BD291" s="198" t="s">
        <v>4866</v>
      </c>
    </row>
    <row r="292" spans="26:135" ht="18">
      <c r="Z292" s="198" t="s">
        <v>4351</v>
      </c>
      <c r="BD292" s="198" t="s">
        <v>4867</v>
      </c>
    </row>
    <row r="293" spans="26:135" ht="18">
      <c r="Z293" s="198" t="s">
        <v>4352</v>
      </c>
      <c r="BD293" s="198" t="s">
        <v>4868</v>
      </c>
    </row>
    <row r="294" spans="26:135" ht="18">
      <c r="Z294" s="198" t="s">
        <v>4353</v>
      </c>
      <c r="BD294" s="198" t="s">
        <v>4869</v>
      </c>
    </row>
    <row r="295" spans="26:135" ht="18">
      <c r="Z295" s="198" t="s">
        <v>4354</v>
      </c>
      <c r="BD295" s="198" t="s">
        <v>4870</v>
      </c>
    </row>
    <row r="296" spans="26:135" ht="18">
      <c r="Z296" s="198" t="s">
        <v>4355</v>
      </c>
      <c r="BD296" s="198" t="s">
        <v>4871</v>
      </c>
    </row>
    <row r="297" spans="26:135" ht="18">
      <c r="Z297" s="198" t="s">
        <v>4356</v>
      </c>
      <c r="BD297" s="198" t="s">
        <v>4872</v>
      </c>
    </row>
    <row r="298" spans="26:135" ht="18">
      <c r="Z298" s="198" t="s">
        <v>4357</v>
      </c>
      <c r="BD298" s="198" t="s">
        <v>4873</v>
      </c>
    </row>
    <row r="299" spans="26:135" ht="18">
      <c r="Z299" s="198" t="s">
        <v>4358</v>
      </c>
      <c r="BD299" s="198" t="s">
        <v>4874</v>
      </c>
    </row>
    <row r="300" spans="26:135" ht="18">
      <c r="Z300" s="198" t="s">
        <v>4359</v>
      </c>
      <c r="BD300" s="198" t="s">
        <v>4875</v>
      </c>
      <c r="EE300" s="44"/>
    </row>
    <row r="301" spans="26:135" ht="18">
      <c r="Z301" s="198" t="s">
        <v>4360</v>
      </c>
      <c r="BD301" s="198" t="s">
        <v>4876</v>
      </c>
    </row>
    <row r="302" spans="26:135" ht="18">
      <c r="Z302" s="198" t="s">
        <v>4361</v>
      </c>
      <c r="BD302" s="198" t="s">
        <v>4877</v>
      </c>
    </row>
    <row r="303" spans="26:135" ht="18">
      <c r="Z303" s="198" t="s">
        <v>4362</v>
      </c>
      <c r="BD303" s="198" t="s">
        <v>4878</v>
      </c>
    </row>
    <row r="304" spans="26:135" ht="18">
      <c r="Z304" s="198" t="s">
        <v>4363</v>
      </c>
      <c r="BD304" s="198" t="s">
        <v>4879</v>
      </c>
    </row>
    <row r="305" spans="26:135" ht="18">
      <c r="Z305" s="198" t="s">
        <v>4364</v>
      </c>
      <c r="BD305" s="198" t="s">
        <v>4880</v>
      </c>
    </row>
    <row r="306" spans="26:135" ht="18">
      <c r="Z306" s="198" t="s">
        <v>4365</v>
      </c>
      <c r="BD306" s="198" t="s">
        <v>4881</v>
      </c>
    </row>
    <row r="307" spans="26:135" ht="18">
      <c r="Z307" s="198" t="s">
        <v>4366</v>
      </c>
      <c r="BD307" s="198" t="s">
        <v>4882</v>
      </c>
    </row>
    <row r="308" spans="26:135" ht="18">
      <c r="Z308" s="198" t="s">
        <v>4367</v>
      </c>
      <c r="BD308" s="198" t="s">
        <v>4883</v>
      </c>
    </row>
    <row r="309" spans="26:135" ht="18">
      <c r="Z309" s="198" t="s">
        <v>4368</v>
      </c>
      <c r="BD309" s="198" t="s">
        <v>4884</v>
      </c>
    </row>
    <row r="310" spans="26:135" ht="18">
      <c r="Z310" s="198" t="s">
        <v>4369</v>
      </c>
      <c r="BD310" s="198" t="s">
        <v>4885</v>
      </c>
      <c r="EE310" s="44"/>
    </row>
    <row r="311" spans="26:135" ht="18">
      <c r="Z311" s="198" t="s">
        <v>4370</v>
      </c>
      <c r="BD311" s="198" t="s">
        <v>4886</v>
      </c>
    </row>
    <row r="312" spans="26:135" ht="18">
      <c r="Z312" s="198" t="s">
        <v>4371</v>
      </c>
      <c r="BD312" s="198" t="s">
        <v>4887</v>
      </c>
    </row>
    <row r="313" spans="26:135" ht="18">
      <c r="Z313" s="198" t="s">
        <v>4372</v>
      </c>
      <c r="BD313" s="198" t="s">
        <v>4888</v>
      </c>
    </row>
    <row r="314" spans="26:135" ht="18">
      <c r="Z314" s="198" t="s">
        <v>4373</v>
      </c>
      <c r="BD314" s="198" t="s">
        <v>4889</v>
      </c>
    </row>
    <row r="315" spans="26:135" ht="18">
      <c r="Z315" s="198" t="s">
        <v>4374</v>
      </c>
      <c r="BD315" s="198" t="s">
        <v>4890</v>
      </c>
    </row>
    <row r="316" spans="26:135" ht="18">
      <c r="Z316" s="198" t="s">
        <v>4375</v>
      </c>
      <c r="BD316" s="198" t="s">
        <v>4891</v>
      </c>
    </row>
    <row r="317" spans="26:135" ht="18">
      <c r="Z317" s="198" t="s">
        <v>4376</v>
      </c>
      <c r="BD317" s="198" t="s">
        <v>4892</v>
      </c>
    </row>
    <row r="318" spans="26:135" ht="18">
      <c r="Z318" s="198" t="s">
        <v>4377</v>
      </c>
      <c r="BD318" s="198" t="s">
        <v>4893</v>
      </c>
      <c r="EE318" s="44"/>
    </row>
    <row r="319" spans="26:135" ht="18">
      <c r="Z319" s="198" t="s">
        <v>4378</v>
      </c>
      <c r="BD319" s="198" t="s">
        <v>4894</v>
      </c>
    </row>
    <row r="320" spans="26:135" ht="18">
      <c r="Z320" s="198" t="s">
        <v>4379</v>
      </c>
      <c r="BD320" s="198" t="s">
        <v>4895</v>
      </c>
    </row>
    <row r="321" spans="26:135" ht="18">
      <c r="Z321" s="198" t="s">
        <v>4380</v>
      </c>
      <c r="BD321" s="198" t="s">
        <v>4896</v>
      </c>
    </row>
    <row r="322" spans="26:135" ht="18">
      <c r="Z322" s="198" t="s">
        <v>4381</v>
      </c>
      <c r="BD322" s="198" t="s">
        <v>4897</v>
      </c>
    </row>
    <row r="323" spans="26:135" ht="18">
      <c r="Z323" s="198" t="s">
        <v>4382</v>
      </c>
      <c r="BD323" s="198" t="s">
        <v>4898</v>
      </c>
    </row>
    <row r="324" spans="26:135" ht="18">
      <c r="Z324" s="198" t="s">
        <v>4383</v>
      </c>
      <c r="BD324" s="198" t="s">
        <v>4899</v>
      </c>
    </row>
    <row r="325" spans="26:135" ht="18">
      <c r="Z325" s="198" t="s">
        <v>4384</v>
      </c>
      <c r="BD325" s="198" t="s">
        <v>4900</v>
      </c>
    </row>
    <row r="326" spans="26:135" ht="18">
      <c r="Z326" s="198" t="s">
        <v>4385</v>
      </c>
      <c r="BD326" s="198" t="s">
        <v>4901</v>
      </c>
    </row>
    <row r="327" spans="26:135" ht="18">
      <c r="Z327" s="198" t="s">
        <v>4386</v>
      </c>
      <c r="BD327" s="198" t="s">
        <v>4902</v>
      </c>
    </row>
    <row r="328" spans="26:135" ht="18">
      <c r="Z328" s="198" t="s">
        <v>4387</v>
      </c>
      <c r="BD328" s="198" t="s">
        <v>4903</v>
      </c>
    </row>
    <row r="329" spans="26:135" ht="18">
      <c r="Z329" s="198" t="s">
        <v>4388</v>
      </c>
      <c r="BD329" s="198" t="s">
        <v>4904</v>
      </c>
    </row>
    <row r="330" spans="26:135" ht="18">
      <c r="Z330" s="198" t="s">
        <v>4389</v>
      </c>
      <c r="BD330" s="198" t="s">
        <v>4905</v>
      </c>
    </row>
    <row r="331" spans="26:135" ht="18">
      <c r="Z331" s="198" t="s">
        <v>4390</v>
      </c>
      <c r="BD331" s="198" t="s">
        <v>4906</v>
      </c>
    </row>
    <row r="332" spans="26:135" ht="18">
      <c r="Z332" s="198" t="s">
        <v>4391</v>
      </c>
      <c r="BD332" s="198" t="s">
        <v>4907</v>
      </c>
      <c r="EE332" s="44"/>
    </row>
    <row r="333" spans="26:135" ht="18">
      <c r="Z333" s="198" t="s">
        <v>4392</v>
      </c>
      <c r="BD333" s="198" t="s">
        <v>4908</v>
      </c>
    </row>
    <row r="334" spans="26:135" ht="18">
      <c r="Z334" s="198" t="s">
        <v>4393</v>
      </c>
      <c r="BD334" s="198" t="s">
        <v>4909</v>
      </c>
    </row>
    <row r="335" spans="26:135" ht="18">
      <c r="Z335" s="198" t="s">
        <v>4394</v>
      </c>
      <c r="BD335" s="198" t="s">
        <v>4910</v>
      </c>
    </row>
    <row r="336" spans="26:135" ht="18">
      <c r="Z336" s="198" t="s">
        <v>4395</v>
      </c>
      <c r="BD336" s="198" t="s">
        <v>4911</v>
      </c>
    </row>
    <row r="337" spans="26:135" ht="18">
      <c r="Z337" s="198" t="s">
        <v>4396</v>
      </c>
      <c r="BD337" s="198" t="s">
        <v>4912</v>
      </c>
    </row>
    <row r="338" spans="26:135" ht="18">
      <c r="Z338" s="198" t="s">
        <v>4397</v>
      </c>
      <c r="BD338" s="198" t="s">
        <v>4913</v>
      </c>
    </row>
    <row r="339" spans="26:135" ht="18">
      <c r="Z339" s="198" t="s">
        <v>4398</v>
      </c>
      <c r="BD339" s="198" t="s">
        <v>4914</v>
      </c>
    </row>
    <row r="340" spans="26:135" ht="18">
      <c r="Z340" s="198" t="s">
        <v>4399</v>
      </c>
      <c r="BD340" s="198" t="s">
        <v>4915</v>
      </c>
    </row>
    <row r="341" spans="26:135" ht="18">
      <c r="Z341" s="198" t="s">
        <v>4400</v>
      </c>
      <c r="BD341" s="198" t="s">
        <v>4916</v>
      </c>
    </row>
    <row r="342" spans="26:135" ht="18">
      <c r="Z342" s="198" t="s">
        <v>4401</v>
      </c>
      <c r="BD342" s="198" t="s">
        <v>4917</v>
      </c>
    </row>
    <row r="343" spans="26:135" ht="18">
      <c r="Z343" s="198" t="s">
        <v>4402</v>
      </c>
      <c r="BD343" s="198" t="s">
        <v>4918</v>
      </c>
    </row>
    <row r="344" spans="26:135" ht="18">
      <c r="Z344" s="198" t="s">
        <v>4403</v>
      </c>
      <c r="BD344" s="198" t="s">
        <v>4919</v>
      </c>
      <c r="EE344" s="44"/>
    </row>
    <row r="345" spans="26:135" ht="18">
      <c r="Z345" s="198" t="s">
        <v>4404</v>
      </c>
      <c r="BD345" s="198" t="s">
        <v>4920</v>
      </c>
    </row>
    <row r="346" spans="26:135" ht="18">
      <c r="Z346" s="198" t="s">
        <v>4405</v>
      </c>
      <c r="BD346" s="198" t="s">
        <v>4921</v>
      </c>
    </row>
    <row r="347" spans="26:135" ht="18">
      <c r="Z347" s="198" t="s">
        <v>4406</v>
      </c>
      <c r="BD347" s="198" t="s">
        <v>4922</v>
      </c>
    </row>
    <row r="348" spans="26:135" ht="18">
      <c r="Z348" s="198" t="s">
        <v>4407</v>
      </c>
      <c r="BD348" s="198" t="s">
        <v>4923</v>
      </c>
    </row>
    <row r="349" spans="26:135" ht="18">
      <c r="Z349" s="198" t="s">
        <v>4408</v>
      </c>
      <c r="BD349" s="198" t="s">
        <v>4924</v>
      </c>
    </row>
    <row r="350" spans="26:135" ht="18">
      <c r="Z350" s="198" t="s">
        <v>4409</v>
      </c>
      <c r="BD350" s="198" t="s">
        <v>4925</v>
      </c>
    </row>
    <row r="351" spans="26:135" ht="18">
      <c r="Z351" s="198" t="s">
        <v>4410</v>
      </c>
      <c r="BD351" s="198" t="s">
        <v>4926</v>
      </c>
    </row>
    <row r="352" spans="26:135" ht="18">
      <c r="Z352" s="198" t="s">
        <v>4411</v>
      </c>
      <c r="BD352" s="198" t="s">
        <v>4927</v>
      </c>
    </row>
    <row r="353" spans="26:135" ht="18">
      <c r="Z353" s="198" t="s">
        <v>4412</v>
      </c>
      <c r="BD353" s="198" t="s">
        <v>4928</v>
      </c>
    </row>
    <row r="354" spans="26:135" ht="18">
      <c r="Z354" s="198" t="s">
        <v>4413</v>
      </c>
      <c r="BD354" s="198" t="s">
        <v>4929</v>
      </c>
    </row>
    <row r="355" spans="26:135" ht="18">
      <c r="Z355" s="198" t="s">
        <v>4252</v>
      </c>
      <c r="BD355" s="198" t="s">
        <v>4930</v>
      </c>
    </row>
    <row r="356" spans="26:135" ht="18">
      <c r="Z356" s="198" t="s">
        <v>4414</v>
      </c>
      <c r="BD356" s="198" t="s">
        <v>4931</v>
      </c>
    </row>
    <row r="357" spans="26:135" ht="18">
      <c r="Z357" s="198" t="s">
        <v>4415</v>
      </c>
      <c r="BD357" s="198" t="s">
        <v>4932</v>
      </c>
    </row>
    <row r="358" spans="26:135" ht="18">
      <c r="Z358" s="198" t="s">
        <v>4416</v>
      </c>
      <c r="BD358" s="198" t="s">
        <v>4933</v>
      </c>
    </row>
    <row r="359" spans="26:135" ht="18">
      <c r="Z359" s="198" t="s">
        <v>4417</v>
      </c>
      <c r="BD359" s="198" t="s">
        <v>4934</v>
      </c>
    </row>
    <row r="360" spans="26:135" ht="18">
      <c r="Z360" s="198" t="s">
        <v>4418</v>
      </c>
      <c r="BD360" s="198" t="s">
        <v>4935</v>
      </c>
    </row>
    <row r="361" spans="26:135" ht="18">
      <c r="Z361" s="198" t="s">
        <v>4419</v>
      </c>
      <c r="BD361" s="198" t="s">
        <v>4936</v>
      </c>
    </row>
    <row r="362" spans="26:135" ht="18">
      <c r="Z362" s="198" t="s">
        <v>4420</v>
      </c>
      <c r="BD362" s="198" t="s">
        <v>4937</v>
      </c>
    </row>
    <row r="363" spans="26:135" ht="18">
      <c r="Z363" s="198" t="s">
        <v>4421</v>
      </c>
      <c r="BD363" s="198" t="s">
        <v>4938</v>
      </c>
    </row>
    <row r="364" spans="26:135" ht="18">
      <c r="Z364" s="198" t="s">
        <v>4422</v>
      </c>
      <c r="BD364" s="198" t="s">
        <v>4939</v>
      </c>
    </row>
    <row r="365" spans="26:135" ht="18">
      <c r="Z365" s="198" t="s">
        <v>4423</v>
      </c>
      <c r="BD365" s="198" t="s">
        <v>4940</v>
      </c>
    </row>
    <row r="366" spans="26:135" ht="18">
      <c r="Z366" s="198" t="s">
        <v>4424</v>
      </c>
      <c r="BD366" s="198" t="s">
        <v>4941</v>
      </c>
      <c r="EE366" s="44"/>
    </row>
    <row r="367" spans="26:135" ht="18">
      <c r="Z367" s="198" t="s">
        <v>4425</v>
      </c>
      <c r="BD367" s="198" t="s">
        <v>4942</v>
      </c>
    </row>
    <row r="368" spans="26:135" ht="18">
      <c r="Z368" s="198" t="s">
        <v>4426</v>
      </c>
      <c r="BD368" s="198" t="s">
        <v>4943</v>
      </c>
    </row>
    <row r="369" spans="26:56" ht="18">
      <c r="Z369" s="198" t="s">
        <v>4427</v>
      </c>
      <c r="BD369" s="198" t="s">
        <v>4944</v>
      </c>
    </row>
    <row r="370" spans="26:56" ht="18">
      <c r="Z370" s="198" t="s">
        <v>4428</v>
      </c>
      <c r="BD370" s="198" t="s">
        <v>4945</v>
      </c>
    </row>
    <row r="371" spans="26:56" ht="18">
      <c r="Z371" s="198" t="s">
        <v>4429</v>
      </c>
      <c r="BD371" s="198" t="s">
        <v>4946</v>
      </c>
    </row>
    <row r="372" spans="26:56" ht="18">
      <c r="Z372" s="198" t="s">
        <v>4430</v>
      </c>
      <c r="BD372" s="198" t="s">
        <v>4947</v>
      </c>
    </row>
    <row r="373" spans="26:56" ht="18">
      <c r="Z373" s="198" t="s">
        <v>4431</v>
      </c>
      <c r="BD373" s="198" t="s">
        <v>4948</v>
      </c>
    </row>
    <row r="374" spans="26:56" ht="18">
      <c r="Z374" s="198" t="s">
        <v>4432</v>
      </c>
      <c r="BD374" s="198" t="s">
        <v>4949</v>
      </c>
    </row>
    <row r="375" spans="26:56" ht="18">
      <c r="Z375" s="198" t="s">
        <v>4433</v>
      </c>
      <c r="BD375" s="198" t="s">
        <v>4950</v>
      </c>
    </row>
    <row r="376" spans="26:56" ht="18">
      <c r="Z376" s="198" t="s">
        <v>4434</v>
      </c>
      <c r="BD376" s="198" t="s">
        <v>4951</v>
      </c>
    </row>
    <row r="377" spans="26:56" ht="18">
      <c r="Z377" s="198" t="s">
        <v>4435</v>
      </c>
      <c r="BD377" s="198" t="s">
        <v>4952</v>
      </c>
    </row>
    <row r="378" spans="26:56" ht="18">
      <c r="Z378" s="198" t="s">
        <v>4436</v>
      </c>
      <c r="BD378" s="198" t="s">
        <v>4953</v>
      </c>
    </row>
    <row r="379" spans="26:56" ht="18">
      <c r="Z379" s="198" t="s">
        <v>4437</v>
      </c>
      <c r="BD379" s="198" t="s">
        <v>4954</v>
      </c>
    </row>
    <row r="380" spans="26:56" ht="18">
      <c r="BD380" s="198" t="s">
        <v>4955</v>
      </c>
    </row>
    <row r="381" spans="26:56" ht="18">
      <c r="BD381" s="198" t="s">
        <v>4956</v>
      </c>
    </row>
    <row r="382" spans="26:56" ht="18">
      <c r="BD382" s="198" t="s">
        <v>4957</v>
      </c>
    </row>
    <row r="383" spans="26:56" ht="18">
      <c r="BD383" s="198" t="s">
        <v>4958</v>
      </c>
    </row>
    <row r="384" spans="26:56" ht="18">
      <c r="BD384" s="198" t="s">
        <v>4959</v>
      </c>
    </row>
    <row r="385" spans="56:56" ht="18">
      <c r="BD385" s="198" t="s">
        <v>4960</v>
      </c>
    </row>
    <row r="386" spans="56:56" ht="18">
      <c r="BD386" s="198" t="s">
        <v>4961</v>
      </c>
    </row>
    <row r="387" spans="56:56" ht="18">
      <c r="BD387" s="198" t="s">
        <v>4962</v>
      </c>
    </row>
    <row r="388" spans="56:56" ht="18">
      <c r="BD388" s="198" t="s">
        <v>4963</v>
      </c>
    </row>
    <row r="389" spans="56:56" ht="18">
      <c r="BD389" s="198" t="s">
        <v>4964</v>
      </c>
    </row>
    <row r="390" spans="56:56" ht="18">
      <c r="BD390" s="198" t="s">
        <v>4965</v>
      </c>
    </row>
    <row r="391" spans="56:56" ht="18">
      <c r="BD391" s="198" t="s">
        <v>4966</v>
      </c>
    </row>
    <row r="392" spans="56:56" ht="18">
      <c r="BD392" s="198" t="s">
        <v>4967</v>
      </c>
    </row>
    <row r="393" spans="56:56" ht="18">
      <c r="BD393" s="198" t="s">
        <v>4968</v>
      </c>
    </row>
    <row r="394" spans="56:56" ht="18">
      <c r="BD394" s="198" t="s">
        <v>4969</v>
      </c>
    </row>
    <row r="395" spans="56:56" ht="18">
      <c r="BD395" s="198" t="s">
        <v>4970</v>
      </c>
    </row>
    <row r="396" spans="56:56" ht="18">
      <c r="BD396" s="198" t="s">
        <v>4971</v>
      </c>
    </row>
    <row r="397" spans="56:56" ht="18">
      <c r="BD397" s="198" t="s">
        <v>4972</v>
      </c>
    </row>
    <row r="398" spans="56:56" ht="18">
      <c r="BD398" s="198" t="s">
        <v>4973</v>
      </c>
    </row>
    <row r="399" spans="56:56" ht="18">
      <c r="BD399" s="198" t="s">
        <v>4974</v>
      </c>
    </row>
    <row r="400" spans="56:56" ht="18">
      <c r="BD400" s="198" t="s">
        <v>4975</v>
      </c>
    </row>
    <row r="401" spans="56:56" ht="18">
      <c r="BD401" s="198" t="s">
        <v>4976</v>
      </c>
    </row>
    <row r="402" spans="56:56" ht="18">
      <c r="BD402" s="198" t="s">
        <v>4977</v>
      </c>
    </row>
    <row r="403" spans="56:56" ht="18">
      <c r="BD403" s="198" t="s">
        <v>4978</v>
      </c>
    </row>
    <row r="404" spans="56:56" ht="18">
      <c r="BD404" s="198" t="s">
        <v>4979</v>
      </c>
    </row>
    <row r="405" spans="56:56" ht="18">
      <c r="BD405" s="198" t="s">
        <v>4980</v>
      </c>
    </row>
    <row r="406" spans="56:56" ht="18">
      <c r="BD406" s="198" t="s">
        <v>4981</v>
      </c>
    </row>
    <row r="407" spans="56:56" ht="18">
      <c r="BD407" s="198" t="s">
        <v>4982</v>
      </c>
    </row>
    <row r="408" spans="56:56" ht="18">
      <c r="BD408" s="198" t="s">
        <v>4983</v>
      </c>
    </row>
    <row r="409" spans="56:56" ht="18">
      <c r="BD409" s="198" t="s">
        <v>4984</v>
      </c>
    </row>
    <row r="410" spans="56:56" ht="18">
      <c r="BD410" s="198" t="s">
        <v>4985</v>
      </c>
    </row>
    <row r="411" spans="56:56" ht="18">
      <c r="BD411" s="198" t="s">
        <v>4986</v>
      </c>
    </row>
    <row r="412" spans="56:56" ht="18">
      <c r="BD412" s="198" t="s">
        <v>4987</v>
      </c>
    </row>
    <row r="413" spans="56:56" ht="18">
      <c r="BD413" s="198" t="s">
        <v>4988</v>
      </c>
    </row>
    <row r="414" spans="56:56" ht="18">
      <c r="BD414" s="198" t="s">
        <v>4989</v>
      </c>
    </row>
    <row r="415" spans="56:56" ht="18">
      <c r="BD415" s="198" t="s">
        <v>4990</v>
      </c>
    </row>
    <row r="416" spans="56:56" ht="18">
      <c r="BD416" s="198" t="s">
        <v>4991</v>
      </c>
    </row>
    <row r="417" spans="56:56" ht="18">
      <c r="BD417" s="198" t="s">
        <v>4992</v>
      </c>
    </row>
    <row r="418" spans="56:56" ht="18">
      <c r="BD418" s="198" t="s">
        <v>4993</v>
      </c>
    </row>
    <row r="419" spans="56:56" ht="18">
      <c r="BD419" s="198" t="s">
        <v>4994</v>
      </c>
    </row>
    <row r="420" spans="56:56" ht="18">
      <c r="BD420" s="198" t="s">
        <v>4995</v>
      </c>
    </row>
    <row r="421" spans="56:56" ht="18">
      <c r="BD421" s="198" t="s">
        <v>4996</v>
      </c>
    </row>
    <row r="422" spans="56:56" ht="18">
      <c r="BD422" s="198" t="s">
        <v>4997</v>
      </c>
    </row>
    <row r="423" spans="56:56" ht="18">
      <c r="BD423" s="198" t="s">
        <v>4998</v>
      </c>
    </row>
    <row r="424" spans="56:56" ht="18">
      <c r="BD424" s="198" t="s">
        <v>4999</v>
      </c>
    </row>
    <row r="425" spans="56:56" ht="18">
      <c r="BD425" s="198" t="s">
        <v>5000</v>
      </c>
    </row>
    <row r="426" spans="56:56" ht="18">
      <c r="BD426" s="198" t="s">
        <v>5001</v>
      </c>
    </row>
    <row r="427" spans="56:56" ht="18">
      <c r="BD427" s="198" t="s">
        <v>5002</v>
      </c>
    </row>
    <row r="428" spans="56:56" ht="18">
      <c r="BD428" s="198" t="s">
        <v>5003</v>
      </c>
    </row>
    <row r="429" spans="56:56" ht="18">
      <c r="BD429" s="198" t="s">
        <v>5004</v>
      </c>
    </row>
  </sheetData>
  <mergeCells count="651">
    <mergeCell ref="A146:C146"/>
    <mergeCell ref="A147:C147"/>
    <mergeCell ref="D144:H144"/>
    <mergeCell ref="D145:H145"/>
    <mergeCell ref="D146:H146"/>
    <mergeCell ref="D147:H147"/>
    <mergeCell ref="D149:F149"/>
    <mergeCell ref="J160:J161"/>
    <mergeCell ref="K160:K161"/>
    <mergeCell ref="J156:J157"/>
    <mergeCell ref="K156:K157"/>
    <mergeCell ref="J152:J153"/>
    <mergeCell ref="K152:K153"/>
    <mergeCell ref="J148:J149"/>
    <mergeCell ref="K148:K149"/>
    <mergeCell ref="L160:L161"/>
    <mergeCell ref="M160:M161"/>
    <mergeCell ref="N160:N161"/>
    <mergeCell ref="Q160:Q161"/>
    <mergeCell ref="R160:R161"/>
    <mergeCell ref="S160:S161"/>
    <mergeCell ref="O160:P161"/>
    <mergeCell ref="J158:J159"/>
    <mergeCell ref="K158:K159"/>
    <mergeCell ref="L158:L159"/>
    <mergeCell ref="M158:M159"/>
    <mergeCell ref="N158:N159"/>
    <mergeCell ref="Q158:Q159"/>
    <mergeCell ref="R158:R159"/>
    <mergeCell ref="S158:S159"/>
    <mergeCell ref="O158:P159"/>
    <mergeCell ref="L156:L157"/>
    <mergeCell ref="M156:M157"/>
    <mergeCell ref="N156:N157"/>
    <mergeCell ref="Q156:Q157"/>
    <mergeCell ref="R156:R157"/>
    <mergeCell ref="S156:S157"/>
    <mergeCell ref="O156:P157"/>
    <mergeCell ref="J154:J155"/>
    <mergeCell ref="K154:K155"/>
    <mergeCell ref="L154:L155"/>
    <mergeCell ref="M154:M155"/>
    <mergeCell ref="N154:N155"/>
    <mergeCell ref="Q154:Q155"/>
    <mergeCell ref="R154:R155"/>
    <mergeCell ref="S154:S155"/>
    <mergeCell ref="O154:P155"/>
    <mergeCell ref="L152:L153"/>
    <mergeCell ref="M152:M153"/>
    <mergeCell ref="N152:N153"/>
    <mergeCell ref="Q152:Q153"/>
    <mergeCell ref="R152:R153"/>
    <mergeCell ref="S152:S153"/>
    <mergeCell ref="O152:P153"/>
    <mergeCell ref="J150:J151"/>
    <mergeCell ref="K150:K151"/>
    <mergeCell ref="L150:L151"/>
    <mergeCell ref="M150:M151"/>
    <mergeCell ref="N150:N151"/>
    <mergeCell ref="Q150:Q151"/>
    <mergeCell ref="R150:R151"/>
    <mergeCell ref="S150:S151"/>
    <mergeCell ref="O150:P151"/>
    <mergeCell ref="L148:L149"/>
    <mergeCell ref="M148:M149"/>
    <mergeCell ref="N148:N149"/>
    <mergeCell ref="Q148:Q149"/>
    <mergeCell ref="R148:R149"/>
    <mergeCell ref="S148:S149"/>
    <mergeCell ref="O148:P149"/>
    <mergeCell ref="J146:J147"/>
    <mergeCell ref="K146:K147"/>
    <mergeCell ref="L146:L147"/>
    <mergeCell ref="M146:M147"/>
    <mergeCell ref="N146:N147"/>
    <mergeCell ref="Q146:Q147"/>
    <mergeCell ref="R146:R147"/>
    <mergeCell ref="S146:S147"/>
    <mergeCell ref="O146:P147"/>
    <mergeCell ref="A142:W142"/>
    <mergeCell ref="J144:J145"/>
    <mergeCell ref="K144:K145"/>
    <mergeCell ref="L144:L145"/>
    <mergeCell ref="M144:M145"/>
    <mergeCell ref="N144:N145"/>
    <mergeCell ref="Q144:Q145"/>
    <mergeCell ref="R144:R145"/>
    <mergeCell ref="S144:S145"/>
    <mergeCell ref="O144:P145"/>
    <mergeCell ref="J143:S143"/>
    <mergeCell ref="A144:C144"/>
    <mergeCell ref="A145:C145"/>
    <mergeCell ref="C120:O120"/>
    <mergeCell ref="C119:O119"/>
    <mergeCell ref="C118:O118"/>
    <mergeCell ref="A120:B120"/>
    <mergeCell ref="A119:B119"/>
    <mergeCell ref="A118:B118"/>
    <mergeCell ref="R139:R140"/>
    <mergeCell ref="R137:R138"/>
    <mergeCell ref="R135:R136"/>
    <mergeCell ref="R133:R134"/>
    <mergeCell ref="R131:R132"/>
    <mergeCell ref="R129:R130"/>
    <mergeCell ref="R127:R128"/>
    <mergeCell ref="R125:R126"/>
    <mergeCell ref="R123:R124"/>
    <mergeCell ref="J133:K134"/>
    <mergeCell ref="J131:K132"/>
    <mergeCell ref="J129:K130"/>
    <mergeCell ref="J127:K128"/>
    <mergeCell ref="J125:K126"/>
    <mergeCell ref="J123:K124"/>
    <mergeCell ref="P139:Q140"/>
    <mergeCell ref="P137:Q138"/>
    <mergeCell ref="P135:Q136"/>
    <mergeCell ref="P133:Q134"/>
    <mergeCell ref="P131:Q132"/>
    <mergeCell ref="P129:Q130"/>
    <mergeCell ref="P127:Q128"/>
    <mergeCell ref="P125:Q126"/>
    <mergeCell ref="P123:Q124"/>
    <mergeCell ref="N139:O140"/>
    <mergeCell ref="N137:O138"/>
    <mergeCell ref="N135:O136"/>
    <mergeCell ref="N133:O134"/>
    <mergeCell ref="N131:O132"/>
    <mergeCell ref="N129:O130"/>
    <mergeCell ref="N127:O128"/>
    <mergeCell ref="A139:B140"/>
    <mergeCell ref="G139:I140"/>
    <mergeCell ref="E139:F140"/>
    <mergeCell ref="C139:D140"/>
    <mergeCell ref="L139:M140"/>
    <mergeCell ref="J139:K140"/>
    <mergeCell ref="A137:B138"/>
    <mergeCell ref="G137:I138"/>
    <mergeCell ref="E137:F138"/>
    <mergeCell ref="C137:D138"/>
    <mergeCell ref="L137:M138"/>
    <mergeCell ref="J137:K138"/>
    <mergeCell ref="A135:B136"/>
    <mergeCell ref="G135:I136"/>
    <mergeCell ref="E135:F136"/>
    <mergeCell ref="C135:D136"/>
    <mergeCell ref="L135:M136"/>
    <mergeCell ref="J135:K136"/>
    <mergeCell ref="A133:B134"/>
    <mergeCell ref="A131:B132"/>
    <mergeCell ref="G133:I134"/>
    <mergeCell ref="G131:I132"/>
    <mergeCell ref="E133:F134"/>
    <mergeCell ref="E131:F132"/>
    <mergeCell ref="C133:D134"/>
    <mergeCell ref="C131:D132"/>
    <mergeCell ref="L133:M134"/>
    <mergeCell ref="L131:M132"/>
    <mergeCell ref="A129:B130"/>
    <mergeCell ref="A127:B128"/>
    <mergeCell ref="G129:I130"/>
    <mergeCell ref="G127:I128"/>
    <mergeCell ref="E129:F130"/>
    <mergeCell ref="E127:F128"/>
    <mergeCell ref="C129:D130"/>
    <mergeCell ref="C127:D128"/>
    <mergeCell ref="L129:M130"/>
    <mergeCell ref="L127:M128"/>
    <mergeCell ref="A125:B126"/>
    <mergeCell ref="A123:B124"/>
    <mergeCell ref="G125:I126"/>
    <mergeCell ref="G123:I124"/>
    <mergeCell ref="E125:F126"/>
    <mergeCell ref="E123:F124"/>
    <mergeCell ref="C125:D126"/>
    <mergeCell ref="C123:D124"/>
    <mergeCell ref="N125:O126"/>
    <mergeCell ref="N123:O124"/>
    <mergeCell ref="L125:M126"/>
    <mergeCell ref="L123:M124"/>
    <mergeCell ref="A122:W122"/>
    <mergeCell ref="I15:L15"/>
    <mergeCell ref="I12:L12"/>
    <mergeCell ref="M12:S12"/>
    <mergeCell ref="N14:W14"/>
    <mergeCell ref="A117:W117"/>
    <mergeCell ref="A115:B115"/>
    <mergeCell ref="C115:O115"/>
    <mergeCell ref="A109:B109"/>
    <mergeCell ref="C109:O109"/>
    <mergeCell ref="A110:B110"/>
    <mergeCell ref="C110:O110"/>
    <mergeCell ref="A111:B111"/>
    <mergeCell ref="C111:O111"/>
    <mergeCell ref="A113:B113"/>
    <mergeCell ref="C113:O113"/>
    <mergeCell ref="A114:B114"/>
    <mergeCell ref="C114:O114"/>
    <mergeCell ref="P15:Q15"/>
    <mergeCell ref="A104:W104"/>
    <mergeCell ref="A107:B107"/>
    <mergeCell ref="A106:B106"/>
    <mergeCell ref="A105:B105"/>
    <mergeCell ref="C107:O107"/>
    <mergeCell ref="C106:O106"/>
    <mergeCell ref="C105:O105"/>
    <mergeCell ref="A96:A102"/>
    <mergeCell ref="C96:G96"/>
    <mergeCell ref="I96:I102"/>
    <mergeCell ref="K96:O96"/>
    <mergeCell ref="Q96:Q102"/>
    <mergeCell ref="S96:W96"/>
    <mergeCell ref="C97:G97"/>
    <mergeCell ref="K97:O97"/>
    <mergeCell ref="S97:W97"/>
    <mergeCell ref="C98:G98"/>
    <mergeCell ref="C100:G100"/>
    <mergeCell ref="K100:O100"/>
    <mergeCell ref="S100:W100"/>
    <mergeCell ref="C101:G101"/>
    <mergeCell ref="K101:O101"/>
    <mergeCell ref="S101:W101"/>
    <mergeCell ref="C102:G102"/>
    <mergeCell ref="K102:O102"/>
    <mergeCell ref="S102:W102"/>
    <mergeCell ref="K98:O98"/>
    <mergeCell ref="S98:W98"/>
    <mergeCell ref="C99:G99"/>
    <mergeCell ref="K99:O99"/>
    <mergeCell ref="S99:W99"/>
    <mergeCell ref="A83:W83"/>
    <mergeCell ref="A94:B94"/>
    <mergeCell ref="C94:G94"/>
    <mergeCell ref="I94:J94"/>
    <mergeCell ref="K94:O94"/>
    <mergeCell ref="Q94:R94"/>
    <mergeCell ref="S94:W94"/>
    <mergeCell ref="A95:B95"/>
    <mergeCell ref="C95:G95"/>
    <mergeCell ref="I95:J95"/>
    <mergeCell ref="K95:O95"/>
    <mergeCell ref="Q95:R95"/>
    <mergeCell ref="S95:W95"/>
    <mergeCell ref="Q84:R84"/>
    <mergeCell ref="S84:W84"/>
    <mergeCell ref="Q85:R85"/>
    <mergeCell ref="S85:W85"/>
    <mergeCell ref="Q86:Q92"/>
    <mergeCell ref="S86:W86"/>
    <mergeCell ref="S87:W87"/>
    <mergeCell ref="S88:W88"/>
    <mergeCell ref="S89:W89"/>
    <mergeCell ref="S90:W90"/>
    <mergeCell ref="S91:W91"/>
    <mergeCell ref="S92:W92"/>
    <mergeCell ref="A84:B84"/>
    <mergeCell ref="C85:G85"/>
    <mergeCell ref="C84:G84"/>
    <mergeCell ref="I84:J84"/>
    <mergeCell ref="K84:O84"/>
    <mergeCell ref="I85:J85"/>
    <mergeCell ref="K85:O85"/>
    <mergeCell ref="I86:I92"/>
    <mergeCell ref="K86:O86"/>
    <mergeCell ref="K87:O87"/>
    <mergeCell ref="K88:O88"/>
    <mergeCell ref="K89:O89"/>
    <mergeCell ref="K90:O90"/>
    <mergeCell ref="K91:O91"/>
    <mergeCell ref="K92:O92"/>
    <mergeCell ref="A86:A92"/>
    <mergeCell ref="C86:G86"/>
    <mergeCell ref="C87:G87"/>
    <mergeCell ref="C88:G88"/>
    <mergeCell ref="C89:G89"/>
    <mergeCell ref="C90:G90"/>
    <mergeCell ref="C91:G91"/>
    <mergeCell ref="C92:G92"/>
    <mergeCell ref="A85:B85"/>
    <mergeCell ref="A1:E1"/>
    <mergeCell ref="K10:M10"/>
    <mergeCell ref="K9:M9"/>
    <mergeCell ref="K8:M8"/>
    <mergeCell ref="K7:M7"/>
    <mergeCell ref="K6:M6"/>
    <mergeCell ref="K5:M5"/>
    <mergeCell ref="K4:M4"/>
    <mergeCell ref="K3:M3"/>
    <mergeCell ref="K2:M2"/>
    <mergeCell ref="K1:M1"/>
    <mergeCell ref="A4:B4"/>
    <mergeCell ref="A3:B3"/>
    <mergeCell ref="A2:B2"/>
    <mergeCell ref="C10:E10"/>
    <mergeCell ref="C9:E9"/>
    <mergeCell ref="C8:E8"/>
    <mergeCell ref="C7:E7"/>
    <mergeCell ref="C6:E6"/>
    <mergeCell ref="C5:E5"/>
    <mergeCell ref="C4:E4"/>
    <mergeCell ref="C3:E3"/>
    <mergeCell ref="C2:E2"/>
    <mergeCell ref="A9:B9"/>
    <mergeCell ref="J80:K80"/>
    <mergeCell ref="N80:O80"/>
    <mergeCell ref="J81:K81"/>
    <mergeCell ref="N81:O81"/>
    <mergeCell ref="R79:S79"/>
    <mergeCell ref="V79:W79"/>
    <mergeCell ref="R80:S80"/>
    <mergeCell ref="V80:W80"/>
    <mergeCell ref="R81:S81"/>
    <mergeCell ref="V81:W81"/>
    <mergeCell ref="J79:K79"/>
    <mergeCell ref="N79:O79"/>
    <mergeCell ref="R76:S76"/>
    <mergeCell ref="V76:W76"/>
    <mergeCell ref="R77:S77"/>
    <mergeCell ref="V77:W77"/>
    <mergeCell ref="R75:S75"/>
    <mergeCell ref="V75:W75"/>
    <mergeCell ref="B77:C77"/>
    <mergeCell ref="B76:C76"/>
    <mergeCell ref="F77:G77"/>
    <mergeCell ref="A46:C46"/>
    <mergeCell ref="A45:C45"/>
    <mergeCell ref="D46:G46"/>
    <mergeCell ref="D45:G45"/>
    <mergeCell ref="D44:G44"/>
    <mergeCell ref="D43:G43"/>
    <mergeCell ref="D42:G42"/>
    <mergeCell ref="D41:G41"/>
    <mergeCell ref="I46:K46"/>
    <mergeCell ref="A44:C44"/>
    <mergeCell ref="A43:C43"/>
    <mergeCell ref="J77:K77"/>
    <mergeCell ref="N77:O77"/>
    <mergeCell ref="K19:L19"/>
    <mergeCell ref="K18:L18"/>
    <mergeCell ref="K17:L17"/>
    <mergeCell ref="K16:L16"/>
    <mergeCell ref="A30:X30"/>
    <mergeCell ref="I31:K31"/>
    <mergeCell ref="L31:O31"/>
    <mergeCell ref="I32:K32"/>
    <mergeCell ref="L32:O32"/>
    <mergeCell ref="I33:K33"/>
    <mergeCell ref="L33:O33"/>
    <mergeCell ref="F76:G76"/>
    <mergeCell ref="A22:C22"/>
    <mergeCell ref="D22:G22"/>
    <mergeCell ref="D16:G16"/>
    <mergeCell ref="A74:W74"/>
    <mergeCell ref="J75:K75"/>
    <mergeCell ref="N75:O75"/>
    <mergeCell ref="J76:K76"/>
    <mergeCell ref="N76:O76"/>
    <mergeCell ref="P23:Q23"/>
    <mergeCell ref="P22:Q22"/>
    <mergeCell ref="A15:G15"/>
    <mergeCell ref="A21:C21"/>
    <mergeCell ref="A20:C20"/>
    <mergeCell ref="A19:C19"/>
    <mergeCell ref="A18:C18"/>
    <mergeCell ref="A17:C17"/>
    <mergeCell ref="A16:C16"/>
    <mergeCell ref="D21:G21"/>
    <mergeCell ref="D20:G20"/>
    <mergeCell ref="D19:G19"/>
    <mergeCell ref="D18:G18"/>
    <mergeCell ref="D17:G17"/>
    <mergeCell ref="Q8:S8"/>
    <mergeCell ref="Q7:S7"/>
    <mergeCell ref="Q47:S47"/>
    <mergeCell ref="T47:W47"/>
    <mergeCell ref="Q48:S48"/>
    <mergeCell ref="T48:W48"/>
    <mergeCell ref="I36:K36"/>
    <mergeCell ref="L36:O36"/>
    <mergeCell ref="I37:K37"/>
    <mergeCell ref="L37:O37"/>
    <mergeCell ref="I38:K38"/>
    <mergeCell ref="L38:O38"/>
    <mergeCell ref="I42:K42"/>
    <mergeCell ref="L42:O42"/>
    <mergeCell ref="I43:K43"/>
    <mergeCell ref="L43:O43"/>
    <mergeCell ref="I19:J19"/>
    <mergeCell ref="I18:J18"/>
    <mergeCell ref="I17:J17"/>
    <mergeCell ref="I16:J16"/>
    <mergeCell ref="P21:Q21"/>
    <mergeCell ref="P20:Q20"/>
    <mergeCell ref="I34:K34"/>
    <mergeCell ref="L34:O34"/>
    <mergeCell ref="Q28:S28"/>
    <mergeCell ref="T28:W28"/>
    <mergeCell ref="I44:K44"/>
    <mergeCell ref="L44:O44"/>
    <mergeCell ref="I45:K45"/>
    <mergeCell ref="L45:O45"/>
    <mergeCell ref="Q50:S50"/>
    <mergeCell ref="T50:W50"/>
    <mergeCell ref="Q9:S9"/>
    <mergeCell ref="I41:K41"/>
    <mergeCell ref="L41:O41"/>
    <mergeCell ref="Q32:S32"/>
    <mergeCell ref="Q33:S33"/>
    <mergeCell ref="Q34:S34"/>
    <mergeCell ref="P19:Q19"/>
    <mergeCell ref="P18:Q18"/>
    <mergeCell ref="P17:Q17"/>
    <mergeCell ref="P16:Q16"/>
    <mergeCell ref="Q25:S25"/>
    <mergeCell ref="T25:W25"/>
    <mergeCell ref="Q26:S26"/>
    <mergeCell ref="T26:W26"/>
    <mergeCell ref="Q27:S27"/>
    <mergeCell ref="T27:W27"/>
    <mergeCell ref="Q37:S37"/>
    <mergeCell ref="T37:W37"/>
    <mergeCell ref="Q38:S38"/>
    <mergeCell ref="T38:W38"/>
    <mergeCell ref="Q31:S31"/>
    <mergeCell ref="Q35:S35"/>
    <mergeCell ref="T35:W35"/>
    <mergeCell ref="A42:C42"/>
    <mergeCell ref="A41:C41"/>
    <mergeCell ref="A36:C36"/>
    <mergeCell ref="A35:C35"/>
    <mergeCell ref="A34:C34"/>
    <mergeCell ref="A33:C33"/>
    <mergeCell ref="A32:C32"/>
    <mergeCell ref="T31:W31"/>
    <mergeCell ref="T32:W32"/>
    <mergeCell ref="T33:W33"/>
    <mergeCell ref="T34:W34"/>
    <mergeCell ref="Q36:S36"/>
    <mergeCell ref="T36:W36"/>
    <mergeCell ref="A49:C49"/>
    <mergeCell ref="D49:G49"/>
    <mergeCell ref="I49:K49"/>
    <mergeCell ref="L49:O49"/>
    <mergeCell ref="Q49:S49"/>
    <mergeCell ref="T49:W49"/>
    <mergeCell ref="D47:G47"/>
    <mergeCell ref="I47:K47"/>
    <mergeCell ref="L47:O47"/>
    <mergeCell ref="A48:C48"/>
    <mergeCell ref="D48:G48"/>
    <mergeCell ref="I48:K48"/>
    <mergeCell ref="L48:O48"/>
    <mergeCell ref="I68:K68"/>
    <mergeCell ref="L68:O68"/>
    <mergeCell ref="Q68:S68"/>
    <mergeCell ref="T68:W68"/>
    <mergeCell ref="Q69:S69"/>
    <mergeCell ref="T69:W69"/>
    <mergeCell ref="A67:C67"/>
    <mergeCell ref="Q65:S65"/>
    <mergeCell ref="T65:W65"/>
    <mergeCell ref="Q66:S66"/>
    <mergeCell ref="T66:W66"/>
    <mergeCell ref="Q67:S67"/>
    <mergeCell ref="T67:W67"/>
    <mergeCell ref="I67:K67"/>
    <mergeCell ref="L67:O67"/>
    <mergeCell ref="Q70:S70"/>
    <mergeCell ref="T70:W70"/>
    <mergeCell ref="A68:C68"/>
    <mergeCell ref="Q71:S71"/>
    <mergeCell ref="Q72:S72"/>
    <mergeCell ref="T72:W72"/>
    <mergeCell ref="L46:O46"/>
    <mergeCell ref="T43:W43"/>
    <mergeCell ref="A40:X40"/>
    <mergeCell ref="D67:G67"/>
    <mergeCell ref="D66:G66"/>
    <mergeCell ref="D65:G65"/>
    <mergeCell ref="D64:G64"/>
    <mergeCell ref="D63:G63"/>
    <mergeCell ref="A56:C56"/>
    <mergeCell ref="D56:G56"/>
    <mergeCell ref="Q54:S54"/>
    <mergeCell ref="T54:W54"/>
    <mergeCell ref="Q55:S55"/>
    <mergeCell ref="T55:W55"/>
    <mergeCell ref="Q56:S56"/>
    <mergeCell ref="T56:W56"/>
    <mergeCell ref="I58:K58"/>
    <mergeCell ref="L58:O58"/>
    <mergeCell ref="B81:C81"/>
    <mergeCell ref="B80:C80"/>
    <mergeCell ref="F81:G81"/>
    <mergeCell ref="F80:G80"/>
    <mergeCell ref="D68:G68"/>
    <mergeCell ref="B75:C75"/>
    <mergeCell ref="F75:G75"/>
    <mergeCell ref="B79:C79"/>
    <mergeCell ref="F79:G79"/>
    <mergeCell ref="O2:P2"/>
    <mergeCell ref="O1:S1"/>
    <mergeCell ref="Q4:S4"/>
    <mergeCell ref="G1:I1"/>
    <mergeCell ref="G10:I10"/>
    <mergeCell ref="G9:I9"/>
    <mergeCell ref="G8:I8"/>
    <mergeCell ref="G7:I7"/>
    <mergeCell ref="G6:I6"/>
    <mergeCell ref="G5:I5"/>
    <mergeCell ref="G4:I4"/>
    <mergeCell ref="G3:I3"/>
    <mergeCell ref="G2:I2"/>
    <mergeCell ref="O9:P9"/>
    <mergeCell ref="O8:P8"/>
    <mergeCell ref="O7:P7"/>
    <mergeCell ref="O6:P6"/>
    <mergeCell ref="O5:P5"/>
    <mergeCell ref="O4:P4"/>
    <mergeCell ref="O3:P3"/>
    <mergeCell ref="Q3:S3"/>
    <mergeCell ref="Q2:S2"/>
    <mergeCell ref="Q6:S6"/>
    <mergeCell ref="Q5:S5"/>
    <mergeCell ref="A8:B8"/>
    <mergeCell ref="A7:B7"/>
    <mergeCell ref="A6:B6"/>
    <mergeCell ref="A5:B5"/>
    <mergeCell ref="A54:C54"/>
    <mergeCell ref="D54:G54"/>
    <mergeCell ref="A55:C55"/>
    <mergeCell ref="D55:G55"/>
    <mergeCell ref="A12:C12"/>
    <mergeCell ref="D12:G12"/>
    <mergeCell ref="A13:C13"/>
    <mergeCell ref="D13:G13"/>
    <mergeCell ref="D28:G28"/>
    <mergeCell ref="D27:G27"/>
    <mergeCell ref="D26:G26"/>
    <mergeCell ref="D25:G25"/>
    <mergeCell ref="A28:C28"/>
    <mergeCell ref="A27:C27"/>
    <mergeCell ref="A26:C26"/>
    <mergeCell ref="A25:C25"/>
    <mergeCell ref="A24:X24"/>
    <mergeCell ref="I25:K25"/>
    <mergeCell ref="A10:B10"/>
    <mergeCell ref="A47:C47"/>
    <mergeCell ref="A50:C50"/>
    <mergeCell ref="D50:G50"/>
    <mergeCell ref="I50:K50"/>
    <mergeCell ref="L50:O50"/>
    <mergeCell ref="L27:O27"/>
    <mergeCell ref="I28:K28"/>
    <mergeCell ref="L28:O28"/>
    <mergeCell ref="L25:O25"/>
    <mergeCell ref="I26:K26"/>
    <mergeCell ref="L26:O26"/>
    <mergeCell ref="I27:K27"/>
    <mergeCell ref="A31:C31"/>
    <mergeCell ref="D38:G38"/>
    <mergeCell ref="D37:G37"/>
    <mergeCell ref="D36:G36"/>
    <mergeCell ref="D35:G35"/>
    <mergeCell ref="D34:G34"/>
    <mergeCell ref="D33:G33"/>
    <mergeCell ref="D32:G32"/>
    <mergeCell ref="D31:G31"/>
    <mergeCell ref="I35:K35"/>
    <mergeCell ref="L35:O35"/>
    <mergeCell ref="A38:C38"/>
    <mergeCell ref="A37:C37"/>
    <mergeCell ref="Q58:S58"/>
    <mergeCell ref="T58:W58"/>
    <mergeCell ref="Q59:S59"/>
    <mergeCell ref="T59:W59"/>
    <mergeCell ref="I60:K60"/>
    <mergeCell ref="L60:O60"/>
    <mergeCell ref="I59:K59"/>
    <mergeCell ref="L59:O59"/>
    <mergeCell ref="I54:K54"/>
    <mergeCell ref="L54:O54"/>
    <mergeCell ref="I55:K55"/>
    <mergeCell ref="L55:O55"/>
    <mergeCell ref="I56:K56"/>
    <mergeCell ref="L56:O56"/>
    <mergeCell ref="I57:K57"/>
    <mergeCell ref="L57:O57"/>
    <mergeCell ref="D60:G60"/>
    <mergeCell ref="A57:C57"/>
    <mergeCell ref="D57:G57"/>
    <mergeCell ref="A58:C58"/>
    <mergeCell ref="D58:G58"/>
    <mergeCell ref="A59:C59"/>
    <mergeCell ref="D59:G59"/>
    <mergeCell ref="A66:C66"/>
    <mergeCell ref="A63:C63"/>
    <mergeCell ref="A64:C64"/>
    <mergeCell ref="A65:C65"/>
    <mergeCell ref="A62:W62"/>
    <mergeCell ref="I63:K63"/>
    <mergeCell ref="L63:O63"/>
    <mergeCell ref="Q63:S63"/>
    <mergeCell ref="T63:W63"/>
    <mergeCell ref="Q64:S64"/>
    <mergeCell ref="T64:W64"/>
    <mergeCell ref="I64:K64"/>
    <mergeCell ref="L64:O64"/>
    <mergeCell ref="Q60:S60"/>
    <mergeCell ref="T60:W60"/>
    <mergeCell ref="Q57:S57"/>
    <mergeCell ref="T57:W57"/>
    <mergeCell ref="I72:K72"/>
    <mergeCell ref="L72:O72"/>
    <mergeCell ref="A72:C72"/>
    <mergeCell ref="A69:C69"/>
    <mergeCell ref="A70:C70"/>
    <mergeCell ref="A71:C71"/>
    <mergeCell ref="D72:G72"/>
    <mergeCell ref="D71:G71"/>
    <mergeCell ref="D70:G70"/>
    <mergeCell ref="D69:G69"/>
    <mergeCell ref="I69:K69"/>
    <mergeCell ref="L69:O69"/>
    <mergeCell ref="I70:K70"/>
    <mergeCell ref="L70:O70"/>
    <mergeCell ref="I71:K71"/>
    <mergeCell ref="L71:O71"/>
    <mergeCell ref="T71:W71"/>
    <mergeCell ref="A53:W53"/>
    <mergeCell ref="Q44:S44"/>
    <mergeCell ref="T44:W44"/>
    <mergeCell ref="Q45:S45"/>
    <mergeCell ref="T45:W45"/>
    <mergeCell ref="Q46:S46"/>
    <mergeCell ref="T46:W46"/>
    <mergeCell ref="Q41:S41"/>
    <mergeCell ref="T41:W41"/>
    <mergeCell ref="Q42:S42"/>
    <mergeCell ref="T42:W42"/>
    <mergeCell ref="Q43:S43"/>
    <mergeCell ref="A51:C51"/>
    <mergeCell ref="D51:G51"/>
    <mergeCell ref="I51:K51"/>
    <mergeCell ref="L51:O51"/>
    <mergeCell ref="Q51:S51"/>
    <mergeCell ref="T51:W51"/>
    <mergeCell ref="I65:K65"/>
    <mergeCell ref="L65:O65"/>
    <mergeCell ref="I66:K66"/>
    <mergeCell ref="L66:O66"/>
    <mergeCell ref="A60:C60"/>
  </mergeCells>
  <conditionalFormatting sqref="J146:O146 J150:O150 J154:O154 J158:O158 Q158:S158 Q154:S154 Q150:S150 Q146:S146 N15:P16 R15:W23 N18:P18 N17:O17 N20:P20 N19:O19 N22:P22 N21:O21 N23:O23">
    <cfRule type="containsBlanks" dxfId="51" priority="69">
      <formula>LEN(TRIM(J15))=0</formula>
    </cfRule>
  </conditionalFormatting>
  <conditionalFormatting sqref="J146:O146 J150:O150 J154:O154 J158:O158 Q158:S158 Q154:S154 Q150:S150 Q146:S146 N15:P16 R15:W23 N18:P18 N17:O17 N20:P20 N19:O19 N22:P22 N21:O21 N23:O23">
    <cfRule type="cellIs" dxfId="50" priority="70" operator="equal">
      <formula>0</formula>
    </cfRule>
  </conditionalFormatting>
  <conditionalFormatting sqref="C123 G123 L123 P123 R125 N125 J125 E125 A125 C127 G127 L127 P127 R129 N129 J129 E129 A129 A133 C131 E133 G131 J133 L131 N133 P131 R133 R137 P135 P139 N137 L135 L139 J137 G135 G139 E137 C135 C139 A137">
    <cfRule type="notContainsBlanks" dxfId="49" priority="71">
      <formula>LEN(TRIM(A123))&gt;0</formula>
    </cfRule>
  </conditionalFormatting>
  <conditionalFormatting sqref="A137 E137 J137 N137 R137 R133 N133 J133 E133 A133 A129 E129 J129 N129 R129 R125 N125 J125 E125">
    <cfRule type="cellIs" dxfId="48" priority="41" operator="equal">
      <formula>0</formula>
    </cfRule>
  </conditionalFormatting>
  <conditionalFormatting sqref="A123">
    <cfRule type="containsBlanks" dxfId="47" priority="66">
      <formula>LEN(TRIM(A123))=0</formula>
    </cfRule>
  </conditionalFormatting>
  <conditionalFormatting sqref="A123">
    <cfRule type="cellIs" dxfId="46" priority="72" operator="equal">
      <formula>0</formula>
    </cfRule>
  </conditionalFormatting>
  <conditionalFormatting sqref="C123">
    <cfRule type="containsBlanks" dxfId="45" priority="64">
      <formula>LEN(TRIM(C123))=0</formula>
    </cfRule>
  </conditionalFormatting>
  <conditionalFormatting sqref="C123">
    <cfRule type="cellIs" dxfId="44" priority="65" operator="equal">
      <formula>0</formula>
    </cfRule>
  </conditionalFormatting>
  <conditionalFormatting sqref="C125 G125 L125 P125">
    <cfRule type="containsBlanks" dxfId="43" priority="56">
      <formula>LEN(TRIM(C125))=0</formula>
    </cfRule>
  </conditionalFormatting>
  <conditionalFormatting sqref="C125 G125 L125 P125">
    <cfRule type="cellIs" dxfId="42" priority="63" operator="equal">
      <formula>0</formula>
    </cfRule>
  </conditionalFormatting>
  <conditionalFormatting sqref="C129 P129 L129 G129">
    <cfRule type="containsBlanks" dxfId="41" priority="54">
      <formula>LEN(TRIM(C129))=0</formula>
    </cfRule>
  </conditionalFormatting>
  <conditionalFormatting sqref="C129 P129 L129 G129">
    <cfRule type="cellIs" dxfId="40" priority="55" operator="equal">
      <formula>0</formula>
    </cfRule>
  </conditionalFormatting>
  <conditionalFormatting sqref="C133 G133 L133 P133">
    <cfRule type="containsBlanks" dxfId="39" priority="52">
      <formula>LEN(TRIM(C133))=0</formula>
    </cfRule>
  </conditionalFormatting>
  <conditionalFormatting sqref="C133 G133 L133 P133">
    <cfRule type="cellIs" dxfId="38" priority="53" operator="equal">
      <formula>0</formula>
    </cfRule>
  </conditionalFormatting>
  <conditionalFormatting sqref="C137 P137 L137 G137">
    <cfRule type="containsBlanks" dxfId="37" priority="50">
      <formula>LEN(TRIM(C137))=0</formula>
    </cfRule>
  </conditionalFormatting>
  <conditionalFormatting sqref="C137 P137 L137 G137">
    <cfRule type="cellIs" dxfId="36" priority="51" operator="equal">
      <formula>0</formula>
    </cfRule>
  </conditionalFormatting>
  <conditionalFormatting sqref="A125">
    <cfRule type="containsBlanks" dxfId="35" priority="42">
      <formula>LEN(TRIM(A125))=0</formula>
    </cfRule>
  </conditionalFormatting>
  <conditionalFormatting sqref="A125">
    <cfRule type="cellIs" dxfId="34" priority="43" operator="equal">
      <formula>0</formula>
    </cfRule>
  </conditionalFormatting>
  <conditionalFormatting sqref="R139 N139 J139 E139 A139 A135 E135 J135 N135 R135 R131 N131 J131 E131 A131 A127 E127 J127 N127 R127 R123 N123 J123 E123">
    <cfRule type="containsBlanks" dxfId="33" priority="46">
      <formula>LEN(TRIM(A123))=0</formula>
    </cfRule>
  </conditionalFormatting>
  <conditionalFormatting sqref="R139 N139 J139 E139 A139 A135 E135 J135 N135 R135 R131 N131 J131 E131 A131 A127 E127 J127 N127 R127 R123 N123 J123 E123">
    <cfRule type="cellIs" dxfId="32" priority="49" operator="equal">
      <formula>0</formula>
    </cfRule>
  </conditionalFormatting>
  <conditionalFormatting sqref="P139 L139 G139 C139 C135 G135 L135 P135 P131 L131 G131 C131 C127 G127 L127 P127 P123 L123 G123">
    <cfRule type="containsBlanks" dxfId="31" priority="44">
      <formula>LEN(TRIM(C123))=0</formula>
    </cfRule>
  </conditionalFormatting>
  <conditionalFormatting sqref="P139 L139 G139 C139 C135 G135 L135 P135 P131 L131 G131 C131 C127 G127 L127 P127 P123 L123 G123">
    <cfRule type="cellIs" dxfId="30" priority="45" operator="equal">
      <formula>0</formula>
    </cfRule>
  </conditionalFormatting>
  <conditionalFormatting sqref="J144">
    <cfRule type="containsBlanks" dxfId="29" priority="37">
      <formula>LEN(TRIM(J144))=0</formula>
    </cfRule>
  </conditionalFormatting>
  <conditionalFormatting sqref="J144">
    <cfRule type="cellIs" dxfId="28" priority="38" operator="equal">
      <formula>0</formula>
    </cfRule>
  </conditionalFormatting>
  <conditionalFormatting sqref="K148 K152 K156 K160">
    <cfRule type="containsBlanks" dxfId="27" priority="35">
      <formula>LEN(TRIM(K148))=0</formula>
    </cfRule>
  </conditionalFormatting>
  <conditionalFormatting sqref="K148 K152 K156 K160">
    <cfRule type="cellIs" dxfId="26" priority="36" operator="equal">
      <formula>0</formula>
    </cfRule>
  </conditionalFormatting>
  <conditionalFormatting sqref="M144 M148 M152 M156 M160">
    <cfRule type="containsBlanks" dxfId="25" priority="33">
      <formula>LEN(TRIM(M144))=0</formula>
    </cfRule>
  </conditionalFormatting>
  <conditionalFormatting sqref="M144 M148 M152 M156 M160">
    <cfRule type="cellIs" dxfId="24" priority="34" operator="equal">
      <formula>0</formula>
    </cfRule>
  </conditionalFormatting>
  <conditionalFormatting sqref="O144 O148 O152 O156 O160">
    <cfRule type="containsBlanks" dxfId="23" priority="31">
      <formula>LEN(TRIM(O144))=0</formula>
    </cfRule>
  </conditionalFormatting>
  <conditionalFormatting sqref="O144 O148 O152 O156 O160">
    <cfRule type="cellIs" dxfId="22" priority="32" operator="equal">
      <formula>0</formula>
    </cfRule>
  </conditionalFormatting>
  <conditionalFormatting sqref="R144 R148 R152 R156 R160">
    <cfRule type="containsBlanks" dxfId="21" priority="29">
      <formula>LEN(TRIM(R144))=0</formula>
    </cfRule>
  </conditionalFormatting>
  <conditionalFormatting sqref="R144 R148 R152 R156 R160">
    <cfRule type="cellIs" dxfId="20" priority="30" operator="equal">
      <formula>0</formula>
    </cfRule>
  </conditionalFormatting>
  <conditionalFormatting sqref="J156 L156 N156 Q156 S156">
    <cfRule type="containsBlanks" dxfId="19" priority="5">
      <formula>LEN(TRIM(J156))=0</formula>
    </cfRule>
  </conditionalFormatting>
  <conditionalFormatting sqref="J156 L156 N156 Q156 S156">
    <cfRule type="cellIs" dxfId="18" priority="6" operator="equal">
      <formula>0</formula>
    </cfRule>
  </conditionalFormatting>
  <conditionalFormatting sqref="S160 Q160 N160 L160 J160">
    <cfRule type="containsBlanks" dxfId="17" priority="3">
      <formula>LEN(TRIM(J160))=0</formula>
    </cfRule>
  </conditionalFormatting>
  <conditionalFormatting sqref="S160 Q160 N160 L160 J160">
    <cfRule type="cellIs" dxfId="16" priority="4" operator="equal">
      <formula>0</formula>
    </cfRule>
  </conditionalFormatting>
  <conditionalFormatting sqref="K144">
    <cfRule type="containsBlanks" dxfId="15" priority="13">
      <formula>LEN(TRIM(K144))=0</formula>
    </cfRule>
  </conditionalFormatting>
  <conditionalFormatting sqref="K144">
    <cfRule type="cellIs" dxfId="14" priority="14" operator="equal">
      <formula>0</formula>
    </cfRule>
  </conditionalFormatting>
  <conditionalFormatting sqref="S144 Q144 N144 L144">
    <cfRule type="containsBlanks" dxfId="13" priority="11">
      <formula>LEN(TRIM(L144))=0</formula>
    </cfRule>
  </conditionalFormatting>
  <conditionalFormatting sqref="S144 Q144 N144 L144">
    <cfRule type="cellIs" dxfId="12" priority="12" operator="equal">
      <formula>0</formula>
    </cfRule>
  </conditionalFormatting>
  <conditionalFormatting sqref="J148 L148 N148 Q148 S148">
    <cfRule type="containsBlanks" dxfId="11" priority="9">
      <formula>LEN(TRIM(J148))=0</formula>
    </cfRule>
  </conditionalFormatting>
  <conditionalFormatting sqref="J148 L148 N148 Q148 S148">
    <cfRule type="cellIs" dxfId="10" priority="10" operator="equal">
      <formula>0</formula>
    </cfRule>
  </conditionalFormatting>
  <conditionalFormatting sqref="S152 Q152 N152 L152 J152">
    <cfRule type="containsBlanks" dxfId="9" priority="7">
      <formula>LEN(TRIM(J152))=0</formula>
    </cfRule>
  </conditionalFormatting>
  <conditionalFormatting sqref="S152 Q152 N152 L152 J152">
    <cfRule type="cellIs" dxfId="8" priority="8" operator="equal">
      <formula>0</formula>
    </cfRule>
  </conditionalFormatting>
  <conditionalFormatting sqref="P23 P21 P19 P17">
    <cfRule type="containsBlanks" dxfId="7" priority="1">
      <formula>LEN(TRIM(P17))=0</formula>
    </cfRule>
  </conditionalFormatting>
  <conditionalFormatting sqref="P23 P21 P19 P17">
    <cfRule type="cellIs" dxfId="6" priority="2" operator="equal">
      <formula>0</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 Random Travel Encounter</vt:lpstr>
      <vt:lpstr>Table - Caves</vt:lpstr>
      <vt:lpstr>Table - Mines</vt:lpstr>
      <vt:lpstr>Table - Tomb</vt:lpstr>
      <vt:lpstr>Table - Inn-Tavern</vt:lpstr>
      <vt:lpstr>Table - Brothel</vt:lpstr>
      <vt:lpstr>Table - Prison</vt:lpstr>
      <vt:lpstr>Table - Castle</vt:lpstr>
      <vt:lpstr>Table - City</vt:lpstr>
      <vt:lpstr>Table - Random Shops</vt:lpstr>
      <vt:lpstr>Table - World Setting</vt:lpstr>
      <vt:lpstr>Table - Random Town Stats</vt:lpstr>
      <vt:lpstr>Wilderness Flowchart</vt:lpstr>
      <vt:lpstr>NPC's</vt:lpstr>
      <vt:lpstr>Random Shop-Career</vt:lpstr>
      <vt:lpstr>Random Motivations</vt:lpstr>
      <vt:lpstr>Source Data</vt:lpstr>
      <vt:lpstr>Ruined Castle</vt:lpstr>
      <vt:lpstr>Ruined City Flowchart</vt:lpstr>
      <vt:lpstr>Setting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McInnis, Ian</cp:lastModifiedBy>
  <cp:lastPrinted>2018-07-30T18:20:43Z</cp:lastPrinted>
  <dcterms:created xsi:type="dcterms:W3CDTF">2018-07-27T12:42:18Z</dcterms:created>
  <dcterms:modified xsi:type="dcterms:W3CDTF">2019-02-13T15:54:16Z</dcterms:modified>
</cp:coreProperties>
</file>