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4050d6280c872bd7/TRPG/ZZ_TOOLS/0_DEVELOPMENT/004 Excel online resources/"/>
    </mc:Choice>
  </mc:AlternateContent>
  <xr:revisionPtr revIDLastSave="18" documentId="8_{C05F79DF-424C-41B8-B5CF-B92DC0225314}" xr6:coauthVersionLast="46" xr6:coauthVersionMax="46" xr10:uidLastSave="{FF22BE2A-2415-4A01-B3D7-A3764150BC80}"/>
  <bookViews>
    <workbookView xWindow="-120" yWindow="-120" windowWidth="29040" windowHeight="15960" firstSheet="1" activeTab="1" xr2:uid="{00000000-000D-0000-FFFF-FFFF00000000}"/>
  </bookViews>
  <sheets>
    <sheet name="Instructions" sheetId="1" r:id="rId1"/>
    <sheet name="Dice Tables" sheetId="5" r:id="rId2"/>
    <sheet name="Tools" sheetId="6" r:id="rId3"/>
    <sheet name="Climate" sheetId="8" r:id="rId4"/>
    <sheet name="Ag" sheetId="9" r:id="rId5"/>
    <sheet name="Races" sheetId="10" r:id="rId6"/>
    <sheet name="Professions" sheetId="11" r:id="rId7"/>
    <sheet name="NPCs" sheetId="12" r:id="rId8"/>
    <sheet name="Power" sheetId="13" r:id="rId9"/>
    <sheet name="Social" sheetId="14" r:id="rId10"/>
    <sheet name="Resources" sheetId="15" r:id="rId11"/>
  </sheets>
  <externalReferences>
    <externalReference r:id="rId12"/>
  </externalReferences>
  <definedNames>
    <definedName name="PRO_ENT">Ag!$AO$168:$AO$186</definedName>
    <definedName name="PRO_GOV">Ag!$AO$235:$AO$247</definedName>
    <definedName name="PRO_LAB">Ag!$AO$40:$AO$43</definedName>
    <definedName name="PRO_MER">Ag!$AO$187:$AO$214</definedName>
    <definedName name="PRO_NOB">Ag!$AO$248:$AO$252</definedName>
    <definedName name="PRO_NON">Ag!$AO$32:$AO$39</definedName>
    <definedName name="PRO_PRO">Ag!$AO$215:$AO$234</definedName>
    <definedName name="PRO_SER">Ag!$AO$44:$AO$75</definedName>
    <definedName name="PRO_SKL">Ag!$AO$76:$AO$167</definedName>
    <definedName name="PRO_TOT">Ag!$AM$27</definedName>
    <definedName name="PRO_WTOT">Ag!$AQ$27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09" i="9" l="1"/>
  <c r="BB306" i="9"/>
  <c r="BA292" i="9"/>
  <c r="AZ292" i="9"/>
  <c r="AK292" i="9" a="1"/>
  <c r="BA291" i="9"/>
  <c r="AZ291" i="9"/>
  <c r="AL291" i="9"/>
  <c r="AK291" i="9"/>
  <c r="BA290" i="9"/>
  <c r="AZ290" i="9"/>
  <c r="AL290" i="9"/>
  <c r="AK290" i="9"/>
  <c r="BA289" i="9"/>
  <c r="AZ289" i="9"/>
  <c r="AL289" i="9"/>
  <c r="AK289" i="9"/>
  <c r="BA288" i="9"/>
  <c r="AZ288" i="9"/>
  <c r="AL288" i="9"/>
  <c r="AK288" i="9"/>
  <c r="BA287" i="9"/>
  <c r="AZ287" i="9"/>
  <c r="AL287" i="9"/>
  <c r="AK287" i="9"/>
  <c r="BA286" i="9"/>
  <c r="AZ286" i="9"/>
  <c r="AL286" i="9"/>
  <c r="AK286" i="9"/>
  <c r="BA285" i="9"/>
  <c r="AZ285" i="9"/>
  <c r="AL285" i="9"/>
  <c r="AK285" i="9"/>
  <c r="BA284" i="9"/>
  <c r="AZ284" i="9"/>
  <c r="AL284" i="9"/>
  <c r="AK284" i="9"/>
  <c r="BA283" i="9"/>
  <c r="AZ283" i="9"/>
  <c r="AL283" i="9"/>
  <c r="AK283" i="9"/>
  <c r="BA282" i="9"/>
  <c r="AZ282" i="9"/>
  <c r="AL282" i="9"/>
  <c r="AK282" i="9"/>
  <c r="BA281" i="9"/>
  <c r="AZ281" i="9"/>
  <c r="AL281" i="9"/>
  <c r="AK281" i="9"/>
  <c r="BA280" i="9"/>
  <c r="AZ280" i="9"/>
  <c r="AL280" i="9"/>
  <c r="AK280" i="9"/>
  <c r="BA279" i="9"/>
  <c r="AZ279" i="9"/>
  <c r="AL279" i="9"/>
  <c r="AK279" i="9"/>
  <c r="BA278" i="9"/>
  <c r="AZ278" i="9"/>
  <c r="AL278" i="9"/>
  <c r="AK278" i="9"/>
  <c r="BA277" i="9"/>
  <c r="AZ277" i="9"/>
  <c r="AL277" i="9"/>
  <c r="AK277" i="9"/>
  <c r="BA276" i="9"/>
  <c r="AZ276" i="9"/>
  <c r="AL276" i="9"/>
  <c r="AK276" i="9"/>
  <c r="BA275" i="9"/>
  <c r="AZ275" i="9"/>
  <c r="AL275" i="9"/>
  <c r="AK275" i="9"/>
  <c r="BA274" i="9"/>
  <c r="AZ274" i="9"/>
  <c r="AL274" i="9"/>
  <c r="AK274" i="9"/>
  <c r="BA273" i="9"/>
  <c r="AZ273" i="9"/>
  <c r="AL273" i="9"/>
  <c r="AK273" i="9" a="1"/>
  <c r="AK273" i="9"/>
  <c r="BA272" i="9"/>
  <c r="AZ272" i="9"/>
  <c r="AK272" i="9"/>
  <c r="BA271" i="9"/>
  <c r="AZ271" i="9"/>
  <c r="AK271" i="9"/>
  <c r="BA270" i="9"/>
  <c r="AZ270" i="9"/>
  <c r="AK270" i="9"/>
  <c r="BA269" i="9"/>
  <c r="AZ269" i="9"/>
  <c r="AK269" i="9"/>
  <c r="BA268" i="9"/>
  <c r="AZ268" i="9"/>
  <c r="AK268" i="9"/>
  <c r="BA267" i="9"/>
  <c r="AZ267" i="9"/>
  <c r="AK267" i="9"/>
  <c r="BA266" i="9"/>
  <c r="AZ266" i="9"/>
  <c r="AK266" i="9"/>
  <c r="AK265" i="9"/>
  <c r="AK264" i="9"/>
  <c r="AK263" i="9"/>
  <c r="AK262" i="9"/>
  <c r="BB261" i="9"/>
  <c r="AK261" i="9"/>
  <c r="AK260" i="9"/>
  <c r="AK259" i="9"/>
  <c r="BB258" i="9"/>
  <c r="AK258" i="9"/>
  <c r="AK257" i="9"/>
  <c r="BB256" i="9"/>
  <c r="AK256" i="9" a="1"/>
  <c r="AK256" i="9"/>
  <c r="BB255" i="9"/>
  <c r="AR252" i="9"/>
  <c r="AQ252" i="9"/>
  <c r="BH251" i="9"/>
  <c r="AR251" i="9"/>
  <c r="AQ251" i="9"/>
  <c r="BH250" i="9"/>
  <c r="AR250" i="9"/>
  <c r="AQ250" i="9"/>
  <c r="BM249" i="9" a="1"/>
  <c r="BM249" i="9" s="1"/>
  <c r="BJ249" i="9"/>
  <c r="AR249" i="9"/>
  <c r="AQ249" i="9"/>
  <c r="BM248" i="9" a="1"/>
  <c r="BM248" i="9" s="1"/>
  <c r="BJ248" i="9"/>
  <c r="BH248" i="9"/>
  <c r="AR248" i="9"/>
  <c r="AQ248" i="9"/>
  <c r="AR247" i="9"/>
  <c r="AQ247" i="9"/>
  <c r="BG246" i="9"/>
  <c r="AR246" i="9"/>
  <c r="AQ246" i="9"/>
  <c r="BM245" i="9" a="1"/>
  <c r="BM245" i="9" s="1"/>
  <c r="BJ245" i="9"/>
  <c r="BI245" i="9"/>
  <c r="BH245" i="9"/>
  <c r="BG245" i="9"/>
  <c r="AR245" i="9"/>
  <c r="AQ245" i="9"/>
  <c r="BM244" i="9" a="1"/>
  <c r="BM244" i="9" s="1"/>
  <c r="BJ244" i="9"/>
  <c r="BI244" i="9"/>
  <c r="BH244" i="9"/>
  <c r="BG244" i="9"/>
  <c r="AR244" i="9"/>
  <c r="AQ244" i="9"/>
  <c r="BM243" i="9" a="1"/>
  <c r="BM243" i="9" s="1"/>
  <c r="BG243" i="9"/>
  <c r="AR243" i="9"/>
  <c r="AQ243" i="9"/>
  <c r="BM242" i="9" a="1"/>
  <c r="BM242" i="9" s="1"/>
  <c r="AR242" i="9"/>
  <c r="AQ242" i="9"/>
  <c r="BI241" i="9"/>
  <c r="AR241" i="9"/>
  <c r="AQ241" i="9"/>
  <c r="BM240" i="9" a="1"/>
  <c r="BM240" i="9"/>
  <c r="BJ240" i="9"/>
  <c r="BI240" i="9"/>
  <c r="BH240" i="9"/>
  <c r="BG240" i="9"/>
  <c r="AR240" i="9"/>
  <c r="AQ240" i="9"/>
  <c r="BM239" i="9" a="1"/>
  <c r="BM239" i="9" s="1"/>
  <c r="BJ239" i="9"/>
  <c r="BI239" i="9"/>
  <c r="BH239" i="9"/>
  <c r="BG239" i="9"/>
  <c r="AR239" i="9"/>
  <c r="AQ239" i="9"/>
  <c r="BJ238" i="9"/>
  <c r="BI238" i="9"/>
  <c r="BG238" i="9"/>
  <c r="AR238" i="9"/>
  <c r="AQ238" i="9"/>
  <c r="BM237" i="9" a="1"/>
  <c r="BM237" i="9" s="1"/>
  <c r="BJ237" i="9"/>
  <c r="BG237" i="9"/>
  <c r="AR237" i="9"/>
  <c r="AQ237" i="9"/>
  <c r="BJ236" i="9"/>
  <c r="BI236" i="9"/>
  <c r="BG236" i="9"/>
  <c r="AR236" i="9"/>
  <c r="AQ236" i="9"/>
  <c r="AR235" i="9"/>
  <c r="AQ235" i="9"/>
  <c r="BM234" i="9" a="1"/>
  <c r="BM234" i="9" s="1"/>
  <c r="BH234" i="9"/>
  <c r="BG234" i="9"/>
  <c r="AR234" i="9"/>
  <c r="AQ234" i="9"/>
  <c r="BH233" i="9"/>
  <c r="BG233" i="9"/>
  <c r="AR233" i="9"/>
  <c r="AQ233" i="9"/>
  <c r="BI232" i="9"/>
  <c r="BG232" i="9"/>
  <c r="AR232" i="9"/>
  <c r="AQ232" i="9"/>
  <c r="BJ231" i="9"/>
  <c r="BI231" i="9"/>
  <c r="BG231" i="9"/>
  <c r="AR231" i="9"/>
  <c r="AQ231" i="9"/>
  <c r="AO231" i="9"/>
  <c r="BJ230" i="9"/>
  <c r="BI230" i="9"/>
  <c r="BH230" i="9"/>
  <c r="BG230" i="9"/>
  <c r="AR230" i="9"/>
  <c r="AQ230" i="9"/>
  <c r="BM229" i="9" a="1"/>
  <c r="BM229" i="9" s="1"/>
  <c r="BJ229" i="9"/>
  <c r="BI229" i="9"/>
  <c r="BG229" i="9"/>
  <c r="AR229" i="9"/>
  <c r="AQ229" i="9"/>
  <c r="BJ228" i="9"/>
  <c r="BI228" i="9"/>
  <c r="AR228" i="9"/>
  <c r="AQ228" i="9"/>
  <c r="BJ227" i="9"/>
  <c r="BI227" i="9"/>
  <c r="BG227" i="9"/>
  <c r="AR227" i="9"/>
  <c r="AQ227" i="9"/>
  <c r="BM226" i="9" a="1"/>
  <c r="BM226" i="9" s="1"/>
  <c r="BJ226" i="9"/>
  <c r="BI226" i="9"/>
  <c r="BH226" i="9"/>
  <c r="BG226" i="9"/>
  <c r="AR226" i="9"/>
  <c r="AQ226" i="9"/>
  <c r="BJ225" i="9"/>
  <c r="BI225" i="9"/>
  <c r="AR225" i="9"/>
  <c r="AQ225" i="9"/>
  <c r="BM224" i="9" a="1"/>
  <c r="BM224" i="9" s="1"/>
  <c r="BJ224" i="9"/>
  <c r="BI224" i="9"/>
  <c r="BH224" i="9"/>
  <c r="BG224" i="9"/>
  <c r="AR224" i="9"/>
  <c r="AQ224" i="9"/>
  <c r="AO224" i="9"/>
  <c r="BM223" i="9" a="1"/>
  <c r="BM223" i="9" s="1"/>
  <c r="BJ223" i="9"/>
  <c r="BG223" i="9"/>
  <c r="AR223" i="9"/>
  <c r="AQ223" i="9"/>
  <c r="BJ222" i="9"/>
  <c r="BI222" i="9"/>
  <c r="BG222" i="9"/>
  <c r="AR222" i="9"/>
  <c r="AQ222" i="9"/>
  <c r="BJ221" i="9"/>
  <c r="BI221" i="9"/>
  <c r="BG221" i="9"/>
  <c r="AR221" i="9"/>
  <c r="AQ221" i="9"/>
  <c r="BJ220" i="9"/>
  <c r="BI220" i="9"/>
  <c r="BG220" i="9"/>
  <c r="AR220" i="9"/>
  <c r="AQ220" i="9"/>
  <c r="AO220" i="9"/>
  <c r="BM219" i="9" a="1"/>
  <c r="BM219" i="9" s="1"/>
  <c r="BI219" i="9"/>
  <c r="AR219" i="9"/>
  <c r="AQ219" i="9"/>
  <c r="BM218" i="9" a="1"/>
  <c r="BM218" i="9" s="1"/>
  <c r="AR218" i="9"/>
  <c r="AQ218" i="9"/>
  <c r="BM217" i="9" a="1"/>
  <c r="BM217" i="9" s="1"/>
  <c r="BI217" i="9"/>
  <c r="AR217" i="9"/>
  <c r="AQ217" i="9"/>
  <c r="AR216" i="9"/>
  <c r="AQ216" i="9"/>
  <c r="AR215" i="9"/>
  <c r="AQ215" i="9"/>
  <c r="BM214" i="9" a="1"/>
  <c r="BM214" i="9" s="1"/>
  <c r="BJ214" i="9"/>
  <c r="BI214" i="9"/>
  <c r="BG214" i="9"/>
  <c r="AR214" i="9"/>
  <c r="AQ214" i="9"/>
  <c r="BJ213" i="9"/>
  <c r="BI213" i="9"/>
  <c r="BG213" i="9"/>
  <c r="AR213" i="9"/>
  <c r="AQ213" i="9"/>
  <c r="BJ212" i="9"/>
  <c r="BI212" i="9"/>
  <c r="BG212" i="9"/>
  <c r="AR212" i="9"/>
  <c r="AQ212" i="9"/>
  <c r="BM211" i="9" a="1"/>
  <c r="BM211" i="9" s="1"/>
  <c r="BJ211" i="9"/>
  <c r="BI211" i="9"/>
  <c r="BG211" i="9"/>
  <c r="AR211" i="9"/>
  <c r="AQ211" i="9"/>
  <c r="BJ210" i="9"/>
  <c r="BI210" i="9"/>
  <c r="BG210" i="9"/>
  <c r="AR210" i="9"/>
  <c r="AQ210" i="9"/>
  <c r="BM209" i="9" a="1"/>
  <c r="BM209" i="9" s="1"/>
  <c r="BJ209" i="9"/>
  <c r="BI209" i="9"/>
  <c r="BG209" i="9"/>
  <c r="AR209" i="9"/>
  <c r="AQ209" i="9"/>
  <c r="BJ208" i="9"/>
  <c r="BI208" i="9"/>
  <c r="BG208" i="9"/>
  <c r="AR208" i="9"/>
  <c r="AQ208" i="9"/>
  <c r="BM207" i="9" a="1"/>
  <c r="BM207" i="9" s="1"/>
  <c r="BJ207" i="9"/>
  <c r="BI207" i="9"/>
  <c r="BG207" i="9"/>
  <c r="AR207" i="9"/>
  <c r="AQ207" i="9"/>
  <c r="BJ206" i="9"/>
  <c r="BI206" i="9"/>
  <c r="BG206" i="9"/>
  <c r="AR206" i="9"/>
  <c r="AQ206" i="9"/>
  <c r="BJ205" i="9"/>
  <c r="BI205" i="9"/>
  <c r="BG205" i="9"/>
  <c r="AR205" i="9"/>
  <c r="AQ205" i="9"/>
  <c r="BJ204" i="9"/>
  <c r="BI204" i="9"/>
  <c r="BG204" i="9"/>
  <c r="AR204" i="9"/>
  <c r="AQ204" i="9"/>
  <c r="BM203" i="9" a="1"/>
  <c r="BM203" i="9" s="1"/>
  <c r="BJ203" i="9"/>
  <c r="BI203" i="9"/>
  <c r="BG203" i="9"/>
  <c r="AR203" i="9"/>
  <c r="AQ203" i="9"/>
  <c r="BJ202" i="9"/>
  <c r="BG202" i="9"/>
  <c r="AR202" i="9"/>
  <c r="AQ202" i="9"/>
  <c r="BJ201" i="9"/>
  <c r="BI201" i="9"/>
  <c r="BG201" i="9"/>
  <c r="AR201" i="9"/>
  <c r="AQ201" i="9"/>
  <c r="BI200" i="9"/>
  <c r="BG200" i="9"/>
  <c r="AR200" i="9"/>
  <c r="AQ200" i="9"/>
  <c r="BM199" i="9" a="1"/>
  <c r="BM199" i="9" s="1"/>
  <c r="BJ199" i="9"/>
  <c r="BI199" i="9"/>
  <c r="BG199" i="9"/>
  <c r="AR199" i="9"/>
  <c r="AQ199" i="9"/>
  <c r="BJ198" i="9"/>
  <c r="BI198" i="9"/>
  <c r="BG198" i="9"/>
  <c r="AR198" i="9"/>
  <c r="AQ198" i="9"/>
  <c r="BM197" i="9" a="1"/>
  <c r="BM197" i="9" s="1"/>
  <c r="BG197" i="9"/>
  <c r="AR197" i="9"/>
  <c r="AQ197" i="9"/>
  <c r="BJ196" i="9"/>
  <c r="BI196" i="9"/>
  <c r="BG196" i="9"/>
  <c r="AR196" i="9"/>
  <c r="AQ196" i="9"/>
  <c r="BM195" i="9" a="1"/>
  <c r="BM195" i="9" s="1"/>
  <c r="BJ195" i="9"/>
  <c r="BI195" i="9"/>
  <c r="BG195" i="9"/>
  <c r="AR195" i="9"/>
  <c r="AQ195" i="9"/>
  <c r="AO195" i="9"/>
  <c r="BM194" i="9" a="1"/>
  <c r="BM194" i="9" s="1"/>
  <c r="BJ194" i="9"/>
  <c r="BI194" i="9"/>
  <c r="BG194" i="9"/>
  <c r="AR194" i="9"/>
  <c r="AQ194" i="9"/>
  <c r="BJ193" i="9"/>
  <c r="BI193" i="9"/>
  <c r="BG193" i="9"/>
  <c r="AR193" i="9"/>
  <c r="AQ193" i="9"/>
  <c r="BM192" i="9" a="1"/>
  <c r="BM192" i="9" s="1"/>
  <c r="BJ192" i="9"/>
  <c r="BI192" i="9"/>
  <c r="BG192" i="9"/>
  <c r="AR192" i="9"/>
  <c r="AQ192" i="9"/>
  <c r="AO192" i="9"/>
  <c r="BJ191" i="9"/>
  <c r="BI191" i="9"/>
  <c r="BG191" i="9"/>
  <c r="AR191" i="9"/>
  <c r="AQ191" i="9"/>
  <c r="BM190" i="9" a="1"/>
  <c r="BM190" i="9" s="1"/>
  <c r="BJ190" i="9"/>
  <c r="BI190" i="9"/>
  <c r="BG190" i="9"/>
  <c r="AR190" i="9"/>
  <c r="AQ190" i="9"/>
  <c r="AO190" i="9"/>
  <c r="BM189" i="9" a="1"/>
  <c r="BM189" i="9" s="1"/>
  <c r="BJ189" i="9"/>
  <c r="BI189" i="9"/>
  <c r="BG189" i="9"/>
  <c r="AR189" i="9"/>
  <c r="AQ189" i="9"/>
  <c r="BJ188" i="9"/>
  <c r="BI188" i="9"/>
  <c r="BG188" i="9"/>
  <c r="AR188" i="9"/>
  <c r="AQ188" i="9"/>
  <c r="BJ187" i="9"/>
  <c r="BI187" i="9"/>
  <c r="BG187" i="9"/>
  <c r="AR187" i="9"/>
  <c r="AQ187" i="9"/>
  <c r="BJ186" i="9"/>
  <c r="BI186" i="9"/>
  <c r="BG186" i="9"/>
  <c r="AR186" i="9"/>
  <c r="AQ186" i="9"/>
  <c r="BJ185" i="9"/>
  <c r="BI185" i="9"/>
  <c r="BG185" i="9"/>
  <c r="AR185" i="9"/>
  <c r="AQ185" i="9"/>
  <c r="BM184" i="9" a="1"/>
  <c r="BM184" i="9" s="1"/>
  <c r="BJ184" i="9"/>
  <c r="BI184" i="9"/>
  <c r="BG184" i="9"/>
  <c r="AR184" i="9"/>
  <c r="AQ184" i="9"/>
  <c r="BJ183" i="9"/>
  <c r="BI183" i="9"/>
  <c r="BG183" i="9"/>
  <c r="AR183" i="9"/>
  <c r="AQ183" i="9"/>
  <c r="BM182" i="9" a="1"/>
  <c r="BM182" i="9" s="1"/>
  <c r="BI182" i="9"/>
  <c r="BG182" i="9"/>
  <c r="AR182" i="9"/>
  <c r="AQ182" i="9"/>
  <c r="BI181" i="9"/>
  <c r="BG181" i="9"/>
  <c r="AR181" i="9"/>
  <c r="AQ181" i="9"/>
  <c r="BI180" i="9"/>
  <c r="BG180" i="9"/>
  <c r="AR180" i="9"/>
  <c r="AQ180" i="9"/>
  <c r="BI179" i="9"/>
  <c r="BG179" i="9"/>
  <c r="AR179" i="9"/>
  <c r="AQ179" i="9"/>
  <c r="BI178" i="9"/>
  <c r="BG178" i="9"/>
  <c r="AR178" i="9"/>
  <c r="AQ178" i="9"/>
  <c r="BM177" i="9" a="1"/>
  <c r="BM177" i="9" s="1"/>
  <c r="BI177" i="9"/>
  <c r="BG177" i="9"/>
  <c r="AR177" i="9"/>
  <c r="AQ177" i="9"/>
  <c r="BI176" i="9"/>
  <c r="BG176" i="9"/>
  <c r="AR176" i="9"/>
  <c r="AQ176" i="9"/>
  <c r="BI175" i="9"/>
  <c r="BG175" i="9"/>
  <c r="AR175" i="9"/>
  <c r="AQ175" i="9"/>
  <c r="BM174" i="9" a="1"/>
  <c r="BM174" i="9" s="1"/>
  <c r="BI174" i="9"/>
  <c r="BG174" i="9"/>
  <c r="AR174" i="9"/>
  <c r="AQ174" i="9"/>
  <c r="BM173" i="9" a="1"/>
  <c r="BM173" i="9" s="1"/>
  <c r="BI173" i="9"/>
  <c r="BG173" i="9"/>
  <c r="AR173" i="9"/>
  <c r="AQ173" i="9"/>
  <c r="BI172" i="9"/>
  <c r="BG172" i="9"/>
  <c r="AR172" i="9"/>
  <c r="AQ172" i="9"/>
  <c r="BI171" i="9"/>
  <c r="BG171" i="9"/>
  <c r="AR171" i="9"/>
  <c r="AQ171" i="9"/>
  <c r="BM170" i="9" a="1"/>
  <c r="BM170" i="9" s="1"/>
  <c r="BI170" i="9"/>
  <c r="BG170" i="9"/>
  <c r="AR170" i="9"/>
  <c r="AQ170" i="9"/>
  <c r="BM169" i="9" a="1"/>
  <c r="BM169" i="9" s="1"/>
  <c r="BI169" i="9"/>
  <c r="BG169" i="9"/>
  <c r="AR169" i="9"/>
  <c r="AQ169" i="9"/>
  <c r="BJ168" i="9"/>
  <c r="BI168" i="9"/>
  <c r="BH168" i="9"/>
  <c r="BG168" i="9"/>
  <c r="AR168" i="9"/>
  <c r="AQ168" i="9"/>
  <c r="BM167" i="9" a="1"/>
  <c r="BM167" i="9" s="1"/>
  <c r="BJ167" i="9"/>
  <c r="BI167" i="9"/>
  <c r="BG167" i="9"/>
  <c r="AR167" i="9"/>
  <c r="AQ167" i="9"/>
  <c r="A167" i="9"/>
  <c r="BI166" i="9"/>
  <c r="BG166" i="9"/>
  <c r="AR166" i="9"/>
  <c r="AQ166" i="9"/>
  <c r="A166" i="9"/>
  <c r="BM165" i="9" a="1"/>
  <c r="BM165" i="9" s="1"/>
  <c r="BJ165" i="9"/>
  <c r="BI165" i="9"/>
  <c r="BG165" i="9"/>
  <c r="AR165" i="9"/>
  <c r="AQ165" i="9"/>
  <c r="BI164" i="9"/>
  <c r="BG164" i="9"/>
  <c r="AR164" i="9"/>
  <c r="AQ164" i="9"/>
  <c r="BM163" i="9" a="1"/>
  <c r="BM163" i="9" s="1"/>
  <c r="BJ163" i="9"/>
  <c r="BI163" i="9"/>
  <c r="BH163" i="9"/>
  <c r="BG163" i="9"/>
  <c r="AR163" i="9"/>
  <c r="AQ163" i="9"/>
  <c r="A163" i="9"/>
  <c r="BM162" i="9" a="1"/>
  <c r="BM162" i="9" s="1"/>
  <c r="BJ162" i="9"/>
  <c r="BI162" i="9"/>
  <c r="BG162" i="9"/>
  <c r="AR162" i="9"/>
  <c r="AQ162" i="9"/>
  <c r="A162" i="9"/>
  <c r="BM161" i="9" a="1"/>
  <c r="BM161" i="9" s="1"/>
  <c r="BJ161" i="9"/>
  <c r="BI161" i="9"/>
  <c r="BH161" i="9"/>
  <c r="BG161" i="9"/>
  <c r="AR161" i="9"/>
  <c r="AQ161" i="9"/>
  <c r="BJ160" i="9"/>
  <c r="BI160" i="9"/>
  <c r="BG160" i="9"/>
  <c r="AR160" i="9"/>
  <c r="AQ160" i="9"/>
  <c r="BM159" i="9" a="1"/>
  <c r="BM159" i="9" s="1"/>
  <c r="BI159" i="9"/>
  <c r="BG159" i="9"/>
  <c r="AR159" i="9"/>
  <c r="AQ159" i="9"/>
  <c r="A159" i="9"/>
  <c r="BJ158" i="9"/>
  <c r="BI158" i="9"/>
  <c r="BG158" i="9"/>
  <c r="AR158" i="9"/>
  <c r="AQ158" i="9"/>
  <c r="A158" i="9"/>
  <c r="BJ157" i="9"/>
  <c r="BI157" i="9"/>
  <c r="BG157" i="9"/>
  <c r="AR157" i="9"/>
  <c r="AQ157" i="9"/>
  <c r="A157" i="9"/>
  <c r="BJ156" i="9"/>
  <c r="BI156" i="9"/>
  <c r="BH156" i="9"/>
  <c r="BG156" i="9"/>
  <c r="AR156" i="9"/>
  <c r="AQ156" i="9"/>
  <c r="A156" i="9"/>
  <c r="BI155" i="9"/>
  <c r="BG155" i="9"/>
  <c r="AR155" i="9"/>
  <c r="AQ155" i="9"/>
  <c r="A155" i="9" a="1"/>
  <c r="A164" i="9" s="1"/>
  <c r="A155" i="9"/>
  <c r="BI154" i="9"/>
  <c r="BG154" i="9"/>
  <c r="AR154" i="9"/>
  <c r="AQ154" i="9"/>
  <c r="BM153" i="9" a="1"/>
  <c r="BM153" i="9" s="1"/>
  <c r="BJ153" i="9"/>
  <c r="BI153" i="9"/>
  <c r="BG153" i="9"/>
  <c r="AR153" i="9"/>
  <c r="AQ153" i="9"/>
  <c r="BJ152" i="9"/>
  <c r="BI152" i="9"/>
  <c r="BG152" i="9"/>
  <c r="AR152" i="9"/>
  <c r="AQ152" i="9"/>
  <c r="BM151" i="9" a="1"/>
  <c r="BM151" i="9" s="1"/>
  <c r="BJ151" i="9"/>
  <c r="BI151" i="9"/>
  <c r="BH151" i="9"/>
  <c r="BG151" i="9"/>
  <c r="AR151" i="9"/>
  <c r="AQ151" i="9"/>
  <c r="BM150" i="9" a="1"/>
  <c r="BM150" i="9" s="1"/>
  <c r="BI150" i="9"/>
  <c r="BG150" i="9"/>
  <c r="AR150" i="9"/>
  <c r="AQ150" i="9"/>
  <c r="BJ149" i="9"/>
  <c r="BI149" i="9"/>
  <c r="BG149" i="9"/>
  <c r="AR149" i="9"/>
  <c r="AQ149" i="9"/>
  <c r="BM148" i="9" a="1"/>
  <c r="BM148" i="9" s="1"/>
  <c r="BJ148" i="9"/>
  <c r="BI148" i="9"/>
  <c r="BG148" i="9"/>
  <c r="AR148" i="9"/>
  <c r="AQ148" i="9"/>
  <c r="BI147" i="9"/>
  <c r="BG147" i="9"/>
  <c r="AR147" i="9"/>
  <c r="AQ147" i="9"/>
  <c r="BJ146" i="9"/>
  <c r="BI146" i="9"/>
  <c r="BG146" i="9"/>
  <c r="AR146" i="9"/>
  <c r="AQ146" i="9"/>
  <c r="BM145" i="9" a="1"/>
  <c r="BM145" i="9" s="1"/>
  <c r="BJ145" i="9"/>
  <c r="BI145" i="9"/>
  <c r="BG145" i="9"/>
  <c r="AR145" i="9"/>
  <c r="AQ145" i="9"/>
  <c r="BJ144" i="9"/>
  <c r="BG144" i="9"/>
  <c r="AR144" i="9"/>
  <c r="AQ144" i="9"/>
  <c r="BJ143" i="9"/>
  <c r="BI143" i="9"/>
  <c r="BG143" i="9"/>
  <c r="AR143" i="9"/>
  <c r="AQ143" i="9"/>
  <c r="BM142" i="9" a="1"/>
  <c r="BM142" i="9" s="1"/>
  <c r="BG142" i="9"/>
  <c r="AR142" i="9"/>
  <c r="AQ142" i="9"/>
  <c r="BM141" i="9" a="1"/>
  <c r="BM141" i="9" s="1"/>
  <c r="BJ141" i="9"/>
  <c r="BI141" i="9"/>
  <c r="BH141" i="9"/>
  <c r="BG141" i="9"/>
  <c r="AR141" i="9"/>
  <c r="AQ141" i="9"/>
  <c r="BJ140" i="9"/>
  <c r="BI140" i="9"/>
  <c r="BH140" i="9"/>
  <c r="BG140" i="9"/>
  <c r="AR140" i="9"/>
  <c r="AQ140" i="9"/>
  <c r="C140" i="9"/>
  <c r="BJ139" i="9"/>
  <c r="BI139" i="9"/>
  <c r="BG139" i="9"/>
  <c r="AR139" i="9"/>
  <c r="AQ139" i="9"/>
  <c r="H139" i="9"/>
  <c r="G139" i="9"/>
  <c r="E139" i="9"/>
  <c r="F140" i="9" s="1"/>
  <c r="D139" i="9"/>
  <c r="A139" i="9"/>
  <c r="BJ138" i="9"/>
  <c r="BI138" i="9"/>
  <c r="BG138" i="9"/>
  <c r="AR138" i="9"/>
  <c r="AQ138" i="9"/>
  <c r="BJ137" i="9"/>
  <c r="BI137" i="9"/>
  <c r="BG137" i="9"/>
  <c r="AR137" i="9"/>
  <c r="AQ137" i="9"/>
  <c r="BJ136" i="9"/>
  <c r="BI136" i="9"/>
  <c r="BH136" i="9"/>
  <c r="BG136" i="9"/>
  <c r="AR136" i="9"/>
  <c r="AQ136" i="9"/>
  <c r="BJ135" i="9"/>
  <c r="BI135" i="9"/>
  <c r="BH135" i="9"/>
  <c r="BG135" i="9"/>
  <c r="AR135" i="9"/>
  <c r="AQ135" i="9"/>
  <c r="BI134" i="9"/>
  <c r="BG134" i="9"/>
  <c r="AR134" i="9"/>
  <c r="AQ134" i="9"/>
  <c r="BI133" i="9"/>
  <c r="BG133" i="9"/>
  <c r="AR133" i="9"/>
  <c r="AQ133" i="9"/>
  <c r="BM132" i="9" a="1"/>
  <c r="BM132" i="9" s="1"/>
  <c r="BJ132" i="9"/>
  <c r="BI132" i="9"/>
  <c r="BH132" i="9"/>
  <c r="BG132" i="9"/>
  <c r="AR132" i="9"/>
  <c r="AQ132" i="9"/>
  <c r="BM131" i="9" a="1"/>
  <c r="BM131" i="9" s="1"/>
  <c r="BI131" i="9"/>
  <c r="BG131" i="9"/>
  <c r="AR131" i="9"/>
  <c r="AQ131" i="9"/>
  <c r="DT130" i="9"/>
  <c r="BI130" i="9"/>
  <c r="BG130" i="9"/>
  <c r="AR130" i="9"/>
  <c r="AQ130" i="9"/>
  <c r="DT129" i="9"/>
  <c r="BM129" i="9" a="1"/>
  <c r="BM129" i="9" s="1"/>
  <c r="BI129" i="9"/>
  <c r="BG129" i="9"/>
  <c r="AR129" i="9"/>
  <c r="AQ129" i="9"/>
  <c r="DT128" i="9"/>
  <c r="BJ128" i="9"/>
  <c r="BI128" i="9"/>
  <c r="BH128" i="9"/>
  <c r="BG128" i="9"/>
  <c r="AR128" i="9"/>
  <c r="AQ128" i="9"/>
  <c r="DT127" i="9"/>
  <c r="BM127" i="9" a="1"/>
  <c r="BM127" i="9"/>
  <c r="BI127" i="9"/>
  <c r="BG127" i="9"/>
  <c r="AR127" i="9"/>
  <c r="AQ127" i="9"/>
  <c r="DT126" i="9"/>
  <c r="BJ126" i="9"/>
  <c r="BI126" i="9"/>
  <c r="BG126" i="9"/>
  <c r="AR126" i="9"/>
  <c r="AQ126" i="9"/>
  <c r="DT125" i="9"/>
  <c r="BJ125" i="9"/>
  <c r="BI125" i="9"/>
  <c r="BH125" i="9"/>
  <c r="BG125" i="9"/>
  <c r="AR125" i="9"/>
  <c r="AQ125" i="9"/>
  <c r="AO125" i="9"/>
  <c r="A125" i="9"/>
  <c r="DT124" i="9"/>
  <c r="BM124" i="9" a="1"/>
  <c r="BM124" i="9" s="1"/>
  <c r="BJ124" i="9"/>
  <c r="BI124" i="9"/>
  <c r="BH124" i="9"/>
  <c r="BG124" i="9"/>
  <c r="AR124" i="9"/>
  <c r="AQ124" i="9"/>
  <c r="AO124" i="9"/>
  <c r="DT123" i="9"/>
  <c r="BM123" i="9" a="1"/>
  <c r="BM123" i="9" s="1"/>
  <c r="BJ123" i="9"/>
  <c r="BI123" i="9"/>
  <c r="BG123" i="9"/>
  <c r="AR123" i="9"/>
  <c r="AQ123" i="9"/>
  <c r="DT122" i="9"/>
  <c r="BM122" i="9" a="1"/>
  <c r="BM122" i="9" s="1"/>
  <c r="BJ122" i="9"/>
  <c r="BI122" i="9"/>
  <c r="BG122" i="9"/>
  <c r="AR122" i="9"/>
  <c r="AQ122" i="9"/>
  <c r="B122" i="9"/>
  <c r="DT121" i="9"/>
  <c r="BJ121" i="9"/>
  <c r="BI121" i="9"/>
  <c r="BG121" i="9"/>
  <c r="AR121" i="9"/>
  <c r="AQ121" i="9"/>
  <c r="DT120" i="9"/>
  <c r="BM120" i="9" a="1"/>
  <c r="BM120" i="9" s="1"/>
  <c r="BJ120" i="9"/>
  <c r="BI120" i="9"/>
  <c r="BH120" i="9"/>
  <c r="BG120" i="9"/>
  <c r="AR120" i="9"/>
  <c r="AQ120" i="9"/>
  <c r="A120" i="9"/>
  <c r="DT119" i="9"/>
  <c r="BJ119" i="9"/>
  <c r="BI119" i="9"/>
  <c r="BH119" i="9"/>
  <c r="BG119" i="9"/>
  <c r="AR119" i="9"/>
  <c r="AQ119" i="9"/>
  <c r="B119" i="9"/>
  <c r="DT118" i="9"/>
  <c r="BJ118" i="9"/>
  <c r="BI118" i="9"/>
  <c r="BH118" i="9"/>
  <c r="BG118" i="9"/>
  <c r="AR118" i="9"/>
  <c r="AQ118" i="9"/>
  <c r="AO118" i="9"/>
  <c r="DT117" i="9"/>
  <c r="BM117" i="9" a="1"/>
  <c r="BM117" i="9" s="1"/>
  <c r="BJ117" i="9"/>
  <c r="BI117" i="9"/>
  <c r="BG117" i="9"/>
  <c r="AR117" i="9"/>
  <c r="AQ117" i="9"/>
  <c r="B117" i="9"/>
  <c r="DT116" i="9"/>
  <c r="BJ116" i="9"/>
  <c r="BI116" i="9"/>
  <c r="BG116" i="9"/>
  <c r="AR116" i="9"/>
  <c r="AQ116" i="9"/>
  <c r="DT115" i="9"/>
  <c r="BM115" i="9" a="1"/>
  <c r="BM115" i="9" s="1"/>
  <c r="BJ115" i="9"/>
  <c r="BI115" i="9"/>
  <c r="BH115" i="9"/>
  <c r="BG115" i="9"/>
  <c r="AR115" i="9"/>
  <c r="AQ115" i="9"/>
  <c r="B115" i="9"/>
  <c r="A115" i="9"/>
  <c r="DT114" i="9"/>
  <c r="BI114" i="9"/>
  <c r="BG114" i="9"/>
  <c r="AR114" i="9"/>
  <c r="AQ114" i="9"/>
  <c r="DT113" i="9"/>
  <c r="BM113" i="9" a="1"/>
  <c r="BM113" i="9" s="1"/>
  <c r="BJ113" i="9"/>
  <c r="BI113" i="9"/>
  <c r="BH113" i="9"/>
  <c r="BG113" i="9"/>
  <c r="AR113" i="9"/>
  <c r="AQ113" i="9"/>
  <c r="DT112" i="9"/>
  <c r="BM112" i="9" a="1"/>
  <c r="BM112" i="9" s="1"/>
  <c r="BJ112" i="9"/>
  <c r="BI112" i="9"/>
  <c r="BH112" i="9"/>
  <c r="BG112" i="9"/>
  <c r="AR112" i="9"/>
  <c r="AQ112" i="9"/>
  <c r="A112" i="9"/>
  <c r="DT111" i="9"/>
  <c r="BJ111" i="9"/>
  <c r="BI111" i="9"/>
  <c r="BG111" i="9"/>
  <c r="AR111" i="9"/>
  <c r="AQ111" i="9"/>
  <c r="B111" i="9"/>
  <c r="DT110" i="9"/>
  <c r="BJ110" i="9"/>
  <c r="BI110" i="9"/>
  <c r="BG110" i="9"/>
  <c r="AR110" i="9"/>
  <c r="AQ110" i="9"/>
  <c r="DT109" i="9"/>
  <c r="BJ109" i="9"/>
  <c r="BI109" i="9"/>
  <c r="BG109" i="9"/>
  <c r="AR109" i="9"/>
  <c r="AQ109" i="9"/>
  <c r="A109" i="9"/>
  <c r="DT108" i="9"/>
  <c r="BJ108" i="9"/>
  <c r="BI108" i="9"/>
  <c r="BH108" i="9"/>
  <c r="BG108" i="9"/>
  <c r="AR108" i="9"/>
  <c r="AQ108" i="9"/>
  <c r="B108" i="9"/>
  <c r="A108" i="9"/>
  <c r="DT107" i="9"/>
  <c r="BM107" i="9" a="1"/>
  <c r="BM107" i="9" s="1"/>
  <c r="BJ107" i="9"/>
  <c r="BI107" i="9"/>
  <c r="BH107" i="9"/>
  <c r="BG107" i="9"/>
  <c r="AR107" i="9"/>
  <c r="AQ107" i="9"/>
  <c r="B107" i="9"/>
  <c r="A107" i="9" a="1"/>
  <c r="B135" i="9" s="1"/>
  <c r="DT106" i="9"/>
  <c r="BM106" i="9" a="1"/>
  <c r="BM106" i="9" s="1"/>
  <c r="BJ106" i="9"/>
  <c r="BI106" i="9"/>
  <c r="BH106" i="9"/>
  <c r="BG106" i="9"/>
  <c r="AR106" i="9"/>
  <c r="AQ106" i="9"/>
  <c r="DT105" i="9"/>
  <c r="BM105" i="9" a="1"/>
  <c r="BM105" i="9"/>
  <c r="BJ105" i="9"/>
  <c r="BI105" i="9"/>
  <c r="BG105" i="9"/>
  <c r="AR105" i="9"/>
  <c r="AQ105" i="9"/>
  <c r="DT104" i="9"/>
  <c r="BM104" i="9" a="1"/>
  <c r="BM104" i="9"/>
  <c r="BJ104" i="9"/>
  <c r="BI104" i="9"/>
  <c r="BG104" i="9"/>
  <c r="AR104" i="9"/>
  <c r="AQ104" i="9"/>
  <c r="DT103" i="9"/>
  <c r="BM103" i="9" a="1"/>
  <c r="BM103" i="9" s="1"/>
  <c r="BJ103" i="9"/>
  <c r="BI103" i="9"/>
  <c r="BH103" i="9"/>
  <c r="BG103" i="9"/>
  <c r="AR103" i="9"/>
  <c r="AQ103" i="9"/>
  <c r="AO103" i="9"/>
  <c r="DT102" i="9"/>
  <c r="BM102" i="9" a="1"/>
  <c r="BM102" i="9" s="1"/>
  <c r="BJ102" i="9"/>
  <c r="BI102" i="9"/>
  <c r="BG102" i="9"/>
  <c r="AR102" i="9"/>
  <c r="AQ102" i="9"/>
  <c r="DT101" i="9"/>
  <c r="BM101" i="9" a="1"/>
  <c r="BM101" i="9"/>
  <c r="BJ101" i="9"/>
  <c r="BI101" i="9"/>
  <c r="BH101" i="9"/>
  <c r="BG101" i="9"/>
  <c r="AR101" i="9"/>
  <c r="AQ101" i="9"/>
  <c r="DT100" i="9"/>
  <c r="BM100" i="9" a="1"/>
  <c r="BM100" i="9" s="1"/>
  <c r="BJ100" i="9"/>
  <c r="BI100" i="9"/>
  <c r="BH100" i="9"/>
  <c r="BG100" i="9"/>
  <c r="AR100" i="9"/>
  <c r="AQ100" i="9"/>
  <c r="AO100" i="9"/>
  <c r="DT99" i="9"/>
  <c r="BJ99" i="9"/>
  <c r="BI99" i="9"/>
  <c r="BH99" i="9"/>
  <c r="BG99" i="9"/>
  <c r="AR99" i="9"/>
  <c r="AQ99" i="9"/>
  <c r="DT98" i="9"/>
  <c r="BJ98" i="9"/>
  <c r="BI98" i="9"/>
  <c r="BH98" i="9"/>
  <c r="BG98" i="9"/>
  <c r="AR98" i="9"/>
  <c r="AQ98" i="9"/>
  <c r="DT97" i="9"/>
  <c r="BJ97" i="9"/>
  <c r="BI97" i="9"/>
  <c r="BH97" i="9"/>
  <c r="BG97" i="9"/>
  <c r="AR97" i="9"/>
  <c r="AQ97" i="9"/>
  <c r="AO97" i="9"/>
  <c r="DT96" i="9"/>
  <c r="BJ96" i="9"/>
  <c r="BI96" i="9"/>
  <c r="BH96" i="9"/>
  <c r="BG96" i="9"/>
  <c r="AR96" i="9"/>
  <c r="AQ96" i="9"/>
  <c r="AO96" i="9"/>
  <c r="DT95" i="9"/>
  <c r="BJ95" i="9"/>
  <c r="BI95" i="9"/>
  <c r="BH95" i="9"/>
  <c r="BG95" i="9"/>
  <c r="AR95" i="9"/>
  <c r="AQ95" i="9"/>
  <c r="AO95" i="9"/>
  <c r="DT94" i="9"/>
  <c r="BM94" i="9" a="1"/>
  <c r="BM94" i="9" s="1"/>
  <c r="BJ94" i="9"/>
  <c r="BI94" i="9"/>
  <c r="BG94" i="9"/>
  <c r="AR94" i="9"/>
  <c r="AQ94" i="9"/>
  <c r="AO94" i="9"/>
  <c r="DT93" i="9"/>
  <c r="BM93" i="9" a="1"/>
  <c r="BM93" i="9" s="1"/>
  <c r="BJ93" i="9"/>
  <c r="BI93" i="9"/>
  <c r="BH93" i="9"/>
  <c r="BG93" i="9"/>
  <c r="AR93" i="9"/>
  <c r="AQ93" i="9"/>
  <c r="DT92" i="9"/>
  <c r="BM92" i="9" a="1"/>
  <c r="BM92" i="9"/>
  <c r="BJ92" i="9"/>
  <c r="BI92" i="9"/>
  <c r="BG92" i="9"/>
  <c r="AR92" i="9"/>
  <c r="AQ92" i="9"/>
  <c r="DT91" i="9"/>
  <c r="BM91" i="9" a="1"/>
  <c r="BM91" i="9"/>
  <c r="BJ91" i="9"/>
  <c r="BI91" i="9"/>
  <c r="BG91" i="9"/>
  <c r="AR91" i="9"/>
  <c r="AQ91" i="9"/>
  <c r="DT90" i="9"/>
  <c r="BM90" i="9" a="1"/>
  <c r="BM90" i="9" s="1"/>
  <c r="BJ90" i="9"/>
  <c r="BI90" i="9"/>
  <c r="BH90" i="9"/>
  <c r="BG90" i="9"/>
  <c r="AR90" i="9"/>
  <c r="AQ90" i="9"/>
  <c r="AO90" i="9"/>
  <c r="DT89" i="9"/>
  <c r="BM89" i="9" a="1"/>
  <c r="BM89" i="9" s="1"/>
  <c r="BJ89" i="9"/>
  <c r="BI89" i="9"/>
  <c r="BG89" i="9"/>
  <c r="AR89" i="9"/>
  <c r="AQ89" i="9"/>
  <c r="BI88" i="9"/>
  <c r="BG88" i="9"/>
  <c r="AR88" i="9"/>
  <c r="AQ88" i="9"/>
  <c r="BM87" i="9" a="1"/>
  <c r="BM87" i="9" s="1"/>
  <c r="BJ87" i="9"/>
  <c r="BI87" i="9"/>
  <c r="BH87" i="9"/>
  <c r="BG87" i="9"/>
  <c r="AR87" i="9"/>
  <c r="AQ87" i="9"/>
  <c r="BM86" i="9" a="1"/>
  <c r="BM86" i="9" s="1"/>
  <c r="BI86" i="9"/>
  <c r="BG86" i="9"/>
  <c r="AR86" i="9"/>
  <c r="AQ86" i="9"/>
  <c r="BJ85" i="9"/>
  <c r="BI85" i="9"/>
  <c r="BG85" i="9"/>
  <c r="AR85" i="9"/>
  <c r="AQ85" i="9"/>
  <c r="BJ84" i="9"/>
  <c r="BI84" i="9"/>
  <c r="BG84" i="9"/>
  <c r="AR84" i="9"/>
  <c r="AQ84" i="9"/>
  <c r="DU83" i="9" a="1"/>
  <c r="DU83" i="9" s="1"/>
  <c r="BM83" i="9" a="1"/>
  <c r="BM83" i="9" s="1"/>
  <c r="BJ83" i="9"/>
  <c r="BI83" i="9"/>
  <c r="BH83" i="9"/>
  <c r="BG83" i="9"/>
  <c r="AR83" i="9"/>
  <c r="AQ83" i="9"/>
  <c r="AO83" i="9"/>
  <c r="BJ82" i="9"/>
  <c r="BI82" i="9"/>
  <c r="BH82" i="9"/>
  <c r="BG82" i="9"/>
  <c r="AR82" i="9"/>
  <c r="AQ82" i="9"/>
  <c r="BM81" i="9" a="1"/>
  <c r="BM81" i="9" s="1"/>
  <c r="BG81" i="9"/>
  <c r="AR81" i="9"/>
  <c r="AQ81" i="9"/>
  <c r="BJ80" i="9"/>
  <c r="BI80" i="9"/>
  <c r="BH80" i="9"/>
  <c r="BG80" i="9"/>
  <c r="AR80" i="9"/>
  <c r="AQ80" i="9"/>
  <c r="BI79" i="9"/>
  <c r="BG79" i="9"/>
  <c r="AR79" i="9"/>
  <c r="AQ79" i="9"/>
  <c r="A79" i="9"/>
  <c r="DU78" i="9" a="1"/>
  <c r="DU78" i="9"/>
  <c r="BI78" i="9"/>
  <c r="BH78" i="9"/>
  <c r="BG78" i="9"/>
  <c r="AR78" i="9"/>
  <c r="AQ78" i="9"/>
  <c r="BI77" i="9"/>
  <c r="BH77" i="9"/>
  <c r="BG77" i="9"/>
  <c r="AR77" i="9"/>
  <c r="AQ77" i="9"/>
  <c r="BM76" i="9" a="1"/>
  <c r="BM76" i="9" s="1"/>
  <c r="BI76" i="9"/>
  <c r="BH76" i="9"/>
  <c r="BG76" i="9"/>
  <c r="AR76" i="9"/>
  <c r="AQ76" i="9"/>
  <c r="DU75" i="9" a="1"/>
  <c r="DU75" i="9"/>
  <c r="BJ75" i="9"/>
  <c r="BI75" i="9"/>
  <c r="BH75" i="9"/>
  <c r="BG75" i="9"/>
  <c r="AR75" i="9"/>
  <c r="AQ75" i="9"/>
  <c r="A75" i="9" a="1"/>
  <c r="DU74" i="9" a="1"/>
  <c r="DU74" i="9"/>
  <c r="BM74" i="9" a="1"/>
  <c r="BM74" i="9" s="1"/>
  <c r="BJ74" i="9"/>
  <c r="BI74" i="9"/>
  <c r="BG74" i="9"/>
  <c r="AR74" i="9"/>
  <c r="AQ74" i="9"/>
  <c r="BJ73" i="9"/>
  <c r="BI73" i="9"/>
  <c r="BH73" i="9"/>
  <c r="BG73" i="9"/>
  <c r="AR73" i="9"/>
  <c r="AQ73" i="9"/>
  <c r="EL72" i="9" a="1"/>
  <c r="EL72" i="9" s="1"/>
  <c r="EL73" i="9" s="1" a="1"/>
  <c r="EL73" i="9" s="1"/>
  <c r="EJ72" i="9"/>
  <c r="EJ73" i="9" s="1" a="1"/>
  <c r="EJ73" i="9" s="1"/>
  <c r="EH72" i="9"/>
  <c r="EH73" i="9" s="1" a="1"/>
  <c r="EH73" i="9" s="1"/>
  <c r="EF72" i="9"/>
  <c r="EF73" i="9" s="1" a="1"/>
  <c r="EF73" i="9" s="1"/>
  <c r="ED72" i="9"/>
  <c r="ED73" i="9" s="1" a="1"/>
  <c r="ED73" i="9" s="1"/>
  <c r="EB72" i="9"/>
  <c r="EB73" i="9" s="1" a="1"/>
  <c r="EB73" i="9" s="1"/>
  <c r="DZ72" i="9"/>
  <c r="EB78" i="9" s="1"/>
  <c r="BX72" i="9"/>
  <c r="BX73" i="9" s="1"/>
  <c r="BX74" i="9" s="1"/>
  <c r="BX75" i="9" s="1"/>
  <c r="BX76" i="9" s="1"/>
  <c r="BX77" i="9" s="1"/>
  <c r="BJ72" i="9"/>
  <c r="BI72" i="9"/>
  <c r="BH72" i="9"/>
  <c r="BG72" i="9"/>
  <c r="AR72" i="9"/>
  <c r="AQ72" i="9"/>
  <c r="BM71" i="9" a="1"/>
  <c r="BM71" i="9" s="1"/>
  <c r="BJ71" i="9"/>
  <c r="BI71" i="9"/>
  <c r="BG71" i="9"/>
  <c r="AR71" i="9"/>
  <c r="AQ71" i="9"/>
  <c r="BJ70" i="9"/>
  <c r="BI70" i="9"/>
  <c r="BH70" i="9"/>
  <c r="BG70" i="9"/>
  <c r="AR70" i="9"/>
  <c r="AQ70" i="9"/>
  <c r="DU69" i="9" a="1"/>
  <c r="DU69" i="9"/>
  <c r="BM69" i="9" a="1"/>
  <c r="BM69" i="9" s="1"/>
  <c r="BJ69" i="9"/>
  <c r="BI69" i="9"/>
  <c r="BH69" i="9"/>
  <c r="BG69" i="9"/>
  <c r="AR69" i="9"/>
  <c r="AQ69" i="9"/>
  <c r="I69" i="9"/>
  <c r="E69" i="9"/>
  <c r="BM68" i="9" a="1"/>
  <c r="BM68" i="9" s="1"/>
  <c r="BJ68" i="9"/>
  <c r="BI68" i="9"/>
  <c r="BG68" i="9"/>
  <c r="AR68" i="9"/>
  <c r="AQ68" i="9"/>
  <c r="I68" i="9"/>
  <c r="H68" i="9"/>
  <c r="H69" i="9" s="1"/>
  <c r="G68" i="9"/>
  <c r="G69" i="9" s="1"/>
  <c r="F68" i="9"/>
  <c r="E68" i="9"/>
  <c r="D68" i="9"/>
  <c r="D69" i="9" s="1"/>
  <c r="C68" i="9"/>
  <c r="C69" i="9" s="1"/>
  <c r="BJ67" i="9"/>
  <c r="BI67" i="9"/>
  <c r="BH67" i="9"/>
  <c r="BG67" i="9"/>
  <c r="AR67" i="9"/>
  <c r="AQ67" i="9"/>
  <c r="BJ66" i="9"/>
  <c r="BI66" i="9"/>
  <c r="BH66" i="9"/>
  <c r="BG66" i="9"/>
  <c r="AR66" i="9"/>
  <c r="AQ66" i="9"/>
  <c r="I66" i="9"/>
  <c r="H66" i="9"/>
  <c r="G66" i="9"/>
  <c r="F66" i="9"/>
  <c r="F69" i="9" s="1"/>
  <c r="E66" i="9"/>
  <c r="D66" i="9"/>
  <c r="C66" i="9"/>
  <c r="BM65" i="9" a="1"/>
  <c r="BM65" i="9" s="1"/>
  <c r="BI65" i="9"/>
  <c r="BG65" i="9"/>
  <c r="AR65" i="9"/>
  <c r="AQ65" i="9"/>
  <c r="BM64" i="9" a="1"/>
  <c r="BM64" i="9" s="1"/>
  <c r="BJ64" i="9"/>
  <c r="BI64" i="9"/>
  <c r="BH64" i="9"/>
  <c r="BG64" i="9"/>
  <c r="AR64" i="9"/>
  <c r="AQ64" i="9"/>
  <c r="BV63" i="9"/>
  <c r="BV65" i="9" s="1"/>
  <c r="BJ63" i="9"/>
  <c r="BI63" i="9"/>
  <c r="BG63" i="9"/>
  <c r="AR63" i="9"/>
  <c r="AQ63" i="9"/>
  <c r="BM62" i="9" a="1"/>
  <c r="BM62" i="9" s="1"/>
  <c r="BJ62" i="9"/>
  <c r="BI62" i="9"/>
  <c r="BG62" i="9"/>
  <c r="AR62" i="9"/>
  <c r="AQ62" i="9"/>
  <c r="DU61" i="9" a="1"/>
  <c r="DU61" i="9"/>
  <c r="BM61" i="9" a="1"/>
  <c r="BM61" i="9"/>
  <c r="BJ61" i="9"/>
  <c r="BI61" i="9"/>
  <c r="BG61" i="9"/>
  <c r="AR61" i="9"/>
  <c r="AQ61" i="9"/>
  <c r="I61" i="9"/>
  <c r="I62" i="9" s="1"/>
  <c r="H61" i="9"/>
  <c r="H62" i="9" s="1"/>
  <c r="G61" i="9"/>
  <c r="G62" i="9" s="1"/>
  <c r="F61" i="9"/>
  <c r="F62" i="9" s="1"/>
  <c r="E61" i="9"/>
  <c r="E62" i="9" s="1"/>
  <c r="D61" i="9"/>
  <c r="D62" i="9" s="1"/>
  <c r="C61" i="9"/>
  <c r="C62" i="9" s="1"/>
  <c r="BJ60" i="9"/>
  <c r="BI60" i="9"/>
  <c r="BH60" i="9"/>
  <c r="BG60" i="9"/>
  <c r="AR60" i="9"/>
  <c r="AQ60" i="9"/>
  <c r="BJ59" i="9"/>
  <c r="BI59" i="9"/>
  <c r="BH59" i="9"/>
  <c r="BG59" i="9"/>
  <c r="AR59" i="9"/>
  <c r="AQ59" i="9"/>
  <c r="BJ58" i="9"/>
  <c r="BI58" i="9"/>
  <c r="BG58" i="9"/>
  <c r="AR58" i="9"/>
  <c r="AQ58" i="9"/>
  <c r="BM57" i="9" a="1"/>
  <c r="BM57" i="9" s="1"/>
  <c r="BJ57" i="9"/>
  <c r="BI57" i="9"/>
  <c r="BG57" i="9"/>
  <c r="AR57" i="9"/>
  <c r="AQ57" i="9"/>
  <c r="BM56" i="9" a="1"/>
  <c r="BM56" i="9"/>
  <c r="BI56" i="9"/>
  <c r="BG56" i="9"/>
  <c r="AR56" i="9"/>
  <c r="AQ56" i="9"/>
  <c r="BI55" i="9"/>
  <c r="BG55" i="9"/>
  <c r="AR55" i="9"/>
  <c r="AQ55" i="9"/>
  <c r="D55" i="9"/>
  <c r="E55" i="9" s="1"/>
  <c r="BS54" i="9"/>
  <c r="BM54" i="9" a="1"/>
  <c r="BM54" i="9" s="1"/>
  <c r="BI54" i="9"/>
  <c r="BG54" i="9"/>
  <c r="AR54" i="9"/>
  <c r="AQ54" i="9"/>
  <c r="D54" i="9"/>
  <c r="E54" i="9" s="1"/>
  <c r="BS53" i="9"/>
  <c r="BM53" i="9" a="1"/>
  <c r="BM53" i="9" s="1"/>
  <c r="BI53" i="9"/>
  <c r="BG53" i="9"/>
  <c r="AR53" i="9"/>
  <c r="AQ53" i="9"/>
  <c r="Z53" i="9"/>
  <c r="Y53" i="9"/>
  <c r="E53" i="9"/>
  <c r="D53" i="9"/>
  <c r="BS52" i="9"/>
  <c r="BJ52" i="9"/>
  <c r="BI52" i="9"/>
  <c r="BH52" i="9"/>
  <c r="BG52" i="9"/>
  <c r="AR52" i="9"/>
  <c r="AQ52" i="9"/>
  <c r="Z52" i="9"/>
  <c r="Y52" i="9"/>
  <c r="D52" i="9"/>
  <c r="E52" i="9" s="1"/>
  <c r="BS51" i="9"/>
  <c r="BJ51" i="9"/>
  <c r="BI51" i="9"/>
  <c r="BH51" i="9"/>
  <c r="BG51" i="9"/>
  <c r="AR51" i="9"/>
  <c r="AQ51" i="9"/>
  <c r="Z51" i="9"/>
  <c r="Y51" i="9"/>
  <c r="I51" i="9"/>
  <c r="E51" i="9"/>
  <c r="D51" i="9"/>
  <c r="BS50" i="9"/>
  <c r="BM50" i="9" a="1"/>
  <c r="BM50" i="9" s="1"/>
  <c r="BJ50" i="9"/>
  <c r="BI50" i="9"/>
  <c r="BG50" i="9"/>
  <c r="AR50" i="9"/>
  <c r="AQ50" i="9"/>
  <c r="Z50" i="9"/>
  <c r="Y50" i="9"/>
  <c r="E50" i="9"/>
  <c r="D50" i="9"/>
  <c r="CA49" i="9"/>
  <c r="BS49" i="9"/>
  <c r="BJ49" i="9"/>
  <c r="BI49" i="9"/>
  <c r="BH49" i="9"/>
  <c r="BG49" i="9"/>
  <c r="AR49" i="9"/>
  <c r="AQ49" i="9"/>
  <c r="Z49" i="9"/>
  <c r="Y49" i="9"/>
  <c r="E49" i="9"/>
  <c r="D49" i="9"/>
  <c r="BS48" i="9"/>
  <c r="BJ48" i="9"/>
  <c r="BI48" i="9"/>
  <c r="BG48" i="9"/>
  <c r="AR48" i="9"/>
  <c r="AQ48" i="9"/>
  <c r="Z48" i="9"/>
  <c r="Y48" i="9"/>
  <c r="I48" i="9"/>
  <c r="D48" i="9"/>
  <c r="E48" i="9" s="1"/>
  <c r="EE47" i="9"/>
  <c r="DU47" i="9"/>
  <c r="BY47" i="9"/>
  <c r="BS47" i="9"/>
  <c r="BM47" i="9" a="1"/>
  <c r="BM47" i="9" s="1"/>
  <c r="BJ47" i="9"/>
  <c r="BI47" i="9"/>
  <c r="BH47" i="9"/>
  <c r="BG47" i="9"/>
  <c r="AR47" i="9"/>
  <c r="AQ47" i="9"/>
  <c r="AO47" i="9"/>
  <c r="Z47" i="9"/>
  <c r="Y47" i="9"/>
  <c r="E47" i="9"/>
  <c r="D47" i="9"/>
  <c r="BV46" i="9"/>
  <c r="BS46" i="9"/>
  <c r="BJ46" i="9"/>
  <c r="BI46" i="9"/>
  <c r="BH46" i="9"/>
  <c r="BG46" i="9"/>
  <c r="AR46" i="9"/>
  <c r="AQ46" i="9"/>
  <c r="Z46" i="9"/>
  <c r="Y46" i="9"/>
  <c r="D46" i="9"/>
  <c r="E46" i="9" s="1"/>
  <c r="DU45" i="9" a="1"/>
  <c r="DU45" i="9" s="1"/>
  <c r="CP45" i="9"/>
  <c r="CB45" i="9"/>
  <c r="BX45" i="9"/>
  <c r="BW45" i="9"/>
  <c r="BV45" i="9" a="1"/>
  <c r="BZ54" i="9" s="1"/>
  <c r="BS45" i="9"/>
  <c r="BJ45" i="9"/>
  <c r="BI45" i="9"/>
  <c r="BH45" i="9"/>
  <c r="BG45" i="9"/>
  <c r="AR45" i="9"/>
  <c r="AQ45" i="9"/>
  <c r="Z45" i="9"/>
  <c r="Y45" i="9"/>
  <c r="E45" i="9"/>
  <c r="D45" i="9"/>
  <c r="CP44" i="9"/>
  <c r="BJ44" i="9"/>
  <c r="BI44" i="9"/>
  <c r="BG44" i="9"/>
  <c r="AR44" i="9"/>
  <c r="AQ44" i="9"/>
  <c r="Z44" i="9"/>
  <c r="Y44" i="9"/>
  <c r="D44" i="9"/>
  <c r="E44" i="9" s="1"/>
  <c r="CP43" i="9"/>
  <c r="BJ43" i="9"/>
  <c r="BI43" i="9"/>
  <c r="BH43" i="9"/>
  <c r="BG43" i="9"/>
  <c r="AR43" i="9"/>
  <c r="AQ43" i="9"/>
  <c r="AO43" i="9"/>
  <c r="Z43" i="9"/>
  <c r="Y43" i="9"/>
  <c r="DU42" i="9" a="1"/>
  <c r="DU42" i="9" s="1"/>
  <c r="BY42" i="9"/>
  <c r="BV42" i="9"/>
  <c r="BM42" i="9" a="1"/>
  <c r="BM42" i="9" s="1"/>
  <c r="BJ42" i="9"/>
  <c r="BH42" i="9"/>
  <c r="BG42" i="9"/>
  <c r="AR42" i="9"/>
  <c r="AQ42" i="9"/>
  <c r="Z42" i="9"/>
  <c r="Y42" i="9"/>
  <c r="CA41" i="9"/>
  <c r="BX41" i="9"/>
  <c r="BG41" i="9"/>
  <c r="AR41" i="9"/>
  <c r="AQ41" i="9"/>
  <c r="Z41" i="9"/>
  <c r="Y41" i="9"/>
  <c r="DU40" i="9" a="1"/>
  <c r="DU40" i="9" s="1"/>
  <c r="CA40" i="9"/>
  <c r="BX40" i="9"/>
  <c r="BU40" i="9"/>
  <c r="BM40" i="9" a="1"/>
  <c r="BM40" i="9"/>
  <c r="BJ40" i="9"/>
  <c r="BI40" i="9"/>
  <c r="BH40" i="9"/>
  <c r="BG40" i="9"/>
  <c r="AR40" i="9"/>
  <c r="AQ40" i="9"/>
  <c r="Z40" i="9"/>
  <c r="Y40" i="9"/>
  <c r="DU39" i="9" a="1"/>
  <c r="DU39" i="9" s="1"/>
  <c r="BI39" i="9"/>
  <c r="BH39" i="9"/>
  <c r="BG39" i="9"/>
  <c r="AR39" i="9"/>
  <c r="AQ39" i="9"/>
  <c r="Z39" i="9"/>
  <c r="Y39" i="9"/>
  <c r="BM38" i="9" a="1"/>
  <c r="BM38" i="9"/>
  <c r="AR38" i="9"/>
  <c r="AQ38" i="9"/>
  <c r="BM37" i="9" a="1"/>
  <c r="BM37" i="9" s="1"/>
  <c r="BG37" i="9"/>
  <c r="AR37" i="9"/>
  <c r="AQ37" i="9"/>
  <c r="AE37" i="9"/>
  <c r="AF37" i="9" s="1"/>
  <c r="CA36" i="9"/>
  <c r="BY38" i="9" s="1"/>
  <c r="BX36" i="9"/>
  <c r="BU36" i="9"/>
  <c r="BM36" i="9" a="1"/>
  <c r="BM36" i="9" s="1"/>
  <c r="BJ36" i="9"/>
  <c r="BI36" i="9"/>
  <c r="BH36" i="9"/>
  <c r="BG36" i="9"/>
  <c r="AR36" i="9"/>
  <c r="AQ36" i="9"/>
  <c r="AE36" i="9"/>
  <c r="AF36" i="9" s="1"/>
  <c r="BM35" i="9" a="1"/>
  <c r="BM35" i="9" s="1"/>
  <c r="BJ35" i="9"/>
  <c r="BI35" i="9"/>
  <c r="BH35" i="9"/>
  <c r="BG35" i="9"/>
  <c r="AR35" i="9"/>
  <c r="AQ35" i="9"/>
  <c r="AE35" i="9"/>
  <c r="AF35" i="9" s="1"/>
  <c r="BM34" i="9" a="1"/>
  <c r="BM34" i="9" s="1"/>
  <c r="BJ34" i="9"/>
  <c r="BI34" i="9"/>
  <c r="BH34" i="9"/>
  <c r="BG34" i="9"/>
  <c r="AR34" i="9"/>
  <c r="AQ34" i="9"/>
  <c r="AE34" i="9"/>
  <c r="AF34" i="9" s="1"/>
  <c r="BM33" i="9" a="1"/>
  <c r="BM33" i="9" s="1"/>
  <c r="BJ33" i="9"/>
  <c r="BI33" i="9"/>
  <c r="BH33" i="9"/>
  <c r="BG33" i="9"/>
  <c r="AR33" i="9"/>
  <c r="AQ33" i="9"/>
  <c r="AE33" i="9"/>
  <c r="AF33" i="9" s="1"/>
  <c r="BS32" i="9"/>
  <c r="BM32" i="9" a="1"/>
  <c r="BM32" i="9" s="1"/>
  <c r="AE32" i="9"/>
  <c r="AF32" i="9" s="1"/>
  <c r="AE31" i="9"/>
  <c r="AF31" i="9" s="1"/>
  <c r="DU30" i="9" a="1"/>
  <c r="DU30" i="9"/>
  <c r="BV30" i="9"/>
  <c r="AE30" i="9"/>
  <c r="AF30" i="9" s="1"/>
  <c r="DU29" i="9" a="1"/>
  <c r="DU29" i="9"/>
  <c r="AE29" i="9"/>
  <c r="AF29" i="9" s="1"/>
  <c r="U29" i="9" a="1"/>
  <c r="AE28" i="9"/>
  <c r="AF28" i="9" s="1"/>
  <c r="AU27" i="9"/>
  <c r="AM27" i="9"/>
  <c r="AE27" i="9"/>
  <c r="DU26" i="9" a="1"/>
  <c r="DU26" i="9" s="1"/>
  <c r="AE26" i="9"/>
  <c r="AF26" i="9" s="1"/>
  <c r="DU25" i="9" a="1"/>
  <c r="DU25" i="9"/>
  <c r="AE25" i="9"/>
  <c r="AF25" i="9" s="1"/>
  <c r="AE24" i="9"/>
  <c r="CG23" i="9"/>
  <c r="CE23" i="9" s="1" a="1"/>
  <c r="CE23" i="9" s="1"/>
  <c r="BS23" i="9"/>
  <c r="BS21" i="9" s="1"/>
  <c r="AE23" i="9"/>
  <c r="C23" i="9"/>
  <c r="AE22" i="9"/>
  <c r="CP21" i="9" a="1"/>
  <c r="CP29" i="9" s="1"/>
  <c r="AE21" i="9"/>
  <c r="AF21" i="9" s="1"/>
  <c r="AE20" i="9"/>
  <c r="AF20" i="9" s="1"/>
  <c r="U20" i="9" a="1"/>
  <c r="U28" i="9" s="1"/>
  <c r="W28" i="9" s="1"/>
  <c r="U20" i="9"/>
  <c r="W20" i="9" s="1"/>
  <c r="AE19" i="9"/>
  <c r="AF19" i="9" s="1"/>
  <c r="U19" i="9"/>
  <c r="W19" i="9" s="1"/>
  <c r="CT18" i="9" a="1"/>
  <c r="CT18" i="9" s="1"/>
  <c r="CR18" i="9" a="1"/>
  <c r="CR18" i="9" s="1"/>
  <c r="AE18" i="9"/>
  <c r="AF18" i="9" s="1"/>
  <c r="DU17" i="9"/>
  <c r="CT17" i="9" a="1"/>
  <c r="CT17" i="9" s="1"/>
  <c r="CR17" i="9" a="1"/>
  <c r="CR17" i="9" s="1"/>
  <c r="AE17" i="9"/>
  <c r="AF17" i="9" s="1"/>
  <c r="CT16" i="9" a="1"/>
  <c r="CT16" i="9" s="1"/>
  <c r="CR16" i="9" a="1"/>
  <c r="CR16" i="9" s="1"/>
  <c r="CG16" i="9"/>
  <c r="BB257" i="9" s="1"/>
  <c r="BB259" i="9" s="1"/>
  <c r="AE16" i="9"/>
  <c r="AF16" i="9" s="1"/>
  <c r="DH15" i="9" a="1"/>
  <c r="DH15" i="9" s="1"/>
  <c r="CT15" i="9" a="1"/>
  <c r="CT15" i="9" s="1"/>
  <c r="CR15" i="9" a="1"/>
  <c r="CR15" i="9" s="1"/>
  <c r="AE15" i="9"/>
  <c r="U15" i="9"/>
  <c r="W15" i="9" s="1"/>
  <c r="DH14" i="9" a="1"/>
  <c r="DH14" i="9" s="1"/>
  <c r="CT14" i="9" a="1"/>
  <c r="CT14" i="9" s="1"/>
  <c r="CR14" i="9" a="1"/>
  <c r="CR14" i="9" s="1"/>
  <c r="AE14" i="9"/>
  <c r="AF14" i="9" s="1"/>
  <c r="F14" i="9"/>
  <c r="F37" i="9" s="1"/>
  <c r="DH13" i="9" a="1"/>
  <c r="DH13" i="9" s="1"/>
  <c r="CT13" i="9" a="1"/>
  <c r="CT13" i="9" s="1"/>
  <c r="CR13" i="9" a="1"/>
  <c r="CR13" i="9" s="1"/>
  <c r="AE13" i="9"/>
  <c r="AF13" i="9" s="1"/>
  <c r="DH12" i="9" a="1"/>
  <c r="DH12" i="9"/>
  <c r="AE12" i="9"/>
  <c r="AF12" i="9" s="1"/>
  <c r="DH11" i="9" a="1"/>
  <c r="DH11" i="9" s="1"/>
  <c r="AE11" i="9"/>
  <c r="AG11" i="9" s="1"/>
  <c r="AB11" i="9"/>
  <c r="AD11" i="9" s="1"/>
  <c r="AB12" i="9" s="1"/>
  <c r="AD12" i="9" s="1"/>
  <c r="AB13" i="9" s="1"/>
  <c r="AD13" i="9" s="1"/>
  <c r="AB14" i="9" s="1"/>
  <c r="AD14" i="9" s="1"/>
  <c r="AB15" i="9" s="1"/>
  <c r="AD15" i="9" s="1"/>
  <c r="AB16" i="9" s="1"/>
  <c r="AD16" i="9" s="1"/>
  <c r="AB17" i="9" s="1"/>
  <c r="AD17" i="9" s="1"/>
  <c r="AB18" i="9" s="1"/>
  <c r="AD18" i="9" s="1"/>
  <c r="AB19" i="9" s="1"/>
  <c r="AD19" i="9" s="1"/>
  <c r="U11" i="9" a="1"/>
  <c r="U14" i="9" s="1"/>
  <c r="W14" i="9" s="1"/>
  <c r="C10" i="9"/>
  <c r="EC9" i="9"/>
  <c r="EE9" i="9" s="1"/>
  <c r="EB9" i="9"/>
  <c r="BT9" i="9"/>
  <c r="BU9" i="9" s="1"/>
  <c r="V9" i="9"/>
  <c r="EC8" i="9"/>
  <c r="EE8" i="9" s="1"/>
  <c r="EB8" i="9"/>
  <c r="CR8" i="9"/>
  <c r="BY8" i="9"/>
  <c r="BX8" i="9"/>
  <c r="BX9" i="9" s="1"/>
  <c r="BT8" i="9"/>
  <c r="BU8" i="9" s="1"/>
  <c r="V8" i="9"/>
  <c r="EC7" i="9"/>
  <c r="EE7" i="9" s="1"/>
  <c r="EB7" i="9"/>
  <c r="EA7" i="9" a="1"/>
  <c r="EA7" i="9" s="1"/>
  <c r="BT7" i="9"/>
  <c r="BU7" i="9" s="1"/>
  <c r="AU7" i="9" a="1"/>
  <c r="AU22" i="9" s="1"/>
  <c r="AQ7" i="9" a="1"/>
  <c r="AQ25" i="9" s="1"/>
  <c r="AX291" i="9" s="1"/>
  <c r="AM7" i="9" a="1"/>
  <c r="AM14" i="9" s="1"/>
  <c r="C7" i="9"/>
  <c r="C5" i="9"/>
  <c r="DG4" i="9"/>
  <c r="DJ11" i="9" l="1"/>
  <c r="DK11" i="9"/>
  <c r="DF21" i="9" s="1"/>
  <c r="AQ13" i="9"/>
  <c r="W11" i="9"/>
  <c r="CQ16" i="9"/>
  <c r="CU16" i="9" s="1" a="1"/>
  <c r="CU16" i="9" s="1"/>
  <c r="U11" i="9"/>
  <c r="AQ11" i="9"/>
  <c r="AQ15" i="9"/>
  <c r="AW36" i="9" s="1"/>
  <c r="U22" i="9"/>
  <c r="W22" i="9" s="1"/>
  <c r="U24" i="9"/>
  <c r="W24" i="9" s="1"/>
  <c r="U27" i="9"/>
  <c r="W27" i="9" s="1"/>
  <c r="BV45" i="9"/>
  <c r="BY45" i="9"/>
  <c r="BY46" i="9"/>
  <c r="BW48" i="9"/>
  <c r="AQ12" i="9"/>
  <c r="AQ24" i="9"/>
  <c r="AX290" i="9" s="1"/>
  <c r="U23" i="9"/>
  <c r="W23" i="9" s="1"/>
  <c r="AQ7" i="9"/>
  <c r="AQ14" i="9"/>
  <c r="AQ19" i="9"/>
  <c r="AQ23" i="9"/>
  <c r="AX289" i="9" s="1"/>
  <c r="CA45" i="9"/>
  <c r="BZ46" i="9"/>
  <c r="CA48" i="9"/>
  <c r="BW49" i="9"/>
  <c r="DJ13" i="9"/>
  <c r="DK13" i="9"/>
  <c r="DF25" i="9" s="1"/>
  <c r="AM1" i="9"/>
  <c r="DJ14" i="9"/>
  <c r="DK14" i="9"/>
  <c r="DF27" i="9" s="1"/>
  <c r="DG27" i="9" s="1"/>
  <c r="DH27" i="9" s="1"/>
  <c r="DK12" i="9"/>
  <c r="DF23" i="9" s="1"/>
  <c r="DG23" i="9" s="1"/>
  <c r="DH23" i="9" s="1"/>
  <c r="BM231" i="9" a="1"/>
  <c r="BM231" i="9" s="1"/>
  <c r="BM230" i="9" a="1"/>
  <c r="BM230" i="9" s="1"/>
  <c r="BM221" i="9" a="1"/>
  <c r="BM221" i="9" s="1"/>
  <c r="BM216" i="9" a="1"/>
  <c r="BM216" i="9" s="1"/>
  <c r="BM215" i="9" a="1"/>
  <c r="BM215" i="9" s="1"/>
  <c r="BM205" i="9" a="1"/>
  <c r="BM205" i="9" s="1"/>
  <c r="BM202" i="9" a="1"/>
  <c r="BM202" i="9" s="1"/>
  <c r="BM200" i="9" a="1"/>
  <c r="BM200" i="9" s="1"/>
  <c r="BM198" i="9" a="1"/>
  <c r="BM198" i="9" s="1"/>
  <c r="BM191" i="9" a="1"/>
  <c r="BM191" i="9" s="1"/>
  <c r="BM187" i="9" a="1"/>
  <c r="BM187" i="9" s="1"/>
  <c r="BM185" i="9" a="1"/>
  <c r="BM185" i="9" s="1"/>
  <c r="BM183" i="9" a="1"/>
  <c r="BM183" i="9" s="1"/>
  <c r="BM181" i="9" a="1"/>
  <c r="BM181" i="9" s="1"/>
  <c r="BM178" i="9" a="1"/>
  <c r="BM178" i="9" s="1"/>
  <c r="BM171" i="9" a="1"/>
  <c r="BM171" i="9" s="1"/>
  <c r="BM168" i="9" a="1"/>
  <c r="BM168" i="9" s="1"/>
  <c r="BM160" i="9" a="1"/>
  <c r="BM160" i="9" s="1"/>
  <c r="BM154" i="9" a="1"/>
  <c r="BM154" i="9" s="1"/>
  <c r="BM152" i="9" a="1"/>
  <c r="BM152" i="9" s="1"/>
  <c r="BM146" i="9" a="1"/>
  <c r="BM146" i="9" s="1"/>
  <c r="BM144" i="9" a="1"/>
  <c r="BM144" i="9" s="1"/>
  <c r="BM137" i="9" a="1"/>
  <c r="BM137" i="9" s="1"/>
  <c r="BM133" i="9" a="1"/>
  <c r="BM133" i="9" s="1"/>
  <c r="BM130" i="9" a="1"/>
  <c r="BM130" i="9" s="1"/>
  <c r="BM125" i="9" a="1"/>
  <c r="BM125" i="9" s="1"/>
  <c r="BM118" i="9" a="1"/>
  <c r="BM118" i="9" s="1"/>
  <c r="BM114" i="9" a="1"/>
  <c r="BM114" i="9" s="1"/>
  <c r="BM111" i="9" a="1"/>
  <c r="BM111" i="9" s="1"/>
  <c r="BM109" i="9" a="1"/>
  <c r="BM109" i="9" s="1"/>
  <c r="BM108" i="9" a="1"/>
  <c r="BM108" i="9" s="1"/>
  <c r="BM96" i="9" a="1"/>
  <c r="BM96" i="9" s="1"/>
  <c r="BM85" i="9" a="1"/>
  <c r="BM85" i="9" s="1"/>
  <c r="BM77" i="9" a="1"/>
  <c r="BM77" i="9" s="1"/>
  <c r="BM60" i="9" a="1"/>
  <c r="BM60" i="9" s="1"/>
  <c r="BM59" i="9" a="1"/>
  <c r="BM59" i="9" s="1"/>
  <c r="BM49" i="9" a="1"/>
  <c r="BM49" i="9" s="1"/>
  <c r="BM45" i="9" a="1"/>
  <c r="BM45" i="9" s="1"/>
  <c r="BM44" i="9" a="1"/>
  <c r="BM44" i="9" s="1"/>
  <c r="EA8" i="9" a="1"/>
  <c r="EA8" i="9" s="1"/>
  <c r="BM252" i="9" a="1"/>
  <c r="BM252" i="9" s="1"/>
  <c r="BM251" i="9" a="1"/>
  <c r="BM251" i="9" s="1"/>
  <c r="BM250" i="9" a="1"/>
  <c r="BM250" i="9" s="1"/>
  <c r="BM247" i="9" a="1"/>
  <c r="BM247" i="9" s="1"/>
  <c r="BM246" i="9" a="1"/>
  <c r="BM246" i="9" s="1"/>
  <c r="BM241" i="9" a="1"/>
  <c r="BM241" i="9" s="1"/>
  <c r="BM238" i="9" a="1"/>
  <c r="BM238" i="9" s="1"/>
  <c r="BM236" i="9" a="1"/>
  <c r="BM236" i="9" s="1"/>
  <c r="BM233" i="9" a="1"/>
  <c r="BM233" i="9" s="1"/>
  <c r="BM225" i="9" a="1"/>
  <c r="BM225" i="9" s="1"/>
  <c r="BM222" i="9" a="1"/>
  <c r="BM222" i="9" s="1"/>
  <c r="CR4" i="9"/>
  <c r="EA9" i="9" a="1"/>
  <c r="EA9" i="9" s="1"/>
  <c r="BM39" i="9" a="1"/>
  <c r="BM39" i="9" s="1"/>
  <c r="BM43" i="9" a="1"/>
  <c r="BM43" i="9" s="1"/>
  <c r="BM48" i="9" a="1"/>
  <c r="BM48" i="9" s="1"/>
  <c r="BM58" i="9" a="1"/>
  <c r="BM58" i="9" s="1"/>
  <c r="BM67" i="9" a="1"/>
  <c r="BM67" i="9" s="1"/>
  <c r="BM70" i="9" a="1"/>
  <c r="BM70" i="9" s="1"/>
  <c r="BM88" i="9" a="1"/>
  <c r="BM88" i="9" s="1"/>
  <c r="BM95" i="9" a="1"/>
  <c r="BM95" i="9" s="1"/>
  <c r="BM126" i="9" a="1"/>
  <c r="BM126" i="9" s="1"/>
  <c r="BM128" i="9" a="1"/>
  <c r="BM128" i="9" s="1"/>
  <c r="BM136" i="9" a="1"/>
  <c r="BM136" i="9" s="1"/>
  <c r="BM139" i="9" a="1"/>
  <c r="BM139" i="9" s="1"/>
  <c r="BM140" i="9" a="1"/>
  <c r="BM140" i="9" s="1"/>
  <c r="BM158" i="9" a="1"/>
  <c r="BM158" i="9" s="1"/>
  <c r="BM164" i="9" a="1"/>
  <c r="BM164" i="9" s="1"/>
  <c r="BM166" i="9" a="1"/>
  <c r="BM166" i="9" s="1"/>
  <c r="BM175" i="9" a="1"/>
  <c r="BM175" i="9" s="1"/>
  <c r="BM179" i="9" a="1"/>
  <c r="BM179" i="9" s="1"/>
  <c r="BM201" i="9" a="1"/>
  <c r="BM201" i="9" s="1"/>
  <c r="BM213" i="9" a="1"/>
  <c r="BM213" i="9" s="1"/>
  <c r="BM227" i="9" a="1"/>
  <c r="BM227" i="9" s="1"/>
  <c r="DM11" i="9"/>
  <c r="DJ12" i="9"/>
  <c r="DM12" i="9" s="1"/>
  <c r="BM41" i="9" a="1"/>
  <c r="BM41" i="9" s="1"/>
  <c r="DN15" i="9" s="1"/>
  <c r="BM46" i="9" a="1"/>
  <c r="BM46" i="9" s="1"/>
  <c r="BM51" i="9" a="1"/>
  <c r="BM51" i="9" s="1"/>
  <c r="BM52" i="9" a="1"/>
  <c r="BM52" i="9" s="1"/>
  <c r="BM55" i="9" a="1"/>
  <c r="BM55" i="9" s="1"/>
  <c r="BM63" i="9" a="1"/>
  <c r="BM63" i="9" s="1"/>
  <c r="BM66" i="9" a="1"/>
  <c r="BM66" i="9" s="1"/>
  <c r="BM72" i="9" a="1"/>
  <c r="BM72" i="9" s="1"/>
  <c r="BM73" i="9" a="1"/>
  <c r="BM73" i="9" s="1"/>
  <c r="BM75" i="9" a="1"/>
  <c r="BM75" i="9" s="1"/>
  <c r="BM78" i="9" a="1"/>
  <c r="BM78" i="9" s="1"/>
  <c r="BM79" i="9" a="1"/>
  <c r="BM79" i="9" s="1"/>
  <c r="BM80" i="9" a="1"/>
  <c r="BM80" i="9" s="1"/>
  <c r="BM82" i="9" a="1"/>
  <c r="BM82" i="9" s="1"/>
  <c r="BM84" i="9" a="1"/>
  <c r="BM84" i="9" s="1"/>
  <c r="BM97" i="9" a="1"/>
  <c r="BM97" i="9" s="1"/>
  <c r="BM98" i="9" a="1"/>
  <c r="BM98" i="9" s="1"/>
  <c r="BM99" i="9" a="1"/>
  <c r="BM99" i="9" s="1"/>
  <c r="BM110" i="9" a="1"/>
  <c r="BM110" i="9" s="1"/>
  <c r="BM116" i="9" a="1"/>
  <c r="BM116" i="9" s="1"/>
  <c r="BM119" i="9" a="1"/>
  <c r="BM119" i="9" s="1"/>
  <c r="BM121" i="9" a="1"/>
  <c r="BM121" i="9" s="1"/>
  <c r="BM134" i="9" a="1"/>
  <c r="BM134" i="9" s="1"/>
  <c r="BM135" i="9" a="1"/>
  <c r="BM135" i="9" s="1"/>
  <c r="BM138" i="9" a="1"/>
  <c r="BM138" i="9" s="1"/>
  <c r="BM143" i="9" a="1"/>
  <c r="BM143" i="9" s="1"/>
  <c r="BM147" i="9" a="1"/>
  <c r="BM147" i="9" s="1"/>
  <c r="BM149" i="9" a="1"/>
  <c r="BM149" i="9" s="1"/>
  <c r="BM155" i="9" a="1"/>
  <c r="BM155" i="9" s="1"/>
  <c r="BM156" i="9" a="1"/>
  <c r="BM156" i="9" s="1"/>
  <c r="BM157" i="9" a="1"/>
  <c r="BM157" i="9" s="1"/>
  <c r="BM172" i="9" a="1"/>
  <c r="BM172" i="9" s="1"/>
  <c r="BM176" i="9" a="1"/>
  <c r="BM176" i="9" s="1"/>
  <c r="BM180" i="9" a="1"/>
  <c r="BM180" i="9" s="1"/>
  <c r="BM186" i="9" a="1"/>
  <c r="BM186" i="9" s="1"/>
  <c r="BM188" i="9" a="1"/>
  <c r="BM188" i="9" s="1"/>
  <c r="BM193" i="9" a="1"/>
  <c r="BM193" i="9" s="1"/>
  <c r="BM196" i="9" a="1"/>
  <c r="BM196" i="9" s="1"/>
  <c r="BM204" i="9" a="1"/>
  <c r="BM204" i="9" s="1"/>
  <c r="BM206" i="9" a="1"/>
  <c r="BM206" i="9" s="1"/>
  <c r="BM208" i="9" a="1"/>
  <c r="BM208" i="9" s="1"/>
  <c r="BM210" i="9" a="1"/>
  <c r="BM210" i="9" s="1"/>
  <c r="BM212" i="9" a="1"/>
  <c r="BM212" i="9" s="1"/>
  <c r="BM220" i="9" a="1"/>
  <c r="BM220" i="9" s="1"/>
  <c r="BM228" i="9" a="1"/>
  <c r="BM228" i="9" s="1"/>
  <c r="BM232" i="9" a="1"/>
  <c r="BM232" i="9" s="1"/>
  <c r="BM235" i="9" a="1"/>
  <c r="BM235" i="9" s="1"/>
  <c r="CW16" i="9"/>
  <c r="AF11" i="9"/>
  <c r="AI11" i="9" s="1"/>
  <c r="AG12" i="9" s="1"/>
  <c r="AI12" i="9" s="1"/>
  <c r="AG13" i="9" s="1"/>
  <c r="AI13" i="9" s="1"/>
  <c r="AG14" i="9" s="1"/>
  <c r="CW17" i="9"/>
  <c r="CW13" i="9"/>
  <c r="CQ13" i="9"/>
  <c r="CU13" i="9" s="1" a="1"/>
  <c r="CU13" i="9" s="1"/>
  <c r="CW15" i="9"/>
  <c r="CQ14" i="9"/>
  <c r="CU14" i="9" s="1" a="1"/>
  <c r="CU14" i="9" s="1"/>
  <c r="CW14" i="9"/>
  <c r="BB260" i="9"/>
  <c r="CW18" i="9"/>
  <c r="AW223" i="9"/>
  <c r="AO223" i="9" s="1"/>
  <c r="AX307" i="9"/>
  <c r="AW222" i="9"/>
  <c r="AO222" i="9" s="1"/>
  <c r="AW205" i="9"/>
  <c r="AO205" i="9" s="1"/>
  <c r="AW107" i="9"/>
  <c r="AO107" i="9" s="1"/>
  <c r="AW101" i="9"/>
  <c r="AO101" i="9" s="1"/>
  <c r="DL15" i="9"/>
  <c r="DK15" i="9"/>
  <c r="DF29" i="9" s="1"/>
  <c r="DJ15" i="9"/>
  <c r="DM15" i="9" s="1"/>
  <c r="AX263" i="9"/>
  <c r="AU200" i="9"/>
  <c r="AU79" i="9"/>
  <c r="AU78" i="9"/>
  <c r="AU76" i="9"/>
  <c r="AU77" i="9"/>
  <c r="C14" i="9" a="1"/>
  <c r="C14" i="9" s="1"/>
  <c r="AB21" i="9"/>
  <c r="AD21" i="9" s="1"/>
  <c r="AB22" i="9" s="1"/>
  <c r="AD22" i="9" s="1"/>
  <c r="AB23" i="9" s="1"/>
  <c r="AD23" i="9" s="1"/>
  <c r="AB24" i="9" s="1"/>
  <c r="AB20" i="9"/>
  <c r="AD20" i="9" s="1"/>
  <c r="DF20" i="9"/>
  <c r="DG20" i="9" s="1"/>
  <c r="DH20" i="9" s="1"/>
  <c r="DG21" i="9"/>
  <c r="DH21" i="9" s="1"/>
  <c r="BK251" i="9"/>
  <c r="BJ251" i="9" s="1"/>
  <c r="BI251" i="9" s="1"/>
  <c r="BG251" i="9" s="1"/>
  <c r="BK247" i="9"/>
  <c r="BJ247" i="9" s="1"/>
  <c r="BI247" i="9" s="1"/>
  <c r="BH247" i="9" s="1"/>
  <c r="BG247" i="9" s="1"/>
  <c r="BK243" i="9"/>
  <c r="BJ243" i="9" s="1"/>
  <c r="BI243" i="9" s="1"/>
  <c r="BH243" i="9" s="1"/>
  <c r="BK239" i="9"/>
  <c r="BK235" i="9"/>
  <c r="BJ235" i="9" s="1"/>
  <c r="BI235" i="9" s="1"/>
  <c r="BH235" i="9" s="1"/>
  <c r="BG235" i="9" s="1"/>
  <c r="BK252" i="9"/>
  <c r="BJ252" i="9" s="1"/>
  <c r="BI252" i="9" s="1"/>
  <c r="BH252" i="9" s="1"/>
  <c r="BG252" i="9" s="1"/>
  <c r="BK248" i="9"/>
  <c r="BK244" i="9"/>
  <c r="BK240" i="9"/>
  <c r="BK231" i="9"/>
  <c r="BH231" i="9" s="1"/>
  <c r="BK222" i="9"/>
  <c r="BH222" i="9" s="1"/>
  <c r="BK220" i="9"/>
  <c r="BH220" i="9" s="1"/>
  <c r="BK218" i="9"/>
  <c r="BJ218" i="9" s="1"/>
  <c r="BI218" i="9" s="1"/>
  <c r="BH218" i="9" s="1"/>
  <c r="BG218" i="9" s="1"/>
  <c r="BK214" i="9"/>
  <c r="BH214" i="9" s="1"/>
  <c r="BK212" i="9"/>
  <c r="BK205" i="9"/>
  <c r="BH205" i="9" s="1"/>
  <c r="BK203" i="9"/>
  <c r="BH203" i="9" s="1"/>
  <c r="BK198" i="9"/>
  <c r="BK195" i="9"/>
  <c r="BK249" i="9"/>
  <c r="BI249" i="9" s="1"/>
  <c r="BH249" i="9" s="1"/>
  <c r="BG249" i="9" s="1"/>
  <c r="BK246" i="9"/>
  <c r="BJ246" i="9" s="1"/>
  <c r="BI246" i="9" s="1"/>
  <c r="BH246" i="9" s="1"/>
  <c r="BK242" i="9"/>
  <c r="BJ242" i="9" s="1"/>
  <c r="BI242" i="9" s="1"/>
  <c r="BH242" i="9" s="1"/>
  <c r="BG242" i="9" s="1"/>
  <c r="BK238" i="9"/>
  <c r="BK233" i="9"/>
  <c r="BJ233" i="9" s="1"/>
  <c r="BI233" i="9" s="1"/>
  <c r="BK230" i="9"/>
  <c r="BK228" i="9"/>
  <c r="BH228" i="9" s="1"/>
  <c r="BG228" i="9" s="1"/>
  <c r="BK226" i="9"/>
  <c r="BK224" i="9"/>
  <c r="BK219" i="9"/>
  <c r="BJ219" i="9" s="1"/>
  <c r="BH219" i="9" s="1"/>
  <c r="BG219" i="9" s="1"/>
  <c r="BK215" i="9"/>
  <c r="BJ215" i="9" s="1"/>
  <c r="BI215" i="9" s="1"/>
  <c r="BH215" i="9" s="1"/>
  <c r="BG215" i="9" s="1"/>
  <c r="BK250" i="9"/>
  <c r="BJ250" i="9" s="1"/>
  <c r="BI250" i="9" s="1"/>
  <c r="BK245" i="9"/>
  <c r="BK241" i="9"/>
  <c r="BJ241" i="9" s="1"/>
  <c r="BH241" i="9" s="1"/>
  <c r="BG241" i="9" s="1"/>
  <c r="BK234" i="9"/>
  <c r="BJ234" i="9" s="1"/>
  <c r="BI234" i="9" s="1"/>
  <c r="BK232" i="9"/>
  <c r="BJ232" i="9" s="1"/>
  <c r="BH232" i="9" s="1"/>
  <c r="BK223" i="9"/>
  <c r="BK221" i="9"/>
  <c r="BH221" i="9" s="1"/>
  <c r="BK216" i="9"/>
  <c r="BJ216" i="9" s="1"/>
  <c r="BI216" i="9" s="1"/>
  <c r="BH216" i="9" s="1"/>
  <c r="BG216" i="9" s="1"/>
  <c r="BK237" i="9"/>
  <c r="BK207" i="9"/>
  <c r="BH207" i="9" s="1"/>
  <c r="BK206" i="9"/>
  <c r="BK190" i="9"/>
  <c r="BH190" i="9" s="1"/>
  <c r="BK186" i="9"/>
  <c r="BH186" i="9" s="1"/>
  <c r="BK183" i="9"/>
  <c r="BH183" i="9" s="1"/>
  <c r="BK180" i="9"/>
  <c r="BJ180" i="9" s="1"/>
  <c r="BH180" i="9" s="1"/>
  <c r="BK176" i="9"/>
  <c r="BJ176" i="9" s="1"/>
  <c r="BH176" i="9" s="1"/>
  <c r="BK172" i="9"/>
  <c r="BJ172" i="9" s="1"/>
  <c r="BK168" i="9"/>
  <c r="BK164" i="9"/>
  <c r="BJ164" i="9" s="1"/>
  <c r="BH164" i="9" s="1"/>
  <c r="BK160" i="9"/>
  <c r="BH160" i="9" s="1"/>
  <c r="BK227" i="9"/>
  <c r="BH227" i="9" s="1"/>
  <c r="BK217" i="9"/>
  <c r="BJ217" i="9" s="1"/>
  <c r="BH217" i="9" s="1"/>
  <c r="BG217" i="9" s="1"/>
  <c r="BK209" i="9"/>
  <c r="BH209" i="9" s="1"/>
  <c r="BK208" i="9"/>
  <c r="BH208" i="9" s="1"/>
  <c r="BK204" i="9"/>
  <c r="BK200" i="9"/>
  <c r="BJ200" i="9" s="1"/>
  <c r="BH200" i="9" s="1"/>
  <c r="BK193" i="9"/>
  <c r="BH193" i="9" s="1"/>
  <c r="BK192" i="9"/>
  <c r="BK191" i="9"/>
  <c r="BK189" i="9"/>
  <c r="BK187" i="9"/>
  <c r="BH187" i="9" s="1"/>
  <c r="BK184" i="9"/>
  <c r="BH184" i="9" s="1"/>
  <c r="BK181" i="9"/>
  <c r="BJ181" i="9" s="1"/>
  <c r="BK177" i="9"/>
  <c r="BJ177" i="9" s="1"/>
  <c r="BH177" i="9" s="1"/>
  <c r="BK173" i="9"/>
  <c r="BJ173" i="9" s="1"/>
  <c r="BH173" i="9" s="1"/>
  <c r="BK169" i="9"/>
  <c r="BJ169" i="9" s="1"/>
  <c r="BH169" i="9" s="1"/>
  <c r="BK165" i="9"/>
  <c r="BK161" i="9"/>
  <c r="BK155" i="9"/>
  <c r="BJ155" i="9" s="1"/>
  <c r="BH155" i="9" s="1"/>
  <c r="BK154" i="9"/>
  <c r="BJ154" i="9" s="1"/>
  <c r="BH154" i="9" s="1"/>
  <c r="BK152" i="9"/>
  <c r="BK229" i="9"/>
  <c r="BH229" i="9" s="1"/>
  <c r="BK225" i="9"/>
  <c r="BH225" i="9" s="1"/>
  <c r="BG225" i="9" s="1"/>
  <c r="BK211" i="9"/>
  <c r="BH211" i="9" s="1"/>
  <c r="BK210" i="9"/>
  <c r="BK202" i="9"/>
  <c r="BK201" i="9"/>
  <c r="BH201" i="9" s="1"/>
  <c r="BK199" i="9"/>
  <c r="BH199" i="9" s="1"/>
  <c r="BK194" i="9"/>
  <c r="BK213" i="9"/>
  <c r="BK185" i="9"/>
  <c r="BH185" i="9" s="1"/>
  <c r="BK167" i="9"/>
  <c r="BH167" i="9" s="1"/>
  <c r="BK162" i="9"/>
  <c r="BK153" i="9"/>
  <c r="BH153" i="9" s="1"/>
  <c r="BK151" i="9"/>
  <c r="BK138" i="9"/>
  <c r="BK133" i="9"/>
  <c r="BJ133" i="9" s="1"/>
  <c r="BK132" i="9"/>
  <c r="BK131" i="9"/>
  <c r="BJ131" i="9" s="1"/>
  <c r="BH131" i="9" s="1"/>
  <c r="BK129" i="9"/>
  <c r="BJ129" i="9" s="1"/>
  <c r="BH129" i="9" s="1"/>
  <c r="BK121" i="9"/>
  <c r="BK116" i="9"/>
  <c r="BK113" i="9"/>
  <c r="BK110" i="9"/>
  <c r="BH110" i="9" s="1"/>
  <c r="BK197" i="9"/>
  <c r="BJ197" i="9" s="1"/>
  <c r="BI197" i="9" s="1"/>
  <c r="BH197" i="9" s="1"/>
  <c r="BK188" i="9"/>
  <c r="BH188" i="9" s="1"/>
  <c r="BK163" i="9"/>
  <c r="BK144" i="9"/>
  <c r="BI144" i="9" s="1"/>
  <c r="BH144" i="9" s="1"/>
  <c r="BK143" i="9"/>
  <c r="BK142" i="9"/>
  <c r="BJ142" i="9" s="1"/>
  <c r="BI142" i="9" s="1"/>
  <c r="BH142" i="9" s="1"/>
  <c r="BK141" i="9"/>
  <c r="BK140" i="9"/>
  <c r="BK139" i="9"/>
  <c r="BK136" i="9"/>
  <c r="BK126" i="9"/>
  <c r="BH126" i="9" s="1"/>
  <c r="BK120" i="9"/>
  <c r="BK115" i="9"/>
  <c r="BK182" i="9"/>
  <c r="BJ182" i="9" s="1"/>
  <c r="BH182" i="9" s="1"/>
  <c r="BK178" i="9"/>
  <c r="BJ178" i="9" s="1"/>
  <c r="BK174" i="9"/>
  <c r="BJ174" i="9" s="1"/>
  <c r="BH174" i="9" s="1"/>
  <c r="BK170" i="9"/>
  <c r="BJ170" i="9" s="1"/>
  <c r="BK159" i="9"/>
  <c r="BJ159" i="9" s="1"/>
  <c r="BH159" i="9" s="1"/>
  <c r="BK158" i="9"/>
  <c r="BH158" i="9" s="1"/>
  <c r="BK157" i="9"/>
  <c r="BH157" i="9" s="1"/>
  <c r="BK236" i="9"/>
  <c r="BK179" i="9"/>
  <c r="BJ179" i="9" s="1"/>
  <c r="BH179" i="9" s="1"/>
  <c r="BK150" i="9"/>
  <c r="BJ150" i="9" s="1"/>
  <c r="BH150" i="9" s="1"/>
  <c r="BK149" i="9"/>
  <c r="BH149" i="9" s="1"/>
  <c r="BK137" i="9"/>
  <c r="BK130" i="9"/>
  <c r="BJ130" i="9" s="1"/>
  <c r="BH130" i="9" s="1"/>
  <c r="BK124" i="9"/>
  <c r="BK148" i="9"/>
  <c r="BK135" i="9"/>
  <c r="BK134" i="9"/>
  <c r="BJ134" i="9" s="1"/>
  <c r="BH134" i="9" s="1"/>
  <c r="BK128" i="9"/>
  <c r="BK118" i="9"/>
  <c r="BK105" i="9"/>
  <c r="BH105" i="9" s="1"/>
  <c r="BK100" i="9"/>
  <c r="BK99" i="9"/>
  <c r="BK91" i="9"/>
  <c r="BH91" i="9" s="1"/>
  <c r="BK171" i="9"/>
  <c r="BJ171" i="9" s="1"/>
  <c r="BH171" i="9" s="1"/>
  <c r="BK156" i="9"/>
  <c r="BK147" i="9"/>
  <c r="BJ147" i="9" s="1"/>
  <c r="BH147" i="9" s="1"/>
  <c r="BK146" i="9"/>
  <c r="BH146" i="9" s="1"/>
  <c r="BK127" i="9"/>
  <c r="BJ127" i="9" s="1"/>
  <c r="BH127" i="9" s="1"/>
  <c r="BK125" i="9"/>
  <c r="BK123" i="9"/>
  <c r="BH123" i="9" s="1"/>
  <c r="BK122" i="9"/>
  <c r="BH122" i="9" s="1"/>
  <c r="BK117" i="9"/>
  <c r="BH117" i="9" s="1"/>
  <c r="BK109" i="9"/>
  <c r="BH109" i="9" s="1"/>
  <c r="BK106" i="9"/>
  <c r="BK98" i="9"/>
  <c r="BK85" i="9"/>
  <c r="BK80" i="9"/>
  <c r="BK77" i="9"/>
  <c r="BJ77" i="9" s="1"/>
  <c r="BK76" i="9"/>
  <c r="BJ76" i="9" s="1"/>
  <c r="BK196" i="9"/>
  <c r="BK145" i="9"/>
  <c r="BH145" i="9" s="1"/>
  <c r="BK108" i="9"/>
  <c r="BK97" i="9"/>
  <c r="BK92" i="9"/>
  <c r="BH92" i="9" s="1"/>
  <c r="BK88" i="9"/>
  <c r="BJ88" i="9" s="1"/>
  <c r="BH88" i="9" s="1"/>
  <c r="BK82" i="9"/>
  <c r="BK175" i="9"/>
  <c r="BJ175" i="9" s="1"/>
  <c r="BH175" i="9" s="1"/>
  <c r="BK114" i="9"/>
  <c r="BJ114" i="9" s="1"/>
  <c r="BK111" i="9"/>
  <c r="BH111" i="9" s="1"/>
  <c r="BK107" i="9"/>
  <c r="BK96" i="9"/>
  <c r="BK90" i="9"/>
  <c r="BK86" i="9"/>
  <c r="BJ86" i="9" s="1"/>
  <c r="BH86" i="9" s="1"/>
  <c r="BK112" i="9"/>
  <c r="BK103" i="9"/>
  <c r="BK95" i="9"/>
  <c r="BK89" i="9"/>
  <c r="BH89" i="9" s="1"/>
  <c r="BK87" i="9"/>
  <c r="BK83" i="9"/>
  <c r="BK166" i="9"/>
  <c r="BJ166" i="9" s="1"/>
  <c r="BK119" i="9"/>
  <c r="BK104" i="9"/>
  <c r="BH104" i="9" s="1"/>
  <c r="BK102" i="9"/>
  <c r="BH102" i="9" s="1"/>
  <c r="BK101" i="9"/>
  <c r="BK94" i="9"/>
  <c r="BH94" i="9" s="1"/>
  <c r="BK93" i="9"/>
  <c r="BK79" i="9"/>
  <c r="BJ79" i="9" s="1"/>
  <c r="BH79" i="9" s="1"/>
  <c r="BK75" i="9"/>
  <c r="BK74" i="9"/>
  <c r="BK81" i="9"/>
  <c r="BJ81" i="9" s="1"/>
  <c r="BI81" i="9" s="1"/>
  <c r="BH81" i="9" s="1"/>
  <c r="BK78" i="9"/>
  <c r="BJ78" i="9" s="1"/>
  <c r="BK71" i="9"/>
  <c r="BH71" i="9" s="1"/>
  <c r="BK68" i="9"/>
  <c r="BH68" i="9" s="1"/>
  <c r="BK61" i="9"/>
  <c r="BH61" i="9" s="1"/>
  <c r="BK60" i="9"/>
  <c r="BK58" i="9"/>
  <c r="BH58" i="9" s="1"/>
  <c r="BK57" i="9"/>
  <c r="BH57" i="9" s="1"/>
  <c r="BK55" i="9"/>
  <c r="BJ55" i="9" s="1"/>
  <c r="BH55" i="9" s="1"/>
  <c r="BK54" i="9"/>
  <c r="BJ54" i="9" s="1"/>
  <c r="BH54" i="9" s="1"/>
  <c r="BK51" i="9"/>
  <c r="BK49" i="9"/>
  <c r="BK48" i="9"/>
  <c r="BH48" i="9" s="1"/>
  <c r="BK44" i="9"/>
  <c r="BH44" i="9" s="1"/>
  <c r="BK41" i="9"/>
  <c r="BJ41" i="9" s="1"/>
  <c r="BI41" i="9" s="1"/>
  <c r="BH41" i="9" s="1"/>
  <c r="BK38" i="9"/>
  <c r="BJ38" i="9" s="1"/>
  <c r="BI38" i="9" s="1"/>
  <c r="BH38" i="9" s="1"/>
  <c r="BG38" i="9" s="1"/>
  <c r="BK73" i="9"/>
  <c r="BK70" i="9"/>
  <c r="BK59" i="9"/>
  <c r="BK50" i="9"/>
  <c r="BH50" i="9" s="1"/>
  <c r="BK72" i="9"/>
  <c r="BK69" i="9"/>
  <c r="BK64" i="9"/>
  <c r="BK63" i="9"/>
  <c r="BH63" i="9" s="1"/>
  <c r="BK56" i="9"/>
  <c r="BJ56" i="9" s="1"/>
  <c r="BH56" i="9" s="1"/>
  <c r="BK52" i="9"/>
  <c r="BK47" i="9"/>
  <c r="BK46" i="9"/>
  <c r="BK43" i="9"/>
  <c r="BK40" i="9"/>
  <c r="BK84" i="9"/>
  <c r="BK67" i="9"/>
  <c r="BK66" i="9"/>
  <c r="BK65" i="9"/>
  <c r="BJ65" i="9" s="1"/>
  <c r="BH65" i="9" s="1"/>
  <c r="BK62" i="9"/>
  <c r="BK53" i="9"/>
  <c r="BJ53" i="9" s="1"/>
  <c r="BK42" i="9"/>
  <c r="BI42" i="9" s="1"/>
  <c r="BK37" i="9"/>
  <c r="BJ37" i="9" s="1"/>
  <c r="BI37" i="9" s="1"/>
  <c r="BH37" i="9" s="1"/>
  <c r="BK36" i="9"/>
  <c r="BK35" i="9"/>
  <c r="BK34" i="9"/>
  <c r="BK32" i="9"/>
  <c r="BJ32" i="9" s="1"/>
  <c r="BI32" i="9" s="1"/>
  <c r="BH32" i="9" s="1"/>
  <c r="BG32" i="9" s="1"/>
  <c r="BK39" i="9"/>
  <c r="BJ39" i="9" s="1"/>
  <c r="BK33" i="9"/>
  <c r="BK45" i="9"/>
  <c r="EE10" i="9"/>
  <c r="DG5" i="9" s="1" a="1"/>
  <c r="DG5" i="9" s="1"/>
  <c r="DG25" i="9"/>
  <c r="DH25" i="9" s="1"/>
  <c r="AU8" i="9"/>
  <c r="AX278" i="9"/>
  <c r="AX280" i="9"/>
  <c r="AU17" i="9"/>
  <c r="AM19" i="9"/>
  <c r="AU25" i="9"/>
  <c r="BZ8" i="9"/>
  <c r="AM10" i="9"/>
  <c r="AU11" i="9"/>
  <c r="DL14" i="9"/>
  <c r="AF15" i="9"/>
  <c r="CQ17" i="9"/>
  <c r="CU17" i="9" s="1" a="1"/>
  <c r="CU17" i="9" s="1"/>
  <c r="AU9" i="9"/>
  <c r="BY9" i="9"/>
  <c r="AU16" i="9"/>
  <c r="AX301" i="9" s="1"/>
  <c r="AU18" i="9"/>
  <c r="AU20" i="9"/>
  <c r="AU21" i="9"/>
  <c r="CP28" i="9"/>
  <c r="AU12" i="9"/>
  <c r="AU13" i="9"/>
  <c r="DL13" i="9"/>
  <c r="AU14" i="9"/>
  <c r="AM22" i="9"/>
  <c r="AF23" i="9"/>
  <c r="BU23" i="9" a="1"/>
  <c r="BU23" i="9" s="1"/>
  <c r="BW22" i="9" s="1"/>
  <c r="BY23" i="9" a="1"/>
  <c r="BY23" i="9" s="1"/>
  <c r="CA22" i="9" s="1"/>
  <c r="CC23" i="9" a="1"/>
  <c r="CC23" i="9" s="1"/>
  <c r="CE22" i="9" s="1"/>
  <c r="CP23" i="9"/>
  <c r="U35" i="9"/>
  <c r="W35" i="9" s="1"/>
  <c r="U32" i="9"/>
  <c r="W32" i="9" s="1"/>
  <c r="U31" i="9"/>
  <c r="W31" i="9" s="1"/>
  <c r="U30" i="9"/>
  <c r="W30" i="9" s="1"/>
  <c r="U37" i="9"/>
  <c r="W37" i="9" s="1"/>
  <c r="U33" i="9"/>
  <c r="W33" i="9" s="1"/>
  <c r="U29" i="9"/>
  <c r="W29" i="9" s="1"/>
  <c r="AM8" i="9"/>
  <c r="CA8" i="9"/>
  <c r="AM9" i="9"/>
  <c r="AQ10" i="9"/>
  <c r="DL11" i="9"/>
  <c r="DL12" i="9"/>
  <c r="DM13" i="9"/>
  <c r="DM14" i="9"/>
  <c r="AU15" i="9"/>
  <c r="CQ15" i="9"/>
  <c r="CU15" i="9" s="1" a="1"/>
  <c r="CU15" i="9" s="1"/>
  <c r="U16" i="9"/>
  <c r="W16" i="9" s="1"/>
  <c r="AM16" i="9"/>
  <c r="U17" i="9"/>
  <c r="W17" i="9" s="1"/>
  <c r="AM17" i="9"/>
  <c r="U18" i="9"/>
  <c r="W18" i="9" s="1"/>
  <c r="AM18" i="9"/>
  <c r="AU19" i="9"/>
  <c r="AM20" i="9"/>
  <c r="U21" i="9"/>
  <c r="W21" i="9" s="1"/>
  <c r="AM21" i="9"/>
  <c r="BT21" i="9"/>
  <c r="BU21" i="9" s="1"/>
  <c r="AF22" i="9"/>
  <c r="AQ22" i="9"/>
  <c r="AU23" i="9"/>
  <c r="AX308" i="9" s="1"/>
  <c r="AF24" i="9"/>
  <c r="AU24" i="9"/>
  <c r="BH53" i="9"/>
  <c r="BH62" i="9"/>
  <c r="AX277" i="9"/>
  <c r="AW171" i="9"/>
  <c r="AW204" i="9"/>
  <c r="AO204" i="9" s="1"/>
  <c r="AX279" i="9"/>
  <c r="AW203" i="9"/>
  <c r="AO203" i="9" s="1"/>
  <c r="AW194" i="9"/>
  <c r="AO194" i="9" s="1"/>
  <c r="AW201" i="9"/>
  <c r="AO201" i="9" s="1"/>
  <c r="AM15" i="9"/>
  <c r="AM23" i="9"/>
  <c r="AX273" i="9"/>
  <c r="AW61" i="9"/>
  <c r="AO61" i="9" s="1"/>
  <c r="AW45" i="9"/>
  <c r="AO45" i="9" s="1"/>
  <c r="CQ18" i="9"/>
  <c r="CU18" i="9" s="1" a="1"/>
  <c r="CU18" i="9" s="1"/>
  <c r="AX285" i="9"/>
  <c r="CP25" i="9"/>
  <c r="AF27" i="9"/>
  <c r="CP27" i="9"/>
  <c r="AM7" i="9"/>
  <c r="AU7" i="9"/>
  <c r="AQ8" i="9"/>
  <c r="AQ9" i="9"/>
  <c r="AU10" i="9"/>
  <c r="AM11" i="9"/>
  <c r="U12" i="9"/>
  <c r="W12" i="9" s="1"/>
  <c r="AM12" i="9"/>
  <c r="U13" i="9"/>
  <c r="W13" i="9" s="1"/>
  <c r="AM13" i="9"/>
  <c r="AQ16" i="9"/>
  <c r="AQ17" i="9"/>
  <c r="AQ18" i="9"/>
  <c r="AW93" i="9" s="1"/>
  <c r="AO93" i="9" s="1"/>
  <c r="AQ20" i="9"/>
  <c r="AX286" i="9" s="1"/>
  <c r="AQ21" i="9"/>
  <c r="CP21" i="9"/>
  <c r="CP22" i="9"/>
  <c r="BW23" i="9" a="1"/>
  <c r="BW23" i="9" s="1"/>
  <c r="BV59" i="9" s="1"/>
  <c r="CA23" i="9" a="1"/>
  <c r="CA23" i="9" s="1"/>
  <c r="CP24" i="9"/>
  <c r="U25" i="9"/>
  <c r="W25" i="9" s="1"/>
  <c r="U26" i="9"/>
  <c r="W26" i="9" s="1"/>
  <c r="CP26" i="9"/>
  <c r="U34" i="9"/>
  <c r="W34" i="9" s="1"/>
  <c r="U36" i="9"/>
  <c r="W36" i="9" s="1"/>
  <c r="BX50" i="9"/>
  <c r="CB50" i="9"/>
  <c r="BW51" i="9"/>
  <c r="CA51" i="9"/>
  <c r="BY52" i="9"/>
  <c r="BV53" i="9"/>
  <c r="BZ53" i="9"/>
  <c r="BW54" i="9"/>
  <c r="CA54" i="9"/>
  <c r="BH85" i="9"/>
  <c r="BV47" i="9"/>
  <c r="BZ47" i="9"/>
  <c r="BX48" i="9"/>
  <c r="CB48" i="9"/>
  <c r="BX49" i="9"/>
  <c r="CB49" i="9"/>
  <c r="BY50" i="9"/>
  <c r="BX51" i="9"/>
  <c r="CB51" i="9"/>
  <c r="BV52" i="9"/>
  <c r="BZ52" i="9"/>
  <c r="BW53" i="9"/>
  <c r="CA53" i="9"/>
  <c r="BX54" i="9"/>
  <c r="CB54" i="9"/>
  <c r="DZ73" i="9" a="1"/>
  <c r="DZ73" i="9" s="1"/>
  <c r="DY88" i="9" s="1"/>
  <c r="BH74" i="9"/>
  <c r="A101" i="9"/>
  <c r="A100" i="9"/>
  <c r="B99" i="9"/>
  <c r="A92" i="9"/>
  <c r="B103" i="9"/>
  <c r="A99" i="9"/>
  <c r="B98" i="9"/>
  <c r="B97" i="9"/>
  <c r="B96" i="9"/>
  <c r="B95" i="9"/>
  <c r="B94" i="9"/>
  <c r="B91" i="9"/>
  <c r="B90" i="9"/>
  <c r="B85" i="9"/>
  <c r="A82" i="9"/>
  <c r="A81" i="9"/>
  <c r="B80" i="9"/>
  <c r="A103" i="9"/>
  <c r="B101" i="9"/>
  <c r="B100" i="9"/>
  <c r="A95" i="9"/>
  <c r="A94" i="9"/>
  <c r="A93" i="9"/>
  <c r="A89" i="9"/>
  <c r="B87" i="9"/>
  <c r="B83" i="9"/>
  <c r="A98" i="9"/>
  <c r="B92" i="9"/>
  <c r="A87" i="9"/>
  <c r="B102" i="9"/>
  <c r="A97" i="9"/>
  <c r="A91" i="9"/>
  <c r="B88" i="9"/>
  <c r="B86" i="9"/>
  <c r="B84" i="9"/>
  <c r="A102" i="9"/>
  <c r="A96" i="9"/>
  <c r="B93" i="9"/>
  <c r="A90" i="9"/>
  <c r="B89" i="9"/>
  <c r="A88" i="9"/>
  <c r="A86" i="9"/>
  <c r="A85" i="9"/>
  <c r="A84" i="9"/>
  <c r="B82" i="9"/>
  <c r="B81" i="9"/>
  <c r="A77" i="9"/>
  <c r="A75" i="9"/>
  <c r="A78" i="9"/>
  <c r="B79" i="9"/>
  <c r="EB79" i="9"/>
  <c r="A83" i="9"/>
  <c r="BW46" i="9"/>
  <c r="CA46" i="9"/>
  <c r="BW47" i="9"/>
  <c r="CA47" i="9"/>
  <c r="BY48" i="9"/>
  <c r="BY49" i="9"/>
  <c r="BV50" i="9"/>
  <c r="BZ50" i="9"/>
  <c r="BY51" i="9"/>
  <c r="BW52" i="9"/>
  <c r="CA52" i="9"/>
  <c r="BX53" i="9"/>
  <c r="CB53" i="9"/>
  <c r="BY54" i="9"/>
  <c r="B75" i="9"/>
  <c r="A76" i="9"/>
  <c r="B77" i="9"/>
  <c r="B78" i="9"/>
  <c r="A80" i="9"/>
  <c r="BZ45" i="9"/>
  <c r="BX46" i="9"/>
  <c r="CB46" i="9"/>
  <c r="BX47" i="9"/>
  <c r="CB47" i="9"/>
  <c r="BV48" i="9"/>
  <c r="BZ48" i="9"/>
  <c r="BV49" i="9"/>
  <c r="BZ49" i="9"/>
  <c r="BW50" i="9"/>
  <c r="CA50" i="9"/>
  <c r="BV51" i="9"/>
  <c r="BZ51" i="9"/>
  <c r="BX52" i="9"/>
  <c r="CB52" i="9"/>
  <c r="BY53" i="9"/>
  <c r="BV54" i="9"/>
  <c r="B76" i="9"/>
  <c r="BH84" i="9"/>
  <c r="BH138" i="9"/>
  <c r="BH139" i="9"/>
  <c r="BH114" i="9"/>
  <c r="BH116" i="9"/>
  <c r="BH133" i="9"/>
  <c r="F141" i="9"/>
  <c r="F142" i="9" s="1"/>
  <c r="F143" i="9" s="1"/>
  <c r="F144" i="9" s="1"/>
  <c r="F145" i="9" s="1"/>
  <c r="F146" i="9" s="1"/>
  <c r="F147" i="9" s="1"/>
  <c r="F148" i="9" s="1"/>
  <c r="F149" i="9" s="1"/>
  <c r="F150" i="9" s="1"/>
  <c r="BH152" i="9"/>
  <c r="BH121" i="9"/>
  <c r="A107" i="9"/>
  <c r="B109" i="9"/>
  <c r="A110" i="9"/>
  <c r="B112" i="9"/>
  <c r="B114" i="9"/>
  <c r="A118" i="9"/>
  <c r="A123" i="9"/>
  <c r="A124" i="9"/>
  <c r="A126" i="9"/>
  <c r="A128" i="9"/>
  <c r="A135" i="9"/>
  <c r="B134" i="9"/>
  <c r="B133" i="9"/>
  <c r="B132" i="9"/>
  <c r="A130" i="9"/>
  <c r="B127" i="9"/>
  <c r="A122" i="9"/>
  <c r="B121" i="9"/>
  <c r="A117" i="9"/>
  <c r="B116" i="9"/>
  <c r="A114" i="9"/>
  <c r="B113" i="9"/>
  <c r="A111" i="9"/>
  <c r="B110" i="9"/>
  <c r="A134" i="9"/>
  <c r="A133" i="9"/>
  <c r="A132" i="9"/>
  <c r="B131" i="9"/>
  <c r="B129" i="9"/>
  <c r="A127" i="9"/>
  <c r="B126" i="9"/>
  <c r="B125" i="9"/>
  <c r="B124" i="9"/>
  <c r="A121" i="9"/>
  <c r="B120" i="9"/>
  <c r="A116" i="9"/>
  <c r="A113" i="9"/>
  <c r="B118" i="9"/>
  <c r="A119" i="9"/>
  <c r="B123" i="9"/>
  <c r="B128" i="9"/>
  <c r="A129" i="9"/>
  <c r="B130" i="9"/>
  <c r="BH137" i="9"/>
  <c r="BH143" i="9"/>
  <c r="A131" i="9"/>
  <c r="BH172" i="9"/>
  <c r="F156" i="9" a="1"/>
  <c r="F156" i="9" s="1"/>
  <c r="C141" i="9"/>
  <c r="C142" i="9" s="1"/>
  <c r="C143" i="9" s="1"/>
  <c r="C144" i="9" s="1"/>
  <c r="C145" i="9" s="1"/>
  <c r="C146" i="9" s="1"/>
  <c r="C147" i="9" s="1"/>
  <c r="C148" i="9" s="1"/>
  <c r="C149" i="9" s="1"/>
  <c r="C150" i="9" s="1"/>
  <c r="C151" i="9" s="1"/>
  <c r="BH162" i="9"/>
  <c r="BH212" i="9"/>
  <c r="BI223" i="9"/>
  <c r="BH223" i="9" s="1"/>
  <c r="BG250" i="9"/>
  <c r="BH148" i="9"/>
  <c r="BH165" i="9"/>
  <c r="BH166" i="9"/>
  <c r="BH181" i="9"/>
  <c r="BH189" i="9"/>
  <c r="BH192" i="9"/>
  <c r="BH195" i="9"/>
  <c r="BH198" i="9"/>
  <c r="BI202" i="9"/>
  <c r="BH202" i="9" s="1"/>
  <c r="BH170" i="9"/>
  <c r="BH178" i="9"/>
  <c r="BH191" i="9"/>
  <c r="BH204" i="9"/>
  <c r="BH206" i="9"/>
  <c r="BI248" i="9"/>
  <c r="BG248" i="9" s="1"/>
  <c r="A161" i="9"/>
  <c r="A165" i="9"/>
  <c r="BH196" i="9"/>
  <c r="A160" i="9"/>
  <c r="BH194" i="9"/>
  <c r="BH210" i="9"/>
  <c r="BH213" i="9"/>
  <c r="BH238" i="9"/>
  <c r="BB262" i="9"/>
  <c r="BH236" i="9"/>
  <c r="BI237" i="9"/>
  <c r="BH237" i="9" s="1"/>
  <c r="AK310" i="9"/>
  <c r="AL307" i="9"/>
  <c r="AL306" i="9"/>
  <c r="AL305" i="9"/>
  <c r="AL304" i="9"/>
  <c r="AL303" i="9"/>
  <c r="AL302" i="9"/>
  <c r="AL301" i="9"/>
  <c r="AL300" i="9"/>
  <c r="AL299" i="9"/>
  <c r="AL298" i="9"/>
  <c r="AL297" i="9"/>
  <c r="AL296" i="9"/>
  <c r="AL295" i="9"/>
  <c r="AL294" i="9"/>
  <c r="AL293" i="9"/>
  <c r="AK292" i="9"/>
  <c r="AL308" i="9"/>
  <c r="AK307" i="9"/>
  <c r="AK306" i="9"/>
  <c r="AK305" i="9"/>
  <c r="AK304" i="9"/>
  <c r="AK303" i="9"/>
  <c r="AK302" i="9"/>
  <c r="AK301" i="9"/>
  <c r="AK300" i="9"/>
  <c r="AK299" i="9"/>
  <c r="AK298" i="9"/>
  <c r="AK297" i="9"/>
  <c r="AK296" i="9"/>
  <c r="AK295" i="9"/>
  <c r="AK294" i="9"/>
  <c r="AK293" i="9"/>
  <c r="AL309" i="9"/>
  <c r="AK308" i="9"/>
  <c r="AL292" i="9"/>
  <c r="AL310" i="9"/>
  <c r="M120" i="8"/>
  <c r="L120" i="8"/>
  <c r="K120" i="8"/>
  <c r="J120" i="8"/>
  <c r="I120" i="8"/>
  <c r="H120" i="8"/>
  <c r="G120" i="8"/>
  <c r="G121" i="8" s="1"/>
  <c r="F120" i="8"/>
  <c r="E120" i="8"/>
  <c r="D120" i="8"/>
  <c r="C120" i="8"/>
  <c r="M119" i="8"/>
  <c r="L119" i="8"/>
  <c r="K119" i="8"/>
  <c r="J119" i="8"/>
  <c r="I119" i="8"/>
  <c r="H119" i="8"/>
  <c r="G119" i="8"/>
  <c r="F119" i="8"/>
  <c r="E119" i="8"/>
  <c r="D119" i="8"/>
  <c r="C119" i="8"/>
  <c r="M117" i="8"/>
  <c r="L117" i="8"/>
  <c r="K117" i="8"/>
  <c r="J117" i="8"/>
  <c r="I117" i="8"/>
  <c r="H117" i="8"/>
  <c r="G117" i="8"/>
  <c r="F117" i="8"/>
  <c r="E117" i="8"/>
  <c r="D117" i="8"/>
  <c r="C117" i="8"/>
  <c r="B115" i="8"/>
  <c r="B116" i="8" s="1"/>
  <c r="B114" i="8"/>
  <c r="B120" i="8" s="1"/>
  <c r="B113" i="8"/>
  <c r="B119" i="8" s="1"/>
  <c r="O61" i="8"/>
  <c r="P50" i="8"/>
  <c r="R39" i="8"/>
  <c r="O36" i="8" a="1"/>
  <c r="R63" i="8" s="1"/>
  <c r="E26" i="8"/>
  <c r="E25" i="8"/>
  <c r="E24" i="8"/>
  <c r="E23" i="8"/>
  <c r="E22" i="8"/>
  <c r="E21" i="8"/>
  <c r="E20" i="8"/>
  <c r="E19" i="8"/>
  <c r="E18" i="8"/>
  <c r="E17" i="8"/>
  <c r="E16" i="8"/>
  <c r="E15" i="8"/>
  <c r="A10" i="8"/>
  <c r="B8" i="8"/>
  <c r="A8" i="8"/>
  <c r="C8" i="8" s="1" a="1"/>
  <c r="C8" i="8" s="1"/>
  <c r="F6" i="8"/>
  <c r="B6" i="8"/>
  <c r="A6" i="8"/>
  <c r="C6" i="8" s="1" a="1"/>
  <c r="C6" i="8" s="1"/>
  <c r="B4" i="8"/>
  <c r="A4" i="8"/>
  <c r="C27" i="6" a="1"/>
  <c r="C27" i="6" s="1"/>
  <c r="C26" i="6" a="1"/>
  <c r="C26" i="6" s="1"/>
  <c r="C25" i="6"/>
  <c r="C30" i="6" s="1" a="1"/>
  <c r="C30" i="6" s="1"/>
  <c r="H22" i="6"/>
  <c r="H21" i="6"/>
  <c r="A17" i="6"/>
  <c r="H7" i="6"/>
  <c r="H6" i="6"/>
  <c r="AW34" i="9" l="1"/>
  <c r="DF26" i="9"/>
  <c r="DG26" i="9" s="1"/>
  <c r="DH26" i="9" s="1"/>
  <c r="AW218" i="9"/>
  <c r="DF24" i="9"/>
  <c r="DG24" i="9" s="1"/>
  <c r="DH24" i="9" s="1"/>
  <c r="AX281" i="9"/>
  <c r="DN14" i="9"/>
  <c r="DO14" i="9" s="1"/>
  <c r="DP14" i="9" s="1"/>
  <c r="AD24" i="9"/>
  <c r="AB25" i="9" s="1"/>
  <c r="AD25" i="9" s="1"/>
  <c r="AB26" i="9" s="1"/>
  <c r="AD26" i="9" s="1"/>
  <c r="AB27" i="9" s="1"/>
  <c r="AD27" i="9" s="1"/>
  <c r="AB28" i="9" s="1"/>
  <c r="AD28" i="9" s="1"/>
  <c r="AB29" i="9" s="1"/>
  <c r="AD29" i="9" s="1"/>
  <c r="AB30" i="9" s="1"/>
  <c r="AD30" i="9" s="1"/>
  <c r="AB31" i="9" s="1"/>
  <c r="AD31" i="9" s="1"/>
  <c r="AB32" i="9" s="1"/>
  <c r="AD32" i="9" s="1"/>
  <c r="AB33" i="9" s="1"/>
  <c r="AD33" i="9" s="1"/>
  <c r="AB34" i="9" s="1"/>
  <c r="AD34" i="9" s="1"/>
  <c r="AB35" i="9" s="1"/>
  <c r="AD35" i="9" s="1"/>
  <c r="AB36" i="9" s="1"/>
  <c r="AD36" i="9" s="1"/>
  <c r="AB37" i="9" s="1"/>
  <c r="CR7" i="9"/>
  <c r="DQ14" i="9"/>
  <c r="DF22" i="9"/>
  <c r="DG22" i="9" s="1"/>
  <c r="DH22" i="9" s="1"/>
  <c r="DR14" i="9"/>
  <c r="AI14" i="9"/>
  <c r="AG15" i="9" s="1"/>
  <c r="AI15" i="9" s="1"/>
  <c r="AG16" i="9" s="1"/>
  <c r="AI16" i="9" s="1"/>
  <c r="AG17" i="9" s="1"/>
  <c r="AI17" i="9" s="1"/>
  <c r="AG18" i="9" s="1"/>
  <c r="AI18" i="9" s="1"/>
  <c r="AG19" i="9" s="1"/>
  <c r="AI19" i="9" s="1"/>
  <c r="AG21" i="9" s="1"/>
  <c r="AI21" i="9" s="1"/>
  <c r="AG22" i="9" s="1"/>
  <c r="AI22" i="9" s="1"/>
  <c r="AG23" i="9" s="1"/>
  <c r="AI23" i="9" s="1"/>
  <c r="AG24" i="9" s="1"/>
  <c r="AI24" i="9" s="1"/>
  <c r="AG25" i="9" s="1"/>
  <c r="AI25" i="9" s="1"/>
  <c r="AG26" i="9" s="1"/>
  <c r="AI26" i="9" s="1"/>
  <c r="AG27" i="9" s="1"/>
  <c r="AI27" i="9" s="1"/>
  <c r="AG28" i="9" s="1"/>
  <c r="AI28" i="9" s="1"/>
  <c r="AG29" i="9" s="1"/>
  <c r="AI29" i="9" s="1"/>
  <c r="AG30" i="9" s="1"/>
  <c r="AI30" i="9" s="1"/>
  <c r="AG31" i="9" s="1"/>
  <c r="AI31" i="9" s="1"/>
  <c r="AG32" i="9" s="1"/>
  <c r="AI32" i="9" s="1"/>
  <c r="AG33" i="9" s="1"/>
  <c r="AI33" i="9" s="1"/>
  <c r="AG34" i="9" s="1"/>
  <c r="AI34" i="9" s="1"/>
  <c r="AG35" i="9" s="1"/>
  <c r="AI35" i="9" s="1"/>
  <c r="AG36" i="9" s="1"/>
  <c r="AI36" i="9" s="1"/>
  <c r="AG37" i="9" s="1"/>
  <c r="AI37" i="9" s="1"/>
  <c r="G156" i="9" a="1"/>
  <c r="G156" i="9" s="1"/>
  <c r="G157" i="9" s="1" a="1"/>
  <c r="G157" i="9" s="1"/>
  <c r="Z7" i="9"/>
  <c r="BB305" i="9"/>
  <c r="BB304" i="9" s="1"/>
  <c r="BB303" i="9" s="1"/>
  <c r="BB302" i="9" s="1"/>
  <c r="BB301" i="9" s="1"/>
  <c r="BB300" i="9" s="1"/>
  <c r="BB299" i="9" s="1"/>
  <c r="BB298" i="9" s="1"/>
  <c r="BB297" i="9" s="1"/>
  <c r="BB296" i="9" s="1"/>
  <c r="BB295" i="9" s="1"/>
  <c r="BB294" i="9" s="1"/>
  <c r="BB293" i="9" s="1"/>
  <c r="BB292" i="9" s="1"/>
  <c r="BB291" i="9" s="1"/>
  <c r="BB290" i="9" s="1"/>
  <c r="BB289" i="9" s="1"/>
  <c r="BB288" i="9" s="1"/>
  <c r="BB287" i="9" s="1"/>
  <c r="BB286" i="9" s="1"/>
  <c r="BB285" i="9" s="1"/>
  <c r="BB284" i="9" s="1"/>
  <c r="BB283" i="9" s="1"/>
  <c r="BB282" i="9" s="1"/>
  <c r="BB281" i="9" s="1"/>
  <c r="BB280" i="9" s="1"/>
  <c r="BB279" i="9" s="1"/>
  <c r="BB278" i="9" s="1"/>
  <c r="BB277" i="9" s="1"/>
  <c r="BB276" i="9" s="1"/>
  <c r="BB275" i="9" s="1"/>
  <c r="BB274" i="9" s="1"/>
  <c r="BB273" i="9" s="1"/>
  <c r="BB272" i="9" s="1"/>
  <c r="BB271" i="9" s="1"/>
  <c r="BB270" i="9" s="1"/>
  <c r="BB269" i="9" s="1"/>
  <c r="BB268" i="9" s="1"/>
  <c r="BB267" i="9" s="1"/>
  <c r="BB266" i="9" s="1"/>
  <c r="F157" i="9" a="1"/>
  <c r="F157" i="9" s="1"/>
  <c r="AU206" i="9"/>
  <c r="AW199" i="9"/>
  <c r="AO199" i="9" s="1"/>
  <c r="AU212" i="9"/>
  <c r="AU184" i="9"/>
  <c r="AU185" i="9"/>
  <c r="AX256" i="9"/>
  <c r="AU128" i="9"/>
  <c r="AO128" i="9" s="1"/>
  <c r="AU115" i="9"/>
  <c r="AU137" i="9"/>
  <c r="AU130" i="9"/>
  <c r="AU132" i="9"/>
  <c r="AO132" i="9" s="1"/>
  <c r="AW131" i="9"/>
  <c r="AO131" i="9" s="1"/>
  <c r="AU134" i="9"/>
  <c r="AU129" i="9"/>
  <c r="AU127" i="9"/>
  <c r="AU74" i="9"/>
  <c r="AU73" i="9"/>
  <c r="AW37" i="9"/>
  <c r="DZ25" i="9" a="1"/>
  <c r="AX272" i="9"/>
  <c r="AW202" i="9"/>
  <c r="AU191" i="9"/>
  <c r="AO191" i="9" s="1"/>
  <c r="AW191" i="9"/>
  <c r="AU202" i="9"/>
  <c r="AW91" i="9"/>
  <c r="AU91" i="9"/>
  <c r="AW50" i="9"/>
  <c r="AU50" i="9"/>
  <c r="AO50" i="9" s="1"/>
  <c r="AW42" i="9"/>
  <c r="AW41" i="9"/>
  <c r="AU41" i="9"/>
  <c r="EA16" i="9"/>
  <c r="AX42" i="9"/>
  <c r="AW249" i="9"/>
  <c r="AX288" i="9"/>
  <c r="AW250" i="9"/>
  <c r="AW252" i="9"/>
  <c r="AW227" i="9"/>
  <c r="AO227" i="9" s="1"/>
  <c r="AW248" i="9"/>
  <c r="AW230" i="9"/>
  <c r="AO230" i="9" s="1"/>
  <c r="AW166" i="9"/>
  <c r="AO166" i="9" s="1"/>
  <c r="AW158" i="9"/>
  <c r="AO158" i="9" s="1"/>
  <c r="AW251" i="9"/>
  <c r="AW167" i="9"/>
  <c r="AO167" i="9" s="1"/>
  <c r="AW157" i="9"/>
  <c r="AO157" i="9" s="1"/>
  <c r="AW153" i="9"/>
  <c r="AO153" i="9" s="1"/>
  <c r="AW228" i="9"/>
  <c r="AO228" i="9" s="1"/>
  <c r="AW165" i="9"/>
  <c r="AO165" i="9" s="1"/>
  <c r="AW147" i="9"/>
  <c r="AO147" i="9" s="1"/>
  <c r="AW111" i="9"/>
  <c r="AW133" i="9"/>
  <c r="AO133" i="9" s="1"/>
  <c r="AW108" i="9"/>
  <c r="AO108" i="9" s="1"/>
  <c r="AW126" i="9"/>
  <c r="AO126" i="9" s="1"/>
  <c r="AW104" i="9"/>
  <c r="AO104" i="9" s="1"/>
  <c r="AW116" i="9"/>
  <c r="AO116" i="9" s="1"/>
  <c r="AW143" i="9"/>
  <c r="AO143" i="9" s="1"/>
  <c r="AW109" i="9"/>
  <c r="AO109" i="9" s="1"/>
  <c r="AW98" i="9"/>
  <c r="AO98" i="9" s="1"/>
  <c r="AW155" i="9"/>
  <c r="AO155" i="9" s="1"/>
  <c r="AW121" i="9"/>
  <c r="AO121" i="9" s="1"/>
  <c r="AW105" i="9"/>
  <c r="AO105" i="9" s="1"/>
  <c r="AW84" i="9"/>
  <c r="AO84" i="9" s="1"/>
  <c r="AW136" i="9"/>
  <c r="AO136" i="9" s="1"/>
  <c r="AW106" i="9"/>
  <c r="AO106" i="9" s="1"/>
  <c r="AW72" i="9"/>
  <c r="AW69" i="9"/>
  <c r="AW64" i="9"/>
  <c r="AW63" i="9"/>
  <c r="AW46" i="9"/>
  <c r="AO46" i="9" s="1"/>
  <c r="AW67" i="9"/>
  <c r="AW66" i="9"/>
  <c r="AW65" i="9"/>
  <c r="AW62" i="9"/>
  <c r="AW71" i="9"/>
  <c r="AW68" i="9"/>
  <c r="AW55" i="9"/>
  <c r="AO55" i="9" s="1"/>
  <c r="AW44" i="9"/>
  <c r="AO44" i="9" s="1"/>
  <c r="AX270" i="9"/>
  <c r="AW241" i="9"/>
  <c r="AW235" i="9"/>
  <c r="AU33" i="9"/>
  <c r="AO33" i="9" s="1"/>
  <c r="AX191" i="9"/>
  <c r="AX300" i="9"/>
  <c r="AX50" i="9"/>
  <c r="CA9" i="9"/>
  <c r="AX271" i="9"/>
  <c r="AU169" i="9"/>
  <c r="AU170" i="9"/>
  <c r="AU172" i="9"/>
  <c r="AU168" i="9"/>
  <c r="AU171" i="9"/>
  <c r="AO171" i="9" s="1"/>
  <c r="AX298" i="9"/>
  <c r="AW214" i="9"/>
  <c r="AO214" i="9" s="1"/>
  <c r="AW188" i="9"/>
  <c r="AO188" i="9" s="1"/>
  <c r="AW193" i="9"/>
  <c r="AO193" i="9" s="1"/>
  <c r="AW211" i="9"/>
  <c r="AO211" i="9" s="1"/>
  <c r="AW117" i="9"/>
  <c r="AO117" i="9" s="1"/>
  <c r="AW102" i="9"/>
  <c r="AO102" i="9" s="1"/>
  <c r="AW99" i="9"/>
  <c r="AO99" i="9" s="1"/>
  <c r="AW113" i="9"/>
  <c r="AO113" i="9" s="1"/>
  <c r="AW120" i="9"/>
  <c r="AO120" i="9" s="1"/>
  <c r="AX302" i="9"/>
  <c r="AW137" i="9"/>
  <c r="AW135" i="9"/>
  <c r="AO135" i="9" s="1"/>
  <c r="AW140" i="9"/>
  <c r="AO140" i="9" s="1"/>
  <c r="AW138" i="9"/>
  <c r="AO138" i="9" s="1"/>
  <c r="AW139" i="9"/>
  <c r="AO139" i="9" s="1"/>
  <c r="AW184" i="9"/>
  <c r="DF28" i="9"/>
  <c r="DG28" i="9" s="1"/>
  <c r="DH28" i="9" s="1"/>
  <c r="DG29" i="9"/>
  <c r="DH29" i="9" s="1"/>
  <c r="AW207" i="9"/>
  <c r="AO207" i="9" s="1"/>
  <c r="O45" i="8"/>
  <c r="R55" i="8"/>
  <c r="P38" i="8"/>
  <c r="O49" i="8"/>
  <c r="R59" i="8"/>
  <c r="K121" i="8"/>
  <c r="AX284" i="9"/>
  <c r="AW162" i="9"/>
  <c r="AO162" i="9" s="1"/>
  <c r="AW163" i="9"/>
  <c r="AO163" i="9" s="1"/>
  <c r="AW151" i="9"/>
  <c r="AO151" i="9" s="1"/>
  <c r="AW119" i="9"/>
  <c r="AO119" i="9" s="1"/>
  <c r="AW164" i="9"/>
  <c r="AO164" i="9" s="1"/>
  <c r="AW122" i="9"/>
  <c r="AO122" i="9" s="1"/>
  <c r="AW114" i="9"/>
  <c r="AO114" i="9" s="1"/>
  <c r="AW110" i="9"/>
  <c r="AO110" i="9" s="1"/>
  <c r="AW89" i="9"/>
  <c r="AO89" i="9" s="1"/>
  <c r="AV32" i="9"/>
  <c r="AW48" i="9"/>
  <c r="AU40" i="9"/>
  <c r="AX262" i="9"/>
  <c r="AU35" i="9"/>
  <c r="AX260" i="9"/>
  <c r="AU34" i="9"/>
  <c r="AO34" i="9" s="1"/>
  <c r="AW75" i="9"/>
  <c r="AO75" i="9" s="1"/>
  <c r="CB8" i="9"/>
  <c r="CD8" i="9" s="1"/>
  <c r="AW59" i="9"/>
  <c r="AO59" i="9" s="1"/>
  <c r="AX264" i="9"/>
  <c r="AW245" i="9"/>
  <c r="AW244" i="9"/>
  <c r="AU181" i="9"/>
  <c r="AU177" i="9"/>
  <c r="AU182" i="9"/>
  <c r="AO182" i="9" s="1"/>
  <c r="AU178" i="9"/>
  <c r="AU180" i="9"/>
  <c r="AU179" i="9"/>
  <c r="AX309" i="9"/>
  <c r="AW232" i="9"/>
  <c r="AO232" i="9" s="1"/>
  <c r="AW221" i="9"/>
  <c r="AO221" i="9" s="1"/>
  <c r="AW92" i="9"/>
  <c r="AO92" i="9" s="1"/>
  <c r="AW85" i="9"/>
  <c r="AO85" i="9" s="1"/>
  <c r="AX267" i="9"/>
  <c r="AU215" i="9"/>
  <c r="AU196" i="9"/>
  <c r="AW196" i="9"/>
  <c r="AU111" i="9"/>
  <c r="AU252" i="9"/>
  <c r="AO252" i="9" s="1"/>
  <c r="AU248" i="9"/>
  <c r="AO248" i="9" s="1"/>
  <c r="AU249" i="9"/>
  <c r="AU251" i="9"/>
  <c r="AO251" i="9" s="1"/>
  <c r="AX265" i="9"/>
  <c r="AU250" i="9"/>
  <c r="AU72" i="9"/>
  <c r="AO72" i="9" s="1"/>
  <c r="AU69" i="9"/>
  <c r="AU64" i="9"/>
  <c r="AU63" i="9"/>
  <c r="AU67" i="9"/>
  <c r="AU66" i="9"/>
  <c r="AO66" i="9" s="1"/>
  <c r="AU65" i="9"/>
  <c r="AU62" i="9"/>
  <c r="AO62" i="9" s="1"/>
  <c r="AU71" i="9"/>
  <c r="AU68" i="9"/>
  <c r="AO68" i="9" s="1"/>
  <c r="AX276" i="9"/>
  <c r="AW170" i="9"/>
  <c r="AW172" i="9"/>
  <c r="AW169" i="9"/>
  <c r="AW168" i="9"/>
  <c r="AX257" i="9"/>
  <c r="AW237" i="9"/>
  <c r="AW246" i="9"/>
  <c r="AW243" i="9"/>
  <c r="AW161" i="9"/>
  <c r="AO161" i="9" s="1"/>
  <c r="AW87" i="9"/>
  <c r="AO87" i="9" s="1"/>
  <c r="AW80" i="9"/>
  <c r="AO80" i="9" s="1"/>
  <c r="AW40" i="9"/>
  <c r="AU39" i="9"/>
  <c r="AW51" i="9"/>
  <c r="AO51" i="9" s="1"/>
  <c r="AW35" i="9"/>
  <c r="AU32" i="9"/>
  <c r="AW39" i="9"/>
  <c r="AW219" i="9"/>
  <c r="AW216" i="9"/>
  <c r="AX297" i="9"/>
  <c r="AW150" i="9"/>
  <c r="AO150" i="9" s="1"/>
  <c r="AW142" i="9"/>
  <c r="AO142" i="9" s="1"/>
  <c r="AW141" i="9"/>
  <c r="AO141" i="9" s="1"/>
  <c r="AX306" i="9"/>
  <c r="AW156" i="9"/>
  <c r="AO156" i="9" s="1"/>
  <c r="AW159" i="9"/>
  <c r="AO159" i="9" s="1"/>
  <c r="AW160" i="9"/>
  <c r="AO160" i="9" s="1"/>
  <c r="AW149" i="9"/>
  <c r="AO149" i="9" s="1"/>
  <c r="AW146" i="9"/>
  <c r="AO146" i="9" s="1"/>
  <c r="AW145" i="9"/>
  <c r="AO145" i="9" s="1"/>
  <c r="AX303" i="9"/>
  <c r="AW209" i="9"/>
  <c r="AO209" i="9" s="1"/>
  <c r="AW148" i="9"/>
  <c r="AO148" i="9" s="1"/>
  <c r="AX294" i="9"/>
  <c r="AW130" i="9"/>
  <c r="AX296" i="9"/>
  <c r="AW78" i="9"/>
  <c r="AO78" i="9" s="1"/>
  <c r="AW79" i="9"/>
  <c r="AO79" i="9" s="1"/>
  <c r="AW76" i="9"/>
  <c r="AW152" i="9"/>
  <c r="AO152" i="9" s="1"/>
  <c r="AW186" i="9"/>
  <c r="AO186" i="9" s="1"/>
  <c r="CC8" i="9"/>
  <c r="AO76" i="9"/>
  <c r="AW197" i="9"/>
  <c r="AX283" i="9"/>
  <c r="AW70" i="9"/>
  <c r="AX295" i="9"/>
  <c r="AW200" i="9"/>
  <c r="AO200" i="9" s="1"/>
  <c r="AW127" i="9"/>
  <c r="AW77" i="9"/>
  <c r="AO77" i="9" s="1"/>
  <c r="AX274" i="9"/>
  <c r="AW182" i="9"/>
  <c r="AW178" i="9"/>
  <c r="AW179" i="9"/>
  <c r="AW181" i="9"/>
  <c r="AW180" i="9"/>
  <c r="AW177" i="9"/>
  <c r="AW154" i="9"/>
  <c r="AO154" i="9" s="1"/>
  <c r="AW88" i="9"/>
  <c r="AO88" i="9" s="1"/>
  <c r="AW86" i="9"/>
  <c r="AO86" i="9" s="1"/>
  <c r="AW74" i="9"/>
  <c r="AW57" i="9"/>
  <c r="AO57" i="9" s="1"/>
  <c r="AW73" i="9"/>
  <c r="AW198" i="9"/>
  <c r="AO198" i="9" s="1"/>
  <c r="AX269" i="9"/>
  <c r="AU173" i="9"/>
  <c r="AU174" i="9"/>
  <c r="AU176" i="9"/>
  <c r="AU175" i="9"/>
  <c r="AO175" i="9" s="1"/>
  <c r="AX258" i="9"/>
  <c r="AW229" i="9"/>
  <c r="AO229" i="9" s="1"/>
  <c r="AW225" i="9"/>
  <c r="AO225" i="9" s="1"/>
  <c r="AW247" i="9"/>
  <c r="AW240" i="9"/>
  <c r="AW234" i="9"/>
  <c r="AO234" i="9" s="1"/>
  <c r="AW226" i="9"/>
  <c r="AO226" i="9" s="1"/>
  <c r="AW233" i="9"/>
  <c r="AO233" i="9" s="1"/>
  <c r="AU37" i="9"/>
  <c r="AU60" i="9"/>
  <c r="AU48" i="9"/>
  <c r="AO48" i="9" s="1"/>
  <c r="AW32" i="9"/>
  <c r="AW208" i="9"/>
  <c r="AO208" i="9" s="1"/>
  <c r="AX299" i="9"/>
  <c r="AX259" i="9"/>
  <c r="AU219" i="9"/>
  <c r="AU216" i="9"/>
  <c r="AU217" i="9"/>
  <c r="AO217" i="9" s="1"/>
  <c r="AU187" i="9"/>
  <c r="AU218" i="9"/>
  <c r="AO218" i="9" s="1"/>
  <c r="AW60" i="9"/>
  <c r="AU36" i="9"/>
  <c r="AO36" i="9" s="1"/>
  <c r="AX310" i="9"/>
  <c r="AW123" i="9"/>
  <c r="AO123" i="9" s="1"/>
  <c r="AW144" i="9"/>
  <c r="AO144" i="9" s="1"/>
  <c r="AW81" i="9"/>
  <c r="AO81" i="9" s="1"/>
  <c r="AW187" i="9"/>
  <c r="AX293" i="9"/>
  <c r="AW212" i="9"/>
  <c r="AW134" i="9"/>
  <c r="Z8" i="9"/>
  <c r="AW58" i="9"/>
  <c r="AO58" i="9" s="1"/>
  <c r="AW112" i="9"/>
  <c r="AO112" i="9" s="1"/>
  <c r="C4" i="8" a="1"/>
  <c r="C4" i="8" s="1"/>
  <c r="O36" i="8"/>
  <c r="R43" i="8"/>
  <c r="P54" i="8"/>
  <c r="E121" i="8"/>
  <c r="I121" i="8"/>
  <c r="M121" i="8"/>
  <c r="F121" i="8"/>
  <c r="AX287" i="9"/>
  <c r="AW236" i="9"/>
  <c r="AW242" i="9"/>
  <c r="AW239" i="9"/>
  <c r="AW238" i="9"/>
  <c r="AX282" i="9"/>
  <c r="AW215" i="9"/>
  <c r="AX261" i="9"/>
  <c r="AU244" i="9"/>
  <c r="AU240" i="9"/>
  <c r="AO240" i="9" s="1"/>
  <c r="AU236" i="9"/>
  <c r="AU245" i="9"/>
  <c r="AO245" i="9" s="1"/>
  <c r="AU241" i="9"/>
  <c r="AU237" i="9"/>
  <c r="AO237" i="9" s="1"/>
  <c r="AU235" i="9"/>
  <c r="AO235" i="9" s="1"/>
  <c r="AU246" i="9"/>
  <c r="AU242" i="9"/>
  <c r="AU247" i="9"/>
  <c r="AO247" i="9" s="1"/>
  <c r="AU243" i="9"/>
  <c r="AO243" i="9" s="1"/>
  <c r="AU238" i="9"/>
  <c r="AU239" i="9"/>
  <c r="AW174" i="9"/>
  <c r="AX275" i="9"/>
  <c r="AW175" i="9"/>
  <c r="AW176" i="9"/>
  <c r="AW173" i="9"/>
  <c r="AX292" i="9"/>
  <c r="AW206" i="9"/>
  <c r="AW129" i="9"/>
  <c r="AW115" i="9"/>
  <c r="AW38" i="9"/>
  <c r="AW52" i="9"/>
  <c r="DR15" i="9"/>
  <c r="DO15" i="9"/>
  <c r="DP15" i="9" s="1"/>
  <c r="DQ15" i="9"/>
  <c r="AW49" i="9"/>
  <c r="AO49" i="9" s="1"/>
  <c r="BV21" i="9"/>
  <c r="AX304" i="9"/>
  <c r="AW210" i="9"/>
  <c r="AO210" i="9" s="1"/>
  <c r="AW189" i="9"/>
  <c r="AO189" i="9" s="1"/>
  <c r="AX266" i="9"/>
  <c r="AU52" i="9"/>
  <c r="AO52" i="9" s="1"/>
  <c r="AU42" i="9"/>
  <c r="AO42" i="9" s="1"/>
  <c r="AU38" i="9"/>
  <c r="AW217" i="9"/>
  <c r="AX305" i="9"/>
  <c r="AX131" i="9"/>
  <c r="AW56" i="9"/>
  <c r="AO56" i="9" s="1"/>
  <c r="AW53" i="9"/>
  <c r="AO53" i="9" s="1"/>
  <c r="AW54" i="9"/>
  <c r="AO54" i="9" s="1"/>
  <c r="AX35" i="9"/>
  <c r="BZ9" i="9"/>
  <c r="AX268" i="9"/>
  <c r="AU197" i="9"/>
  <c r="AO197" i="9" s="1"/>
  <c r="AU70" i="9"/>
  <c r="AO70" i="9" s="1"/>
  <c r="AW183" i="9"/>
  <c r="AO183" i="9" s="1"/>
  <c r="AW185" i="9"/>
  <c r="CB36" i="9"/>
  <c r="AW82" i="9"/>
  <c r="AO82" i="9" s="1"/>
  <c r="AW213" i="9"/>
  <c r="AO213" i="9" s="1"/>
  <c r="J121" i="8"/>
  <c r="O41" i="8"/>
  <c r="P46" i="8"/>
  <c r="R51" i="8"/>
  <c r="O57" i="8"/>
  <c r="P62" i="8"/>
  <c r="C121" i="8"/>
  <c r="O37" i="8"/>
  <c r="P42" i="8"/>
  <c r="R47" i="8"/>
  <c r="O53" i="8"/>
  <c r="P58" i="8"/>
  <c r="D121" i="8"/>
  <c r="H121" i="8"/>
  <c r="L121" i="8"/>
  <c r="B117" i="8"/>
  <c r="G118" i="8"/>
  <c r="M118" i="8"/>
  <c r="E118" i="8"/>
  <c r="J118" i="8"/>
  <c r="C118" i="8"/>
  <c r="I118" i="8"/>
  <c r="B118" i="8"/>
  <c r="A13" i="6" a="1"/>
  <c r="A13" i="6" s="1"/>
  <c r="D122" i="8"/>
  <c r="D124" i="8" s="1"/>
  <c r="C10" i="8" a="1"/>
  <c r="C10" i="8" s="1"/>
  <c r="C122" i="8"/>
  <c r="C124" i="8" s="1"/>
  <c r="N5" i="8"/>
  <c r="D94" i="5"/>
  <c r="F8" i="8"/>
  <c r="B122" i="8"/>
  <c r="B124" i="8" s="1"/>
  <c r="K122" i="8"/>
  <c r="K124" i="8" s="1"/>
  <c r="P5" i="8"/>
  <c r="D97" i="5" a="1"/>
  <c r="B121" i="8"/>
  <c r="K108" i="5"/>
  <c r="M108" i="5"/>
  <c r="E122" i="8"/>
  <c r="E124" i="8" s="1"/>
  <c r="J122" i="8"/>
  <c r="J125" i="8" s="1"/>
  <c r="Q64" i="8"/>
  <c r="Q63" i="8"/>
  <c r="Q62" i="8"/>
  <c r="Q61" i="8"/>
  <c r="Q60" i="8"/>
  <c r="Q59" i="8"/>
  <c r="Q58" i="8"/>
  <c r="Q57" i="8"/>
  <c r="Q56" i="8"/>
  <c r="Q55" i="8"/>
  <c r="Q54" i="8"/>
  <c r="Q53" i="8"/>
  <c r="Q52" i="8"/>
  <c r="Q51" i="8"/>
  <c r="Q50" i="8"/>
  <c r="Q49" i="8"/>
  <c r="Q48" i="8"/>
  <c r="Q47" i="8"/>
  <c r="Q46" i="8"/>
  <c r="Q45" i="8"/>
  <c r="Q44" i="8"/>
  <c r="Q43" i="8"/>
  <c r="Q42" i="8"/>
  <c r="Q41" i="8"/>
  <c r="Q40" i="8"/>
  <c r="Q39" i="8"/>
  <c r="Q38" i="8"/>
  <c r="Q37" i="8"/>
  <c r="Q36" i="8"/>
  <c r="P37" i="8"/>
  <c r="R38" i="8"/>
  <c r="O40" i="8"/>
  <c r="P41" i="8"/>
  <c r="R42" i="8"/>
  <c r="O44" i="8"/>
  <c r="P45" i="8"/>
  <c r="R46" i="8"/>
  <c r="O48" i="8"/>
  <c r="P49" i="8"/>
  <c r="R50" i="8"/>
  <c r="O52" i="8"/>
  <c r="P53" i="8"/>
  <c r="R54" i="8"/>
  <c r="O56" i="8"/>
  <c r="P57" i="8"/>
  <c r="R58" i="8"/>
  <c r="O60" i="8"/>
  <c r="P61" i="8"/>
  <c r="R62" i="8"/>
  <c r="O64" i="8"/>
  <c r="P36" i="8"/>
  <c r="R37" i="8"/>
  <c r="O39" i="8"/>
  <c r="P40" i="8"/>
  <c r="R41" i="8"/>
  <c r="O43" i="8"/>
  <c r="P44" i="8"/>
  <c r="R45" i="8"/>
  <c r="O47" i="8"/>
  <c r="P48" i="8"/>
  <c r="R49" i="8"/>
  <c r="O51" i="8"/>
  <c r="P52" i="8"/>
  <c r="R53" i="8"/>
  <c r="O55" i="8"/>
  <c r="P56" i="8"/>
  <c r="R57" i="8"/>
  <c r="O59" i="8"/>
  <c r="P60" i="8"/>
  <c r="R61" i="8"/>
  <c r="O63" i="8"/>
  <c r="P64" i="8"/>
  <c r="C28" i="6" a="1"/>
  <c r="C28" i="6" s="1"/>
  <c r="R36" i="8"/>
  <c r="O38" i="8"/>
  <c r="P39" i="8"/>
  <c r="R40" i="8"/>
  <c r="O42" i="8"/>
  <c r="P43" i="8"/>
  <c r="R44" i="8"/>
  <c r="O46" i="8"/>
  <c r="P47" i="8"/>
  <c r="R48" i="8"/>
  <c r="O50" i="8"/>
  <c r="P51" i="8"/>
  <c r="R52" i="8"/>
  <c r="O54" i="8"/>
  <c r="P55" i="8"/>
  <c r="R56" i="8"/>
  <c r="O58" i="8"/>
  <c r="P59" i="8"/>
  <c r="R60" i="8"/>
  <c r="O62" i="8"/>
  <c r="P63" i="8"/>
  <c r="R64" i="8"/>
  <c r="L118" i="8"/>
  <c r="H118" i="8"/>
  <c r="D118" i="8"/>
  <c r="F118" i="8"/>
  <c r="K118" i="8"/>
  <c r="AO239" i="9" l="1"/>
  <c r="AO241" i="9"/>
  <c r="AO64" i="9"/>
  <c r="AO180" i="9"/>
  <c r="AO69" i="9"/>
  <c r="AO111" i="9"/>
  <c r="AO178" i="9"/>
  <c r="AO35" i="9"/>
  <c r="AO74" i="9"/>
  <c r="AO184" i="9"/>
  <c r="AO37" i="9"/>
  <c r="AO71" i="9"/>
  <c r="AO67" i="9"/>
  <c r="AO249" i="9"/>
  <c r="AO169" i="9"/>
  <c r="L122" i="8"/>
  <c r="L125" i="8" s="1"/>
  <c r="D108" i="5" a="1"/>
  <c r="N108" i="5" s="1"/>
  <c r="AG20" i="9"/>
  <c r="AI20" i="9" s="1"/>
  <c r="M94" i="5"/>
  <c r="M122" i="8"/>
  <c r="M125" i="8" s="1"/>
  <c r="G122" i="8"/>
  <c r="G124" i="8" s="1"/>
  <c r="I122" i="8"/>
  <c r="I125" i="8" s="1"/>
  <c r="H122" i="8"/>
  <c r="H124" i="8" s="1"/>
  <c r="F122" i="8"/>
  <c r="F125" i="8" s="1"/>
  <c r="L4" i="8"/>
  <c r="N4" i="8" s="1"/>
  <c r="J94" i="5"/>
  <c r="G94" i="5"/>
  <c r="DU81" i="9"/>
  <c r="CD9" i="9"/>
  <c r="CE8" i="9"/>
  <c r="DZ16" i="9"/>
  <c r="C4" i="9"/>
  <c r="BW21" i="9"/>
  <c r="BX21" i="9" s="1"/>
  <c r="AO242" i="9"/>
  <c r="AO244" i="9"/>
  <c r="AO216" i="9"/>
  <c r="AO176" i="9"/>
  <c r="AO39" i="9"/>
  <c r="AO63" i="9"/>
  <c r="AO250" i="9"/>
  <c r="AO196" i="9"/>
  <c r="AO168" i="9"/>
  <c r="DU33" i="9"/>
  <c r="DU58" i="9"/>
  <c r="AO202" i="9"/>
  <c r="EG44" i="9"/>
  <c r="EC44" i="9"/>
  <c r="EJ43" i="9"/>
  <c r="DV77" i="9" s="1"/>
  <c r="EF43" i="9"/>
  <c r="EB43" i="9"/>
  <c r="EI42" i="9"/>
  <c r="EE42" i="9"/>
  <c r="EA42" i="9"/>
  <c r="EI41" i="9"/>
  <c r="EE41" i="9"/>
  <c r="EA41" i="9"/>
  <c r="EI40" i="9"/>
  <c r="EE40" i="9"/>
  <c r="EA40" i="9"/>
  <c r="EG39" i="9"/>
  <c r="EC39" i="9"/>
  <c r="EJ38" i="9"/>
  <c r="DV50" i="9" s="1"/>
  <c r="EF38" i="9"/>
  <c r="EB38" i="9"/>
  <c r="DU72" i="9" s="1"/>
  <c r="EH37" i="9"/>
  <c r="ED37" i="9"/>
  <c r="DZ37" i="9"/>
  <c r="EG36" i="9"/>
  <c r="EC36" i="9"/>
  <c r="EH35" i="9"/>
  <c r="ED35" i="9"/>
  <c r="DZ35" i="9"/>
  <c r="EI34" i="9"/>
  <c r="EE34" i="9"/>
  <c r="EA34" i="9"/>
  <c r="EJ33" i="9"/>
  <c r="EF33" i="9"/>
  <c r="EB33" i="9"/>
  <c r="EG32" i="9"/>
  <c r="EC32" i="9"/>
  <c r="EJ31" i="9"/>
  <c r="EF31" i="9"/>
  <c r="EB31" i="9"/>
  <c r="EJ30" i="9"/>
  <c r="DV32" i="9" s="1"/>
  <c r="EF30" i="9"/>
  <c r="EB30" i="9"/>
  <c r="EJ29" i="9"/>
  <c r="DV63" i="9" s="1"/>
  <c r="EF29" i="9"/>
  <c r="EB29" i="9"/>
  <c r="EI44" i="9"/>
  <c r="EE44" i="9"/>
  <c r="EA44" i="9"/>
  <c r="EH43" i="9"/>
  <c r="ED43" i="9"/>
  <c r="DZ43" i="9"/>
  <c r="EG42" i="9"/>
  <c r="EC42" i="9"/>
  <c r="EG41" i="9"/>
  <c r="EC41" i="9"/>
  <c r="EG40" i="9"/>
  <c r="EC40" i="9"/>
  <c r="EI39" i="9"/>
  <c r="EE39" i="9"/>
  <c r="EA39" i="9"/>
  <c r="EH38" i="9"/>
  <c r="ED38" i="9"/>
  <c r="DZ38" i="9"/>
  <c r="EJ37" i="9"/>
  <c r="DV44" i="9" s="1"/>
  <c r="EF37" i="9"/>
  <c r="DV79" i="9" s="1"/>
  <c r="EB37" i="9"/>
  <c r="EI36" i="9"/>
  <c r="EE36" i="9"/>
  <c r="EA36" i="9"/>
  <c r="EJ35" i="9"/>
  <c r="EF35" i="9"/>
  <c r="EB35" i="9"/>
  <c r="EG34" i="9"/>
  <c r="EC34" i="9"/>
  <c r="EH33" i="9"/>
  <c r="ED33" i="9"/>
  <c r="DZ33" i="9"/>
  <c r="EI32" i="9"/>
  <c r="EE32" i="9"/>
  <c r="EA32" i="9"/>
  <c r="EH31" i="9"/>
  <c r="ED31" i="9"/>
  <c r="DZ31" i="9"/>
  <c r="EH30" i="9"/>
  <c r="ED30" i="9"/>
  <c r="DZ30" i="9"/>
  <c r="EH29" i="9"/>
  <c r="ED29" i="9"/>
  <c r="DZ29" i="9"/>
  <c r="EJ28" i="9"/>
  <c r="DV48" i="9" s="1"/>
  <c r="EF28" i="9"/>
  <c r="EB28" i="9"/>
  <c r="EJ27" i="9"/>
  <c r="EF27" i="9"/>
  <c r="EB27" i="9"/>
  <c r="EH44" i="9"/>
  <c r="ED44" i="9"/>
  <c r="DZ44" i="9"/>
  <c r="EG43" i="9"/>
  <c r="EC43" i="9"/>
  <c r="EJ42" i="9"/>
  <c r="EF42" i="9"/>
  <c r="EB42" i="9"/>
  <c r="EJ41" i="9"/>
  <c r="DV68" i="9" s="1"/>
  <c r="EF41" i="9"/>
  <c r="EB41" i="9"/>
  <c r="EJ40" i="9"/>
  <c r="DV55" i="9" s="1"/>
  <c r="EF40" i="9"/>
  <c r="EB40" i="9"/>
  <c r="EH39" i="9"/>
  <c r="ED39" i="9"/>
  <c r="DZ39" i="9"/>
  <c r="EG38" i="9"/>
  <c r="EC38" i="9"/>
  <c r="EI37" i="9"/>
  <c r="EE37" i="9"/>
  <c r="EA37" i="9"/>
  <c r="EH36" i="9"/>
  <c r="ED36" i="9"/>
  <c r="DZ36" i="9"/>
  <c r="EI43" i="9"/>
  <c r="ED42" i="9"/>
  <c r="ED41" i="9"/>
  <c r="EJ39" i="9"/>
  <c r="DV54" i="9" s="1"/>
  <c r="EE38" i="9"/>
  <c r="EC37" i="9"/>
  <c r="EB36" i="9"/>
  <c r="EE35" i="9"/>
  <c r="EJ34" i="9"/>
  <c r="DV33" i="9" s="1"/>
  <c r="EB34" i="9"/>
  <c r="EE33" i="9"/>
  <c r="EF32" i="9"/>
  <c r="EI31" i="9"/>
  <c r="EA31" i="9"/>
  <c r="EC30" i="9"/>
  <c r="EE29" i="9"/>
  <c r="EE28" i="9"/>
  <c r="DZ28" i="9"/>
  <c r="EI27" i="9"/>
  <c r="ED27" i="9"/>
  <c r="EI26" i="9"/>
  <c r="EE26" i="9"/>
  <c r="EA26" i="9"/>
  <c r="EJ25" i="9"/>
  <c r="EF25" i="9"/>
  <c r="EB25" i="9"/>
  <c r="EI29" i="9"/>
  <c r="EH28" i="9"/>
  <c r="EC28" i="9"/>
  <c r="EG27" i="9"/>
  <c r="EA27" i="9"/>
  <c r="EH25" i="9"/>
  <c r="EH42" i="9"/>
  <c r="EF36" i="9"/>
  <c r="ED34" i="9"/>
  <c r="EH32" i="9"/>
  <c r="DZ32" i="9"/>
  <c r="EC31" i="9"/>
  <c r="EE30" i="9"/>
  <c r="EG29" i="9"/>
  <c r="EJ26" i="9"/>
  <c r="EF26" i="9"/>
  <c r="EB26" i="9"/>
  <c r="DU48" i="9" s="1"/>
  <c r="EG25" i="9"/>
  <c r="EC25" i="9"/>
  <c r="EJ44" i="9"/>
  <c r="EE43" i="9"/>
  <c r="DZ42" i="9"/>
  <c r="DZ41" i="9"/>
  <c r="EH40" i="9"/>
  <c r="EF39" i="9"/>
  <c r="EA38" i="9"/>
  <c r="EC35" i="9"/>
  <c r="EH34" i="9"/>
  <c r="DZ34" i="9"/>
  <c r="EC33" i="9"/>
  <c r="ED32" i="9"/>
  <c r="EG31" i="9"/>
  <c r="EI30" i="9"/>
  <c r="EA30" i="9"/>
  <c r="EC29" i="9"/>
  <c r="EI28" i="9"/>
  <c r="ED28" i="9"/>
  <c r="EH27" i="9"/>
  <c r="EC27" i="9"/>
  <c r="EH26" i="9"/>
  <c r="ED26" i="9"/>
  <c r="DZ26" i="9"/>
  <c r="EI25" i="9"/>
  <c r="EE25" i="9"/>
  <c r="EA25" i="9"/>
  <c r="EA29" i="9"/>
  <c r="EG26" i="9"/>
  <c r="EC26" i="9"/>
  <c r="ED25" i="9"/>
  <c r="EH41" i="9"/>
  <c r="EI38" i="9"/>
  <c r="EG37" i="9"/>
  <c r="EG33" i="9"/>
  <c r="EF44" i="9"/>
  <c r="EA43" i="9"/>
  <c r="ED40" i="9"/>
  <c r="EB39" i="9"/>
  <c r="EJ36" i="9"/>
  <c r="DV36" i="9" s="1"/>
  <c r="EI35" i="9"/>
  <c r="EA35" i="9"/>
  <c r="EF34" i="9"/>
  <c r="EI33" i="9"/>
  <c r="EA33" i="9"/>
  <c r="EJ32" i="9"/>
  <c r="EB32" i="9"/>
  <c r="EE31" i="9"/>
  <c r="EG30" i="9"/>
  <c r="EB44" i="9"/>
  <c r="DZ40" i="9"/>
  <c r="EG35" i="9"/>
  <c r="EG28" i="9"/>
  <c r="EA28" i="9"/>
  <c r="EE27" i="9"/>
  <c r="DZ27" i="9"/>
  <c r="DZ25" i="9"/>
  <c r="AO127" i="9"/>
  <c r="AO212" i="9"/>
  <c r="F8" i="9" a="1"/>
  <c r="AO38" i="9"/>
  <c r="AO238" i="9"/>
  <c r="AO246" i="9"/>
  <c r="AO219" i="9"/>
  <c r="AO60" i="9"/>
  <c r="AO174" i="9"/>
  <c r="AO32" i="9"/>
  <c r="AP226" i="9" s="1"/>
  <c r="AY226" i="9" s="1"/>
  <c r="AS226" i="9" s="1"/>
  <c r="AO65" i="9"/>
  <c r="AO215" i="9"/>
  <c r="AO179" i="9"/>
  <c r="AO177" i="9"/>
  <c r="AO40" i="9"/>
  <c r="AO172" i="9"/>
  <c r="AO41" i="9"/>
  <c r="AO129" i="9"/>
  <c r="AO130" i="9"/>
  <c r="AX311" i="9" a="1"/>
  <c r="AX311" i="9" s="1"/>
  <c r="AO236" i="9"/>
  <c r="AP78" i="9"/>
  <c r="AY78" i="9" s="1"/>
  <c r="AS78" i="9" s="1"/>
  <c r="AO187" i="9"/>
  <c r="AO173" i="9"/>
  <c r="AO181" i="9"/>
  <c r="AO170" i="9"/>
  <c r="AO91" i="9"/>
  <c r="AO73" i="9"/>
  <c r="AO134" i="9"/>
  <c r="AO137" i="9"/>
  <c r="AO185" i="9"/>
  <c r="AO206" i="9"/>
  <c r="CC9" i="9"/>
  <c r="CB9" i="9"/>
  <c r="AO115" i="9"/>
  <c r="O108" i="5"/>
  <c r="J108" i="5"/>
  <c r="H108" i="5"/>
  <c r="E108" i="5"/>
  <c r="L108" i="5"/>
  <c r="G108" i="5"/>
  <c r="I108" i="5"/>
  <c r="F108" i="5"/>
  <c r="B125" i="8"/>
  <c r="D108" i="5"/>
  <c r="G125" i="8"/>
  <c r="G126" i="8" s="1"/>
  <c r="E125" i="8"/>
  <c r="E126" i="8" s="1"/>
  <c r="C125" i="8"/>
  <c r="C126" i="8" s="1"/>
  <c r="L124" i="8"/>
  <c r="L126" i="8" s="1"/>
  <c r="K125" i="8"/>
  <c r="K126" i="8" s="1"/>
  <c r="D106" i="5" a="1"/>
  <c r="D106" i="5" s="1"/>
  <c r="M124" i="8"/>
  <c r="M126" i="8" s="1"/>
  <c r="D125" i="8"/>
  <c r="D126" i="8" s="1"/>
  <c r="B126" i="8"/>
  <c r="D103" i="5" a="1"/>
  <c r="D100" i="5" a="1"/>
  <c r="D102" i="5" a="1"/>
  <c r="D99" i="5" a="1"/>
  <c r="H125" i="8"/>
  <c r="H126" i="8" s="1"/>
  <c r="L98" i="5"/>
  <c r="H98" i="5"/>
  <c r="D98" i="5"/>
  <c r="L97" i="5"/>
  <c r="H97" i="5"/>
  <c r="O98" i="5"/>
  <c r="J98" i="5"/>
  <c r="E98" i="5"/>
  <c r="K97" i="5"/>
  <c r="F97" i="5"/>
  <c r="N98" i="5"/>
  <c r="I98" i="5"/>
  <c r="O97" i="5"/>
  <c r="J97" i="5"/>
  <c r="E97" i="5"/>
  <c r="M98" i="5"/>
  <c r="G98" i="5"/>
  <c r="N97" i="5"/>
  <c r="I97" i="5"/>
  <c r="D97" i="5"/>
  <c r="K98" i="5"/>
  <c r="M97" i="5"/>
  <c r="F98" i="5"/>
  <c r="G97" i="5"/>
  <c r="J124" i="8"/>
  <c r="J126" i="8" s="1"/>
  <c r="C29" i="6" l="1"/>
  <c r="F124" i="8"/>
  <c r="P4" i="8"/>
  <c r="AP165" i="9"/>
  <c r="AY165" i="9" s="1"/>
  <c r="AS165" i="9" s="1"/>
  <c r="AP232" i="9"/>
  <c r="AY232" i="9" s="1"/>
  <c r="AS232" i="9" s="1"/>
  <c r="AP87" i="9"/>
  <c r="AY87" i="9" s="1"/>
  <c r="AS87" i="9" s="1"/>
  <c r="AP55" i="9"/>
  <c r="AY55" i="9" s="1"/>
  <c r="AS55" i="9" s="1"/>
  <c r="AP105" i="9"/>
  <c r="AY105" i="9" s="1"/>
  <c r="AS105" i="9" s="1"/>
  <c r="AP160" i="9"/>
  <c r="AY160" i="9" s="1"/>
  <c r="AS160" i="9" s="1"/>
  <c r="I124" i="8"/>
  <c r="I126" i="8" s="1"/>
  <c r="AP247" i="9"/>
  <c r="AY247" i="9" s="1"/>
  <c r="AP178" i="9"/>
  <c r="AY178" i="9" s="1"/>
  <c r="AS178" i="9" s="1"/>
  <c r="AP163" i="9"/>
  <c r="AY163" i="9" s="1"/>
  <c r="AS163" i="9" s="1"/>
  <c r="AP185" i="9"/>
  <c r="AY185" i="9" s="1"/>
  <c r="AS185" i="9" s="1"/>
  <c r="AP191" i="9"/>
  <c r="AY191" i="9" s="1"/>
  <c r="AS191" i="9" s="1"/>
  <c r="AP151" i="9"/>
  <c r="AY151" i="9" s="1"/>
  <c r="AS151" i="9" s="1"/>
  <c r="AP213" i="9"/>
  <c r="AY213" i="9" s="1"/>
  <c r="AS213" i="9" s="1"/>
  <c r="AP115" i="9"/>
  <c r="AY115" i="9" s="1"/>
  <c r="AS115" i="9" s="1"/>
  <c r="AP36" i="9"/>
  <c r="AY36" i="9" s="1"/>
  <c r="AP172" i="9"/>
  <c r="AY172" i="9" s="1"/>
  <c r="AS172" i="9" s="1"/>
  <c r="AP131" i="9"/>
  <c r="AY131" i="9" s="1"/>
  <c r="AS131" i="9" s="1"/>
  <c r="AP108" i="9"/>
  <c r="AY108" i="9" s="1"/>
  <c r="AS108" i="9" s="1"/>
  <c r="AP171" i="9"/>
  <c r="AY171" i="9" s="1"/>
  <c r="AS171" i="9" s="1"/>
  <c r="AP122" i="9"/>
  <c r="AY122" i="9" s="1"/>
  <c r="AS122" i="9" s="1"/>
  <c r="AP249" i="9"/>
  <c r="AY249" i="9" s="1"/>
  <c r="AS249" i="9" s="1"/>
  <c r="AP51" i="9"/>
  <c r="AY51" i="9" s="1"/>
  <c r="AS51" i="9" s="1"/>
  <c r="AP57" i="9"/>
  <c r="AY57" i="9" s="1"/>
  <c r="AS57" i="9" s="1"/>
  <c r="AP81" i="9"/>
  <c r="AY81" i="9" s="1"/>
  <c r="AS81" i="9" s="1"/>
  <c r="AP52" i="9"/>
  <c r="AY52" i="9" s="1"/>
  <c r="AS52" i="9" s="1"/>
  <c r="AP46" i="9"/>
  <c r="AY46" i="9" s="1"/>
  <c r="AS46" i="9" s="1"/>
  <c r="AP114" i="9"/>
  <c r="AY114" i="9" s="1"/>
  <c r="AS114" i="9" s="1"/>
  <c r="AP69" i="9"/>
  <c r="AY69" i="9" s="1"/>
  <c r="AS69" i="9" s="1"/>
  <c r="AP173" i="9"/>
  <c r="AY173" i="9" s="1"/>
  <c r="AS173" i="9" s="1"/>
  <c r="AP236" i="9"/>
  <c r="AY236" i="9" s="1"/>
  <c r="AP158" i="9"/>
  <c r="AY158" i="9" s="1"/>
  <c r="AS158" i="9" s="1"/>
  <c r="AP140" i="9"/>
  <c r="AY140" i="9" s="1"/>
  <c r="AS140" i="9" s="1"/>
  <c r="AP221" i="9"/>
  <c r="AY221" i="9" s="1"/>
  <c r="AS221" i="9" s="1"/>
  <c r="AP152" i="9"/>
  <c r="AY152" i="9" s="1"/>
  <c r="AS152" i="9" s="1"/>
  <c r="AP74" i="9"/>
  <c r="AY74" i="9" s="1"/>
  <c r="AS74" i="9" s="1"/>
  <c r="AP121" i="9"/>
  <c r="AY121" i="9" s="1"/>
  <c r="AS121" i="9" s="1"/>
  <c r="AP193" i="9"/>
  <c r="AY193" i="9" s="1"/>
  <c r="AS193" i="9" s="1"/>
  <c r="AP35" i="9"/>
  <c r="AY35" i="9" s="1"/>
  <c r="AS35" i="9" s="1"/>
  <c r="AP72" i="9"/>
  <c r="AY72" i="9" s="1"/>
  <c r="AS72" i="9" s="1"/>
  <c r="AP142" i="9"/>
  <c r="AY142" i="9" s="1"/>
  <c r="AS142" i="9" s="1"/>
  <c r="AP175" i="9"/>
  <c r="AY175" i="9" s="1"/>
  <c r="AS175" i="9" s="1"/>
  <c r="AP112" i="9"/>
  <c r="AY112" i="9" s="1"/>
  <c r="AS112" i="9" s="1"/>
  <c r="AP70" i="9"/>
  <c r="AY70" i="9" s="1"/>
  <c r="AS70" i="9" s="1"/>
  <c r="AP157" i="9"/>
  <c r="AY157" i="9" s="1"/>
  <c r="AS157" i="9" s="1"/>
  <c r="AP170" i="9"/>
  <c r="AY170" i="9" s="1"/>
  <c r="AS170" i="9" s="1"/>
  <c r="AP66" i="9"/>
  <c r="AY66" i="9" s="1"/>
  <c r="AS66" i="9" s="1"/>
  <c r="AP37" i="9"/>
  <c r="AY37" i="9" s="1"/>
  <c r="AS37" i="9" s="1"/>
  <c r="AP210" i="9"/>
  <c r="AY210" i="9" s="1"/>
  <c r="AS210" i="9" s="1"/>
  <c r="AP130" i="9"/>
  <c r="AY130" i="9" s="1"/>
  <c r="AS130" i="9" s="1"/>
  <c r="AP153" i="9"/>
  <c r="AY153" i="9" s="1"/>
  <c r="AS153" i="9" s="1"/>
  <c r="AP40" i="9"/>
  <c r="AY40" i="9" s="1"/>
  <c r="AP167" i="9"/>
  <c r="AY167" i="9" s="1"/>
  <c r="AS167" i="9" s="1"/>
  <c r="AP106" i="9"/>
  <c r="AY106" i="9" s="1"/>
  <c r="AS106" i="9" s="1"/>
  <c r="AP99" i="9"/>
  <c r="AY99" i="9" s="1"/>
  <c r="AS99" i="9" s="1"/>
  <c r="AP67" i="9"/>
  <c r="AY67" i="9" s="1"/>
  <c r="AS67" i="9" s="1"/>
  <c r="AP145" i="9"/>
  <c r="AY145" i="9" s="1"/>
  <c r="AS145" i="9" s="1"/>
  <c r="AP233" i="9"/>
  <c r="AY233" i="9" s="1"/>
  <c r="AP237" i="9"/>
  <c r="AY237" i="9" s="1"/>
  <c r="AP206" i="9"/>
  <c r="AY206" i="9" s="1"/>
  <c r="AS206" i="9" s="1"/>
  <c r="AP73" i="9"/>
  <c r="AY73" i="9" s="1"/>
  <c r="AS73" i="9" s="1"/>
  <c r="AP147" i="9"/>
  <c r="AY147" i="9" s="1"/>
  <c r="AS147" i="9" s="1"/>
  <c r="AP211" i="9"/>
  <c r="AY211" i="9" s="1"/>
  <c r="AS211" i="9" s="1"/>
  <c r="AP180" i="9"/>
  <c r="AY180" i="9" s="1"/>
  <c r="AS180" i="9" s="1"/>
  <c r="AP141" i="9"/>
  <c r="AY141" i="9" s="1"/>
  <c r="AS141" i="9" s="1"/>
  <c r="AP42" i="9"/>
  <c r="AY42" i="9" s="1"/>
  <c r="AS42" i="9" s="1"/>
  <c r="AP129" i="9"/>
  <c r="AY129" i="9" s="1"/>
  <c r="AS129" i="9" s="1"/>
  <c r="AP84" i="9"/>
  <c r="AY84" i="9" s="1"/>
  <c r="AS84" i="9" s="1"/>
  <c r="AP49" i="9"/>
  <c r="AY49" i="9" s="1"/>
  <c r="AS49" i="9" s="1"/>
  <c r="AP120" i="9"/>
  <c r="AY120" i="9" s="1"/>
  <c r="AS120" i="9" s="1"/>
  <c r="AP65" i="9"/>
  <c r="AY65" i="9" s="1"/>
  <c r="AS65" i="9" s="1"/>
  <c r="AP234" i="9"/>
  <c r="AY234" i="9" s="1"/>
  <c r="AS234" i="9" s="1"/>
  <c r="AP54" i="9"/>
  <c r="AY54" i="9" s="1"/>
  <c r="AS54" i="9" s="1"/>
  <c r="AP202" i="9"/>
  <c r="AY202" i="9" s="1"/>
  <c r="AS202" i="9" s="1"/>
  <c r="AP150" i="9"/>
  <c r="AY150" i="9" s="1"/>
  <c r="AS150" i="9" s="1"/>
  <c r="AP239" i="9"/>
  <c r="AY239" i="9" s="1"/>
  <c r="AP102" i="9"/>
  <c r="AY102" i="9" s="1"/>
  <c r="AS102" i="9" s="1"/>
  <c r="AP186" i="9"/>
  <c r="AY186" i="9" s="1"/>
  <c r="AS186" i="9" s="1"/>
  <c r="AP58" i="9"/>
  <c r="AY58" i="9" s="1"/>
  <c r="AS58" i="9" s="1"/>
  <c r="BY21" i="9"/>
  <c r="AP212" i="9"/>
  <c r="AY212" i="9" s="1"/>
  <c r="AS212" i="9" s="1"/>
  <c r="AP164" i="9"/>
  <c r="AY164" i="9" s="1"/>
  <c r="AS164" i="9" s="1"/>
  <c r="AP63" i="9"/>
  <c r="AY63" i="9" s="1"/>
  <c r="AS63" i="9" s="1"/>
  <c r="AP34" i="9"/>
  <c r="AY34" i="9" s="1"/>
  <c r="AS34" i="9" s="1"/>
  <c r="AP215" i="9"/>
  <c r="AY215" i="9" s="1"/>
  <c r="AP123" i="9"/>
  <c r="AY123" i="9" s="1"/>
  <c r="AS123" i="9" s="1"/>
  <c r="AP155" i="9"/>
  <c r="AY155" i="9" s="1"/>
  <c r="AS155" i="9" s="1"/>
  <c r="AP92" i="9"/>
  <c r="AY92" i="9" s="1"/>
  <c r="AS92" i="9" s="1"/>
  <c r="DV16" i="9"/>
  <c r="DU16" i="9" a="1"/>
  <c r="DU16" i="9" s="1"/>
  <c r="DV82" i="9"/>
  <c r="DV39" i="9"/>
  <c r="DV17" i="9"/>
  <c r="DU82" i="9" a="1"/>
  <c r="DU82" i="9" s="1"/>
  <c r="DU51" i="9" a="1"/>
  <c r="DU51" i="9" s="1"/>
  <c r="DU68" i="9" s="1"/>
  <c r="DU41" i="9" a="1"/>
  <c r="DU41" i="9" s="1"/>
  <c r="CE9" i="9"/>
  <c r="AP195" i="9"/>
  <c r="AY195" i="9" s="1"/>
  <c r="AS195" i="9" s="1"/>
  <c r="AP125" i="9"/>
  <c r="AY125" i="9" s="1"/>
  <c r="AS125" i="9" s="1"/>
  <c r="AP97" i="9"/>
  <c r="AY97" i="9" s="1"/>
  <c r="AS97" i="9" s="1"/>
  <c r="AP124" i="9"/>
  <c r="AY124" i="9" s="1"/>
  <c r="AS124" i="9" s="1"/>
  <c r="AP96" i="9"/>
  <c r="AY96" i="9" s="1"/>
  <c r="AS96" i="9" s="1"/>
  <c r="AP90" i="9"/>
  <c r="AY90" i="9" s="1"/>
  <c r="AS90" i="9" s="1"/>
  <c r="AP103" i="9"/>
  <c r="AY103" i="9" s="1"/>
  <c r="AS103" i="9" s="1"/>
  <c r="AP95" i="9"/>
  <c r="AY95" i="9" s="1"/>
  <c r="AS95" i="9" s="1"/>
  <c r="AP94" i="9"/>
  <c r="AY94" i="9" s="1"/>
  <c r="AS94" i="9" s="1"/>
  <c r="AP83" i="9"/>
  <c r="AY83" i="9" s="1"/>
  <c r="AS83" i="9" s="1"/>
  <c r="AP47" i="9"/>
  <c r="AY47" i="9" s="1"/>
  <c r="AS47" i="9" s="1"/>
  <c r="AP43" i="9"/>
  <c r="AY43" i="9" s="1"/>
  <c r="AS43" i="9" s="1"/>
  <c r="AP32" i="9"/>
  <c r="AP220" i="9"/>
  <c r="AY220" i="9" s="1"/>
  <c r="AS220" i="9" s="1"/>
  <c r="AP100" i="9"/>
  <c r="AY100" i="9" s="1"/>
  <c r="AS100" i="9" s="1"/>
  <c r="AP192" i="9"/>
  <c r="AY192" i="9" s="1"/>
  <c r="AS192" i="9" s="1"/>
  <c r="AP231" i="9"/>
  <c r="AY231" i="9" s="1"/>
  <c r="AS231" i="9" s="1"/>
  <c r="AP224" i="9"/>
  <c r="AY224" i="9" s="1"/>
  <c r="AS224" i="9" s="1"/>
  <c r="AP118" i="9"/>
  <c r="AY118" i="9" s="1"/>
  <c r="AS118" i="9" s="1"/>
  <c r="AP190" i="9"/>
  <c r="AY190" i="9" s="1"/>
  <c r="AS190" i="9" s="1"/>
  <c r="AP93" i="9"/>
  <c r="AY93" i="9" s="1"/>
  <c r="AS93" i="9" s="1"/>
  <c r="AP223" i="9"/>
  <c r="AY223" i="9" s="1"/>
  <c r="AS223" i="9" s="1"/>
  <c r="AP204" i="9"/>
  <c r="AY204" i="9" s="1"/>
  <c r="AS204" i="9" s="1"/>
  <c r="AP205" i="9"/>
  <c r="AY205" i="9" s="1"/>
  <c r="AS205" i="9" s="1"/>
  <c r="AP45" i="9"/>
  <c r="AY45" i="9" s="1"/>
  <c r="AS45" i="9" s="1"/>
  <c r="AP194" i="9"/>
  <c r="AY194" i="9" s="1"/>
  <c r="AS194" i="9" s="1"/>
  <c r="AP61" i="9"/>
  <c r="AY61" i="9" s="1"/>
  <c r="AS61" i="9" s="1"/>
  <c r="AP101" i="9"/>
  <c r="AY101" i="9" s="1"/>
  <c r="AS101" i="9" s="1"/>
  <c r="AP107" i="9"/>
  <c r="AY107" i="9" s="1"/>
  <c r="AS107" i="9" s="1"/>
  <c r="AP203" i="9"/>
  <c r="AY203" i="9" s="1"/>
  <c r="AS203" i="9" s="1"/>
  <c r="AP222" i="9"/>
  <c r="AY222" i="9" s="1"/>
  <c r="AS222" i="9" s="1"/>
  <c r="AP201" i="9"/>
  <c r="AY201" i="9" s="1"/>
  <c r="AS201" i="9" s="1"/>
  <c r="AP86" i="9"/>
  <c r="AY86" i="9" s="1"/>
  <c r="AS86" i="9" s="1"/>
  <c r="AP60" i="9"/>
  <c r="AY60" i="9" s="1"/>
  <c r="AS60" i="9" s="1"/>
  <c r="AP245" i="9"/>
  <c r="AY245" i="9" s="1"/>
  <c r="BZ21" i="9"/>
  <c r="CA21" i="9" s="1"/>
  <c r="F13" i="9"/>
  <c r="F12" i="9"/>
  <c r="F8" i="9"/>
  <c r="F10" i="9"/>
  <c r="F9" i="9"/>
  <c r="F11" i="9"/>
  <c r="AP128" i="9"/>
  <c r="AY128" i="9" s="1"/>
  <c r="AS128" i="9" s="1"/>
  <c r="DV78" i="9"/>
  <c r="DV75" i="9"/>
  <c r="DV51" i="9"/>
  <c r="DV45" i="9"/>
  <c r="DV42" i="9"/>
  <c r="DV40" i="9"/>
  <c r="DV61" i="9"/>
  <c r="DV29" i="9"/>
  <c r="DV26" i="9"/>
  <c r="DV30" i="9"/>
  <c r="AP50" i="9"/>
  <c r="AY50" i="9" s="1"/>
  <c r="AP228" i="9"/>
  <c r="AY228" i="9" s="1"/>
  <c r="AS228" i="9" s="1"/>
  <c r="AP136" i="9"/>
  <c r="AY136" i="9" s="1"/>
  <c r="AS136" i="9" s="1"/>
  <c r="AP138" i="9"/>
  <c r="AY138" i="9" s="1"/>
  <c r="AS138" i="9" s="1"/>
  <c r="AP89" i="9"/>
  <c r="AY89" i="9" s="1"/>
  <c r="AS89" i="9" s="1"/>
  <c r="AP196" i="9"/>
  <c r="AY196" i="9" s="1"/>
  <c r="AS196" i="9" s="1"/>
  <c r="AP62" i="9"/>
  <c r="AY62" i="9" s="1"/>
  <c r="AS62" i="9" s="1"/>
  <c r="AP156" i="9"/>
  <c r="AY156" i="9" s="1"/>
  <c r="AS156" i="9" s="1"/>
  <c r="AP198" i="9"/>
  <c r="AY198" i="9" s="1"/>
  <c r="AS198" i="9" s="1"/>
  <c r="AP48" i="9"/>
  <c r="AY48" i="9" s="1"/>
  <c r="AS48" i="9" s="1"/>
  <c r="AP244" i="9"/>
  <c r="AY244" i="9" s="1"/>
  <c r="AP197" i="9"/>
  <c r="AY197" i="9" s="1"/>
  <c r="AS197" i="9" s="1"/>
  <c r="AP79" i="9"/>
  <c r="AY79" i="9" s="1"/>
  <c r="AS79" i="9" s="1"/>
  <c r="AP184" i="9"/>
  <c r="AY184" i="9" s="1"/>
  <c r="AS184" i="9" s="1"/>
  <c r="AP230" i="9"/>
  <c r="AY230" i="9" s="1"/>
  <c r="AS230" i="9" s="1"/>
  <c r="AP143" i="9"/>
  <c r="AY143" i="9" s="1"/>
  <c r="AS143" i="9" s="1"/>
  <c r="AP169" i="9"/>
  <c r="AY169" i="9" s="1"/>
  <c r="AS169" i="9" s="1"/>
  <c r="AP139" i="9"/>
  <c r="AY139" i="9" s="1"/>
  <c r="AS139" i="9" s="1"/>
  <c r="CF8" i="9"/>
  <c r="AP85" i="9"/>
  <c r="AY85" i="9" s="1"/>
  <c r="AS85" i="9" s="1"/>
  <c r="AP71" i="9"/>
  <c r="AY71" i="9" s="1"/>
  <c r="AS71" i="9" s="1"/>
  <c r="AP159" i="9"/>
  <c r="AY159" i="9" s="1"/>
  <c r="AS159" i="9" s="1"/>
  <c r="AP154" i="9"/>
  <c r="AY154" i="9" s="1"/>
  <c r="AS154" i="9" s="1"/>
  <c r="AP217" i="9"/>
  <c r="AY217" i="9" s="1"/>
  <c r="AS217" i="9" s="1"/>
  <c r="AP240" i="9"/>
  <c r="AY240" i="9" s="1"/>
  <c r="AP56" i="9"/>
  <c r="AY56" i="9" s="1"/>
  <c r="AS56" i="9" s="1"/>
  <c r="AP137" i="9"/>
  <c r="AY137" i="9" s="1"/>
  <c r="AS137" i="9" s="1"/>
  <c r="AP91" i="9"/>
  <c r="AY91" i="9" s="1"/>
  <c r="AS91" i="9" s="1"/>
  <c r="AP126" i="9"/>
  <c r="AY126" i="9" s="1"/>
  <c r="AS126" i="9" s="1"/>
  <c r="AP44" i="9"/>
  <c r="AY44" i="9" s="1"/>
  <c r="AP113" i="9"/>
  <c r="AY113" i="9" s="1"/>
  <c r="AS113" i="9" s="1"/>
  <c r="AP59" i="9"/>
  <c r="AY59" i="9" s="1"/>
  <c r="AS59" i="9" s="1"/>
  <c r="AP111" i="9"/>
  <c r="AY111" i="9" s="1"/>
  <c r="AS111" i="9" s="1"/>
  <c r="AP68" i="9"/>
  <c r="AY68" i="9" s="1"/>
  <c r="AS68" i="9" s="1"/>
  <c r="AP76" i="9"/>
  <c r="AY76" i="9" s="1"/>
  <c r="AP208" i="9"/>
  <c r="AY208" i="9" s="1"/>
  <c r="AS208" i="9" s="1"/>
  <c r="AP235" i="9"/>
  <c r="AY235" i="9" s="1"/>
  <c r="AP53" i="9"/>
  <c r="AY53" i="9" s="1"/>
  <c r="AS53" i="9" s="1"/>
  <c r="AP199" i="9"/>
  <c r="AY199" i="9" s="1"/>
  <c r="AS199" i="9" s="1"/>
  <c r="AP41" i="9"/>
  <c r="AY41" i="9" s="1"/>
  <c r="AS41" i="9" s="1"/>
  <c r="AP104" i="9"/>
  <c r="AY104" i="9" s="1"/>
  <c r="AS104" i="9" s="1"/>
  <c r="AP214" i="9"/>
  <c r="AY214" i="9" s="1"/>
  <c r="AS214" i="9" s="1"/>
  <c r="AP119" i="9"/>
  <c r="AY119" i="9" s="1"/>
  <c r="AS119" i="9" s="1"/>
  <c r="AP177" i="9"/>
  <c r="AY177" i="9" s="1"/>
  <c r="AS177" i="9" s="1"/>
  <c r="AP252" i="9"/>
  <c r="AY252" i="9" s="1"/>
  <c r="AP149" i="9"/>
  <c r="AY149" i="9" s="1"/>
  <c r="AS149" i="9" s="1"/>
  <c r="AP174" i="9"/>
  <c r="AY174" i="9" s="1"/>
  <c r="AS174" i="9" s="1"/>
  <c r="AP219" i="9"/>
  <c r="AY219" i="9" s="1"/>
  <c r="AS219" i="9" s="1"/>
  <c r="AP246" i="9"/>
  <c r="AY246" i="9" s="1"/>
  <c r="AP189" i="9"/>
  <c r="AY189" i="9" s="1"/>
  <c r="AS189" i="9" s="1"/>
  <c r="AP132" i="9"/>
  <c r="AY132" i="9" s="1"/>
  <c r="AS132" i="9" s="1"/>
  <c r="AP133" i="9"/>
  <c r="AY133" i="9" s="1"/>
  <c r="AS133" i="9" s="1"/>
  <c r="AP168" i="9"/>
  <c r="AY168" i="9" s="1"/>
  <c r="AP207" i="9"/>
  <c r="AY207" i="9" s="1"/>
  <c r="AS207" i="9" s="1"/>
  <c r="AP75" i="9"/>
  <c r="AY75" i="9" s="1"/>
  <c r="AS75" i="9" s="1"/>
  <c r="AP248" i="9"/>
  <c r="AY248" i="9" s="1"/>
  <c r="AP161" i="9"/>
  <c r="AY161" i="9" s="1"/>
  <c r="AS161" i="9" s="1"/>
  <c r="AP146" i="9"/>
  <c r="AY146" i="9" s="1"/>
  <c r="AS146" i="9" s="1"/>
  <c r="AP176" i="9"/>
  <c r="AY176" i="9" s="1"/>
  <c r="AS176" i="9" s="1"/>
  <c r="AP216" i="9"/>
  <c r="AY216" i="9" s="1"/>
  <c r="AS216" i="9" s="1"/>
  <c r="AP241" i="9"/>
  <c r="AY241" i="9" s="1"/>
  <c r="AP82" i="9"/>
  <c r="AY82" i="9" s="1"/>
  <c r="AS82" i="9" s="1"/>
  <c r="AP77" i="9"/>
  <c r="AY77" i="9" s="1"/>
  <c r="AS77" i="9" s="1"/>
  <c r="AS36" i="9"/>
  <c r="DN11" i="9"/>
  <c r="AP134" i="9"/>
  <c r="AY134" i="9" s="1"/>
  <c r="AS134" i="9" s="1"/>
  <c r="AP166" i="9"/>
  <c r="AY166" i="9" s="1"/>
  <c r="AS166" i="9" s="1"/>
  <c r="AP109" i="9"/>
  <c r="AY109" i="9" s="1"/>
  <c r="AS109" i="9" s="1"/>
  <c r="AP33" i="9"/>
  <c r="AY33" i="9" s="1"/>
  <c r="AS33" i="9" s="1"/>
  <c r="AP135" i="9"/>
  <c r="AY135" i="9" s="1"/>
  <c r="AS135" i="9" s="1"/>
  <c r="AP181" i="9"/>
  <c r="AY181" i="9" s="1"/>
  <c r="AS181" i="9" s="1"/>
  <c r="AP251" i="9"/>
  <c r="AY251" i="9" s="1"/>
  <c r="AP80" i="9"/>
  <c r="AY80" i="9" s="1"/>
  <c r="AS80" i="9" s="1"/>
  <c r="AP88" i="9"/>
  <c r="AY88" i="9" s="1"/>
  <c r="AS88" i="9" s="1"/>
  <c r="AP187" i="9"/>
  <c r="AY187" i="9" s="1"/>
  <c r="AP243" i="9"/>
  <c r="AY243" i="9" s="1"/>
  <c r="AP183" i="9"/>
  <c r="AY183" i="9" s="1"/>
  <c r="AS183" i="9" s="1"/>
  <c r="AP227" i="9"/>
  <c r="AY227" i="9" s="1"/>
  <c r="AS227" i="9" s="1"/>
  <c r="AP98" i="9"/>
  <c r="AY98" i="9" s="1"/>
  <c r="AS98" i="9" s="1"/>
  <c r="AP117" i="9"/>
  <c r="AY117" i="9" s="1"/>
  <c r="AS117" i="9" s="1"/>
  <c r="AP110" i="9"/>
  <c r="AY110" i="9" s="1"/>
  <c r="AS110" i="9" s="1"/>
  <c r="AP179" i="9"/>
  <c r="AY179" i="9" s="1"/>
  <c r="AS179" i="9" s="1"/>
  <c r="AP64" i="9"/>
  <c r="AY64" i="9" s="1"/>
  <c r="AS64" i="9" s="1"/>
  <c r="AP209" i="9"/>
  <c r="AY209" i="9" s="1"/>
  <c r="AS209" i="9" s="1"/>
  <c r="AP229" i="9"/>
  <c r="AY229" i="9" s="1"/>
  <c r="AS229" i="9" s="1"/>
  <c r="AP218" i="9"/>
  <c r="AY218" i="9" s="1"/>
  <c r="AS218" i="9" s="1"/>
  <c r="AP238" i="9"/>
  <c r="AY238" i="9" s="1"/>
  <c r="AP38" i="9"/>
  <c r="AY38" i="9" s="1"/>
  <c r="AS38" i="9" s="1"/>
  <c r="AP127" i="9"/>
  <c r="AY127" i="9" s="1"/>
  <c r="AS127" i="9" s="1"/>
  <c r="DV69" i="9"/>
  <c r="DV25" i="9"/>
  <c r="DV23" i="9"/>
  <c r="DU32" i="9"/>
  <c r="AP116" i="9"/>
  <c r="AY116" i="9" s="1"/>
  <c r="AS116" i="9" s="1"/>
  <c r="AP188" i="9"/>
  <c r="AY188" i="9" s="1"/>
  <c r="AS188" i="9" s="1"/>
  <c r="AP162" i="9"/>
  <c r="AY162" i="9" s="1"/>
  <c r="AS162" i="9" s="1"/>
  <c r="AP182" i="9"/>
  <c r="AY182" i="9" s="1"/>
  <c r="AS182" i="9" s="1"/>
  <c r="AP250" i="9"/>
  <c r="AY250" i="9" s="1"/>
  <c r="AP39" i="9"/>
  <c r="AY39" i="9" s="1"/>
  <c r="AS39" i="9" s="1"/>
  <c r="AP148" i="9"/>
  <c r="AY148" i="9" s="1"/>
  <c r="AS148" i="9" s="1"/>
  <c r="AP225" i="9"/>
  <c r="AY225" i="9" s="1"/>
  <c r="AS225" i="9" s="1"/>
  <c r="AP144" i="9"/>
  <c r="AY144" i="9" s="1"/>
  <c r="AS144" i="9" s="1"/>
  <c r="AP242" i="9"/>
  <c r="AY242" i="9" s="1"/>
  <c r="G70" i="9"/>
  <c r="G71" i="9" s="1"/>
  <c r="C70" i="9"/>
  <c r="F70" i="9"/>
  <c r="F71" i="9" s="1"/>
  <c r="I70" i="9"/>
  <c r="I71" i="9" s="1"/>
  <c r="E70" i="9"/>
  <c r="H70" i="9"/>
  <c r="H71" i="9" s="1"/>
  <c r="D70" i="9"/>
  <c r="D33" i="9" a="1"/>
  <c r="D33" i="9" s="1"/>
  <c r="CG8" i="9"/>
  <c r="AP200" i="9"/>
  <c r="AY200" i="9" s="1"/>
  <c r="AS200" i="9" s="1"/>
  <c r="J106" i="5"/>
  <c r="M106" i="5"/>
  <c r="G106" i="5"/>
  <c r="F106" i="5"/>
  <c r="I106" i="5"/>
  <c r="K106" i="5"/>
  <c r="L106" i="5"/>
  <c r="N106" i="5"/>
  <c r="O106" i="5"/>
  <c r="E106" i="5"/>
  <c r="H106" i="5"/>
  <c r="M102" i="5"/>
  <c r="I102" i="5"/>
  <c r="E102" i="5"/>
  <c r="N102" i="5"/>
  <c r="H102" i="5"/>
  <c r="D102" i="5"/>
  <c r="L102" i="5"/>
  <c r="G102" i="5"/>
  <c r="K102" i="5"/>
  <c r="F102" i="5"/>
  <c r="O102" i="5"/>
  <c r="J102" i="5"/>
  <c r="N100" i="5"/>
  <c r="J100" i="5"/>
  <c r="F100" i="5"/>
  <c r="K100" i="5"/>
  <c r="E100" i="5"/>
  <c r="O100" i="5"/>
  <c r="I100" i="5"/>
  <c r="M100" i="5"/>
  <c r="H100" i="5"/>
  <c r="D100" i="5"/>
  <c r="G100" i="5"/>
  <c r="L100" i="5"/>
  <c r="O99" i="5"/>
  <c r="K99" i="5"/>
  <c r="G99" i="5"/>
  <c r="D99" i="5"/>
  <c r="M99" i="5"/>
  <c r="H99" i="5"/>
  <c r="L99" i="5"/>
  <c r="F99" i="5"/>
  <c r="J99" i="5"/>
  <c r="E99" i="5"/>
  <c r="N99" i="5"/>
  <c r="I99" i="5"/>
  <c r="L103" i="5"/>
  <c r="H103" i="5"/>
  <c r="K103" i="5"/>
  <c r="F103" i="5"/>
  <c r="O103" i="5"/>
  <c r="J103" i="5"/>
  <c r="E103" i="5"/>
  <c r="N103" i="5"/>
  <c r="I103" i="5"/>
  <c r="D103" i="5"/>
  <c r="M103" i="5"/>
  <c r="G103" i="5"/>
  <c r="AS243" i="9" l="1"/>
  <c r="AS251" i="9"/>
  <c r="AS241" i="9"/>
  <c r="AS168" i="9"/>
  <c r="AS246" i="9"/>
  <c r="AS252" i="9"/>
  <c r="AS240" i="9"/>
  <c r="AS245" i="9"/>
  <c r="AS237" i="9"/>
  <c r="AS242" i="9"/>
  <c r="AS238" i="9"/>
  <c r="AS187" i="9"/>
  <c r="AS248" i="9"/>
  <c r="AS233" i="9"/>
  <c r="AS40" i="9"/>
  <c r="AS250" i="9"/>
  <c r="AS76" i="9"/>
  <c r="AS215" i="9"/>
  <c r="AS247" i="9"/>
  <c r="AS244" i="9"/>
  <c r="AS239" i="9"/>
  <c r="AS236" i="9"/>
  <c r="F126" i="8"/>
  <c r="DV34" i="9"/>
  <c r="DN13" i="9"/>
  <c r="DR13" i="9" s="1"/>
  <c r="CB21" i="9"/>
  <c r="CD20" i="9" s="1" a="1"/>
  <c r="CD20" i="9" s="1"/>
  <c r="J107" i="5"/>
  <c r="M107" i="5"/>
  <c r="O107" i="5"/>
  <c r="G107" i="5"/>
  <c r="AS50" i="9"/>
  <c r="I49" i="9"/>
  <c r="D71" i="9"/>
  <c r="D28" i="9"/>
  <c r="DQ11" i="9"/>
  <c r="DO11" i="9"/>
  <c r="DP11" i="9" s="1"/>
  <c r="DR11" i="9"/>
  <c r="CF9" i="9"/>
  <c r="AY32" i="9"/>
  <c r="AQ27" i="9"/>
  <c r="C71" i="9"/>
  <c r="D27" i="9"/>
  <c r="AS44" i="9"/>
  <c r="DN12" i="9"/>
  <c r="E107" i="5"/>
  <c r="L107" i="5"/>
  <c r="CB28" i="9"/>
  <c r="CA28" i="9" s="1"/>
  <c r="BZ28" i="9" s="1"/>
  <c r="BY28" i="9" s="1"/>
  <c r="BX28" i="9" s="1"/>
  <c r="BW28" i="9" s="1"/>
  <c r="BV28" i="9" s="1"/>
  <c r="BU28" i="9" s="1"/>
  <c r="BT28" i="9" s="1"/>
  <c r="CD27" i="9" s="1" a="1"/>
  <c r="CD27" i="9" s="1"/>
  <c r="CG10" i="9"/>
  <c r="CF10" i="9" s="1"/>
  <c r="CE10" i="9" s="1"/>
  <c r="CD10" i="9" s="1"/>
  <c r="CC10" i="9" s="1"/>
  <c r="CB10" i="9" s="1"/>
  <c r="CA10" i="9" s="1"/>
  <c r="BZ10" i="9" s="1"/>
  <c r="BY10" i="9" s="1"/>
  <c r="CG9" i="9"/>
  <c r="E71" i="9"/>
  <c r="D29" i="9"/>
  <c r="AS235" i="9"/>
  <c r="BV58" i="9"/>
  <c r="F107" i="5"/>
  <c r="N107" i="5"/>
  <c r="I107" i="5"/>
  <c r="H107" i="5"/>
  <c r="K107" i="5"/>
  <c r="A9" i="6" a="1"/>
  <c r="A9" i="6" s="1"/>
  <c r="D107" i="5"/>
  <c r="I52" i="9" l="1"/>
  <c r="F34" i="9" s="1"/>
  <c r="D91" i="5" a="1"/>
  <c r="BV61" i="9"/>
  <c r="CF58" i="9" a="1"/>
  <c r="CF58" i="9" s="1"/>
  <c r="CG58" i="9" s="1"/>
  <c r="DO13" i="9"/>
  <c r="DP13" i="9" s="1"/>
  <c r="DQ13" i="9"/>
  <c r="BV66" i="9"/>
  <c r="BW66" i="9" s="1"/>
  <c r="DQ12" i="9"/>
  <c r="DR12" i="9"/>
  <c r="DO12" i="9"/>
  <c r="DP12" i="9" s="1"/>
  <c r="AS32" i="9"/>
  <c r="DN10" i="9"/>
  <c r="AM3" i="9"/>
  <c r="BS30" i="9" a="1"/>
  <c r="BS30" i="9" s="1"/>
  <c r="BS28" i="9" s="1"/>
  <c r="CF70" i="9" s="1" a="1"/>
  <c r="CF61" i="9"/>
  <c r="CG61" i="9" s="1"/>
  <c r="CF67" i="9"/>
  <c r="CG67" i="9" s="1"/>
  <c r="CH67" i="9" s="1"/>
  <c r="CF65" i="9"/>
  <c r="CG65" i="9" s="1"/>
  <c r="M92" i="5" l="1"/>
  <c r="I91" i="5"/>
  <c r="N92" i="5"/>
  <c r="K93" i="5"/>
  <c r="N91" i="5"/>
  <c r="J93" i="5"/>
  <c r="L91" i="5"/>
  <c r="N93" i="5"/>
  <c r="F91" i="5"/>
  <c r="M93" i="5"/>
  <c r="I92" i="5"/>
  <c r="E91" i="5"/>
  <c r="H92" i="5"/>
  <c r="F93" i="5"/>
  <c r="H91" i="5"/>
  <c r="D93" i="5"/>
  <c r="G91" i="5"/>
  <c r="D92" i="5"/>
  <c r="E93" i="5"/>
  <c r="M91" i="5"/>
  <c r="G93" i="5"/>
  <c r="J91" i="5"/>
  <c r="G92" i="5"/>
  <c r="O93" i="5"/>
  <c r="F92" i="5"/>
  <c r="H93" i="5"/>
  <c r="O92" i="5"/>
  <c r="I93" i="5"/>
  <c r="E92" i="5"/>
  <c r="L93" i="5"/>
  <c r="O91" i="5"/>
  <c r="L92" i="5"/>
  <c r="D91" i="5"/>
  <c r="K92" i="5"/>
  <c r="J92" i="5"/>
  <c r="K91" i="5"/>
  <c r="CF64" i="9"/>
  <c r="CG64" i="9" s="1"/>
  <c r="CF60" i="9"/>
  <c r="CG60" i="9" s="1"/>
  <c r="BY72" i="9"/>
  <c r="CF63" i="9"/>
  <c r="CG63" i="9" s="1"/>
  <c r="CF59" i="9"/>
  <c r="CG59" i="9" s="1"/>
  <c r="BV64" i="9"/>
  <c r="CF62" i="9"/>
  <c r="CG62" i="9" s="1"/>
  <c r="CF66" i="9"/>
  <c r="CG66" i="9" s="1"/>
  <c r="BV62" i="9"/>
  <c r="CH66" i="9"/>
  <c r="DO10" i="9"/>
  <c r="DP10" i="9" s="1"/>
  <c r="DP16" i="9" s="1"/>
  <c r="DR10" i="9"/>
  <c r="DR16" i="9" s="1"/>
  <c r="DQ10" i="9"/>
  <c r="DQ16" i="9" s="1"/>
  <c r="BV67" i="9"/>
  <c r="BW67" i="9" s="1"/>
  <c r="BV68" i="9"/>
  <c r="BW68" i="9" s="1"/>
  <c r="BY73" i="9"/>
  <c r="CF75" i="9"/>
  <c r="CG75" i="9" s="1"/>
  <c r="CF74" i="9"/>
  <c r="CG74" i="9" s="1"/>
  <c r="CF78" i="9"/>
  <c r="CG78" i="9" s="1"/>
  <c r="CF76" i="9"/>
  <c r="CG76" i="9" s="1"/>
  <c r="CF79" i="9"/>
  <c r="CG79" i="9" s="1"/>
  <c r="CH79" i="9" s="1"/>
  <c r="CF77" i="9"/>
  <c r="CG77" i="9" s="1"/>
  <c r="CF73" i="9"/>
  <c r="CG73" i="9" s="1"/>
  <c r="CF72" i="9"/>
  <c r="CG72" i="9" s="1"/>
  <c r="CF71" i="9"/>
  <c r="CG71" i="9" s="1"/>
  <c r="CF70" i="9"/>
  <c r="CG70" i="9" s="1"/>
  <c r="CH65" i="9"/>
  <c r="CH64" i="9" s="1"/>
  <c r="CH63" i="9" s="1"/>
  <c r="BT3" i="9"/>
  <c r="BS16" i="9" s="1"/>
  <c r="C6" i="9"/>
  <c r="CR5" i="9"/>
  <c r="CH62" i="9" l="1"/>
  <c r="CH61" i="9" s="1"/>
  <c r="CH60" i="9" s="1"/>
  <c r="CH59" i="9" s="1"/>
  <c r="CH78" i="9"/>
  <c r="BY74" i="9"/>
  <c r="C8" i="9"/>
  <c r="F7" i="9"/>
  <c r="CH77" i="9"/>
  <c r="CH76" i="9" s="1"/>
  <c r="CH75" i="9" s="1"/>
  <c r="CH74" i="9" s="1"/>
  <c r="CH73" i="9" s="1"/>
  <c r="CH72" i="9" s="1"/>
  <c r="CH71" i="9" s="1"/>
  <c r="BU81" i="9"/>
  <c r="BS14" i="9"/>
  <c r="BT14" i="9" s="1"/>
  <c r="BS38" i="9"/>
  <c r="BS42" i="9" l="1" a="1"/>
  <c r="BS42" i="9" s="1"/>
  <c r="F6" i="9"/>
  <c r="C9" i="9"/>
  <c r="BU14" i="9"/>
  <c r="CC16" i="9" s="1" a="1"/>
  <c r="CC16" i="9" s="1"/>
  <c r="CE15" i="9" s="1"/>
  <c r="BY14" i="9"/>
  <c r="CA14" i="9"/>
  <c r="BZ14" i="9"/>
  <c r="BY16" i="9" a="1"/>
  <c r="BY16" i="9" s="1"/>
  <c r="CA15" i="9" s="1"/>
  <c r="CD13" i="9" a="1"/>
  <c r="CD13" i="9" s="1"/>
  <c r="CR6" i="9" s="1"/>
  <c r="CA16" i="9" a="1"/>
  <c r="CA16" i="9" s="1"/>
  <c r="BV14" i="9"/>
  <c r="BW14" i="9"/>
  <c r="CB14" i="9"/>
  <c r="BY75" i="9"/>
  <c r="BU83" i="9" s="1"/>
  <c r="F4" i="9"/>
  <c r="C11" i="9"/>
  <c r="D17" i="9"/>
  <c r="E33" i="9"/>
  <c r="BU82" i="9"/>
  <c r="BU16" i="9" a="1"/>
  <c r="BU16" i="9" s="1"/>
  <c r="BW16" i="9" a="1"/>
  <c r="BW16" i="9" s="1"/>
  <c r="BX14" i="9"/>
  <c r="J61" i="5" a="1"/>
  <c r="F5" i="9" l="1"/>
  <c r="F33" i="9"/>
  <c r="I33" i="9" s="1" a="1"/>
  <c r="I33" i="9" s="1"/>
  <c r="CE16" i="9" a="1"/>
  <c r="CE16" i="9" s="1"/>
  <c r="CF46" i="9" a="1"/>
  <c r="CF53" i="9" s="1"/>
  <c r="CG53" i="9" s="1"/>
  <c r="BW15" i="9"/>
  <c r="BV38" i="9"/>
  <c r="C12" i="9"/>
  <c r="C13" i="9" s="1"/>
  <c r="CR9" i="9"/>
  <c r="CR10" i="9" s="1"/>
  <c r="D18" i="9"/>
  <c r="D19" i="9" s="1"/>
  <c r="BY76" i="9"/>
  <c r="BU84" i="9" s="1"/>
  <c r="J68" i="5"/>
  <c r="J61" i="5"/>
  <c r="J65" i="5"/>
  <c r="J66" i="5"/>
  <c r="J64" i="5"/>
  <c r="J70" i="5"/>
  <c r="J67" i="5"/>
  <c r="J63" i="5"/>
  <c r="J69" i="5"/>
  <c r="J62" i="5"/>
  <c r="I34" i="9" l="1"/>
  <c r="CF50" i="9"/>
  <c r="CG50" i="9" s="1"/>
  <c r="CF51" i="9"/>
  <c r="CG51" i="9" s="1"/>
  <c r="CF54" i="9"/>
  <c r="CG54" i="9" s="1"/>
  <c r="CF52" i="9"/>
  <c r="CG52" i="9" s="1"/>
  <c r="CF46" i="9"/>
  <c r="CG46" i="9" s="1"/>
  <c r="CF48" i="9"/>
  <c r="CG48" i="9" s="1"/>
  <c r="CF55" i="9"/>
  <c r="CG55" i="9" s="1"/>
  <c r="CH55" i="9" s="1"/>
  <c r="CF47" i="9"/>
  <c r="CG47" i="9" s="1"/>
  <c r="CF49" i="9"/>
  <c r="CG49" i="9" s="1"/>
  <c r="E25" i="9"/>
  <c r="F25" i="9" s="1" a="1"/>
  <c r="F25" i="9" s="1"/>
  <c r="D21" i="9"/>
  <c r="D20" i="9" s="1"/>
  <c r="E24" i="9"/>
  <c r="F24" i="9" s="1" a="1"/>
  <c r="F24" i="9" s="1"/>
  <c r="E23" i="9"/>
  <c r="F23" i="9" s="1" a="1"/>
  <c r="F23" i="9" s="1"/>
  <c r="F35" i="9" s="1"/>
  <c r="F36" i="9" s="1"/>
  <c r="E28" i="9"/>
  <c r="E29" i="9"/>
  <c r="E27" i="9"/>
  <c r="BY77" i="9"/>
  <c r="CV13" i="9"/>
  <c r="CV16" i="9"/>
  <c r="CV14" i="9"/>
  <c r="CV17" i="9"/>
  <c r="CV18" i="9"/>
  <c r="CV15" i="9"/>
  <c r="BU86" i="9" l="1"/>
  <c r="CH54" i="9"/>
  <c r="CH53" i="9" s="1"/>
  <c r="CH52" i="9" s="1"/>
  <c r="CH51" i="9" s="1"/>
  <c r="CH50" i="9" s="1"/>
  <c r="CH49" i="9" s="1"/>
  <c r="CH48" i="9" s="1"/>
  <c r="CH47" i="9" s="1"/>
  <c r="BU85" i="9"/>
  <c r="F27" i="9" a="1"/>
  <c r="F27" i="9" s="1"/>
  <c r="H27" i="9"/>
  <c r="F158" i="9"/>
  <c r="F28" i="9" a="1"/>
  <c r="F28" i="9" s="1"/>
  <c r="H28" i="9"/>
  <c r="F29" i="9" a="1"/>
  <c r="F29" i="9" s="1"/>
  <c r="H29" i="9"/>
  <c r="G23" i="9"/>
  <c r="G25" i="9"/>
  <c r="H25" i="9" s="1" a="1"/>
  <c r="H25" i="9" s="1"/>
  <c r="I25" i="9" s="1"/>
  <c r="G24" i="9"/>
  <c r="H24" i="9" s="1" a="1"/>
  <c r="H24" i="9" s="1"/>
  <c r="I24" i="9" s="1"/>
  <c r="K61" i="5" a="1"/>
  <c r="F159" i="9" l="1" a="1"/>
  <c r="F159" i="9" s="1"/>
  <c r="H30" i="9"/>
  <c r="H31" i="9" s="1"/>
  <c r="H32" i="9" s="1"/>
  <c r="L23" i="9" s="1"/>
  <c r="L25" i="9" s="1"/>
  <c r="L26" i="9" s="1"/>
  <c r="H23" i="9" a="1"/>
  <c r="H23" i="9" s="1"/>
  <c r="BV86" i="9"/>
  <c r="BU80" i="9"/>
  <c r="BV85" i="9"/>
  <c r="BV84" i="9" s="1"/>
  <c r="BV83" i="9" s="1"/>
  <c r="BV82" i="9" s="1"/>
  <c r="BV81" i="9" s="1"/>
  <c r="BW80" i="9" s="1" a="1"/>
  <c r="H26" i="9"/>
  <c r="I23" i="9"/>
  <c r="I26" i="9" s="1"/>
  <c r="I31" i="9" s="1"/>
  <c r="I27" i="9" a="1"/>
  <c r="G158" i="9"/>
  <c r="G159" i="9" s="1" a="1"/>
  <c r="G159" i="9" s="1"/>
  <c r="G160" i="9" s="1" a="1"/>
  <c r="G160" i="9" s="1"/>
  <c r="L29" i="9" s="1"/>
  <c r="I61" i="5" a="1"/>
  <c r="K69" i="5"/>
  <c r="K65" i="5"/>
  <c r="K67" i="5"/>
  <c r="K62" i="5"/>
  <c r="K66" i="5"/>
  <c r="K61" i="5"/>
  <c r="K70" i="5"/>
  <c r="K64" i="5"/>
  <c r="K68" i="5"/>
  <c r="K63" i="5"/>
  <c r="F160" i="9" l="1" a="1"/>
  <c r="F160" i="9" s="1"/>
  <c r="L28" i="9" s="1"/>
  <c r="L30" i="9" s="1"/>
  <c r="L31" i="9" s="1"/>
  <c r="L32" i="9" s="1"/>
  <c r="BW85" i="9"/>
  <c r="BW86" i="9"/>
  <c r="BW80" i="9"/>
  <c r="BW83" i="9"/>
  <c r="BW81" i="9"/>
  <c r="BW84" i="9"/>
  <c r="BW82" i="9"/>
  <c r="I29" i="9"/>
  <c r="I27" i="9"/>
  <c r="I30" i="9" s="1"/>
  <c r="I28" i="9"/>
  <c r="I32" i="9"/>
  <c r="I35" i="9" s="1"/>
  <c r="I67" i="5"/>
  <c r="I68" i="5"/>
  <c r="I70" i="5"/>
  <c r="I61" i="5"/>
  <c r="I64" i="5"/>
  <c r="I62" i="5"/>
  <c r="I65" i="5"/>
  <c r="I63" i="5"/>
  <c r="I69" i="5"/>
  <c r="I66" i="5"/>
  <c r="I36" i="9" l="1"/>
  <c r="ED19" i="9"/>
  <c r="ED16" i="9"/>
  <c r="I37" i="9" l="1"/>
  <c r="I38" i="9" s="1"/>
  <c r="DU84" i="9" a="1"/>
  <c r="DU84" i="9" s="1"/>
  <c r="DU80" i="9" a="1"/>
  <c r="DU80" i="9" s="1"/>
  <c r="DU73" i="9" a="1"/>
  <c r="DU73" i="9" s="1"/>
  <c r="DU57" i="9" a="1"/>
  <c r="DU57" i="9" s="1"/>
  <c r="DU59" i="9" a="1"/>
  <c r="DU59" i="9" s="1"/>
  <c r="DU76" i="9" a="1"/>
  <c r="DU76" i="9" s="1"/>
  <c r="DU65" i="9" a="1"/>
  <c r="DU65" i="9" s="1"/>
  <c r="DU62" i="9" a="1"/>
  <c r="DU62" i="9" s="1"/>
  <c r="DU52" i="9" a="1"/>
  <c r="DU52" i="9" s="1"/>
  <c r="DU20" i="9" a="1"/>
  <c r="DU20" i="9" s="1"/>
  <c r="DU31" i="9" a="1"/>
  <c r="DU31" i="9" s="1"/>
  <c r="ED18" i="9"/>
  <c r="ED17" i="9"/>
  <c r="DU50" i="9" a="1"/>
  <c r="DU50" i="9" s="1"/>
  <c r="DV47" i="9" s="1"/>
  <c r="ED20" i="9"/>
  <c r="ED21" i="9"/>
</calcChain>
</file>

<file path=xl/sharedStrings.xml><?xml version="1.0" encoding="utf-8"?>
<sst xmlns="http://schemas.openxmlformats.org/spreadsheetml/2006/main" count="2558" uniqueCount="1189">
  <si>
    <t>Squire Goshawk's Quick (or Not) City Generator</t>
  </si>
  <si>
    <t>What This Is and Is Not</t>
  </si>
  <si>
    <t xml:space="preserve">
Thank you for giving Squire Goshawk's City Generator a try. It is intended to create a unique fantasy city with many useful and mundane details in a reasonably short amount of time. As many features as possible are determinalistic and attempt to give reasonably realistic results with a good amount of variety. That being said, it is not intended to be taken as infallible - I do not hold degress in economics, agriculture, or history, and many formulas are based on guesswork and what "felt" right.
Instead, use it as a way to spark your creativity. If you get results that don't make sense on the surface, see if you can come up with a reason why things are the way they are. Perhaps it will inspire a chapter of the community's history or a the start of a mystery for your players to unravel. Use it to make your city unique. Or, just change whatever you don't like or disagree with. No judgement here.
</t>
  </si>
  <si>
    <t>Instructions</t>
  </si>
  <si>
    <t xml:space="preserve">
All of your input happens on the Entry sheet. It is possible to make all of the random entries in under a minute using the auto-roller feature, but you have three options for how to go about it. I recommend using the auto-rolls, and then either choosing or manual rolling the parts that interest you most.
AUTO ROLLING - Google sheets has the ability to generate random numbers, but unfortunately they cannot be locked and are regenerated every time any cell in the sheet is changed. Therefore, the random numbers need to be copied and pasted from the auto-roller to the actual entry fields.
MANUAL ROLLING - You can always go old school and make each roll the hard way. However, you will have to roll over 150 times, and most of them will be d100s. But, if you must, go right ahead.
CHOOSING - Aside from just choosing numbers at random, many entries have drop-down menus to the right of the dice entries. In these cases, whatever you choose will override any rolled numbers.
Cells are color coded as shown below.
</t>
  </si>
  <si>
    <t>Paste Auto-Rolled Numbers into the bright green cells to the left. These are required.</t>
  </si>
  <si>
    <t>Pale Green indicates optional cells.</t>
  </si>
  <si>
    <t>Never change red cells - they contain formulas.</t>
  </si>
  <si>
    <t>Yellow cells contain numbers and text that the formulas use. You might be able to change it, but I can't promise you won't break something.</t>
  </si>
  <si>
    <t>Results</t>
  </si>
  <si>
    <t xml:space="preserve">
There are three result tabs - Summary, Quick Stats, and Dice Tables, which are (relatively) printer friendly. Pages and orientations are listed, but you will have to adjust margins and page breaks on your own to achieve them.
SUMMARY (4 Pages, Portrait) - Details on Demographics and Size, Influential People/Influence Points, Employees/Budget, Economy, Agriculture, Military Strength, and Architecture.
QUICK STATS (1 Page, Landscape) - Walking Times, Guard Patrols, Number of Taverns/Restaurants/Inns, Highest Level NPCs, and 10 Random Citizens (Sex, Race, Profession, Class, and Level).
DICE TABLES (2 Pages, Landscape) - Random Profession, Race, Level, and Weather
In addition, there is a TOOLS tab which simply automates the DICE TABLES.
If you would like to take a look under the carriage, so to speak, you can peak at the other tabs to see how it's done. You must, however, promise not to judge the methods, formulas, or especially the consistency thereof. Hey...if it works, it works.
</t>
  </si>
  <si>
    <t>Magic, Gold, and NPC Levels</t>
  </si>
  <si>
    <t xml:space="preserve">
The results in this sheet are reflective of my own preferences and you can obviously make whatever adjustments you would like. To aid with that, here are a few words about my underlying thoughts on magic, gold, and NPC levels when worldbuilding. I have absolutely no quarrels with anyone who thinks differently, though if you do, you may find that this generator does not meet your needs.
MAGIC - Magic is somewhat rare, with around 5% of the population having the ability to use magic in some capacity. This is based on nothing more than the idea that widespread magic would lead to some really strange things happening with the fabric of society. Crop yields are based on modern day varieties and techniques, which the understanding that this is accomplished with the aid of magic.
GOLD - Gold levels are based on a very rough conversion rate of about 1 GP = $100 US. Prices in the current edition of D&amp;D are famously wonky in the context of a working economy, and so these numbers are based a little more on some of the alternative price lists out there (at least in terms of magic items).
NPC LEVELS - This sheet is limited to generating NPCs of Level 10 or lower - the god-like magical abilities attained at higher levels again lead to some weird things happening. Levels advancement is based on individuals at each level advancing to the next in smaller and smaller numbers. For example, 50% of Level 1 NPCs advance to Level 2, 27% of Level 2 NPCs advance to Level 3, and so on. Because there are smaller numbers of spellcasters, higher levels tend to be more rare. None of this should prevent you from using higher level NPCs in your city, but the implication is that they should be the exception rather than the rule, and they should be present due to a conscious choice on your part.
</t>
  </si>
  <si>
    <t>Acknowledgements</t>
  </si>
  <si>
    <t xml:space="preserve">
This sheet has been built over a long enough period of time and pulled from so many internet searches that I have no idea where most of it came from at this point. But I do want to mention a couple of sources that were inspirational and influential.
I highly recommend the PDF Sane Magic Prices by Inconnunom. Most of my economic calcuations are calibrated against these prices.
This sheet was heavily influenced by a "Magical Medieval Society, Western Europe", by Joseph Browning and Suzi Yee. In fact, it began as a way to automate the city generation system in that resource. Even though it ended up being something else, the bones are still there. It's a great resource and you should go buy it.
</t>
  </si>
  <si>
    <t>Auto Roller</t>
  </si>
  <si>
    <t>Click checkbox to Auto-Roll, then copy/paste (CTRL+C / CTRL+SHIFT+V)</t>
  </si>
  <si>
    <t>Size</t>
  </si>
  <si>
    <t>d100</t>
  </si>
  <si>
    <t>Shape</t>
  </si>
  <si>
    <t>Climate</t>
  </si>
  <si>
    <t>Latitude</t>
  </si>
  <si>
    <t>Altitude</t>
  </si>
  <si>
    <t>d20</t>
  </si>
  <si>
    <t>Fully Integrated</t>
  </si>
  <si>
    <t>Very Rare</t>
  </si>
  <si>
    <t>None</t>
  </si>
  <si>
    <t>Arakocra</t>
  </si>
  <si>
    <t>Gnome</t>
  </si>
  <si>
    <t>Uncommon</t>
  </si>
  <si>
    <t>Kobold</t>
  </si>
  <si>
    <t>Average</t>
  </si>
  <si>
    <t>Bugbear</t>
  </si>
  <si>
    <t>Goblin</t>
  </si>
  <si>
    <t>Lizardfolk</t>
  </si>
  <si>
    <t>Dragonborn</t>
  </si>
  <si>
    <t>Rare</t>
  </si>
  <si>
    <t>Goliath</t>
  </si>
  <si>
    <t>Orc</t>
  </si>
  <si>
    <t>Surrounding Area</t>
  </si>
  <si>
    <t>Dwarf</t>
  </si>
  <si>
    <t>Very Common</t>
  </si>
  <si>
    <t>Half Elf</t>
  </si>
  <si>
    <t>Common</t>
  </si>
  <si>
    <t>Tabaxi</t>
  </si>
  <si>
    <t>Elf</t>
  </si>
  <si>
    <t>Half Orc</t>
  </si>
  <si>
    <t>Tiefling</t>
  </si>
  <si>
    <t>Firbolg</t>
  </si>
  <si>
    <t>Halfling</t>
  </si>
  <si>
    <t>Tortle</t>
  </si>
  <si>
    <t>Genasi</t>
  </si>
  <si>
    <t>Hobgoblin</t>
  </si>
  <si>
    <t>Triton</t>
  </si>
  <si>
    <t>Gith</t>
  </si>
  <si>
    <t>Human</t>
  </si>
  <si>
    <t>Major</t>
  </si>
  <si>
    <t>Yaun-ti</t>
  </si>
  <si>
    <t>Legal/Physical Restrictions</t>
  </si>
  <si>
    <t>Notable Economic Sectors</t>
  </si>
  <si>
    <t>Panhandling/Begging</t>
  </si>
  <si>
    <t>Music</t>
  </si>
  <si>
    <t>Wine/Mead</t>
  </si>
  <si>
    <t>Crime Crackdown</t>
  </si>
  <si>
    <t>Theater</t>
  </si>
  <si>
    <t>Licquor</t>
  </si>
  <si>
    <t>No Schools</t>
  </si>
  <si>
    <t>Painting</t>
  </si>
  <si>
    <t>Potions</t>
  </si>
  <si>
    <t>No Elderly</t>
  </si>
  <si>
    <t>Sculptures</t>
  </si>
  <si>
    <t>Enchanters</t>
  </si>
  <si>
    <t>Anarchy/Volunteer Gov't</t>
  </si>
  <si>
    <t>Literature</t>
  </si>
  <si>
    <t>Armor</t>
  </si>
  <si>
    <t>No Sickness</t>
  </si>
  <si>
    <t>Markets/Trade</t>
  </si>
  <si>
    <t>Cloth/Clothing</t>
  </si>
  <si>
    <t>General Taxation Rate</t>
  </si>
  <si>
    <t>Magic is Banned</t>
  </si>
  <si>
    <t>Slave Trade</t>
  </si>
  <si>
    <t>Cash Crops</t>
  </si>
  <si>
    <t>Music is Banned</t>
  </si>
  <si>
    <t>Education/Research</t>
  </si>
  <si>
    <t>Fish</t>
  </si>
  <si>
    <t>Nobility are Banned</t>
  </si>
  <si>
    <t>Religious Worship</t>
  </si>
  <si>
    <t>Furniture</t>
  </si>
  <si>
    <t>No Outsiders Allowed</t>
  </si>
  <si>
    <t>Organized Crime</t>
  </si>
  <si>
    <t>Glassmaking</t>
  </si>
  <si>
    <t>Religion Banned</t>
  </si>
  <si>
    <t>Military Service</t>
  </si>
  <si>
    <t>Jewelry</t>
  </si>
  <si>
    <t>Slavery/Indenture Outlawed</t>
  </si>
  <si>
    <t>Ongoing/Recent War</t>
  </si>
  <si>
    <t>Livestock</t>
  </si>
  <si>
    <t>Acting is Banned</t>
  </si>
  <si>
    <t>Adventurers/Sellswords</t>
  </si>
  <si>
    <t>Medicine</t>
  </si>
  <si>
    <t>No Unemployment</t>
  </si>
  <si>
    <t>Beauracracy</t>
  </si>
  <si>
    <t>Metalwork</t>
  </si>
  <si>
    <t>Artwork is Banned</t>
  </si>
  <si>
    <t>Nobility/Wealthy Elite</t>
  </si>
  <si>
    <t>Shipbuilding</t>
  </si>
  <si>
    <t>No Significant Waterway</t>
  </si>
  <si>
    <t>Beggars</t>
  </si>
  <si>
    <t>Slaves</t>
  </si>
  <si>
    <t>Eldery</t>
  </si>
  <si>
    <t>Technology</t>
  </si>
  <si>
    <t>Sick</t>
  </si>
  <si>
    <t>Weapons</t>
  </si>
  <si>
    <t>Highest Level Warrior</t>
  </si>
  <si>
    <t>Number of Power Centers</t>
  </si>
  <si>
    <t>Roof Material</t>
  </si>
  <si>
    <t>Roof Shape</t>
  </si>
  <si>
    <t>Roads</t>
  </si>
  <si>
    <t>Area</t>
  </si>
  <si>
    <t>Government</t>
  </si>
  <si>
    <t>City Guard/Garrison/Militia</t>
  </si>
  <si>
    <t>Number</t>
  </si>
  <si>
    <t>Total</t>
  </si>
  <si>
    <t>Name</t>
  </si>
  <si>
    <t>Roll/Choose</t>
  </si>
  <si>
    <t>Goats</t>
  </si>
  <si>
    <t>Sheep</t>
  </si>
  <si>
    <t>Hunting/Gathering</t>
  </si>
  <si>
    <t>Fishing</t>
  </si>
  <si>
    <t>Population by Race</t>
  </si>
  <si>
    <t>Race</t>
  </si>
  <si>
    <t>Level</t>
  </si>
  <si>
    <t>Level 1</t>
  </si>
  <si>
    <t>Corporal/Decanus</t>
  </si>
  <si>
    <t>Level 2</t>
  </si>
  <si>
    <t>Sergeant/Lieutenant/Optio</t>
  </si>
  <si>
    <t>Level 3</t>
  </si>
  <si>
    <t>Captain/Centurian</t>
  </si>
  <si>
    <t>Level 4</t>
  </si>
  <si>
    <t>Major/Prima Pilus</t>
  </si>
  <si>
    <t>Level 5</t>
  </si>
  <si>
    <t>Colonel/Tribunus</t>
  </si>
  <si>
    <t>Level 6</t>
  </si>
  <si>
    <t>General/Legatus</t>
  </si>
  <si>
    <t>Level 7</t>
  </si>
  <si>
    <t>Month 1</t>
  </si>
  <si>
    <t>Month 4</t>
  </si>
  <si>
    <t>Month 7</t>
  </si>
  <si>
    <t>Month 10</t>
  </si>
  <si>
    <t>Dice Tables</t>
  </si>
  <si>
    <t>Random Profession</t>
  </si>
  <si>
    <t>How to Roll d10,000 with 2d100:
Multiply first d100 by 100 and add the second to the result. Example: 42,37 = 4,237 (One d100 needs to be 0-99 and the other 1-100)</t>
  </si>
  <si>
    <t>1 to 549</t>
  </si>
  <si>
    <t/>
  </si>
  <si>
    <t>550 to 1660</t>
  </si>
  <si>
    <t>Arcanist (Potionmaker)</t>
  </si>
  <si>
    <t>Etherist (Apprentice)</t>
  </si>
  <si>
    <t>Artist (Illuminator)</t>
  </si>
  <si>
    <t>Sage/Scholar</t>
  </si>
  <si>
    <t>Elderly</t>
  </si>
  <si>
    <t>1661 to 2216</t>
  </si>
  <si>
    <t>Arcanist (Scrollmaker)</t>
  </si>
  <si>
    <t>Etherist (Brewer)</t>
  </si>
  <si>
    <t>Artist (Painter)</t>
  </si>
  <si>
    <t>Librarian</t>
  </si>
  <si>
    <t>Infirm</t>
  </si>
  <si>
    <t>Arcanist (Apprentice)</t>
  </si>
  <si>
    <t>Etherist (Distiller)</t>
  </si>
  <si>
    <t>Artist (Sculptor)</t>
  </si>
  <si>
    <t>Professor</t>
  </si>
  <si>
    <t>Student (of working age)</t>
  </si>
  <si>
    <t>Carpenter (Apprentice)</t>
  </si>
  <si>
    <t>Etherist (Herbalist)</t>
  </si>
  <si>
    <t>Artist (Sketcher)</t>
  </si>
  <si>
    <t>Historian</t>
  </si>
  <si>
    <t>Thief</t>
  </si>
  <si>
    <t>Carpenter (Bowyer/Fletcher)</t>
  </si>
  <si>
    <t>Etherist (Journeyman)</t>
  </si>
  <si>
    <t>Entertainer (Acrobat)</t>
  </si>
  <si>
    <t>Drafter (Architect)</t>
  </si>
  <si>
    <t>Traveler</t>
  </si>
  <si>
    <t>Carpenter (Cooper)</t>
  </si>
  <si>
    <t>Etherist (Perfumer)</t>
  </si>
  <si>
    <t>Entertainer (Actor)</t>
  </si>
  <si>
    <t>Drafter (Engineer)</t>
  </si>
  <si>
    <t>Mendicant (Vow of Poverty)</t>
  </si>
  <si>
    <t>Carpenter (Framer)</t>
  </si>
  <si>
    <t>Etherist (Vintner)</t>
  </si>
  <si>
    <t>Entertainer (Jester)</t>
  </si>
  <si>
    <t>Drafter (Naval Architect)</t>
  </si>
  <si>
    <t>Laborer</t>
  </si>
  <si>
    <t>2217 to 2772</t>
  </si>
  <si>
    <t>Carpenter (Furniture)</t>
  </si>
  <si>
    <t>Glassmaker (Apprentice)</t>
  </si>
  <si>
    <t>Entertainer (Storyteller)</t>
  </si>
  <si>
    <t>Drafter (Cartographer)</t>
  </si>
  <si>
    <t>Sailor</t>
  </si>
  <si>
    <t>Carpenter (General)</t>
  </si>
  <si>
    <t>4997 to 5552</t>
  </si>
  <si>
    <t>Glassmaker (Blower)</t>
  </si>
  <si>
    <t>Musician (Choirister)</t>
  </si>
  <si>
    <t>Drafter (Apprentice)</t>
  </si>
  <si>
    <t>Caravaner</t>
  </si>
  <si>
    <t>Carpenter (Instrument Maker)</t>
  </si>
  <si>
    <t>Glassmaker (Bottelier)</t>
  </si>
  <si>
    <t>Musician (Composer)</t>
  </si>
  <si>
    <t>Advocate (Lawyer)</t>
  </si>
  <si>
    <t>Watercarrier</t>
  </si>
  <si>
    <t>Carpenter (Journeyman)</t>
  </si>
  <si>
    <t>Glassmaker (General)</t>
  </si>
  <si>
    <t>Musician (Instrumentalist)</t>
  </si>
  <si>
    <t>7777 to 8332</t>
  </si>
  <si>
    <t>Advocate (Page)</t>
  </si>
  <si>
    <t>Astrologer</t>
  </si>
  <si>
    <t>Carpenter (Luthier)</t>
  </si>
  <si>
    <t>Glassmaker (Glazier)</t>
  </si>
  <si>
    <t>Musician (Kappellmeister)</t>
  </si>
  <si>
    <t>Financier (Moneychanger)</t>
  </si>
  <si>
    <t>Baker (Independent)</t>
  </si>
  <si>
    <t>2773 to 3328</t>
  </si>
  <si>
    <t>Carpenter (Paper/Parchment Maker)</t>
  </si>
  <si>
    <t>Glassmaker (Journeyman)</t>
  </si>
  <si>
    <t>Musician (Minstrel)</t>
  </si>
  <si>
    <t>Financier (Banker)</t>
  </si>
  <si>
    <t>Barber</t>
  </si>
  <si>
    <t>Carpenter (Roofer)</t>
  </si>
  <si>
    <t>Smith (Apprentice)</t>
  </si>
  <si>
    <t>Musician (Virtuoso)</t>
  </si>
  <si>
    <t>Financier (Lender)</t>
  </si>
  <si>
    <t>Bather</t>
  </si>
  <si>
    <t>Carpenter (Shipwright)</t>
  </si>
  <si>
    <t>Smith (Armorer)</t>
  </si>
  <si>
    <t>Writer (Historical)</t>
  </si>
  <si>
    <t>Financier (Page)</t>
  </si>
  <si>
    <t>Brothel Keeper</t>
  </si>
  <si>
    <t>Carpenter (Toy Maker)</t>
  </si>
  <si>
    <t>Smith (Bellmaker)</t>
  </si>
  <si>
    <t>Writer (Novelist)</t>
  </si>
  <si>
    <t>Copyist</t>
  </si>
  <si>
    <t>Butcher</t>
  </si>
  <si>
    <t>3329 to 3884</t>
  </si>
  <si>
    <t>Carpenter (Wheelwright)</t>
  </si>
  <si>
    <t>Smith (Blade)</t>
  </si>
  <si>
    <t>Writer (Poet)</t>
  </si>
  <si>
    <t>Inventor</t>
  </si>
  <si>
    <t>Fisher</t>
  </si>
  <si>
    <t>Carpenter (Woodcarver)</t>
  </si>
  <si>
    <t>Smith (Brass)</t>
  </si>
  <si>
    <t>Writer (Satirist)</t>
  </si>
  <si>
    <t>Sellsword</t>
  </si>
  <si>
    <t>Groom/Stableworker</t>
  </si>
  <si>
    <t>Chandlier (Apprentice)</t>
  </si>
  <si>
    <t>Smith (Buckle Maker)</t>
  </si>
  <si>
    <t>Retailer (Bookseller)</t>
  </si>
  <si>
    <t>Private Guard</t>
  </si>
  <si>
    <t>Guide/Tout</t>
  </si>
  <si>
    <t>Chandlier (Candlemaker)</t>
  </si>
  <si>
    <t>Smith (Clockmaker/Gearmaker)</t>
  </si>
  <si>
    <t>Retailer (Clothier, Used)</t>
  </si>
  <si>
    <t>Healer (Dentist)</t>
  </si>
  <si>
    <t>Chandlier (Journeyman)</t>
  </si>
  <si>
    <t>Smith (Copper)</t>
  </si>
  <si>
    <t>Retailer (Dairy)</t>
  </si>
  <si>
    <t>Official (Tax Collector)</t>
  </si>
  <si>
    <t>Healer (Licensed Doctor)</t>
  </si>
  <si>
    <t>Chandlier (Soapmaker)</t>
  </si>
  <si>
    <t>5553 to 6108</t>
  </si>
  <si>
    <t>Smith (Cutler)</t>
  </si>
  <si>
    <t>Retailer (Draper)</t>
  </si>
  <si>
    <t>Official (Rat/Animal Catcher)</t>
  </si>
  <si>
    <t>Healer (Midwife)</t>
  </si>
  <si>
    <t>Clothier (Apprentice)</t>
  </si>
  <si>
    <t>Smith (Engraver)</t>
  </si>
  <si>
    <t>Retailer (Fishmonger)</t>
  </si>
  <si>
    <t>Official (Clerk)</t>
  </si>
  <si>
    <t>Healer (Unlicensed Doctor)</t>
  </si>
  <si>
    <t>Clothier (Basket Weaver)</t>
  </si>
  <si>
    <t>Smith (Ferrier)</t>
  </si>
  <si>
    <t>Retailer (Flowerseller)</t>
  </si>
  <si>
    <t>Official (Page)</t>
  </si>
  <si>
    <t>Inn Keeper</t>
  </si>
  <si>
    <t>3885 to 4440</t>
  </si>
  <si>
    <t>Clothier (Bleacher)</t>
  </si>
  <si>
    <t>Smith (General)</t>
  </si>
  <si>
    <t>6665 to 7220</t>
  </si>
  <si>
    <t>Retailer (Furrier)</t>
  </si>
  <si>
    <t>Official (Judge)</t>
  </si>
  <si>
    <t>Navigator/Pathfinder</t>
  </si>
  <si>
    <t>Clothier (Dye Maker)</t>
  </si>
  <si>
    <t>Smith (Gold)</t>
  </si>
  <si>
    <t>Retailer (General)</t>
  </si>
  <si>
    <t>8333 to 8888</t>
  </si>
  <si>
    <t>Official (Town Crier)</t>
  </si>
  <si>
    <t>Pastry Maker (Independant)</t>
  </si>
  <si>
    <t>Clothier (Fuller)</t>
  </si>
  <si>
    <t>Smith (Instrument Maker)</t>
  </si>
  <si>
    <t>Retailer (Grocer)</t>
  </si>
  <si>
    <t>Official (Diplomat)</t>
  </si>
  <si>
    <t>Prostitute</t>
  </si>
  <si>
    <t>Clothier (Glove Maker)</t>
  </si>
  <si>
    <t>Smith (Jeweler)</t>
  </si>
  <si>
    <t>Retailer (Religious Souvenirs)</t>
  </si>
  <si>
    <t>Official (Constable)</t>
  </si>
  <si>
    <t>Restaurantier</t>
  </si>
  <si>
    <t>Clothier (Haberdasher)</t>
  </si>
  <si>
    <t>Smith (Journeyman)</t>
  </si>
  <si>
    <t>Retailer (Slaver/Indenturer)</t>
  </si>
  <si>
    <t>Official (Refuse Collector)</t>
  </si>
  <si>
    <t>Servant (Baker)</t>
  </si>
  <si>
    <t>Clothier (Journeyman)</t>
  </si>
  <si>
    <t>Smith (Lock)</t>
  </si>
  <si>
    <t>Retailer (Spice)</t>
  </si>
  <si>
    <t>Official (Lamplighters)</t>
  </si>
  <si>
    <t>Servant (Cook)</t>
  </si>
  <si>
    <t>Clothier (Rope Maker)</t>
  </si>
  <si>
    <t>Smith (Silver)</t>
  </si>
  <si>
    <t>Retailer (Tobacco)</t>
  </si>
  <si>
    <t>Official (Bailiff)</t>
  </si>
  <si>
    <t>Servant (Domestic)</t>
  </si>
  <si>
    <t>Clothier (Rug Maker)</t>
  </si>
  <si>
    <t>Smith (Tinker/Inventor)</t>
  </si>
  <si>
    <t>Trader (Arcane)</t>
  </si>
  <si>
    <t>Official (Administrator)</t>
  </si>
  <si>
    <t>9445 to 10000</t>
  </si>
  <si>
    <t>Servant (Gardener)</t>
  </si>
  <si>
    <t>Clothier (Tailor)</t>
  </si>
  <si>
    <t>Smith (White)</t>
  </si>
  <si>
    <t>Trader (Goods)</t>
  </si>
  <si>
    <t>8889 to 9444</t>
  </si>
  <si>
    <t>Noble (Squire)</t>
  </si>
  <si>
    <t>Servant (Launderer)</t>
  </si>
  <si>
    <t>Clothier (Tapestry Maker)</t>
  </si>
  <si>
    <t>Stoneworker (Apprentice)</t>
  </si>
  <si>
    <t>Trader (Naval)</t>
  </si>
  <si>
    <t>Noble (Assistant)</t>
  </si>
  <si>
    <t>Servant (Nanny/Governess)</t>
  </si>
  <si>
    <t>Clothier (Vestment Maker)</t>
  </si>
  <si>
    <t>Stoneworker (Bricklayer)</t>
  </si>
  <si>
    <t>Trader (Pawnbroker)</t>
  </si>
  <si>
    <t>Noble (Family Member)</t>
  </si>
  <si>
    <t>Servant (Pastry Maker)</t>
  </si>
  <si>
    <t>Clothier (Weaver)</t>
  </si>
  <si>
    <t>Stoneworker (Journeyman)</t>
  </si>
  <si>
    <t>Trader (Peddler)</t>
  </si>
  <si>
    <t>Noble (Minor)</t>
  </si>
  <si>
    <t>Servant (Porter)</t>
  </si>
  <si>
    <t>Cordwainer (Apprentice)</t>
  </si>
  <si>
    <t>Stoneworker (Mason)</t>
  </si>
  <si>
    <t>7221 to 7776</t>
  </si>
  <si>
    <t>Warehouse/Dock Manager</t>
  </si>
  <si>
    <t>Noble (Major)</t>
  </si>
  <si>
    <t>Servant (Slave/Indentured)</t>
  </si>
  <si>
    <t>Cordwainer (Bookbinder)</t>
  </si>
  <si>
    <t>Stoneworker (Plasterer)</t>
  </si>
  <si>
    <t>Wholeseller (Beer)</t>
  </si>
  <si>
    <t>Servant (Tutor)</t>
  </si>
  <si>
    <t>Cordwainer (Bottelier)</t>
  </si>
  <si>
    <t>Stoneworker (Potter)</t>
  </si>
  <si>
    <t>Wholeseller (Cloth Miller)</t>
  </si>
  <si>
    <t>Servant (Wetnurse)</t>
  </si>
  <si>
    <t>Cordwainer (Cobbler)</t>
  </si>
  <si>
    <t>Stoneworker (Tiler)</t>
  </si>
  <si>
    <t>Wholeseller (Grain)</t>
  </si>
  <si>
    <t>Server (Tavern/Inn/Restaurant)</t>
  </si>
  <si>
    <t>Cordwainer (General)</t>
  </si>
  <si>
    <t>6109 to 6664</t>
  </si>
  <si>
    <t>Wholeseller (Hay)</t>
  </si>
  <si>
    <t>Tavern Keeper</t>
  </si>
  <si>
    <t>4441 to 4996</t>
  </si>
  <si>
    <t>Cordwainer (Girdler)</t>
  </si>
  <si>
    <t>Wholeseller (Livestock)</t>
  </si>
  <si>
    <t>Undertaker</t>
  </si>
  <si>
    <t>Cordwainer (Harness Maker)</t>
  </si>
  <si>
    <t>Wholeseller (Mercer)</t>
  </si>
  <si>
    <t>Cordwainer (Journeyman)</t>
  </si>
  <si>
    <t>Wholeseller (Wine)</t>
  </si>
  <si>
    <t>Cordwainer (Purse Maker)</t>
  </si>
  <si>
    <t>Wholeseller (Wood)</t>
  </si>
  <si>
    <t>Cordwainer (Saddler/Spurrier)</t>
  </si>
  <si>
    <t>Wholeseller (Wool)</t>
  </si>
  <si>
    <t>Cordwainer (Scabbard Maker)</t>
  </si>
  <si>
    <t>Cordwainer (Skinner)</t>
  </si>
  <si>
    <t>Cordwainer (Tanner)</t>
  </si>
  <si>
    <t>Cordwainer (Taxidermist)</t>
  </si>
  <si>
    <t>Random Race</t>
  </si>
  <si>
    <t>Roll first d100, then another d100 if needed.</t>
  </si>
  <si>
    <t>Random Level</t>
  </si>
  <si>
    <t>Roll d100. 
"Unrestricted" reroll on 100.</t>
  </si>
  <si>
    <t>First d100</t>
  </si>
  <si>
    <t>Second d100</t>
  </si>
  <si>
    <t>Spellcaster</t>
  </si>
  <si>
    <t>Warrior</t>
  </si>
  <si>
    <t>Other</t>
  </si>
  <si>
    <t>Unrestricted</t>
  </si>
  <si>
    <t>0 to 0</t>
  </si>
  <si>
    <t>7 to 9</t>
  </si>
  <si>
    <t>1 to 50</t>
  </si>
  <si>
    <t>10 to 12</t>
  </si>
  <si>
    <t>51 to 78</t>
  </si>
  <si>
    <t>13 to 15</t>
  </si>
  <si>
    <t>79 to 92</t>
  </si>
  <si>
    <t>16 to 18</t>
  </si>
  <si>
    <t>93 to 98</t>
  </si>
  <si>
    <t>Gnoll</t>
  </si>
  <si>
    <t>19 to 23</t>
  </si>
  <si>
    <t>99 to 99</t>
  </si>
  <si>
    <t>24 to 31</t>
  </si>
  <si>
    <t>1 to 70</t>
  </si>
  <si>
    <t>32 to 39</t>
  </si>
  <si>
    <t>71 to 89</t>
  </si>
  <si>
    <t>Kenku</t>
  </si>
  <si>
    <t>40 to 47</t>
  </si>
  <si>
    <t>Level 8</t>
  </si>
  <si>
    <t>90 to 98</t>
  </si>
  <si>
    <t>48 to 55</t>
  </si>
  <si>
    <t>Level 9</t>
  </si>
  <si>
    <t>56 to 65</t>
  </si>
  <si>
    <t>Level 10</t>
  </si>
  <si>
    <t>100 to 100</t>
  </si>
  <si>
    <t>66 to 78</t>
  </si>
  <si>
    <t>79 to 91</t>
  </si>
  <si>
    <t>Aasimar</t>
  </si>
  <si>
    <t>1 to 3</t>
  </si>
  <si>
    <t>92 to 100</t>
  </si>
  <si>
    <t>4 to 6</t>
  </si>
  <si>
    <t>Farmer's Almanac</t>
  </si>
  <si>
    <t>Sunrise/Sunset</t>
  </si>
  <si>
    <t>Solar Month (30 or 31 Days)</t>
  </si>
  <si>
    <t>Month 2</t>
  </si>
  <si>
    <t>Month 3</t>
  </si>
  <si>
    <t>Month 5</t>
  </si>
  <si>
    <t>Month 6</t>
  </si>
  <si>
    <t>Month 8</t>
  </si>
  <si>
    <t>Month 9</t>
  </si>
  <si>
    <t>Month 11</t>
  </si>
  <si>
    <t>Month 12</t>
  </si>
  <si>
    <t>Sunrise (Twilight begins 1 hour prior)</t>
  </si>
  <si>
    <t>Sunset (Twilight ends 1 hour later)</t>
  </si>
  <si>
    <t>Daylight Hours (not including Twilight)</t>
  </si>
  <si>
    <t>Solar Events (approx. 1st Day of Month)</t>
  </si>
  <si>
    <t>Daily Temp (Roll d100 and add result to both averages)</t>
  </si>
  <si>
    <t>Solar Month</t>
  </si>
  <si>
    <t>Average High (F) (Usually 3pm)</t>
  </si>
  <si>
    <t>Average Low (F) (Usually at Sunrise)</t>
  </si>
  <si>
    <t>91-100</t>
  </si>
  <si>
    <t>Very High (+40 next roll)</t>
  </si>
  <si>
    <t>71-90</t>
  </si>
  <si>
    <t>High (+20 next roll)</t>
  </si>
  <si>
    <t>31-70</t>
  </si>
  <si>
    <t>Low (-20 next roll)</t>
  </si>
  <si>
    <t>Very Low (-40 next roll)</t>
  </si>
  <si>
    <t>Chance of Precipitation (Roll d100)</t>
  </si>
  <si>
    <t>Precipitation occurs if roll is less than:</t>
  </si>
  <si>
    <t>Snow/Sleet Possible if Temp Roll less than:</t>
  </si>
  <si>
    <t>Average Monthly Precipitation (inches)</t>
  </si>
  <si>
    <t>Tools</t>
  </si>
  <si>
    <t>Random NPC Generator</t>
  </si>
  <si>
    <t>Roll first d100</t>
  </si>
  <si>
    <t>Roll second d100 (if needed)</t>
  </si>
  <si>
    <t>Profession</t>
  </si>
  <si>
    <t>Roll second d100</t>
  </si>
  <si>
    <t>Level and Class</t>
  </si>
  <si>
    <t>Weather Report</t>
  </si>
  <si>
    <t>Choose Month</t>
  </si>
  <si>
    <t>Yesterday's Temp</t>
  </si>
  <si>
    <t>Adjusted first d100</t>
  </si>
  <si>
    <t>Sunrise</t>
  </si>
  <si>
    <t>Sunset</t>
  </si>
  <si>
    <t>High/Low</t>
  </si>
  <si>
    <t>Precipitation?</t>
  </si>
  <si>
    <t>Chance of Snow/Sleet?</t>
  </si>
  <si>
    <t>Category</t>
  </si>
  <si>
    <t>Result</t>
  </si>
  <si>
    <t>Population</t>
  </si>
  <si>
    <t>Roll d100</t>
  </si>
  <si>
    <t>Descriptive</t>
  </si>
  <si>
    <t>Roll</t>
  </si>
  <si>
    <t>Choice</t>
  </si>
  <si>
    <t>Max</t>
  </si>
  <si>
    <t>Type</t>
  </si>
  <si>
    <t>Low</t>
  </si>
  <si>
    <t>High</t>
  </si>
  <si>
    <t>Planetary Tilt</t>
  </si>
  <si>
    <t>Equinox</t>
  </si>
  <si>
    <t>Summer Solstice</t>
  </si>
  <si>
    <t>Winter Solstice</t>
  </si>
  <si>
    <t>Altitude of Sun at Noon (Degrees)</t>
  </si>
  <si>
    <t>Relative Longitude</t>
  </si>
  <si>
    <t>Arctic/Antartic Circle</t>
  </si>
  <si>
    <t>Daylight per Day (Hours)</t>
  </si>
  <si>
    <t>Solar Declination</t>
  </si>
  <si>
    <t>Climate Zone</t>
  </si>
  <si>
    <t>Location</t>
  </si>
  <si>
    <t>Latitute</t>
  </si>
  <si>
    <t>Longitude</t>
  </si>
  <si>
    <t>High Roll</t>
  </si>
  <si>
    <t>Index</t>
  </si>
  <si>
    <t>Highlands</t>
  </si>
  <si>
    <t>Lowlands</t>
  </si>
  <si>
    <t>Climate Zone Grid (Lowlands)</t>
  </si>
  <si>
    <t>Code</t>
  </si>
  <si>
    <t>Description</t>
  </si>
  <si>
    <t>West Coast</t>
  </si>
  <si>
    <t>Transitional (West Coast/Inland)</t>
  </si>
  <si>
    <t>Inland</t>
  </si>
  <si>
    <t>Transitional (Inland/West Coast)</t>
  </si>
  <si>
    <t>East Coast</t>
  </si>
  <si>
    <t>ET</t>
  </si>
  <si>
    <t>EF</t>
  </si>
  <si>
    <t>Tropical Rainforest</t>
  </si>
  <si>
    <t>A tropical rainforest climate is typically hot, very humid, and wet. Rainfall is normally heavy throughout the year, with no dry season. One day in a tropical rainforest climate can be very similar to the next.</t>
  </si>
  <si>
    <t>Am</t>
  </si>
  <si>
    <t>Tropical Monsoon</t>
  </si>
  <si>
    <t>A tropical monsoon monsoon climate is typically hot with pronounced wet and dry seasons. During the wet season, winds blow from the ocean, then reverse during the dry. The dry season may or may not still have a significant amount of rainfall.</t>
  </si>
  <si>
    <t>Aw</t>
  </si>
  <si>
    <t>Savannah</t>
  </si>
  <si>
    <t>A tropical savanna climate is typically hot with pronouced wet and dry seasons. The dry seasons (even if short) receive very little rainfall and can resemble drought conditions. Wet seasons may be short with massive rainfall, or longer with less rainfall.</t>
  </si>
  <si>
    <t>BWh</t>
  </si>
  <si>
    <t>Hot Desert</t>
  </si>
  <si>
    <t>A hot desert climate is generally hot, sunny, and dry year-round. Temperatures drop significantly at night, and at times can fall below freezing in the colder months.</t>
  </si>
  <si>
    <t>Dfc</t>
  </si>
  <si>
    <t>BWk</t>
  </si>
  <si>
    <t>Cold Desert</t>
  </si>
  <si>
    <t>A cold desert climate features hot or warm summers and cold winters, and are dry year-round. They usually form in temperate zones downwind of high mountains, which block precipitation.</t>
  </si>
  <si>
    <t>BSh</t>
  </si>
  <si>
    <t>Hot Semi-Arid</t>
  </si>
  <si>
    <t>A hot semi-arid climate has hot summers and warm to cool winters with low amounts of precipitation. Precipitation might be steady throughout the year, or compressed in a short wet season. They are often on the fringes of subtropical deserts.</t>
  </si>
  <si>
    <t>Cfb</t>
  </si>
  <si>
    <t>Dfb</t>
  </si>
  <si>
    <t>BSk</t>
  </si>
  <si>
    <t>Cold Semi-Arid</t>
  </si>
  <si>
    <t>A cold semi-arid typically has hot or warm summers with cold winters. They typically see some snowfall in the winter, though summers may be wetter. They are usually found in elevated areas far inland from water. Day and night temperature changes can be extreme.</t>
  </si>
  <si>
    <t>Cfa</t>
  </si>
  <si>
    <t>Humid Subtropical</t>
  </si>
  <si>
    <t>A humid subtropical climate is characterized by hot summers and cold to mild winters. These climates normally lie on the southeast side of continents. Precipitation is relatively steady year-round.</t>
  </si>
  <si>
    <t>Temperate Oceanic</t>
  </si>
  <si>
    <t>A temperate oceanic climate is characterized by mild summers and winters and are humid year-round. They are often found on the west coasts of continents in middle lattitutdes.</t>
  </si>
  <si>
    <t>Csa</t>
  </si>
  <si>
    <t>Dfa</t>
  </si>
  <si>
    <t>Cfc</t>
  </si>
  <si>
    <t>Subpolar Oceanic</t>
  </si>
  <si>
    <t>A subpolar oceanic climate is characterized by cool summers and winters and are humid year-round. Snowfall is common, and only one to three months of the year reach average temperatures above 50 degrees F.</t>
  </si>
  <si>
    <t>Cwa</t>
  </si>
  <si>
    <t>Subtropical Humid Monsoon</t>
  </si>
  <si>
    <t>A subtropical monsoon climate is characterized by hot summers and cold to mild winters. These climates normally lie on the southeast side of continents. Most preciptation falls in the summer with much drier winters.</t>
  </si>
  <si>
    <t>Cwb</t>
  </si>
  <si>
    <t>Subtropical Highland</t>
  </si>
  <si>
    <t>A subtropical highland climate is characterized by mild summers and cool, dry winters. They are found at higher elevations and see little snowfall.</t>
  </si>
  <si>
    <t>Cwc</t>
  </si>
  <si>
    <t>Cold Subtropical Highland</t>
  </si>
  <si>
    <t>A cold subtropical highland climate is characterized by cool summers and cold winters. Only one to three months of the year reach average temperatures above 50 degrees F, but winters are realatively dry with only moderate snowfall.</t>
  </si>
  <si>
    <t>Hot Mediterranean</t>
  </si>
  <si>
    <t>A hot Mediterranean climate is characterized by hot, dry summers and mild, wet winters. In some places winters can be cold enough to produce snowfall.</t>
  </si>
  <si>
    <t>Csb</t>
  </si>
  <si>
    <t>Warm Mediterranean</t>
  </si>
  <si>
    <t>A warm Mediterranean climate is caused by cool ocean currents or higher altitudes cooling a hot Mediterranean climate. Summers are warm and dry with wet, cool winters that sometimes produce snowfall.</t>
  </si>
  <si>
    <t>Csc</t>
  </si>
  <si>
    <t>Cold Mediterranean</t>
  </si>
  <si>
    <t>A cold Mediterranean climate is typically found at high altitudes, with cool, dry summers and cool, wet winters. Only one to three months reach average temperatures above 50 degrees F, though winter temperatures do not average below freezing.</t>
  </si>
  <si>
    <t>Af</t>
  </si>
  <si>
    <t>Hot Humid Continental</t>
  </si>
  <si>
    <t>A hot humid continental climate is typified by four distinct seasons and large seasonal temperature differences, with hot (and often humid) summers and cold (sometimes severely cold in the northern areas) winters. Precipitation is usually distributed throughout the year.</t>
  </si>
  <si>
    <t>Warm Humid Continental</t>
  </si>
  <si>
    <t>A warm humid continental climate is typified by four distinct seasons and large seasonal temperature differences, with warm (and often humid) summers and cold (sometimes severely cold in the northern areas) winters. Precipitation is usually distributed throughout the year. Only 3-5 months are frost free.</t>
  </si>
  <si>
    <t>Subarctic</t>
  </si>
  <si>
    <t>A subarctic climate is characterised by long, cold winters, and short, mild summers. They are usually found on large landmasses, away from the moderating effects of an ocean. Precipitation is steady throughout the year.</t>
  </si>
  <si>
    <t>Climate Zone Grid (Highlands)</t>
  </si>
  <si>
    <t>Dfd</t>
  </si>
  <si>
    <t>Extremely Cold Subarctic</t>
  </si>
  <si>
    <t>An extremely cold subarctic climate is characterised by long, very cold winters, and short, cold summers. They are usually found on large landmasses, away from the moderating effects of an ocean. Precipitation is steady throughout the year.</t>
  </si>
  <si>
    <t>Dwa</t>
  </si>
  <si>
    <t>Hot Humid Continental Monsoon</t>
  </si>
  <si>
    <t>A hot humid continental monsoon climate is typified by four distinct seasons and large seasonal temperature differences, with hot (and often humid) summers and cold, dry winters.</t>
  </si>
  <si>
    <t>Dwb</t>
  </si>
  <si>
    <t>Warm Humid Continental Monsoon</t>
  </si>
  <si>
    <t>A warm humid continental monsoon climate is typified by four distinct seasons and large seasonal temperature differences, with warm (and often humid) summers and cold, dry winters. Only 3-5 months are frost free.</t>
  </si>
  <si>
    <t>Dwc</t>
  </si>
  <si>
    <t>Subarctic Monsoon</t>
  </si>
  <si>
    <t>A subarctic monsoon climate is characterised by long, usually cold winters, and short, mild summers. They are usually found on large landmasses, away from the moderating effects of an ocean. Winters are dry, with most precipitation falling in the summer months.</t>
  </si>
  <si>
    <t>Dwd</t>
  </si>
  <si>
    <t>Extremely Cold Subarctic Monsoon</t>
  </si>
  <si>
    <t>An extremely cold subarctic monsoon climate is characterised by long, ver cold winters, and short, cold summers. They are usually found on large landmasses, away from the moderating effects of an ocean. Winters are dry, with most precipitation falling in the summer months.</t>
  </si>
  <si>
    <t>Dsa</t>
  </si>
  <si>
    <t>Hot Humid Continental Mediterranean</t>
  </si>
  <si>
    <t>A hot humid continental Mediterranean climate is typified by four distinct seasons and large seasonal temperature differences, with hot, dry summers and cold, wet winters.</t>
  </si>
  <si>
    <t>Dsc</t>
  </si>
  <si>
    <t>Dsb</t>
  </si>
  <si>
    <t>Warm Humid Continental Mediterranean</t>
  </si>
  <si>
    <t>A warm humid continental monsoon climate is typified by four distinct seasons and large seasonal temperature differences, with warm, dry summers and cold, wet winters. Only 3-5 months are frost free.</t>
  </si>
  <si>
    <t>Subarctic Continental Mediterranean</t>
  </si>
  <si>
    <t>A subarctic continental Mediterranean climate is characterised by long, usually cold winters, and short, cool summers. They are usually found on large landmasses, away from the moderating effects of an ocean. Summers are dry, with most precipitation falling in the winter months.</t>
  </si>
  <si>
    <t>Tundra</t>
  </si>
  <si>
    <t>A tundra climate has at least one month with an average temperature high enough to melt snow, but no month in excess of 50°F. The cold temperatures result in low precipitation year-round.</t>
  </si>
  <si>
    <t>Ice Cap</t>
  </si>
  <si>
    <t>An ice cap climate is characterized by having no monthly average temperature above freezing. There is little precipitation, but any snowfall accumulates in ice sheets that can be miles thick.</t>
  </si>
  <si>
    <t>Climate List</t>
  </si>
  <si>
    <t>Avg Low</t>
  </si>
  <si>
    <t>Avg High</t>
  </si>
  <si>
    <t>Avg Precip</t>
  </si>
  <si>
    <t>Precip Div</t>
  </si>
  <si>
    <t>Precip Chance</t>
  </si>
  <si>
    <t>Variation</t>
  </si>
  <si>
    <t>Solar Dec</t>
  </si>
  <si>
    <t>Daylight Hrs</t>
  </si>
  <si>
    <t>Agriculture</t>
  </si>
  <si>
    <t>Population and Land Use</t>
  </si>
  <si>
    <t>Country Population (Adult)</t>
  </si>
  <si>
    <t>Tax Rate</t>
  </si>
  <si>
    <t>Country Population (Child)</t>
  </si>
  <si>
    <t>Adult Population</t>
  </si>
  <si>
    <t>Country Total Area (ha)</t>
  </si>
  <si>
    <t>% of Population are Children</t>
  </si>
  <si>
    <t>Country Area Radius (km)</t>
  </si>
  <si>
    <t>Child Population</t>
  </si>
  <si>
    <t>Percentage Farmland</t>
  </si>
  <si>
    <t>Total Population</t>
  </si>
  <si>
    <t>Percentage Wilderness</t>
  </si>
  <si>
    <t>Country Population (per ha)</t>
  </si>
  <si>
    <t>Percentage Barren</t>
  </si>
  <si>
    <t>Country Populated Area (ha)</t>
  </si>
  <si>
    <t>Percentage Water</t>
  </si>
  <si>
    <t>Energy Needed (kcal/day)</t>
  </si>
  <si>
    <t>Farmland for Food Crops</t>
  </si>
  <si>
    <t>Energy Needed (kcal/year)</t>
  </si>
  <si>
    <t>Farmland for Livestock</t>
  </si>
  <si>
    <t>Crop Yield Magic Modifier</t>
  </si>
  <si>
    <t>Farmland for Cash Crops</t>
  </si>
  <si>
    <t>Food Production</t>
  </si>
  <si>
    <t>Total Farmland (Hectacres)</t>
  </si>
  <si>
    <t>Total Grazing (Hectacres)</t>
  </si>
  <si>
    <t>Total Cropland Available (1/3 Fallow Rotation)</t>
  </si>
  <si>
    <t>Total Cropland for Food Crops</t>
  </si>
  <si>
    <t>Total Cropland for Cash Crops</t>
  </si>
  <si>
    <t>Taxes and Value</t>
  </si>
  <si>
    <t>Food Source</t>
  </si>
  <si>
    <t>Crop</t>
  </si>
  <si>
    <t>Yield</t>
  </si>
  <si>
    <t>Potential Ha.</t>
  </si>
  <si>
    <t>Energy (kcal)</t>
  </si>
  <si>
    <t>Real Ha.</t>
  </si>
  <si>
    <t>Real Tonnes</t>
  </si>
  <si>
    <t>Real Energy</t>
  </si>
  <si>
    <t>Food Crop</t>
  </si>
  <si>
    <t>Top 3 Staple Crops</t>
  </si>
  <si>
    <t>lbs/year</t>
  </si>
  <si>
    <t>gp/lb</t>
  </si>
  <si>
    <t>gp/year</t>
  </si>
  <si>
    <t>Total Crops</t>
  </si>
  <si>
    <t>gp/month</t>
  </si>
  <si>
    <t>Top 3 Livestock</t>
  </si>
  <si>
    <t>Cash Crop</t>
  </si>
  <si>
    <t>Crop 1 gp/year</t>
  </si>
  <si>
    <t>Crop 2 gp/year</t>
  </si>
  <si>
    <t>Total Livestock</t>
  </si>
  <si>
    <t>Total Agriculture</t>
  </si>
  <si>
    <t>tax/year</t>
  </si>
  <si>
    <t>Yearly Taxes</t>
  </si>
  <si>
    <t>tax/month</t>
  </si>
  <si>
    <t>Potential Food Production</t>
  </si>
  <si>
    <t>Real Energy Production (kcal/yr)</t>
  </si>
  <si>
    <t>Potential Food Deficit/Surplus (kcal/year)</t>
  </si>
  <si>
    <t>Real Energy Deficity/Surplus</t>
  </si>
  <si>
    <t>Percentage of Cropland for Cash Crops</t>
  </si>
  <si>
    <t>Real Deficit/Surplus (tonnes)</t>
  </si>
  <si>
    <t>Imported Food (tonnes/day)</t>
  </si>
  <si>
    <t>Staple Crops</t>
  </si>
  <si>
    <t>Tonnes/Hectacre</t>
  </si>
  <si>
    <t>kj/100g</t>
  </si>
  <si>
    <t>kcal/tonne</t>
  </si>
  <si>
    <t>kcal/hectacre</t>
  </si>
  <si>
    <t>Maize</t>
  </si>
  <si>
    <t>Rice</t>
  </si>
  <si>
    <t>Wheat</t>
  </si>
  <si>
    <t>Fish Weight/Day/Fisherman (lbs)</t>
  </si>
  <si>
    <t>Potatoes</t>
  </si>
  <si>
    <t>Amount of Meat/Fish</t>
  </si>
  <si>
    <t>Oats/Barley</t>
  </si>
  <si>
    <t>Fish/Year (tonnes/fisherman)</t>
  </si>
  <si>
    <t>Edamame</t>
  </si>
  <si>
    <t>Number of Fisherman</t>
  </si>
  <si>
    <t>Sweet Potatoes</t>
  </si>
  <si>
    <t>Energy Provided (kcal/100g)</t>
  </si>
  <si>
    <t>Sorghum</t>
  </si>
  <si>
    <t>Energy Provided (kcal/tonne)</t>
  </si>
  <si>
    <t>Yams</t>
  </si>
  <si>
    <t>Energy Provided (kcal/year)</t>
  </si>
  <si>
    <t>Plantain</t>
  </si>
  <si>
    <t>Cassava</t>
  </si>
  <si>
    <t>Livestock and Livestock Products</t>
  </si>
  <si>
    <t>Livestock/Product</t>
  </si>
  <si>
    <t>Pigs</t>
  </si>
  <si>
    <t>Poultry</t>
  </si>
  <si>
    <t>Cattle</t>
  </si>
  <si>
    <t>Dairy Products</t>
  </si>
  <si>
    <t>Eggs</t>
  </si>
  <si>
    <t>Animals/Hectacre</t>
  </si>
  <si>
    <t>Additonal Feed per Day (lbs)</t>
  </si>
  <si>
    <t>Feed per Year (tonnes)</t>
  </si>
  <si>
    <t>Feed Needed (tonnes/hectacre)</t>
  </si>
  <si>
    <t>Primary/Analogue Crop</t>
  </si>
  <si>
    <t>Culls/Year</t>
  </si>
  <si>
    <t>Meat per Animal (lbs)</t>
  </si>
  <si>
    <t>Meat per Hectacre (tonnes)</t>
  </si>
  <si>
    <t>Energy Provided (kcal/hectacre)</t>
  </si>
  <si>
    <t>Yield Modifier</t>
  </si>
  <si>
    <t>Yields by Climate</t>
  </si>
  <si>
    <t>Desc.</t>
  </si>
  <si>
    <t>King's Crown</t>
  </si>
  <si>
    <t>Grapes</t>
  </si>
  <si>
    <t>Cotton</t>
  </si>
  <si>
    <t>Tobacco</t>
  </si>
  <si>
    <t>Indigo</t>
  </si>
  <si>
    <t>Coffee</t>
  </si>
  <si>
    <t>Cocao</t>
  </si>
  <si>
    <t>Sugarcane</t>
  </si>
  <si>
    <t>Jute</t>
  </si>
  <si>
    <t>Poppy</t>
  </si>
  <si>
    <t>Hemp</t>
  </si>
  <si>
    <t>Other Spice/Dye</t>
  </si>
  <si>
    <t>Silk</t>
  </si>
  <si>
    <t>Cash Crop Table</t>
  </si>
  <si>
    <t>Roll 1</t>
  </si>
  <si>
    <t>Roll 2</t>
  </si>
  <si>
    <t>Drop Down 1</t>
  </si>
  <si>
    <t>Drop Down 2</t>
  </si>
  <si>
    <t>Cash Crop Yields</t>
  </si>
  <si>
    <t>100% Yield</t>
  </si>
  <si>
    <t>Gold/Tonne</t>
  </si>
  <si>
    <t>Hectacres</t>
  </si>
  <si>
    <t>Tonnes</t>
  </si>
  <si>
    <t>Value (gp)</t>
  </si>
  <si>
    <t>Demographics - Race</t>
  </si>
  <si>
    <t>Major Races</t>
  </si>
  <si>
    <t>Roll 2d10 for Additional Variance</t>
  </si>
  <si>
    <t>Minor Races</t>
  </si>
  <si>
    <t>Select Distribution Type</t>
  </si>
  <si>
    <t>Threshold</t>
  </si>
  <si>
    <t>Rarity</t>
  </si>
  <si>
    <t>Weight</t>
  </si>
  <si>
    <t>% of Population</t>
  </si>
  <si>
    <t xml:space="preserve">% </t>
  </si>
  <si>
    <t>Dice #s</t>
  </si>
  <si>
    <t>Range</t>
  </si>
  <si>
    <t>%</t>
  </si>
  <si>
    <t>to</t>
  </si>
  <si>
    <t>Rarity and Distribution Type</t>
  </si>
  <si>
    <t>Homogenous</t>
  </si>
  <si>
    <t>Partially Mixed</t>
  </si>
  <si>
    <t>Rolled Population</t>
  </si>
  <si>
    <t>Final Population</t>
  </si>
  <si>
    <t>Notable Exports</t>
  </si>
  <si>
    <t>Prohibition of Alcohol</t>
  </si>
  <si>
    <t>Food</t>
  </si>
  <si>
    <t>Ale/Beer</t>
  </si>
  <si>
    <t>Total (Keep at 10k)</t>
  </si>
  <si>
    <t>Adjusted Total</t>
  </si>
  <si>
    <t>Minimum Population</t>
  </si>
  <si>
    <t>Job</t>
  </si>
  <si>
    <t>Base (10k)</t>
  </si>
  <si>
    <t>Adjusted (10k)</t>
  </si>
  <si>
    <t>Final (10k)</t>
  </si>
  <si>
    <t>Low Roll</t>
  </si>
  <si>
    <t>Corrected Low Roll</t>
  </si>
  <si>
    <t>Dice Positions</t>
  </si>
  <si>
    <t>Keep At Least One</t>
  </si>
  <si>
    <t>Rarity Check</t>
  </si>
  <si>
    <t>Rarity Multiplier</t>
  </si>
  <si>
    <t>Abundance Check</t>
  </si>
  <si>
    <t>Abundance Multiplier</t>
  </si>
  <si>
    <t>Max Level</t>
  </si>
  <si>
    <t>Healer Chance</t>
  </si>
  <si>
    <t>Adept Class</t>
  </si>
  <si>
    <t>Aristocrat Class</t>
  </si>
  <si>
    <t>Expert Class</t>
  </si>
  <si>
    <t>Warrior Class</t>
  </si>
  <si>
    <t>Commoner</t>
  </si>
  <si>
    <t>Aristocrat</t>
  </si>
  <si>
    <t>Expert</t>
  </si>
  <si>
    <t>Adept</t>
  </si>
  <si>
    <t>Adventurer (PC Class)</t>
  </si>
  <si>
    <t>Lifestyle Level</t>
  </si>
  <si>
    <t>Lifestyle Final</t>
  </si>
  <si>
    <t>Nonworking</t>
  </si>
  <si>
    <t>Beggar</t>
  </si>
  <si>
    <t>Housewife/husband</t>
  </si>
  <si>
    <t>Unskilled Labor</t>
  </si>
  <si>
    <t>Service Industry</t>
  </si>
  <si>
    <t>Skilled Labor</t>
  </si>
  <si>
    <t>Arcanist (Enchanter)</t>
  </si>
  <si>
    <t>Etherist (Alchemist)</t>
  </si>
  <si>
    <t>Entertainment</t>
  </si>
  <si>
    <t>Artist (Apprentice)</t>
  </si>
  <si>
    <t>Merchant/Trade</t>
  </si>
  <si>
    <t>Professional</t>
  </si>
  <si>
    <t>Clergy</t>
  </si>
  <si>
    <t>Nobility</t>
  </si>
  <si>
    <t>Descriptions</t>
  </si>
  <si>
    <t>Healer Entries</t>
  </si>
  <si>
    <t>Alcohol is prohibited, but that doesn't mean it can't be found despite prominant law enforcement efforts.</t>
  </si>
  <si>
    <t>Healer Professions</t>
  </si>
  <si>
    <t>Beggars are heavily punished here. Many find work of some kind that they are ill-suited for or fall into a life of crime. Who knows what happened to the others?</t>
  </si>
  <si>
    <t>Highest Spellcaster</t>
  </si>
  <si>
    <t>This is a city of law and order. Criminals are prosecuted to the fullest extent of the law, or at least those that can't afford a good lawyer.</t>
  </si>
  <si>
    <t>Highest Healer Audit</t>
  </si>
  <si>
    <t>Formal education is nonexistant for the masses.</t>
  </si>
  <si>
    <t>Profession Audit</t>
  </si>
  <si>
    <t>There is a striking lack of elderly folk here.</t>
  </si>
  <si>
    <t>d100 Min Healer Roll</t>
  </si>
  <si>
    <t>There is almost no goverment - more of an  anarcho-syndicalist commune.</t>
  </si>
  <si>
    <t>Dice Positions/Entry</t>
  </si>
  <si>
    <t>Amazingly, there are almost no sick people here. Have they all been healed?</t>
  </si>
  <si>
    <t>Error</t>
  </si>
  <si>
    <t>Magic is prohibited here, at least in public.</t>
  </si>
  <si>
    <t>Music is considered, at best, distasteful and unecessary, leading to all sorts of societal problems. Therefore, musicians are considered pariahs here.</t>
  </si>
  <si>
    <t>There are no noble families or proud princes here. Here, a person is judged on their own merits and not who their wealth hording parents were.</t>
  </si>
  <si>
    <t>Sorted List of Healers</t>
  </si>
  <si>
    <t>Xenophobia and distrust of outsiders here means that no one goes in or out the gates without permission.</t>
  </si>
  <si>
    <t>Here, the people are free from the interference of self-serving gods and the clergy that serve them.</t>
  </si>
  <si>
    <t>Slavery is officially illegal here, in law if not totally in practice.</t>
  </si>
  <si>
    <t>Theater is considered the basest form of entertainment, and actors are treated little better than rats.</t>
  </si>
  <si>
    <t>For better or worse, everyone has an occupation here.</t>
  </si>
  <si>
    <t>By decree, artwork is not to be created, displayed, or traded here. It incites unecessary emotion, idol worship, or even rebellion, and provides nothing of value.</t>
  </si>
  <si>
    <t>It is landlocked, with no body of water for a dock or fishing.</t>
  </si>
  <si>
    <t>Cooking has been turned into an art here, and people come from far and wide to sample it.</t>
  </si>
  <si>
    <t>Some of the finest musicians reside here.</t>
  </si>
  <si>
    <t>Live theater and entertainment is of the utmost quality.</t>
  </si>
  <si>
    <t>The very best painters and artists call this place home.</t>
  </si>
  <si>
    <t>There is a strong tradition of fine scultpures.</t>
  </si>
  <si>
    <t>The area is well known for its excellent writers.</t>
  </si>
  <si>
    <t>The markets buzz with activity day in and day out.</t>
  </si>
  <si>
    <t>The clink of chains coming from the slave market can be heard everywhere despite the increasingly hopeless pleas of the anti-slavery movement.</t>
  </si>
  <si>
    <t>Scholarship is highly valued here. The thirst for knowledge is encouraged and supported by the community.</t>
  </si>
  <si>
    <t>The devout have long held this area in high regard, attracting worshippers and clergy alike.</t>
  </si>
  <si>
    <t>Law enforcement here is more lax than one would expect, with predictable results.</t>
  </si>
  <si>
    <t>The citizens demonstrate the importance of duty and service by filling the ranks of the local militia.</t>
  </si>
  <si>
    <t>War may bring glory, but it also brings refugees, injuries, widows, orphans, and a host of other consequences - which can all be seen here.</t>
  </si>
  <si>
    <t>Many sellswords and adventurers stop here on their paths to danger and riches.</t>
  </si>
  <si>
    <t>The bloated and inefficient administration that provides largely useless jobs to the well connected.</t>
  </si>
  <si>
    <t>Is it the climate, the prime real estate, or the abundance of luxury goods that draws the upper crust here? In any case, the lifestyles of the rich and famous are the talk of the town.</t>
  </si>
  <si>
    <t>There are an inordinate number of beggars.</t>
  </si>
  <si>
    <t>There seem to be fewer adults and more elderly than one would expect.</t>
  </si>
  <si>
    <t>There are a great number of sick citizens.</t>
  </si>
  <si>
    <t>The ale and beer here is first rate.</t>
  </si>
  <si>
    <t>The wine and mead are very high quality.</t>
  </si>
  <si>
    <t>Distilled licquors made here are excellent.</t>
  </si>
  <si>
    <t>With the easy availability of ingredients, a number of skilled potionmakers have set up shop here.</t>
  </si>
  <si>
    <t>The skill of the enchanters here is well known in arcane circles.</t>
  </si>
  <si>
    <t>Many talented armorsmiths can be found selling their wares.</t>
  </si>
  <si>
    <t>This is a place of high fasion and quality clothing.</t>
  </si>
  <si>
    <t>The fertile nearby lands supplies an abundance of exportable crops.</t>
  </si>
  <si>
    <t>The nets of the fishermen are rarely empty in the nearby waters.</t>
  </si>
  <si>
    <t>Extremely fine craftsmanship is the hallmark of the local furniture makers.</t>
  </si>
  <si>
    <t>Many come here to learn from the finest glassmakers in the area.</t>
  </si>
  <si>
    <t>Beautiful, eye catching jewelry can be found in abundance.</t>
  </si>
  <si>
    <t>The abundant grazing land creates a surplus of livestock, which are exported at a profit.</t>
  </si>
  <si>
    <t>Many skilled healers call this area home.</t>
  </si>
  <si>
    <t>There is an abundance of highly skilled smiths.</t>
  </si>
  <si>
    <t>The shipbuilding industry churns out new ships at an astonishing rate.</t>
  </si>
  <si>
    <t>A steady supply of slaves flows from this area. Where do they come from?</t>
  </si>
  <si>
    <t>In the workshops of tinkerers and engineers can be found some of the most advanced technology in the world.</t>
  </si>
  <si>
    <t>Blades and weapons forged here are known for their quality.</t>
  </si>
  <si>
    <t>None of the Above</t>
  </si>
  <si>
    <t>There is nothing unusual, different, or even mildly interesting about this place.</t>
  </si>
  <si>
    <t>NPCs</t>
  </si>
  <si>
    <t>Option Table</t>
  </si>
  <si>
    <t>Leveled NPCs</t>
  </si>
  <si>
    <t>Level Advancement</t>
  </si>
  <si>
    <t>PC Classes</t>
  </si>
  <si>
    <t>Options</t>
  </si>
  <si>
    <t>At Least</t>
  </si>
  <si>
    <t>PC Classed</t>
  </si>
  <si>
    <t>% that Advance</t>
  </si>
  <si>
    <t>Magic Level</t>
  </si>
  <si>
    <t>% of Total</t>
  </si>
  <si>
    <t># out of 100k</t>
  </si>
  <si>
    <t>Surounding Area</t>
  </si>
  <si>
    <t>Leveled Magic Users</t>
  </si>
  <si>
    <t>Magic User Influence Points</t>
  </si>
  <si>
    <t>Wilds</t>
  </si>
  <si>
    <t>Developed</t>
  </si>
  <si>
    <t>Total Number of Spellcasters</t>
  </si>
  <si>
    <t>Highest Level Spellcaster</t>
  </si>
  <si>
    <t>Second Highest Level</t>
  </si>
  <si>
    <t>Third Highest Level</t>
  </si>
  <si>
    <t>Highest Level (Numerical)</t>
  </si>
  <si>
    <t>No Magic</t>
  </si>
  <si>
    <t>Very Low</t>
  </si>
  <si>
    <t>Leveled Warriors</t>
  </si>
  <si>
    <t>Warrior Influence Points</t>
  </si>
  <si>
    <t>Very High</t>
  </si>
  <si>
    <t>Total Number of Warriors</t>
  </si>
  <si>
    <t>Ressurection Magic</t>
  </si>
  <si>
    <t>Leveled Commoner/Experts/Aristocrats</t>
  </si>
  <si>
    <t>Commoner/Expert/Aristrocratic Influence Points</t>
  </si>
  <si>
    <t>Revivify - Cleric (within 1 Minute)</t>
  </si>
  <si>
    <t>(Worth 1/2 Influence Points)</t>
  </si>
  <si>
    <t>Total Number of Commoner NPCs</t>
  </si>
  <si>
    <t>Total Number of Expert/Aristocratic NPCs</t>
  </si>
  <si>
    <t>All Commoners are placed in Level 1, all Level 1 Experts/Aristocrats are added to Level 2</t>
  </si>
  <si>
    <t>Highest Level Commoner/Expert/Aristocrat</t>
  </si>
  <si>
    <t>Raise Dead - Bard/Cleric; Reincarnate - Druid (within 10 Days)</t>
  </si>
  <si>
    <t>Highest Level Healer</t>
  </si>
  <si>
    <t>Highest Level Other Spellcaster</t>
  </si>
  <si>
    <t>Captain of the Guard</t>
  </si>
  <si>
    <t>Highest Level Healer Profession</t>
  </si>
  <si>
    <t>Highest Lvl Spellcaster Profession</t>
  </si>
  <si>
    <t>Highest Level Warrior Profession</t>
  </si>
  <si>
    <t>Roll d10</t>
  </si>
  <si>
    <t>NPC Auto-Generator</t>
  </si>
  <si>
    <t>Rolls for NPC Generator</t>
  </si>
  <si>
    <t>Spellcasters</t>
  </si>
  <si>
    <t>Military</t>
  </si>
  <si>
    <t>Warriors</t>
  </si>
  <si>
    <t>Number of Guard/Garrison/Militia</t>
  </si>
  <si>
    <t>Champion or Commander Level</t>
  </si>
  <si>
    <t>Command/Admin Staff</t>
  </si>
  <si>
    <t>Total Available Guards</t>
  </si>
  <si>
    <t>Work Hours Available Per Week</t>
  </si>
  <si>
    <t>Work Hours Per Day</t>
  </si>
  <si>
    <t>Guards Per Shift</t>
  </si>
  <si>
    <t>Shift Overlap Hours/Day (Peak Hours)</t>
  </si>
  <si>
    <t>Distance between Patrols (Outer Wall, Full Alert)</t>
  </si>
  <si>
    <t>Distance between Patrols (Outer Wall, Peak Hours)</t>
  </si>
  <si>
    <t>Distance between Patrols (All Walls, Off-Peak Hours</t>
  </si>
  <si>
    <t>Commoners/Experts/Aristocrats</t>
  </si>
  <si>
    <t>Organization</t>
  </si>
  <si>
    <t>Unit Names (Example)</t>
  </si>
  <si>
    <t>Unit Size</t>
  </si>
  <si>
    <t>Officers</t>
  </si>
  <si>
    <t>Approximate Number</t>
  </si>
  <si>
    <t>Squad/Patrol/Contubernium</t>
  </si>
  <si>
    <t>Platoon/Troop</t>
  </si>
  <si>
    <t>Company/Centuria</t>
  </si>
  <si>
    <t>Battalion/Cohort</t>
  </si>
  <si>
    <t>Regiment/Group</t>
  </si>
  <si>
    <t>Division/Legion</t>
  </si>
  <si>
    <t>Officer</t>
  </si>
  <si>
    <t>Regular</t>
  </si>
  <si>
    <t>Admin</t>
  </si>
  <si>
    <t>Private/Footman/Milite</t>
  </si>
  <si>
    <t>Power Centers</t>
  </si>
  <si>
    <t>Influence Points</t>
  </si>
  <si>
    <t>Max Power Centers</t>
  </si>
  <si>
    <t>Absorbed Influence Points</t>
  </si>
  <si>
    <t>Free Influence Points</t>
  </si>
  <si>
    <t>Used?</t>
  </si>
  <si>
    <t>Alighnment</t>
  </si>
  <si>
    <t>Influence Share</t>
  </si>
  <si>
    <t>Power Center 1</t>
  </si>
  <si>
    <t>Power Center 2</t>
  </si>
  <si>
    <t>Power Center 3</t>
  </si>
  <si>
    <t>Power Center 4</t>
  </si>
  <si>
    <t>Power Center 5</t>
  </si>
  <si>
    <t>Power Center 6</t>
  </si>
  <si>
    <t>Free Influence</t>
  </si>
  <si>
    <t>Power Center Alignments</t>
  </si>
  <si>
    <t>Power Center Types</t>
  </si>
  <si>
    <t>Lawful Good</t>
  </si>
  <si>
    <t>Neutral Good</t>
  </si>
  <si>
    <t>Conventional (Monstrous)</t>
  </si>
  <si>
    <t>Behind this mayor, council/council member, or noble is someone or something else with their own agenda.</t>
  </si>
  <si>
    <t>Chaotic Good</t>
  </si>
  <si>
    <t>Conventional</t>
  </si>
  <si>
    <t>A mayor, council/council member, or noble holding local office.</t>
  </si>
  <si>
    <t>Lawful Neutral</t>
  </si>
  <si>
    <t>Nonstandard</t>
  </si>
  <si>
    <t>A guild/guildmaster, repsected community member, military commander, or noble whose power exceeds their office.</t>
  </si>
  <si>
    <t>Neutral</t>
  </si>
  <si>
    <t>Magical</t>
  </si>
  <si>
    <t xml:space="preserve">A priest, mage, or small group of powerful magic users that may or may not officially hold office. </t>
  </si>
  <si>
    <t>Chaotic Neutral</t>
  </si>
  <si>
    <t>Lawful Evil</t>
  </si>
  <si>
    <t>Neutral Evil</t>
  </si>
  <si>
    <t>Chaotic Evil</t>
  </si>
  <si>
    <t>Drop Down Array</t>
  </si>
  <si>
    <t>Influence Point Distribution</t>
  </si>
  <si>
    <t>Primary</t>
  </si>
  <si>
    <t>Primary Rival</t>
  </si>
  <si>
    <t>Minor</t>
  </si>
  <si>
    <t>Social Class and Wealth</t>
  </si>
  <si>
    <t>Wealth Multiplier</t>
  </si>
  <si>
    <t>Social status</t>
  </si>
  <si>
    <t>Minimum income/month</t>
  </si>
  <si>
    <t>Base Income</t>
  </si>
  <si>
    <t>Lifestyle/month</t>
  </si>
  <si>
    <t>Upkeep/month</t>
  </si>
  <si>
    <t>Taxes/month</t>
  </si>
  <si>
    <t>Profit/month</t>
  </si>
  <si>
    <t>Income</t>
  </si>
  <si>
    <t>Spent</t>
  </si>
  <si>
    <t>Taxes</t>
  </si>
  <si>
    <t>Other
(Nonworkers, Unpaid Workers, Transients)</t>
  </si>
  <si>
    <t>Poor
(Unskilled Labourers, Peddlers, Thieves)</t>
  </si>
  <si>
    <t>Modest
(Soldiers, Labourers, Priests)</t>
  </si>
  <si>
    <t>Comfortable
(Merchants, Craftspeople, Officers)</t>
  </si>
  <si>
    <t>Wealthy
(Successful Merchants, Minor Royalty)</t>
  </si>
  <si>
    <t>Aristocratic
(Nobles, Guild Leaders, High Priests)</t>
  </si>
  <si>
    <t>Shop Inventory and Cash</t>
  </si>
  <si>
    <t>Owner Level</t>
  </si>
  <si>
    <t>Upkeep/Month</t>
  </si>
  <si>
    <t>Max Inventory</t>
  </si>
  <si>
    <t>Max Cash</t>
  </si>
  <si>
    <t>Resources and Exports</t>
  </si>
  <si>
    <t>Modified Roll</t>
  </si>
  <si>
    <t>Group</t>
  </si>
  <si>
    <t>Wealth Effect</t>
  </si>
  <si>
    <t>Roll/Choice 1</t>
  </si>
  <si>
    <t>Roll/Choice 2</t>
  </si>
  <si>
    <t>Roll/Choice 3</t>
  </si>
  <si>
    <t>Natural Resources</t>
  </si>
  <si>
    <t>Product</t>
  </si>
  <si>
    <t>Available</t>
  </si>
  <si>
    <t>Likelyhood</t>
  </si>
  <si>
    <t>Relevant Factors</t>
  </si>
  <si>
    <t>Adamantine/Adamantine Ore</t>
  </si>
  <si>
    <t>Water?</t>
  </si>
  <si>
    <t>Ag Products</t>
  </si>
  <si>
    <t>Surplus?</t>
  </si>
  <si>
    <t>Basalt</t>
  </si>
  <si>
    <t>Brick</t>
  </si>
  <si>
    <t>Celestial Steel/Meteorites</t>
  </si>
  <si>
    <t>Ceramics/Pottery</t>
  </si>
  <si>
    <t>Coal</t>
  </si>
  <si>
    <t>Concrete</t>
  </si>
  <si>
    <t>Copper/Copper Ore</t>
  </si>
  <si>
    <t>Dye</t>
  </si>
  <si>
    <t>Enchanted Objects</t>
  </si>
  <si>
    <t>Gemstones</t>
  </si>
  <si>
    <t>Glasswares</t>
  </si>
  <si>
    <t>Gold/Gold Ore</t>
  </si>
  <si>
    <t>Granite</t>
  </si>
  <si>
    <t>Ice</t>
  </si>
  <si>
    <t>Iron/Iron Ore</t>
  </si>
  <si>
    <t>Laterite</t>
  </si>
  <si>
    <t>Local Building Stone</t>
  </si>
  <si>
    <t>Leather</t>
  </si>
  <si>
    <t>Variety</t>
  </si>
  <si>
    <t>Stone</t>
  </si>
  <si>
    <t>Limestone</t>
  </si>
  <si>
    <t>Marble</t>
  </si>
  <si>
    <t>Quartzite</t>
  </si>
  <si>
    <t>Sandstone</t>
  </si>
  <si>
    <t>Chance</t>
  </si>
  <si>
    <t>Varieties</t>
  </si>
  <si>
    <t>black</t>
  </si>
  <si>
    <t>brown</t>
  </si>
  <si>
    <t>black-flecked white</t>
  </si>
  <si>
    <t>white</t>
  </si>
  <si>
    <t>light gray</t>
  </si>
  <si>
    <t>tan</t>
  </si>
  <si>
    <t>Lumber</t>
  </si>
  <si>
    <t>dark gray</t>
  </si>
  <si>
    <t>red</t>
  </si>
  <si>
    <t>black-flecked cream</t>
  </si>
  <si>
    <t>yellow-tan</t>
  </si>
  <si>
    <t>brown-grained white</t>
  </si>
  <si>
    <t>gray</t>
  </si>
  <si>
    <t>dark brown</t>
  </si>
  <si>
    <t>gray-flecked yellow</t>
  </si>
  <si>
    <t>gray-grained white</t>
  </si>
  <si>
    <t>yellow</t>
  </si>
  <si>
    <t>black-flecked blue-gray</t>
  </si>
  <si>
    <t>blue gray</t>
  </si>
  <si>
    <t>black-grained white</t>
  </si>
  <si>
    <t>green</t>
  </si>
  <si>
    <t>reddish brown</t>
  </si>
  <si>
    <t>blue-flecked gray</t>
  </si>
  <si>
    <t>beige</t>
  </si>
  <si>
    <t>red-brown</t>
  </si>
  <si>
    <t>white-flecked black</t>
  </si>
  <si>
    <t>gray-flecked orange</t>
  </si>
  <si>
    <t>cream</t>
  </si>
  <si>
    <t>black-grained gray</t>
  </si>
  <si>
    <t>pink-brown</t>
  </si>
  <si>
    <t>pink</t>
  </si>
  <si>
    <t>Mithral/Mithral Ore</t>
  </si>
  <si>
    <t>white-flecked gray</t>
  </si>
  <si>
    <t>green-flecked tan</t>
  </si>
  <si>
    <t>Oats</t>
  </si>
  <si>
    <t>white-flecked brown</t>
  </si>
  <si>
    <t>white/black-flecked gray</t>
  </si>
  <si>
    <t>Pearls</t>
  </si>
  <si>
    <t>green-flecked black</t>
  </si>
  <si>
    <t>green-grained white</t>
  </si>
  <si>
    <t>striped yellow-tan-brown</t>
  </si>
  <si>
    <t>white/black-flecked pink</t>
  </si>
  <si>
    <t>green-grained gray</t>
  </si>
  <si>
    <t>striped tan-red</t>
  </si>
  <si>
    <t>Platinum/Platinum Ore</t>
  </si>
  <si>
    <t>green-flecked brown</t>
  </si>
  <si>
    <t>green-grained black</t>
  </si>
  <si>
    <t>striped gray-brown</t>
  </si>
  <si>
    <t>white-grained brown</t>
  </si>
  <si>
    <t>striped red-black-tan</t>
  </si>
  <si>
    <t>black-flecked green</t>
  </si>
  <si>
    <t>striped black-gray</t>
  </si>
  <si>
    <t>striped black/gray</t>
  </si>
  <si>
    <t>white-grained black</t>
  </si>
  <si>
    <t>striped yellow-red</t>
  </si>
  <si>
    <t>striped black/green</t>
  </si>
  <si>
    <t>cream-grained black</t>
  </si>
  <si>
    <t>striped red-yellow-purple</t>
  </si>
  <si>
    <t>blue/pink/cream/black flecked</t>
  </si>
  <si>
    <t>cream-grained brown</t>
  </si>
  <si>
    <t>striped yellow-gray</t>
  </si>
  <si>
    <t>Salt</t>
  </si>
  <si>
    <t>striped black/gray/violet</t>
  </si>
  <si>
    <t>banded brown/grey</t>
  </si>
  <si>
    <t>Ships/Boats</t>
  </si>
  <si>
    <t>Silver/Silver Ore</t>
  </si>
  <si>
    <t>Slate</t>
  </si>
  <si>
    <t>Construction</t>
  </si>
  <si>
    <t>Style</t>
  </si>
  <si>
    <t>Spice</t>
  </si>
  <si>
    <t>small one-story buildings</t>
  </si>
  <si>
    <t>interlocking log construction</t>
  </si>
  <si>
    <t>sod</t>
  </si>
  <si>
    <t>flat</t>
  </si>
  <si>
    <t>a simple</t>
  </si>
  <si>
    <t>square shaped</t>
  </si>
  <si>
    <t>simple dirt roads</t>
  </si>
  <si>
    <t>medium one-story buildings</t>
  </si>
  <si>
    <t>post and plank construction</t>
  </si>
  <si>
    <t>thatched</t>
  </si>
  <si>
    <t>lean-to</t>
  </si>
  <si>
    <t>a practical</t>
  </si>
  <si>
    <t>circular</t>
  </si>
  <si>
    <t>dirts roads covered in loose gravel</t>
  </si>
  <si>
    <t>large one-story buildings</t>
  </si>
  <si>
    <t>half-timber construction</t>
  </si>
  <si>
    <t>wooden shingles</t>
  </si>
  <si>
    <t>shallow gable</t>
  </si>
  <si>
    <t>an unadorned</t>
  </si>
  <si>
    <t>rectangular</t>
  </si>
  <si>
    <t>rough cemented gravel</t>
  </si>
  <si>
    <t>small two-story buildings</t>
  </si>
  <si>
    <t>jettied half-timber construction</t>
  </si>
  <si>
    <t>black slate</t>
  </si>
  <si>
    <t>gable</t>
  </si>
  <si>
    <t>an understated</t>
  </si>
  <si>
    <t>oval shaped</t>
  </si>
  <si>
    <t>rough cobblestone</t>
  </si>
  <si>
    <t>medium two-story buildings</t>
  </si>
  <si>
    <t>half-timber construction above a stone/brick ground floor</t>
  </si>
  <si>
    <t>gray slate</t>
  </si>
  <si>
    <t>gable with dormers</t>
  </si>
  <si>
    <t>an elegant</t>
  </si>
  <si>
    <t>"L" or "J" shaped with courtyard</t>
  </si>
  <si>
    <t>paved in uneven brick</t>
  </si>
  <si>
    <t>large two-story buildings</t>
  </si>
  <si>
    <t>jettied half-timber construction above a stone/brick ground floor</t>
  </si>
  <si>
    <t>blue slate</t>
  </si>
  <si>
    <t>steep gable</t>
  </si>
  <si>
    <t>an ornate</t>
  </si>
  <si>
    <t>"U" shaped with courtyard</t>
  </si>
  <si>
    <t>smooth cobblestone</t>
  </si>
  <si>
    <t>small multi-story buildings</t>
  </si>
  <si>
    <t>stone/brick construction</t>
  </si>
  <si>
    <t>red clay tile</t>
  </si>
  <si>
    <t>steep gable with dormers</t>
  </si>
  <si>
    <t>an eclectic</t>
  </si>
  <si>
    <t>"O" or box shaped with courtyard</t>
  </si>
  <si>
    <t>close fitting brick</t>
  </si>
  <si>
    <t>Wild Animal Pelts/Trophies</t>
  </si>
  <si>
    <t>medium multi-story buildings</t>
  </si>
  <si>
    <t>brown clay tile</t>
  </si>
  <si>
    <t>gambrel</t>
  </si>
  <si>
    <t>an ostentatious</t>
  </si>
  <si>
    <t>assymetrical</t>
  </si>
  <si>
    <t>paved in smooth stone blocks</t>
  </si>
  <si>
    <t>large multi-story buildings</t>
  </si>
  <si>
    <t>gray clay tile</t>
  </si>
  <si>
    <t>jerkinhead</t>
  </si>
  <si>
    <t>a delicate</t>
  </si>
  <si>
    <t>organic</t>
  </si>
  <si>
    <t>Wool</t>
  </si>
  <si>
    <t>narrow towers</t>
  </si>
  <si>
    <t>copper paneling</t>
  </si>
  <si>
    <t>curved</t>
  </si>
  <si>
    <t>complex/compound</t>
  </si>
  <si>
    <t>large communal buildings</t>
  </si>
  <si>
    <t>curved with dormers</t>
  </si>
  <si>
    <t>Zinc/Zinc Ore</t>
  </si>
  <si>
    <t>large communal towers</t>
  </si>
  <si>
    <t>combination</t>
  </si>
  <si>
    <t>Architectural Style</t>
  </si>
  <si>
    <t>Drop Down List</t>
  </si>
  <si>
    <t>#N/A</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</si>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</sst>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
    <numFmt numFmtId="166" formatCode="h&quot;:&quot;mm"/>
    <numFmt numFmtId="167" formatCode="#,##0.0"/>
    <numFmt numFmtId="168" formatCode="h&quot;:&quot;mm&quot; &quot;AM/PM"/>
    <numFmt numFmtId="169" formatCode="m\-d"/>
    <numFmt numFmtId="170" formatCode="0.00000"/>
    <numFmt numFmtId="171" formatCode="0.0000%"/>
    <numFmt numFmtId="172" formatCode="0.000%"/>
  </numFmts>
  <fonts count="13">
    <font>
      <sz val="10"/>
      <color rgb="FF000000"/>
      <name val="Arial"/>
    </font>
    <font>
      <sz val="24"/>
      <color rgb="FFFFFFFF"/>
      <name val="Arial"/>
      <family val="2"/>
      <charset val="204"/>
    </font>
    <font>
      <sz val="10"/>
      <name val="Arial"/>
      <family val="2"/>
      <charset val="204"/>
    </font>
    <font>
      <sz val="18"/>
      <name val="Arial"/>
      <family val="2"/>
      <charset val="204"/>
    </font>
    <font>
      <sz val="18"/>
      <color rgb="FFFFFFFF"/>
      <name val="Arial"/>
      <family val="2"/>
      <charset val="204"/>
    </font>
    <font>
      <sz val="14"/>
      <color rgb="FFFFFFFF"/>
      <name val="Arial"/>
      <family val="2"/>
      <charset val="204"/>
    </font>
    <font>
      <sz val="10"/>
      <color rgb="FFFFFFFF"/>
      <name val="Arial"/>
      <family val="2"/>
      <charset val="204"/>
    </font>
    <font>
      <sz val="10"/>
      <color rgb="FF000000"/>
      <name val="Arial"/>
      <family val="2"/>
      <charset val="204"/>
    </font>
    <font>
      <sz val="10"/>
      <name val="Arial"/>
      <family val="2"/>
      <charset val="204"/>
    </font>
    <font>
      <sz val="10"/>
      <name val="Arial"/>
      <family val="2"/>
      <charset val="204"/>
    </font>
    <font>
      <sz val="11"/>
      <color rgb="FF000000"/>
      <name val="Inconsolata"/>
    </font>
    <font>
      <sz val="12"/>
      <color rgb="FFFFFFFF"/>
      <name val="Arial"/>
      <family val="2"/>
      <charset val="204"/>
    </font>
    <font>
      <sz val="11"/>
      <color rgb="FFFFFFFF"/>
      <name val="Inconsolata"/>
    </font>
  </fonts>
  <fills count="13">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00FF00"/>
        <bgColor rgb="FF00FF00"/>
      </patternFill>
    </fill>
    <fill>
      <patternFill patternType="solid">
        <fgColor rgb="FF79FF88"/>
        <bgColor rgb="FF79FF88"/>
      </patternFill>
    </fill>
    <fill>
      <patternFill patternType="solid">
        <fgColor rgb="FFE6B8AF"/>
        <bgColor rgb="FFE6B8AF"/>
      </patternFill>
    </fill>
    <fill>
      <patternFill patternType="solid">
        <fgColor rgb="FFFFF2CC"/>
        <bgColor rgb="FFFFF2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F4CCCC"/>
        <bgColor rgb="FFF4CCCC"/>
      </patternFill>
    </fill>
  </fills>
  <borders count="25">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s>
  <cellStyleXfs count="1">
    <xf numFmtId="0" fontId="0" fillId="0" borderId="0"/>
  </cellStyleXfs>
  <cellXfs count="520">
    <xf numFmtId="0" fontId="0" fillId="0" borderId="0" xfId="0" applyFont="1" applyAlignment="1"/>
    <xf numFmtId="0" fontId="2" fillId="0" borderId="6" xfId="0" applyFont="1" applyBorder="1"/>
    <xf numFmtId="0" fontId="2" fillId="0" borderId="0" xfId="0" applyFont="1" applyAlignment="1">
      <alignment vertical="center"/>
    </xf>
    <xf numFmtId="0" fontId="2" fillId="5" borderId="12" xfId="0" applyFont="1" applyFill="1" applyBorder="1" applyAlignment="1">
      <alignment vertical="center"/>
    </xf>
    <xf numFmtId="0" fontId="2" fillId="6" borderId="4"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center" vertical="center"/>
    </xf>
    <xf numFmtId="0" fontId="2" fillId="0" borderId="0" xfId="0" applyFont="1" applyAlignment="1">
      <alignment vertical="center"/>
    </xf>
    <xf numFmtId="0" fontId="2" fillId="6" borderId="7" xfId="0" applyFont="1" applyFill="1" applyBorder="1" applyAlignment="1">
      <alignment horizontal="center" vertical="center"/>
    </xf>
    <xf numFmtId="0" fontId="2" fillId="6" borderId="15" xfId="0" applyFont="1" applyFill="1" applyBorder="1" applyAlignment="1">
      <alignment horizontal="center" vertical="center"/>
    </xf>
    <xf numFmtId="0" fontId="6" fillId="0" borderId="0" xfId="0" applyFont="1" applyAlignment="1">
      <alignment horizontal="center" vertical="center"/>
    </xf>
    <xf numFmtId="0" fontId="2" fillId="6" borderId="6" xfId="0" applyFont="1" applyFill="1" applyBorder="1" applyAlignment="1">
      <alignment vertical="center"/>
    </xf>
    <xf numFmtId="0" fontId="2" fillId="6" borderId="11" xfId="0" applyFont="1" applyFill="1" applyBorder="1" applyAlignment="1">
      <alignment vertical="center"/>
    </xf>
    <xf numFmtId="0" fontId="2" fillId="6" borderId="9" xfId="0" applyFont="1" applyFill="1" applyBorder="1" applyAlignment="1">
      <alignment vertical="center"/>
    </xf>
    <xf numFmtId="0" fontId="2" fillId="6" borderId="12"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14" xfId="0" applyFont="1" applyFill="1" applyBorder="1" applyAlignment="1">
      <alignment horizontal="center" vertical="center"/>
    </xf>
    <xf numFmtId="0" fontId="2" fillId="0" borderId="13" xfId="0" applyFont="1" applyBorder="1" applyAlignment="1">
      <alignment horizontal="center"/>
    </xf>
    <xf numFmtId="0" fontId="2" fillId="0" borderId="14" xfId="0" applyFont="1" applyBorder="1" applyAlignment="1">
      <alignment horizontal="center"/>
    </xf>
    <xf numFmtId="3" fontId="2" fillId="0" borderId="0" xfId="0" applyNumberFormat="1" applyFont="1" applyAlignment="1">
      <alignment horizontal="center" vertical="center"/>
    </xf>
    <xf numFmtId="3" fontId="2" fillId="0" borderId="0" xfId="0" applyNumberFormat="1" applyFont="1" applyAlignment="1">
      <alignment horizontal="center"/>
    </xf>
    <xf numFmtId="0" fontId="2" fillId="3" borderId="1" xfId="0" applyFont="1" applyFill="1" applyBorder="1" applyAlignment="1"/>
    <xf numFmtId="0" fontId="2" fillId="3" borderId="15" xfId="0" applyFont="1" applyFill="1" applyBorder="1" applyAlignment="1">
      <alignment horizontal="center"/>
    </xf>
    <xf numFmtId="0" fontId="2" fillId="0" borderId="12" xfId="0" applyFont="1" applyBorder="1" applyAlignment="1">
      <alignment horizontal="center"/>
    </xf>
    <xf numFmtId="165" fontId="2" fillId="0" borderId="14" xfId="0" applyNumberFormat="1" applyFont="1" applyBorder="1" applyAlignment="1">
      <alignment horizontal="center"/>
    </xf>
    <xf numFmtId="0" fontId="2" fillId="3" borderId="12" xfId="0" applyFont="1" applyFill="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xf>
    <xf numFmtId="0" fontId="10" fillId="10" borderId="0" xfId="0" applyFont="1" applyFill="1"/>
    <xf numFmtId="0" fontId="9" fillId="0" borderId="12" xfId="0" applyFont="1" applyBorder="1" applyAlignment="1">
      <alignment horizontal="center"/>
    </xf>
    <xf numFmtId="0" fontId="9" fillId="0" borderId="13" xfId="0" applyFont="1" applyBorder="1" applyAlignment="1">
      <alignment horizontal="center"/>
    </xf>
    <xf numFmtId="0" fontId="9" fillId="0" borderId="14" xfId="0" applyFont="1" applyBorder="1" applyAlignment="1">
      <alignment horizontal="center"/>
    </xf>
    <xf numFmtId="0" fontId="9" fillId="0" borderId="0" xfId="0" applyFont="1"/>
    <xf numFmtId="0" fontId="9" fillId="0" borderId="0" xfId="0" applyFont="1" applyAlignment="1">
      <alignment horizontal="center"/>
    </xf>
    <xf numFmtId="0" fontId="2" fillId="0" borderId="0" xfId="0" applyFont="1" applyAlignment="1">
      <alignment horizontal="center"/>
    </xf>
    <xf numFmtId="0" fontId="2" fillId="3" borderId="13" xfId="0" applyFont="1" applyFill="1" applyBorder="1"/>
    <xf numFmtId="0" fontId="2" fillId="3" borderId="13" xfId="0" applyFont="1" applyFill="1" applyBorder="1" applyAlignment="1">
      <alignment horizontal="center"/>
    </xf>
    <xf numFmtId="0" fontId="2" fillId="0" borderId="13" xfId="0" applyFont="1" applyBorder="1" applyAlignment="1">
      <alignment horizontal="center"/>
    </xf>
    <xf numFmtId="0" fontId="2" fillId="3" borderId="14" xfId="0" applyFont="1" applyFill="1" applyBorder="1" applyAlignment="1">
      <alignment horizontal="center"/>
    </xf>
    <xf numFmtId="0" fontId="2" fillId="0" borderId="14" xfId="0" applyFont="1" applyBorder="1" applyAlignment="1">
      <alignment horizontal="center"/>
    </xf>
    <xf numFmtId="0" fontId="2" fillId="3" borderId="14" xfId="0" applyFont="1" applyFill="1" applyBorder="1"/>
    <xf numFmtId="0" fontId="6" fillId="8" borderId="15" xfId="0" applyFont="1" applyFill="1" applyBorder="1" applyAlignment="1">
      <alignment horizontal="center"/>
    </xf>
    <xf numFmtId="168" fontId="2" fillId="0" borderId="12" xfId="0" applyNumberFormat="1" applyFont="1" applyBorder="1" applyAlignment="1">
      <alignment horizontal="center"/>
    </xf>
    <xf numFmtId="168" fontId="2" fillId="0" borderId="13" xfId="0" applyNumberFormat="1" applyFont="1" applyBorder="1" applyAlignment="1">
      <alignment horizontal="center"/>
    </xf>
    <xf numFmtId="166" fontId="2" fillId="0" borderId="13" xfId="0" applyNumberFormat="1" applyFont="1" applyBorder="1" applyAlignment="1">
      <alignment horizontal="center" vertical="center"/>
    </xf>
    <xf numFmtId="0" fontId="2" fillId="3" borderId="12" xfId="0" applyFont="1" applyFill="1" applyBorder="1" applyAlignment="1">
      <alignment horizontal="center"/>
    </xf>
    <xf numFmtId="169" fontId="2" fillId="3" borderId="13" xfId="0" applyNumberFormat="1" applyFont="1" applyFill="1" applyBorder="1" applyAlignment="1">
      <alignment horizontal="center"/>
    </xf>
    <xf numFmtId="169" fontId="2" fillId="3" borderId="14" xfId="0" applyNumberFormat="1" applyFont="1" applyFill="1" applyBorder="1" applyAlignment="1">
      <alignment horizontal="center"/>
    </xf>
    <xf numFmtId="0" fontId="2" fillId="0" borderId="0" xfId="0" applyFont="1" applyAlignment="1">
      <alignment horizontal="center" vertical="center"/>
    </xf>
    <xf numFmtId="0" fontId="2" fillId="6" borderId="1" xfId="0" applyFont="1" applyFill="1" applyBorder="1" applyAlignment="1">
      <alignment horizontal="center"/>
    </xf>
    <xf numFmtId="0" fontId="2" fillId="6" borderId="4" xfId="0" applyFont="1" applyFill="1" applyBorder="1" applyAlignment="1">
      <alignment horizontal="center" vertical="center"/>
    </xf>
    <xf numFmtId="0" fontId="2" fillId="6" borderId="1" xfId="0" applyFont="1" applyFill="1" applyBorder="1" applyAlignment="1">
      <alignment horizontal="center"/>
    </xf>
    <xf numFmtId="0" fontId="2" fillId="6" borderId="13" xfId="0" applyFont="1" applyFill="1" applyBorder="1" applyAlignment="1">
      <alignment horizontal="center"/>
    </xf>
    <xf numFmtId="0" fontId="2" fillId="6" borderId="10" xfId="0" applyFont="1" applyFill="1" applyBorder="1" applyAlignment="1">
      <alignment horizontal="center"/>
    </xf>
    <xf numFmtId="0" fontId="2" fillId="6" borderId="14" xfId="0" applyFont="1" applyFill="1" applyBorder="1" applyAlignment="1">
      <alignment horizontal="center"/>
    </xf>
    <xf numFmtId="0" fontId="2" fillId="6" borderId="7" xfId="0" applyFont="1" applyFill="1" applyBorder="1" applyAlignment="1">
      <alignment horizontal="center"/>
    </xf>
    <xf numFmtId="0" fontId="2" fillId="6" borderId="15" xfId="0" applyFont="1" applyFill="1" applyBorder="1" applyAlignment="1">
      <alignment horizontal="center"/>
    </xf>
    <xf numFmtId="0" fontId="2" fillId="7" borderId="12" xfId="0" applyFont="1" applyFill="1" applyBorder="1" applyAlignment="1">
      <alignment horizontal="center"/>
    </xf>
    <xf numFmtId="0" fontId="2" fillId="7" borderId="12" xfId="0" applyFont="1" applyFill="1" applyBorder="1" applyAlignment="1">
      <alignment horizontal="center"/>
    </xf>
    <xf numFmtId="0" fontId="2" fillId="7" borderId="13" xfId="0" applyFont="1" applyFill="1" applyBorder="1" applyAlignment="1">
      <alignment horizontal="center"/>
    </xf>
    <xf numFmtId="0" fontId="2" fillId="7" borderId="13" xfId="0" applyFont="1" applyFill="1" applyBorder="1" applyAlignment="1">
      <alignment horizontal="center"/>
    </xf>
    <xf numFmtId="0" fontId="2" fillId="7" borderId="14"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xf numFmtId="0" fontId="2" fillId="3" borderId="15" xfId="0" applyFont="1" applyFill="1" applyBorder="1" applyAlignment="1"/>
    <xf numFmtId="0" fontId="2" fillId="3" borderId="12" xfId="0" applyFont="1" applyFill="1" applyBorder="1" applyAlignment="1"/>
    <xf numFmtId="0" fontId="2" fillId="6" borderId="12" xfId="0" applyFont="1" applyFill="1" applyBorder="1" applyAlignment="1">
      <alignment horizontal="center"/>
    </xf>
    <xf numFmtId="0" fontId="2" fillId="6" borderId="12" xfId="0" applyFont="1" applyFill="1" applyBorder="1"/>
    <xf numFmtId="0" fontId="2" fillId="3" borderId="14" xfId="0" applyFont="1" applyFill="1" applyBorder="1" applyAlignment="1"/>
    <xf numFmtId="0" fontId="2" fillId="6" borderId="14" xfId="0" applyFont="1" applyFill="1" applyBorder="1"/>
    <xf numFmtId="0" fontId="2" fillId="7" borderId="14" xfId="0" applyFont="1" applyFill="1" applyBorder="1" applyAlignment="1"/>
    <xf numFmtId="0" fontId="2" fillId="0" borderId="0" xfId="0" applyFont="1" applyAlignment="1"/>
    <xf numFmtId="0" fontId="2" fillId="7" borderId="10" xfId="0" applyFont="1" applyFill="1" applyBorder="1" applyAlignment="1"/>
    <xf numFmtId="0" fontId="2" fillId="6" borderId="15" xfId="0" applyFont="1" applyFill="1" applyBorder="1" applyAlignment="1">
      <alignment horizontal="center"/>
    </xf>
    <xf numFmtId="0" fontId="2" fillId="6" borderId="7" xfId="0" applyFont="1" applyFill="1" applyBorder="1" applyAlignment="1">
      <alignment horizontal="center"/>
    </xf>
    <xf numFmtId="0" fontId="8" fillId="0" borderId="0" xfId="0" applyFont="1" applyAlignment="1">
      <alignment horizontal="center"/>
    </xf>
    <xf numFmtId="0" fontId="2" fillId="6" borderId="12" xfId="0" applyFont="1" applyFill="1" applyBorder="1" applyAlignment="1">
      <alignment horizontal="center"/>
    </xf>
    <xf numFmtId="0" fontId="2" fillId="7" borderId="4" xfId="0" applyFont="1" applyFill="1" applyBorder="1" applyAlignment="1"/>
    <xf numFmtId="0" fontId="2" fillId="6" borderId="13" xfId="0" applyFont="1" applyFill="1" applyBorder="1" applyAlignment="1">
      <alignment horizontal="center"/>
    </xf>
    <xf numFmtId="0" fontId="2" fillId="6" borderId="14" xfId="0" applyFont="1" applyFill="1" applyBorder="1" applyAlignment="1">
      <alignment horizontal="center"/>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7" borderId="19" xfId="0" applyFont="1" applyFill="1" applyBorder="1" applyAlignment="1">
      <alignment horizontal="center"/>
    </xf>
    <xf numFmtId="0" fontId="2" fillId="7" borderId="20" xfId="0" applyFont="1" applyFill="1" applyBorder="1" applyAlignment="1">
      <alignment horizontal="center"/>
    </xf>
    <xf numFmtId="0" fontId="2" fillId="7" borderId="21" xfId="0" applyFont="1" applyFill="1" applyBorder="1" applyAlignment="1">
      <alignment horizontal="center"/>
    </xf>
    <xf numFmtId="0" fontId="2" fillId="7" borderId="22" xfId="0" applyFont="1" applyFill="1" applyBorder="1" applyAlignment="1">
      <alignment horizontal="center"/>
    </xf>
    <xf numFmtId="0" fontId="2" fillId="7" borderId="23" xfId="0" applyFont="1" applyFill="1" applyBorder="1" applyAlignment="1">
      <alignment horizontal="center"/>
    </xf>
    <xf numFmtId="0" fontId="2" fillId="7" borderId="24" xfId="0" applyFont="1" applyFill="1" applyBorder="1" applyAlignment="1">
      <alignment horizontal="center"/>
    </xf>
    <xf numFmtId="9" fontId="2" fillId="0" borderId="0" xfId="0" applyNumberFormat="1" applyFont="1"/>
    <xf numFmtId="2" fontId="2" fillId="0" borderId="0" xfId="0" applyNumberFormat="1" applyFont="1"/>
    <xf numFmtId="0" fontId="2" fillId="3" borderId="13" xfId="0" applyFont="1" applyFill="1" applyBorder="1" applyAlignment="1"/>
    <xf numFmtId="165" fontId="2" fillId="6" borderId="15" xfId="0" applyNumberFormat="1" applyFont="1" applyFill="1" applyBorder="1" applyAlignment="1">
      <alignment horizontal="center"/>
    </xf>
    <xf numFmtId="167" fontId="2" fillId="6" borderId="12" xfId="0" applyNumberFormat="1" applyFont="1" applyFill="1" applyBorder="1" applyAlignment="1">
      <alignment horizontal="center"/>
    </xf>
    <xf numFmtId="9" fontId="2" fillId="6" borderId="13" xfId="0" applyNumberFormat="1" applyFont="1" applyFill="1" applyBorder="1" applyAlignment="1">
      <alignment horizontal="center"/>
    </xf>
    <xf numFmtId="170" fontId="2" fillId="6" borderId="14" xfId="0" applyNumberFormat="1" applyFont="1" applyFill="1" applyBorder="1" applyAlignment="1">
      <alignment horizontal="center"/>
    </xf>
    <xf numFmtId="0" fontId="2" fillId="0" borderId="0" xfId="0" applyFont="1" applyAlignment="1">
      <alignment horizontal="center"/>
    </xf>
    <xf numFmtId="168" fontId="2" fillId="0" borderId="0" xfId="0" applyNumberFormat="1" applyFont="1" applyAlignment="1">
      <alignment horizontal="center"/>
    </xf>
    <xf numFmtId="168" fontId="2" fillId="6" borderId="12" xfId="0" applyNumberFormat="1" applyFont="1" applyFill="1" applyBorder="1" applyAlignment="1">
      <alignment horizontal="center"/>
    </xf>
    <xf numFmtId="168" fontId="2" fillId="6" borderId="13" xfId="0" applyNumberFormat="1" applyFont="1" applyFill="1" applyBorder="1" applyAlignment="1">
      <alignment horizontal="center"/>
    </xf>
    <xf numFmtId="166" fontId="2" fillId="6" borderId="14" xfId="0" applyNumberFormat="1" applyFont="1" applyFill="1" applyBorder="1" applyAlignment="1">
      <alignment horizontal="center"/>
    </xf>
    <xf numFmtId="0" fontId="5" fillId="0" borderId="10" xfId="0" applyFont="1" applyBorder="1" applyAlignment="1">
      <alignment horizontal="center"/>
    </xf>
    <xf numFmtId="164" fontId="2" fillId="6" borderId="7" xfId="0" applyNumberFormat="1" applyFont="1" applyFill="1" applyBorder="1" applyAlignment="1">
      <alignment horizontal="center" vertical="center"/>
    </xf>
    <xf numFmtId="0" fontId="2" fillId="6" borderId="11" xfId="0" applyFont="1" applyFill="1" applyBorder="1" applyAlignment="1">
      <alignment horizontal="center"/>
    </xf>
    <xf numFmtId="3" fontId="2" fillId="6" borderId="12" xfId="0" applyNumberFormat="1" applyFont="1" applyFill="1" applyBorder="1" applyAlignment="1">
      <alignment horizontal="center"/>
    </xf>
    <xf numFmtId="9" fontId="2" fillId="6" borderId="13" xfId="0" applyNumberFormat="1" applyFont="1" applyFill="1" applyBorder="1" applyAlignment="1">
      <alignment horizontal="center"/>
    </xf>
    <xf numFmtId="2" fontId="2" fillId="6" borderId="13" xfId="0" applyNumberFormat="1" applyFont="1" applyFill="1" applyBorder="1" applyAlignment="1">
      <alignment horizontal="center"/>
    </xf>
    <xf numFmtId="3" fontId="2" fillId="6" borderId="13" xfId="0" applyNumberFormat="1" applyFont="1" applyFill="1" applyBorder="1" applyAlignment="1">
      <alignment horizontal="center"/>
    </xf>
    <xf numFmtId="9" fontId="2" fillId="6" borderId="12" xfId="0" applyNumberFormat="1" applyFont="1" applyFill="1" applyBorder="1" applyAlignment="1">
      <alignment horizontal="center"/>
    </xf>
    <xf numFmtId="2" fontId="2" fillId="6" borderId="0" xfId="0" applyNumberFormat="1" applyFont="1" applyFill="1" applyAlignment="1">
      <alignment horizontal="center"/>
    </xf>
    <xf numFmtId="9" fontId="2" fillId="6" borderId="9" xfId="0" applyNumberFormat="1" applyFont="1" applyFill="1" applyBorder="1" applyAlignment="1">
      <alignment horizontal="center"/>
    </xf>
    <xf numFmtId="3" fontId="2" fillId="6" borderId="10" xfId="0" applyNumberFormat="1" applyFont="1" applyFill="1" applyBorder="1" applyAlignment="1">
      <alignment horizontal="center"/>
    </xf>
    <xf numFmtId="9" fontId="2" fillId="6" borderId="15" xfId="0" applyNumberFormat="1" applyFont="1" applyFill="1" applyBorder="1" applyAlignment="1">
      <alignment horizontal="center"/>
    </xf>
    <xf numFmtId="9" fontId="2" fillId="6" borderId="14" xfId="0" applyNumberFormat="1" applyFont="1" applyFill="1" applyBorder="1" applyAlignment="1">
      <alignment horizontal="center"/>
    </xf>
    <xf numFmtId="0" fontId="2" fillId="6" borderId="4" xfId="0" applyFont="1" applyFill="1" applyBorder="1" applyAlignment="1">
      <alignment horizontal="center"/>
    </xf>
    <xf numFmtId="0" fontId="6" fillId="2" borderId="14" xfId="0" applyFont="1" applyFill="1" applyBorder="1" applyAlignment="1">
      <alignment horizontal="center"/>
    </xf>
    <xf numFmtId="0" fontId="6" fillId="2" borderId="13" xfId="0" applyFont="1" applyFill="1" applyBorder="1" applyAlignment="1">
      <alignment horizontal="center"/>
    </xf>
    <xf numFmtId="0" fontId="6" fillId="2" borderId="12" xfId="0" applyFont="1" applyFill="1" applyBorder="1" applyAlignment="1">
      <alignment horizontal="center"/>
    </xf>
    <xf numFmtId="3" fontId="2" fillId="6" borderId="5" xfId="0" applyNumberFormat="1" applyFont="1" applyFill="1" applyBorder="1" applyAlignment="1">
      <alignment horizontal="center" vertical="center"/>
    </xf>
    <xf numFmtId="3" fontId="2" fillId="6" borderId="12" xfId="0" applyNumberFormat="1" applyFont="1" applyFill="1" applyBorder="1" applyAlignment="1">
      <alignment horizontal="center" vertical="center"/>
    </xf>
    <xf numFmtId="167" fontId="2" fillId="6" borderId="5" xfId="0" applyNumberFormat="1" applyFont="1" applyFill="1" applyBorder="1" applyAlignment="1">
      <alignment horizontal="center" vertical="center"/>
    </xf>
    <xf numFmtId="3" fontId="2" fillId="6" borderId="0" xfId="0" applyNumberFormat="1" applyFont="1" applyFill="1" applyAlignment="1">
      <alignment horizontal="center" vertical="center"/>
    </xf>
    <xf numFmtId="3" fontId="2" fillId="6" borderId="13" xfId="0" applyNumberFormat="1" applyFont="1" applyFill="1" applyBorder="1" applyAlignment="1">
      <alignment horizontal="center" vertical="center"/>
    </xf>
    <xf numFmtId="167" fontId="2" fillId="6" borderId="0" xfId="0" applyNumberFormat="1" applyFont="1" applyFill="1" applyAlignment="1">
      <alignment horizontal="center" vertical="center"/>
    </xf>
    <xf numFmtId="3" fontId="2" fillId="6" borderId="8" xfId="0" applyNumberFormat="1" applyFont="1" applyFill="1" applyBorder="1" applyAlignment="1">
      <alignment horizontal="center" vertical="center"/>
    </xf>
    <xf numFmtId="3" fontId="2" fillId="6" borderId="14" xfId="0" applyNumberFormat="1" applyFont="1" applyFill="1" applyBorder="1" applyAlignment="1">
      <alignment horizontal="center" vertical="center"/>
    </xf>
    <xf numFmtId="167" fontId="2" fillId="6" borderId="8" xfId="0" applyNumberFormat="1" applyFont="1" applyFill="1" applyBorder="1" applyAlignment="1">
      <alignment horizontal="center" vertical="center"/>
    </xf>
    <xf numFmtId="167" fontId="2" fillId="6" borderId="13" xfId="0" applyNumberFormat="1" applyFont="1" applyFill="1" applyBorder="1" applyAlignment="1">
      <alignment horizontal="center" vertical="center"/>
    </xf>
    <xf numFmtId="3" fontId="2" fillId="6" borderId="15" xfId="0" applyNumberFormat="1"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3" fontId="2" fillId="6" borderId="11" xfId="0" applyNumberFormat="1" applyFont="1" applyFill="1" applyBorder="1" applyAlignment="1">
      <alignment horizontal="center" vertical="center"/>
    </xf>
    <xf numFmtId="0" fontId="2" fillId="6" borderId="0" xfId="0" applyFont="1" applyFill="1" applyAlignment="1">
      <alignment horizontal="center" vertical="center"/>
    </xf>
    <xf numFmtId="0" fontId="2" fillId="6" borderId="11" xfId="0" applyFont="1" applyFill="1" applyBorder="1" applyAlignment="1">
      <alignment horizontal="center" vertical="center"/>
    </xf>
    <xf numFmtId="3" fontId="2" fillId="6" borderId="10"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3" fontId="2" fillId="6" borderId="7"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6" borderId="9" xfId="0" applyNumberFormat="1" applyFont="1" applyFill="1" applyBorder="1" applyAlignment="1">
      <alignment horizontal="center" vertical="center"/>
    </xf>
    <xf numFmtId="165" fontId="2" fillId="6" borderId="14" xfId="0" applyNumberFormat="1" applyFont="1" applyFill="1" applyBorder="1" applyAlignment="1">
      <alignment horizontal="center"/>
    </xf>
    <xf numFmtId="0" fontId="2" fillId="6" borderId="15" xfId="0" applyFont="1" applyFill="1" applyBorder="1" applyAlignment="1">
      <alignment horizontal="center" vertical="center"/>
    </xf>
    <xf numFmtId="9" fontId="2" fillId="6" borderId="15" xfId="0" applyNumberFormat="1" applyFont="1" applyFill="1" applyBorder="1" applyAlignment="1">
      <alignment horizontal="center" vertical="center"/>
    </xf>
    <xf numFmtId="3" fontId="2" fillId="6" borderId="15" xfId="0" applyNumberFormat="1" applyFont="1" applyFill="1" applyBorder="1" applyAlignment="1">
      <alignment horizontal="center"/>
    </xf>
    <xf numFmtId="0" fontId="2" fillId="0" borderId="0" xfId="0" applyFont="1" applyAlignment="1">
      <alignment horizontal="left" vertical="center"/>
    </xf>
    <xf numFmtId="4" fontId="2" fillId="6" borderId="15" xfId="0" applyNumberFormat="1" applyFont="1" applyFill="1" applyBorder="1" applyAlignment="1">
      <alignment horizontal="center"/>
    </xf>
    <xf numFmtId="3" fontId="2" fillId="6" borderId="13" xfId="0" applyNumberFormat="1" applyFont="1" applyFill="1" applyBorder="1"/>
    <xf numFmtId="3" fontId="2" fillId="0" borderId="0" xfId="0" applyNumberFormat="1" applyFont="1"/>
    <xf numFmtId="9" fontId="2" fillId="7" borderId="13" xfId="0" applyNumberFormat="1" applyFont="1" applyFill="1" applyBorder="1" applyAlignment="1">
      <alignment horizontal="center"/>
    </xf>
    <xf numFmtId="3" fontId="2" fillId="6" borderId="14" xfId="0" applyNumberFormat="1" applyFont="1" applyFill="1" applyBorder="1" applyAlignment="1">
      <alignment horizontal="center"/>
    </xf>
    <xf numFmtId="3" fontId="2" fillId="6" borderId="14" xfId="0" applyNumberFormat="1" applyFont="1" applyFill="1" applyBorder="1"/>
    <xf numFmtId="167" fontId="2" fillId="6" borderId="13" xfId="0" applyNumberFormat="1" applyFont="1" applyFill="1" applyBorder="1" applyAlignment="1">
      <alignment horizontal="center"/>
    </xf>
    <xf numFmtId="0" fontId="2" fillId="3" borderId="12" xfId="0" applyFont="1" applyFill="1" applyBorder="1"/>
    <xf numFmtId="0" fontId="2" fillId="7" borderId="12" xfId="0" applyFont="1" applyFill="1" applyBorder="1"/>
    <xf numFmtId="9" fontId="2" fillId="7" borderId="12" xfId="0" applyNumberFormat="1" applyFont="1" applyFill="1" applyBorder="1" applyAlignment="1"/>
    <xf numFmtId="10" fontId="2" fillId="7" borderId="12" xfId="0" applyNumberFormat="1" applyFont="1" applyFill="1" applyBorder="1" applyAlignment="1"/>
    <xf numFmtId="0" fontId="2" fillId="7" borderId="13" xfId="0" applyFont="1" applyFill="1" applyBorder="1"/>
    <xf numFmtId="9" fontId="2" fillId="7" borderId="13" xfId="0" applyNumberFormat="1" applyFont="1" applyFill="1" applyBorder="1" applyAlignment="1"/>
    <xf numFmtId="10" fontId="2" fillId="7" borderId="13" xfId="0" applyNumberFormat="1" applyFont="1" applyFill="1" applyBorder="1" applyAlignment="1"/>
    <xf numFmtId="0" fontId="2" fillId="7" borderId="14" xfId="0" applyFont="1" applyFill="1" applyBorder="1"/>
    <xf numFmtId="9" fontId="2" fillId="7" borderId="14" xfId="0" applyNumberFormat="1" applyFont="1" applyFill="1" applyBorder="1" applyAlignment="1"/>
    <xf numFmtId="10" fontId="2" fillId="7" borderId="14" xfId="0" applyNumberFormat="1" applyFont="1" applyFill="1" applyBorder="1" applyAlignment="1"/>
    <xf numFmtId="0" fontId="2" fillId="6" borderId="13" xfId="0" applyFont="1" applyFill="1" applyBorder="1"/>
    <xf numFmtId="0" fontId="6" fillId="2" borderId="15" xfId="0" applyFont="1" applyFill="1" applyBorder="1" applyAlignment="1">
      <alignment horizontal="center"/>
    </xf>
    <xf numFmtId="0" fontId="2" fillId="6" borderId="15" xfId="0" applyFont="1" applyFill="1" applyBorder="1" applyAlignment="1">
      <alignment horizontal="center"/>
    </xf>
    <xf numFmtId="0" fontId="2" fillId="0" borderId="9" xfId="0" applyFont="1" applyBorder="1" applyAlignment="1">
      <alignment horizontal="center"/>
    </xf>
    <xf numFmtId="0" fontId="2" fillId="6" borderId="13" xfId="0" applyFont="1" applyFill="1" applyBorder="1" applyAlignment="1"/>
    <xf numFmtId="0" fontId="2" fillId="6" borderId="4" xfId="0" applyFont="1" applyFill="1" applyBorder="1"/>
    <xf numFmtId="164" fontId="2" fillId="6" borderId="12" xfId="0" applyNumberFormat="1" applyFont="1" applyFill="1" applyBorder="1"/>
    <xf numFmtId="0" fontId="10" fillId="10" borderId="0" xfId="0" applyFont="1" applyFill="1" applyAlignment="1"/>
    <xf numFmtId="164" fontId="2" fillId="6" borderId="13" xfId="0" applyNumberFormat="1" applyFont="1" applyFill="1" applyBorder="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164" fontId="2" fillId="6" borderId="11" xfId="0" applyNumberFormat="1" applyFont="1" applyFill="1" applyBorder="1" applyAlignment="1">
      <alignment horizontal="center"/>
    </xf>
    <xf numFmtId="0" fontId="2" fillId="6" borderId="10" xfId="0" applyFont="1" applyFill="1" applyBorder="1" applyAlignment="1">
      <alignment horizontal="center"/>
    </xf>
    <xf numFmtId="0" fontId="2" fillId="6" borderId="4" xfId="0" applyFont="1" applyFill="1" applyBorder="1" applyAlignment="1">
      <alignment horizontal="center"/>
    </xf>
    <xf numFmtId="0" fontId="2" fillId="6" borderId="10" xfId="0" applyFont="1" applyFill="1" applyBorder="1"/>
    <xf numFmtId="164" fontId="2" fillId="6" borderId="13" xfId="0" applyNumberFormat="1" applyFont="1" applyFill="1" applyBorder="1"/>
    <xf numFmtId="164" fontId="2" fillId="6" borderId="13" xfId="0" applyNumberFormat="1" applyFont="1" applyFill="1" applyBorder="1" applyAlignment="1">
      <alignment horizontal="center"/>
    </xf>
    <xf numFmtId="0" fontId="2" fillId="6" borderId="0" xfId="0" applyFont="1" applyFill="1" applyAlignment="1">
      <alignment horizontal="center"/>
    </xf>
    <xf numFmtId="0" fontId="2" fillId="6" borderId="14" xfId="0" applyFont="1" applyFill="1" applyBorder="1" applyAlignment="1"/>
    <xf numFmtId="0" fontId="2" fillId="6" borderId="7" xfId="0" applyFont="1" applyFill="1" applyBorder="1"/>
    <xf numFmtId="164" fontId="2" fillId="6" borderId="14" xfId="0" applyNumberFormat="1" applyFont="1" applyFill="1" applyBorder="1"/>
    <xf numFmtId="164" fontId="2" fillId="6" borderId="14" xfId="0" applyNumberFormat="1" applyFont="1" applyFill="1" applyBorder="1" applyAlignment="1">
      <alignment horizontal="center"/>
    </xf>
    <xf numFmtId="0" fontId="2" fillId="6" borderId="8" xfId="0" applyFont="1" applyFill="1" applyBorder="1" applyAlignment="1">
      <alignment horizontal="center"/>
    </xf>
    <xf numFmtId="0" fontId="2" fillId="6" borderId="9" xfId="0" applyFont="1" applyFill="1" applyBorder="1" applyAlignment="1">
      <alignment horizontal="center"/>
    </xf>
    <xf numFmtId="164" fontId="2" fillId="6" borderId="9" xfId="0" applyNumberFormat="1" applyFont="1" applyFill="1" applyBorder="1" applyAlignment="1">
      <alignment horizontal="center"/>
    </xf>
    <xf numFmtId="0" fontId="2" fillId="6" borderId="9" xfId="0" applyFont="1" applyFill="1" applyBorder="1" applyAlignment="1">
      <alignment horizontal="center"/>
    </xf>
    <xf numFmtId="0" fontId="2" fillId="6" borderId="12" xfId="0" applyFont="1" applyFill="1" applyBorder="1" applyAlignment="1"/>
    <xf numFmtId="3" fontId="2" fillId="6" borderId="12" xfId="0" applyNumberFormat="1" applyFont="1" applyFill="1" applyBorder="1" applyAlignment="1">
      <alignment horizontal="center"/>
    </xf>
    <xf numFmtId="0" fontId="6" fillId="8" borderId="15" xfId="0" applyFont="1" applyFill="1" applyBorder="1"/>
    <xf numFmtId="0" fontId="2" fillId="7" borderId="12" xfId="0" applyFont="1" applyFill="1" applyBorder="1" applyAlignment="1"/>
    <xf numFmtId="0" fontId="2" fillId="0" borderId="0" xfId="0" applyFont="1" applyAlignment="1">
      <alignment vertical="center" wrapText="1"/>
    </xf>
    <xf numFmtId="0" fontId="2" fillId="6" borderId="13" xfId="0" applyFont="1" applyFill="1" applyBorder="1" applyAlignment="1">
      <alignment horizontal="center" vertical="center"/>
    </xf>
    <xf numFmtId="0" fontId="2" fillId="6" borderId="12" xfId="0" applyFont="1" applyFill="1" applyBorder="1" applyAlignment="1">
      <alignment vertical="center"/>
    </xf>
    <xf numFmtId="0" fontId="2" fillId="6" borderId="13" xfId="0" applyFont="1" applyFill="1" applyBorder="1" applyAlignment="1">
      <alignment vertical="center"/>
    </xf>
    <xf numFmtId="0" fontId="2" fillId="6" borderId="14" xfId="0" applyFont="1" applyFill="1" applyBorder="1" applyAlignment="1">
      <alignment vertical="center"/>
    </xf>
    <xf numFmtId="0" fontId="2" fillId="6" borderId="11"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1" xfId="0" applyFont="1" applyFill="1" applyBorder="1" applyAlignment="1">
      <alignment vertical="center"/>
    </xf>
    <xf numFmtId="0" fontId="2" fillId="6" borderId="9" xfId="0" applyFont="1" applyFill="1" applyBorder="1" applyAlignment="1">
      <alignment vertical="center"/>
    </xf>
    <xf numFmtId="0" fontId="2" fillId="6" borderId="14" xfId="0" applyFont="1" applyFill="1" applyBorder="1" applyAlignment="1">
      <alignment horizontal="center" vertical="center"/>
    </xf>
    <xf numFmtId="0" fontId="2" fillId="10" borderId="0" xfId="0" applyFont="1" applyFill="1" applyAlignment="1">
      <alignment vertical="center" wrapText="1"/>
    </xf>
    <xf numFmtId="0" fontId="2" fillId="7"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6" xfId="0" applyFont="1" applyFill="1" applyBorder="1" applyAlignment="1">
      <alignment vertical="center"/>
    </xf>
    <xf numFmtId="0" fontId="2" fillId="7" borderId="4" xfId="0" applyFont="1" applyFill="1" applyBorder="1" applyAlignment="1">
      <alignment horizontal="center"/>
    </xf>
    <xf numFmtId="3" fontId="2" fillId="7" borderId="4" xfId="0" applyNumberFormat="1" applyFont="1" applyFill="1" applyBorder="1" applyAlignment="1">
      <alignment horizontal="center" vertical="center"/>
    </xf>
    <xf numFmtId="3" fontId="2" fillId="7" borderId="12" xfId="0" applyNumberFormat="1" applyFont="1" applyFill="1" applyBorder="1" applyAlignment="1">
      <alignment horizontal="center" vertical="center"/>
    </xf>
    <xf numFmtId="0" fontId="2" fillId="7" borderId="12"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5" xfId="0" applyFont="1" applyFill="1" applyBorder="1" applyAlignment="1">
      <alignment horizontal="center"/>
    </xf>
    <xf numFmtId="0" fontId="2" fillId="7" borderId="0" xfId="0" applyFont="1" applyFill="1" applyAlignment="1">
      <alignment horizontal="center" vertical="center"/>
    </xf>
    <xf numFmtId="0" fontId="2" fillId="6" borderId="10" xfId="0" applyFont="1" applyFill="1" applyBorder="1" applyAlignment="1">
      <alignment horizontal="center" vertical="center"/>
    </xf>
    <xf numFmtId="0" fontId="2" fillId="7" borderId="11" xfId="0" applyFont="1" applyFill="1" applyBorder="1" applyAlignment="1">
      <alignment vertical="center"/>
    </xf>
    <xf numFmtId="0" fontId="2" fillId="7" borderId="10" xfId="0" applyFont="1" applyFill="1" applyBorder="1" applyAlignment="1">
      <alignment horizontal="center"/>
    </xf>
    <xf numFmtId="3" fontId="2" fillId="7" borderId="10" xfId="0" applyNumberFormat="1" applyFont="1" applyFill="1" applyBorder="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0" xfId="0" applyFont="1" applyFill="1" applyBorder="1" applyAlignment="1">
      <alignment horizontal="center" vertical="center"/>
    </xf>
    <xf numFmtId="0" fontId="2" fillId="6" borderId="0" xfId="0" applyFont="1" applyFill="1" applyAlignment="1">
      <alignment horizontal="center"/>
    </xf>
    <xf numFmtId="0" fontId="2" fillId="7" borderId="0" xfId="0" applyFont="1" applyFill="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9" xfId="0" applyFont="1" applyFill="1" applyBorder="1" applyAlignment="1">
      <alignment vertical="center"/>
    </xf>
    <xf numFmtId="0" fontId="2" fillId="7" borderId="7" xfId="0" applyFont="1" applyFill="1" applyBorder="1" applyAlignment="1">
      <alignment horizontal="center"/>
    </xf>
    <xf numFmtId="3" fontId="2" fillId="7" borderId="7" xfId="0" applyNumberFormat="1" applyFont="1" applyFill="1" applyBorder="1" applyAlignment="1">
      <alignment horizontal="center" vertical="center"/>
    </xf>
    <xf numFmtId="3" fontId="2" fillId="7" borderId="12" xfId="0" applyNumberFormat="1" applyFont="1" applyFill="1" applyBorder="1" applyAlignment="1">
      <alignment horizontal="center" vertical="center"/>
    </xf>
    <xf numFmtId="0" fontId="2" fillId="7" borderId="1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11" xfId="0" applyFont="1" applyFill="1" applyBorder="1" applyAlignment="1">
      <alignment vertical="center"/>
    </xf>
    <xf numFmtId="0" fontId="2" fillId="7" borderId="7" xfId="0" applyFont="1" applyFill="1" applyBorder="1" applyAlignment="1">
      <alignment horizontal="center" vertical="center"/>
    </xf>
    <xf numFmtId="0" fontId="2" fillId="7" borderId="9" xfId="0" applyFont="1" applyFill="1" applyBorder="1" applyAlignment="1">
      <alignment vertical="center"/>
    </xf>
    <xf numFmtId="0" fontId="2" fillId="6" borderId="8" xfId="0" applyFont="1" applyFill="1" applyBorder="1" applyAlignment="1">
      <alignment horizontal="center"/>
    </xf>
    <xf numFmtId="0" fontId="2" fillId="7" borderId="10" xfId="0" applyFont="1" applyFill="1" applyBorder="1" applyAlignment="1">
      <alignment horizontal="center" vertical="center"/>
    </xf>
    <xf numFmtId="0" fontId="2" fillId="7" borderId="14" xfId="0" applyFont="1" applyFill="1" applyBorder="1" applyAlignment="1">
      <alignment vertical="center"/>
    </xf>
    <xf numFmtId="3" fontId="2" fillId="7" borderId="14" xfId="0" applyNumberFormat="1" applyFont="1" applyFill="1" applyBorder="1" applyAlignment="1">
      <alignment horizontal="center" vertical="center"/>
    </xf>
    <xf numFmtId="0" fontId="2" fillId="7" borderId="14"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7" xfId="0" applyFont="1" applyFill="1" applyBorder="1" applyAlignment="1">
      <alignment horizontal="center" vertical="center"/>
    </xf>
    <xf numFmtId="3" fontId="2" fillId="7" borderId="14" xfId="0" applyNumberFormat="1" applyFont="1" applyFill="1" applyBorder="1" applyAlignment="1">
      <alignment horizontal="center" vertical="center"/>
    </xf>
    <xf numFmtId="0" fontId="2" fillId="7" borderId="5" xfId="0" applyFont="1" applyFill="1" applyBorder="1" applyAlignment="1">
      <alignment horizontal="center" vertical="center"/>
    </xf>
    <xf numFmtId="0" fontId="2" fillId="7" borderId="12" xfId="0" applyFont="1" applyFill="1" applyBorder="1" applyAlignment="1">
      <alignment vertical="center"/>
    </xf>
    <xf numFmtId="0" fontId="2" fillId="7" borderId="13" xfId="0" applyFont="1" applyFill="1" applyBorder="1" applyAlignment="1">
      <alignment vertical="center"/>
    </xf>
    <xf numFmtId="0" fontId="2" fillId="7" borderId="14" xfId="0" applyFont="1" applyFill="1" applyBorder="1" applyAlignment="1">
      <alignment vertical="center"/>
    </xf>
    <xf numFmtId="0" fontId="2" fillId="7" borderId="6" xfId="0" applyFont="1" applyFill="1" applyBorder="1" applyAlignment="1">
      <alignment vertical="center"/>
    </xf>
    <xf numFmtId="0" fontId="0" fillId="7" borderId="1" xfId="0" applyFont="1" applyFill="1" applyBorder="1" applyAlignment="1">
      <alignment horizontal="center" vertical="center" wrapText="1"/>
    </xf>
    <xf numFmtId="0" fontId="9" fillId="7" borderId="3" xfId="0" applyFont="1" applyFill="1" applyBorder="1" applyAlignment="1">
      <alignment vertical="center" wrapText="1"/>
    </xf>
    <xf numFmtId="0" fontId="0" fillId="6" borderId="1" xfId="0" applyFont="1" applyFill="1" applyBorder="1" applyAlignment="1">
      <alignment horizontal="center" wrapText="1"/>
    </xf>
    <xf numFmtId="0" fontId="0" fillId="7" borderId="1" xfId="0" applyFont="1" applyFill="1" applyBorder="1" applyAlignment="1">
      <alignment horizontal="center" wrapText="1"/>
    </xf>
    <xf numFmtId="0" fontId="0" fillId="6" borderId="15" xfId="0" applyFont="1" applyFill="1" applyBorder="1" applyAlignment="1">
      <alignment horizontal="center" wrapText="1"/>
    </xf>
    <xf numFmtId="0" fontId="2" fillId="7" borderId="15" xfId="0" applyFont="1" applyFill="1" applyBorder="1" applyAlignment="1">
      <alignment horizontal="center" vertical="center"/>
    </xf>
    <xf numFmtId="3" fontId="2" fillId="7" borderId="1" xfId="0" applyNumberFormat="1" applyFont="1" applyFill="1" applyBorder="1" applyAlignment="1">
      <alignment horizontal="center" vertical="center"/>
    </xf>
    <xf numFmtId="3" fontId="2" fillId="7" borderId="15"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0" xfId="0" applyFont="1" applyFill="1" applyBorder="1" applyAlignment="1">
      <alignment horizontal="center" vertical="center" wrapText="1"/>
    </xf>
    <xf numFmtId="0" fontId="9" fillId="7" borderId="11" xfId="0" applyFont="1" applyFill="1" applyBorder="1" applyAlignment="1">
      <alignment vertical="center" wrapText="1"/>
    </xf>
    <xf numFmtId="0" fontId="0" fillId="6" borderId="10" xfId="0" applyFont="1" applyFill="1" applyBorder="1" applyAlignment="1">
      <alignment horizontal="center" wrapText="1"/>
    </xf>
    <xf numFmtId="0" fontId="0" fillId="7" borderId="10" xfId="0" applyFont="1" applyFill="1" applyBorder="1" applyAlignment="1">
      <alignment horizontal="center" wrapText="1"/>
    </xf>
    <xf numFmtId="0" fontId="0" fillId="6" borderId="13" xfId="0" applyFont="1" applyFill="1" applyBorder="1" applyAlignment="1">
      <alignment horizontal="center" wrapText="1"/>
    </xf>
    <xf numFmtId="0" fontId="0" fillId="7" borderId="13" xfId="0" applyFont="1" applyFill="1" applyBorder="1" applyAlignment="1">
      <alignment horizontal="center" vertical="center" wrapText="1"/>
    </xf>
    <xf numFmtId="0" fontId="2" fillId="6" borderId="0" xfId="0" applyFont="1" applyFill="1" applyAlignment="1">
      <alignment horizontal="center" vertical="center"/>
    </xf>
    <xf numFmtId="0" fontId="2" fillId="7" borderId="15" xfId="0" applyFont="1" applyFill="1" applyBorder="1" applyAlignment="1">
      <alignment horizontal="center" vertical="center"/>
    </xf>
    <xf numFmtId="0" fontId="0" fillId="7" borderId="7" xfId="0" applyFont="1" applyFill="1" applyBorder="1" applyAlignment="1">
      <alignment horizontal="center" vertical="center" wrapText="1"/>
    </xf>
    <xf numFmtId="0" fontId="9" fillId="7" borderId="9" xfId="0" applyFont="1" applyFill="1" applyBorder="1" applyAlignment="1">
      <alignment vertical="center" wrapText="1"/>
    </xf>
    <xf numFmtId="0" fontId="0" fillId="6" borderId="7" xfId="0" applyFont="1" applyFill="1" applyBorder="1" applyAlignment="1">
      <alignment horizontal="center" wrapText="1"/>
    </xf>
    <xf numFmtId="0" fontId="0" fillId="7" borderId="7" xfId="0" applyFont="1" applyFill="1" applyBorder="1" applyAlignment="1">
      <alignment horizontal="center" wrapText="1"/>
    </xf>
    <xf numFmtId="0" fontId="0" fillId="6" borderId="14" xfId="0" applyFont="1" applyFill="1" applyBorder="1" applyAlignment="1">
      <alignment horizontal="center" wrapText="1"/>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7" borderId="15" xfId="0" applyFont="1" applyFill="1" applyBorder="1" applyAlignment="1">
      <alignment horizontal="center"/>
    </xf>
    <xf numFmtId="0" fontId="0" fillId="7" borderId="4" xfId="0" applyFont="1" applyFill="1" applyBorder="1" applyAlignment="1">
      <alignment horizontal="center" vertical="center" wrapText="1"/>
    </xf>
    <xf numFmtId="0" fontId="9" fillId="7" borderId="6" xfId="0" applyFont="1" applyFill="1" applyBorder="1" applyAlignment="1">
      <alignment vertical="center" wrapText="1"/>
    </xf>
    <xf numFmtId="0" fontId="0" fillId="6" borderId="4" xfId="0" applyFont="1" applyFill="1" applyBorder="1" applyAlignment="1">
      <alignment horizontal="center" wrapText="1"/>
    </xf>
    <xf numFmtId="0" fontId="0" fillId="7" borderId="4" xfId="0" applyFont="1" applyFill="1" applyBorder="1" applyAlignment="1">
      <alignment horizontal="center" wrapText="1"/>
    </xf>
    <xf numFmtId="0" fontId="0" fillId="6" borderId="12" xfId="0" applyFont="1" applyFill="1" applyBorder="1" applyAlignment="1">
      <alignment horizontal="center" wrapText="1"/>
    </xf>
    <xf numFmtId="3" fontId="2" fillId="12" borderId="12" xfId="0" applyNumberFormat="1" applyFont="1" applyFill="1" applyBorder="1" applyAlignment="1">
      <alignment horizontal="center" vertical="center"/>
    </xf>
    <xf numFmtId="0" fontId="2" fillId="12" borderId="13" xfId="0" applyFont="1" applyFill="1" applyBorder="1" applyAlignment="1">
      <alignment horizontal="center"/>
    </xf>
    <xf numFmtId="0" fontId="2" fillId="12" borderId="12" xfId="0" applyFont="1" applyFill="1" applyBorder="1" applyAlignment="1">
      <alignment horizontal="center"/>
    </xf>
    <xf numFmtId="0" fontId="2" fillId="12" borderId="14" xfId="0" applyFont="1" applyFill="1" applyBorder="1" applyAlignment="1">
      <alignment horizontal="center"/>
    </xf>
    <xf numFmtId="0" fontId="2" fillId="12" borderId="14" xfId="0" applyFont="1" applyFill="1" applyBorder="1" applyAlignment="1">
      <alignment horizontal="center" vertical="center"/>
    </xf>
    <xf numFmtId="0" fontId="0" fillId="6" borderId="10" xfId="0" applyFont="1" applyFill="1" applyBorder="1" applyAlignment="1">
      <alignment horizontal="left"/>
    </xf>
    <xf numFmtId="0" fontId="10" fillId="6" borderId="11" xfId="0" applyFont="1" applyFill="1" applyBorder="1" applyAlignment="1">
      <alignment horizontal="center"/>
    </xf>
    <xf numFmtId="0" fontId="2" fillId="6" borderId="10" xfId="0" applyFont="1" applyFill="1" applyBorder="1" applyAlignment="1">
      <alignment horizontal="left" vertical="center"/>
    </xf>
    <xf numFmtId="9" fontId="2" fillId="0" borderId="0" xfId="0" applyNumberFormat="1" applyFont="1" applyAlignment="1">
      <alignment horizontal="center" vertical="center"/>
    </xf>
    <xf numFmtId="0" fontId="2" fillId="6" borderId="7" xfId="0" applyFont="1" applyFill="1" applyBorder="1" applyAlignment="1">
      <alignment horizontal="left" vertical="center"/>
    </xf>
    <xf numFmtId="164" fontId="2" fillId="7" borderId="12" xfId="0" applyNumberFormat="1" applyFont="1" applyFill="1" applyBorder="1" applyAlignment="1"/>
    <xf numFmtId="164" fontId="2" fillId="6" borderId="12" xfId="0" applyNumberFormat="1" applyFont="1" applyFill="1" applyBorder="1" applyAlignment="1">
      <alignment horizontal="center"/>
    </xf>
    <xf numFmtId="9" fontId="2" fillId="7" borderId="1" xfId="0" applyNumberFormat="1" applyFont="1" applyFill="1" applyBorder="1" applyAlignment="1">
      <alignment horizontal="center"/>
    </xf>
    <xf numFmtId="9" fontId="2" fillId="7" borderId="2" xfId="0" applyNumberFormat="1" applyFont="1" applyFill="1" applyBorder="1" applyAlignment="1">
      <alignment horizontal="center"/>
    </xf>
    <xf numFmtId="9" fontId="2" fillId="7" borderId="3" xfId="0" applyNumberFormat="1" applyFont="1" applyFill="1" applyBorder="1" applyAlignment="1">
      <alignment horizontal="center"/>
    </xf>
    <xf numFmtId="164" fontId="2" fillId="7" borderId="13" xfId="0" applyNumberFormat="1" applyFont="1" applyFill="1" applyBorder="1" applyAlignment="1"/>
    <xf numFmtId="171"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165" fontId="2" fillId="6" borderId="14" xfId="0" applyNumberFormat="1"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164" fontId="2" fillId="7" borderId="14" xfId="0" applyNumberFormat="1" applyFont="1" applyFill="1" applyBorder="1" applyAlignment="1"/>
    <xf numFmtId="165" fontId="2" fillId="7" borderId="12" xfId="0" applyNumberFormat="1" applyFont="1" applyFill="1" applyBorder="1" applyAlignment="1"/>
    <xf numFmtId="165" fontId="2" fillId="7" borderId="13" xfId="0" applyNumberFormat="1" applyFont="1" applyFill="1" applyBorder="1" applyAlignment="1"/>
    <xf numFmtId="165" fontId="2" fillId="7" borderId="14" xfId="0" applyNumberFormat="1" applyFont="1" applyFill="1" applyBorder="1" applyAlignment="1"/>
    <xf numFmtId="0" fontId="2" fillId="6" borderId="5" xfId="0" applyFont="1" applyFill="1" applyBorder="1"/>
    <xf numFmtId="0" fontId="2" fillId="6" borderId="6" xfId="0" applyFont="1" applyFill="1" applyBorder="1"/>
    <xf numFmtId="0" fontId="2" fillId="6" borderId="0" xfId="0" applyFont="1" applyFill="1"/>
    <xf numFmtId="0" fontId="2" fillId="6" borderId="11" xfId="0" applyFont="1" applyFill="1" applyBorder="1"/>
    <xf numFmtId="9" fontId="2" fillId="0" borderId="0" xfId="0" applyNumberFormat="1" applyFont="1" applyAlignment="1">
      <alignment horizontal="center"/>
    </xf>
    <xf numFmtId="172" fontId="2" fillId="0" borderId="0" xfId="0" applyNumberFormat="1" applyFont="1" applyAlignment="1">
      <alignment horizontal="center"/>
    </xf>
    <xf numFmtId="0" fontId="2" fillId="6" borderId="8" xfId="0" applyFont="1" applyFill="1" applyBorder="1"/>
    <xf numFmtId="0" fontId="2" fillId="6" borderId="9" xfId="0" applyFont="1" applyFill="1" applyBorder="1"/>
    <xf numFmtId="3" fontId="2" fillId="6" borderId="13" xfId="0" applyNumberFormat="1" applyFont="1" applyFill="1" applyBorder="1" applyAlignment="1">
      <alignment horizontal="center"/>
    </xf>
    <xf numFmtId="3" fontId="2" fillId="6" borderId="14" xfId="0" applyNumberFormat="1" applyFont="1" applyFill="1" applyBorder="1" applyAlignment="1">
      <alignment horizontal="center"/>
    </xf>
    <xf numFmtId="0" fontId="2" fillId="6" borderId="11" xfId="0" applyFont="1" applyFill="1" applyBorder="1" applyAlignment="1">
      <alignment horizontal="center"/>
    </xf>
    <xf numFmtId="0" fontId="2" fillId="0" borderId="0" xfId="0" applyFont="1" applyAlignment="1">
      <alignment horizontal="left"/>
    </xf>
    <xf numFmtId="9" fontId="2" fillId="7" borderId="12" xfId="0" applyNumberFormat="1" applyFont="1" applyFill="1" applyBorder="1" applyAlignment="1">
      <alignment horizontal="center"/>
    </xf>
    <xf numFmtId="9" fontId="2" fillId="7" borderId="14" xfId="0" applyNumberFormat="1" applyFont="1" applyFill="1" applyBorder="1" applyAlignment="1">
      <alignment horizontal="center"/>
    </xf>
    <xf numFmtId="9" fontId="2" fillId="6" borderId="14" xfId="0" applyNumberFormat="1" applyFont="1" applyFill="1" applyBorder="1"/>
    <xf numFmtId="0" fontId="2" fillId="3" borderId="13" xfId="0" applyFont="1" applyFill="1" applyBorder="1" applyAlignment="1">
      <alignment horizontal="center" vertical="center"/>
    </xf>
    <xf numFmtId="0" fontId="10" fillId="6" borderId="13" xfId="0" applyFont="1" applyFill="1" applyBorder="1"/>
    <xf numFmtId="0" fontId="2" fillId="3" borderId="14" xfId="0" applyFont="1" applyFill="1" applyBorder="1" applyAlignment="1">
      <alignment horizontal="center" vertical="center"/>
    </xf>
    <xf numFmtId="0" fontId="10" fillId="6" borderId="14" xfId="0" applyFont="1" applyFill="1" applyBorder="1"/>
    <xf numFmtId="0" fontId="2" fillId="6" borderId="15" xfId="0" applyFont="1" applyFill="1" applyBorder="1"/>
    <xf numFmtId="1" fontId="2" fillId="6" borderId="12" xfId="0" applyNumberFormat="1" applyFont="1" applyFill="1" applyBorder="1"/>
    <xf numFmtId="1" fontId="2" fillId="6" borderId="13" xfId="0" applyNumberFormat="1" applyFont="1" applyFill="1" applyBorder="1"/>
    <xf numFmtId="4" fontId="2" fillId="0" borderId="0" xfId="0" applyNumberFormat="1" applyFont="1" applyAlignment="1"/>
    <xf numFmtId="1" fontId="2" fillId="6" borderId="14" xfId="0" applyNumberFormat="1" applyFont="1" applyFill="1" applyBorder="1"/>
    <xf numFmtId="0" fontId="2" fillId="3" borderId="15" xfId="0" applyFont="1" applyFill="1" applyBorder="1" applyAlignment="1">
      <alignment horizontal="center"/>
    </xf>
    <xf numFmtId="9" fontId="2" fillId="6" borderId="14" xfId="0" applyNumberFormat="1" applyFont="1" applyFill="1" applyBorder="1" applyAlignment="1">
      <alignment horizontal="center"/>
    </xf>
    <xf numFmtId="0" fontId="2" fillId="6" borderId="13" xfId="0" applyFont="1" applyFill="1" applyBorder="1" applyAlignment="1"/>
    <xf numFmtId="0" fontId="2" fillId="6" borderId="14" xfId="0" applyFont="1" applyFill="1" applyBorder="1" applyAlignment="1">
      <alignment horizontal="left"/>
    </xf>
    <xf numFmtId="0" fontId="2" fillId="7" borderId="12" xfId="0" applyFont="1" applyFill="1" applyBorder="1" applyAlignment="1">
      <alignment horizontal="left"/>
    </xf>
    <xf numFmtId="0" fontId="2" fillId="7" borderId="12" xfId="0" applyFont="1" applyFill="1" applyBorder="1" applyAlignment="1">
      <alignment horizontal="right"/>
    </xf>
    <xf numFmtId="0" fontId="2" fillId="7" borderId="13" xfId="0" applyFont="1" applyFill="1" applyBorder="1" applyAlignment="1">
      <alignment horizontal="left"/>
    </xf>
    <xf numFmtId="0" fontId="2" fillId="7" borderId="13" xfId="0" applyFont="1" applyFill="1" applyBorder="1" applyAlignment="1">
      <alignment horizontal="right"/>
    </xf>
    <xf numFmtId="0" fontId="2" fillId="7" borderId="14" xfId="0" applyFont="1" applyFill="1" applyBorder="1" applyAlignment="1">
      <alignment horizontal="left"/>
    </xf>
    <xf numFmtId="0" fontId="2" fillId="7" borderId="14" xfId="0" applyFont="1" applyFill="1" applyBorder="1" applyAlignment="1">
      <alignment horizontal="right"/>
    </xf>
    <xf numFmtId="0" fontId="2" fillId="0" borderId="5" xfId="0" applyFont="1" applyBorder="1"/>
    <xf numFmtId="0" fontId="2" fillId="0" borderId="6" xfId="0" applyFont="1" applyBorder="1"/>
    <xf numFmtId="0" fontId="2" fillId="0" borderId="8" xfId="0" applyFont="1" applyBorder="1"/>
    <xf numFmtId="0" fontId="2" fillId="0" borderId="9" xfId="0" applyFont="1" applyBorder="1"/>
    <xf numFmtId="0" fontId="2" fillId="0" borderId="11" xfId="0" applyFont="1" applyBorder="1"/>
    <xf numFmtId="0" fontId="0" fillId="0" borderId="0" xfId="0" applyFont="1" applyAlignment="1"/>
    <xf numFmtId="0" fontId="2" fillId="0" borderId="10" xfId="0" applyFont="1" applyBorder="1"/>
    <xf numFmtId="0" fontId="2" fillId="0" borderId="10" xfId="0" applyFont="1" applyBorder="1" applyAlignment="1">
      <alignment horizontal="center"/>
    </xf>
    <xf numFmtId="0" fontId="2" fillId="6" borderId="4" xfId="0" applyFont="1" applyFill="1" applyBorder="1" applyAlignment="1"/>
    <xf numFmtId="0" fontId="2" fillId="6" borderId="10" xfId="0" applyFont="1" applyFill="1" applyBorder="1" applyAlignment="1"/>
    <xf numFmtId="0" fontId="2" fillId="6" borderId="7" xfId="0" applyFont="1" applyFill="1" applyBorder="1" applyAlignment="1"/>
    <xf numFmtId="0" fontId="2" fillId="0" borderId="1" xfId="0" applyFont="1" applyBorder="1" applyAlignment="1">
      <alignment vertical="center" wrapText="1"/>
    </xf>
    <xf numFmtId="0" fontId="2" fillId="0" borderId="2" xfId="0" applyFont="1" applyBorder="1"/>
    <xf numFmtId="0" fontId="2" fillId="0" borderId="3" xfId="0" applyFont="1" applyBorder="1"/>
    <xf numFmtId="0" fontId="3" fillId="3" borderId="4" xfId="0" applyFont="1" applyFill="1" applyBorder="1" applyAlignment="1">
      <alignment horizontal="center" vertical="center"/>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2" borderId="1" xfId="0" applyFont="1" applyFill="1" applyBorder="1" applyAlignment="1">
      <alignment horizontal="center"/>
    </xf>
    <xf numFmtId="0" fontId="2" fillId="0" borderId="1" xfId="0" applyFont="1" applyBorder="1" applyAlignment="1">
      <alignment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0" xfId="0" applyFont="1" applyFill="1" applyBorder="1" applyAlignment="1">
      <alignment vertical="center"/>
    </xf>
    <xf numFmtId="0" fontId="2" fillId="0" borderId="11" xfId="0" applyFont="1" applyBorder="1"/>
    <xf numFmtId="0" fontId="2" fillId="3" borderId="7" xfId="0" applyFont="1" applyFill="1" applyBorder="1" applyAlignment="1">
      <alignment vertical="center"/>
    </xf>
    <xf numFmtId="0" fontId="2" fillId="3" borderId="10" xfId="0" applyFont="1" applyFill="1" applyBorder="1" applyAlignment="1"/>
    <xf numFmtId="0" fontId="2" fillId="3" borderId="10" xfId="0" applyFont="1" applyFill="1" applyBorder="1" applyAlignment="1">
      <alignment horizontal="center" vertical="center"/>
    </xf>
    <xf numFmtId="0" fontId="5" fillId="2" borderId="1" xfId="0" applyFont="1" applyFill="1" applyBorder="1" applyAlignment="1">
      <alignment horizontal="center" vertical="center"/>
    </xf>
    <xf numFmtId="0" fontId="2" fillId="3" borderId="7" xfId="0" applyFont="1" applyFill="1" applyBorder="1" applyAlignment="1">
      <alignment horizontal="left" vertical="center"/>
    </xf>
    <xf numFmtId="0" fontId="2" fillId="6" borderId="7"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4" xfId="0" applyFont="1" applyFill="1" applyBorder="1" applyAlignment="1">
      <alignment vertical="center"/>
    </xf>
    <xf numFmtId="0" fontId="2" fillId="3" borderId="10" xfId="0" applyFont="1" applyFill="1" applyBorder="1" applyAlignment="1">
      <alignment horizontal="left" vertical="center"/>
    </xf>
    <xf numFmtId="0" fontId="2" fillId="4" borderId="4" xfId="0" applyFont="1" applyFill="1" applyBorder="1" applyAlignment="1">
      <alignment horizontal="center" vertical="center"/>
    </xf>
    <xf numFmtId="0" fontId="2" fillId="3" borderId="4" xfId="0" applyFont="1" applyFill="1" applyBorder="1" applyAlignment="1">
      <alignment horizontal="left" vertical="center"/>
    </xf>
    <xf numFmtId="0" fontId="2" fillId="6"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xf numFmtId="0" fontId="2" fillId="0" borderId="10" xfId="0" applyFont="1" applyBorder="1"/>
    <xf numFmtId="0" fontId="2" fillId="3" borderId="1" xfId="0" applyFont="1" applyFill="1" applyBorder="1" applyAlignment="1">
      <alignment horizontal="center" vertical="center"/>
    </xf>
    <xf numFmtId="0" fontId="2" fillId="3" borderId="10" xfId="0" applyFont="1" applyFill="1" applyBorder="1" applyAlignment="1">
      <alignment vertical="center" wrapText="1"/>
    </xf>
    <xf numFmtId="0" fontId="2" fillId="0" borderId="14" xfId="0" applyFont="1" applyBorder="1"/>
    <xf numFmtId="0" fontId="0" fillId="0" borderId="0" xfId="0" applyFont="1" applyAlignment="1"/>
    <xf numFmtId="0" fontId="4" fillId="2" borderId="1" xfId="0" applyFont="1" applyFill="1" applyBorder="1" applyAlignment="1">
      <alignment horizontal="center" vertical="center"/>
    </xf>
    <xf numFmtId="0" fontId="2" fillId="9" borderId="4"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xf numFmtId="0" fontId="2" fillId="9" borderId="4" xfId="0" applyFont="1" applyFill="1" applyBorder="1" applyAlignment="1">
      <alignment horizontal="center" vertical="center" wrapText="1"/>
    </xf>
    <xf numFmtId="0" fontId="6" fillId="2" borderId="1" xfId="0" applyFont="1" applyFill="1" applyBorder="1" applyAlignment="1">
      <alignment horizontal="center"/>
    </xf>
    <xf numFmtId="0" fontId="2" fillId="3" borderId="4" xfId="0" applyFont="1" applyFill="1" applyBorder="1" applyAlignment="1">
      <alignment horizontal="center"/>
    </xf>
    <xf numFmtId="0" fontId="5" fillId="2" borderId="1" xfId="0" applyFont="1" applyFill="1" applyBorder="1" applyAlignment="1">
      <alignment horizontal="center"/>
    </xf>
    <xf numFmtId="0" fontId="9" fillId="3" borderId="10" xfId="0" applyFont="1" applyFill="1" applyBorder="1"/>
    <xf numFmtId="0" fontId="9" fillId="3" borderId="7" xfId="0" applyFont="1" applyFill="1" applyBorder="1"/>
    <xf numFmtId="0" fontId="2" fillId="3" borderId="7" xfId="0" applyFont="1" applyFill="1" applyBorder="1" applyAlignment="1"/>
    <xf numFmtId="0" fontId="2" fillId="0" borderId="1" xfId="0" applyFont="1" applyBorder="1" applyAlignment="1">
      <alignment horizontal="left" vertical="center"/>
    </xf>
    <xf numFmtId="0" fontId="4" fillId="2" borderId="4" xfId="0" applyFont="1" applyFill="1" applyBorder="1" applyAlignment="1">
      <alignment horizontal="center" vertical="center"/>
    </xf>
    <xf numFmtId="0" fontId="0" fillId="9" borderId="4" xfId="0" applyFont="1" applyFill="1" applyBorder="1" applyAlignment="1">
      <alignment vertical="center"/>
    </xf>
    <xf numFmtId="0" fontId="0" fillId="3" borderId="4" xfId="0" applyFont="1" applyFill="1" applyBorder="1"/>
    <xf numFmtId="0" fontId="9" fillId="3" borderId="4" xfId="0" applyFont="1" applyFill="1" applyBorder="1"/>
    <xf numFmtId="0" fontId="6" fillId="11" borderId="1" xfId="0" applyFont="1" applyFill="1" applyBorder="1" applyAlignment="1">
      <alignment horizontal="center"/>
    </xf>
    <xf numFmtId="0" fontId="12" fillId="11" borderId="1" xfId="0" applyFont="1" applyFill="1" applyBorder="1" applyAlignment="1">
      <alignment horizontal="center" wrapText="1"/>
    </xf>
    <xf numFmtId="0" fontId="11" fillId="2" borderId="1" xfId="0" applyFont="1" applyFill="1" applyBorder="1" applyAlignment="1">
      <alignment horizontal="center" vertical="center"/>
    </xf>
    <xf numFmtId="0" fontId="2" fillId="3" borderId="1" xfId="0" applyFont="1" applyFill="1" applyBorder="1" applyAlignment="1">
      <alignment horizontal="center" wrapText="1"/>
    </xf>
    <xf numFmtId="0" fontId="2" fillId="4" borderId="1" xfId="0" applyFont="1" applyFill="1" applyBorder="1" applyAlignment="1">
      <alignment horizontal="center"/>
    </xf>
    <xf numFmtId="0" fontId="12" fillId="11" borderId="1" xfId="0" applyFont="1" applyFill="1" applyBorder="1" applyAlignment="1">
      <alignment horizontal="center"/>
    </xf>
    <xf numFmtId="0" fontId="2" fillId="3" borderId="7" xfId="0" applyFont="1" applyFill="1" applyBorder="1" applyAlignment="1">
      <alignment horizontal="center" vertical="center" wrapText="1"/>
    </xf>
    <xf numFmtId="3" fontId="6" fillId="11" borderId="7" xfId="0" applyNumberFormat="1" applyFont="1" applyFill="1" applyBorder="1" applyAlignment="1">
      <alignment horizontal="center" vertical="center"/>
    </xf>
    <xf numFmtId="3" fontId="7" fillId="6" borderId="1" xfId="0" applyNumberFormat="1" applyFont="1" applyFill="1" applyBorder="1" applyAlignment="1">
      <alignment horizontal="center" vertical="center"/>
    </xf>
    <xf numFmtId="168" fontId="6" fillId="11" borderId="4" xfId="0" applyNumberFormat="1" applyFont="1" applyFill="1" applyBorder="1" applyAlignment="1">
      <alignment horizontal="center" vertical="center"/>
    </xf>
    <xf numFmtId="168" fontId="6" fillId="11" borderId="10" xfId="0" applyNumberFormat="1" applyFont="1" applyFill="1" applyBorder="1" applyAlignment="1">
      <alignment horizontal="center" vertical="center"/>
    </xf>
    <xf numFmtId="3" fontId="6" fillId="11" borderId="4" xfId="0" applyNumberFormat="1" applyFont="1" applyFill="1" applyBorder="1" applyAlignment="1">
      <alignment horizontal="center" vertical="center"/>
    </xf>
    <xf numFmtId="0" fontId="2" fillId="3" borderId="10" xfId="0" applyFont="1" applyFill="1" applyBorder="1" applyAlignment="1">
      <alignment horizontal="center" vertical="center" wrapText="1"/>
    </xf>
    <xf numFmtId="3" fontId="6" fillId="11" borderId="10" xfId="0" applyNumberFormat="1" applyFont="1" applyFill="1" applyBorder="1" applyAlignment="1">
      <alignment horizontal="center" vertical="center"/>
    </xf>
    <xf numFmtId="0" fontId="2" fillId="6" borderId="10" xfId="0" applyFont="1" applyFill="1" applyBorder="1" applyAlignment="1">
      <alignment horizontal="center"/>
    </xf>
    <xf numFmtId="0" fontId="2" fillId="6" borderId="7" xfId="0" applyFont="1" applyFill="1" applyBorder="1" applyAlignment="1">
      <alignment horizontal="center"/>
    </xf>
    <xf numFmtId="0" fontId="2" fillId="6" borderId="1" xfId="0" applyFont="1" applyFill="1" applyBorder="1" applyAlignment="1">
      <alignment horizontal="center"/>
    </xf>
    <xf numFmtId="0" fontId="2" fillId="7" borderId="10" xfId="0" applyFont="1" applyFill="1" applyBorder="1" applyAlignment="1"/>
    <xf numFmtId="0" fontId="2" fillId="7" borderId="7" xfId="0" applyFont="1" applyFill="1" applyBorder="1" applyAlignment="1"/>
    <xf numFmtId="0" fontId="2" fillId="6" borderId="10" xfId="0" applyFont="1" applyFill="1" applyBorder="1" applyAlignment="1"/>
    <xf numFmtId="0" fontId="2" fillId="7" borderId="4" xfId="0" applyFont="1" applyFill="1" applyBorder="1" applyAlignment="1"/>
    <xf numFmtId="0" fontId="2" fillId="7" borderId="10" xfId="0" applyFont="1" applyFill="1" applyBorder="1"/>
    <xf numFmtId="0" fontId="2" fillId="7" borderId="7" xfId="0" applyFont="1" applyFill="1" applyBorder="1"/>
    <xf numFmtId="0" fontId="2" fillId="7" borderId="4" xfId="0" applyFont="1" applyFill="1" applyBorder="1"/>
    <xf numFmtId="0" fontId="8" fillId="6" borderId="1" xfId="0" applyFont="1" applyFill="1" applyBorder="1" applyAlignment="1">
      <alignment horizontal="center"/>
    </xf>
    <xf numFmtId="0" fontId="8" fillId="3" borderId="1" xfId="0" applyFont="1" applyFill="1" applyBorder="1" applyAlignment="1">
      <alignment horizontal="center"/>
    </xf>
    <xf numFmtId="1" fontId="8" fillId="6" borderId="1" xfId="0" applyNumberFormat="1" applyFont="1" applyFill="1" applyBorder="1" applyAlignment="1">
      <alignment horizontal="center"/>
    </xf>
    <xf numFmtId="0" fontId="6" fillId="2" borderId="4" xfId="0" applyFont="1" applyFill="1" applyBorder="1" applyAlignment="1">
      <alignment horizontal="center"/>
    </xf>
    <xf numFmtId="1" fontId="2" fillId="6" borderId="7" xfId="0" applyNumberFormat="1" applyFont="1" applyFill="1" applyBorder="1" applyAlignment="1">
      <alignment horizontal="center"/>
    </xf>
    <xf numFmtId="0" fontId="6" fillId="2" borderId="7" xfId="0" applyFont="1" applyFill="1" applyBorder="1" applyAlignment="1">
      <alignment horizontal="center"/>
    </xf>
    <xf numFmtId="0" fontId="2" fillId="6" borderId="4" xfId="0" applyFont="1" applyFill="1" applyBorder="1" applyAlignment="1">
      <alignment horizontal="center"/>
    </xf>
    <xf numFmtId="0" fontId="2" fillId="3" borderId="1" xfId="0" applyFont="1" applyFill="1" applyBorder="1" applyAlignment="1">
      <alignment horizontal="left"/>
    </xf>
    <xf numFmtId="0" fontId="5" fillId="2" borderId="4" xfId="0" applyFont="1" applyFill="1" applyBorder="1" applyAlignment="1">
      <alignment horizontal="center" vertical="center"/>
    </xf>
    <xf numFmtId="0" fontId="6" fillId="2" borderId="2" xfId="0" applyFont="1" applyFill="1" applyBorder="1" applyAlignment="1">
      <alignment horizontal="center"/>
    </xf>
    <xf numFmtId="0" fontId="2" fillId="7" borderId="0" xfId="0" applyFont="1" applyFill="1" applyAlignment="1"/>
    <xf numFmtId="0" fontId="2" fillId="7" borderId="8" xfId="0" applyFont="1" applyFill="1" applyBorder="1" applyAlignment="1"/>
    <xf numFmtId="0" fontId="2" fillId="7" borderId="5" xfId="0" applyFont="1" applyFill="1" applyBorder="1" applyAlignment="1"/>
    <xf numFmtId="0" fontId="0" fillId="7" borderId="1" xfId="0" applyFont="1" applyFill="1" applyBorder="1" applyAlignment="1">
      <alignment vertical="center" wrapText="1"/>
    </xf>
    <xf numFmtId="0" fontId="0" fillId="7" borderId="10" xfId="0" applyFont="1" applyFill="1" applyBorder="1" applyAlignment="1">
      <alignment vertical="center" wrapText="1"/>
    </xf>
    <xf numFmtId="0" fontId="2" fillId="7" borderId="4" xfId="0" applyFont="1" applyFill="1" applyBorder="1" applyAlignment="1">
      <alignment vertical="center"/>
    </xf>
    <xf numFmtId="0" fontId="2" fillId="7" borderId="7" xfId="0" applyFont="1" applyFill="1" applyBorder="1" applyAlignment="1">
      <alignment vertical="center"/>
    </xf>
    <xf numFmtId="0" fontId="2" fillId="7" borderId="10" xfId="0" applyFont="1" applyFill="1" applyBorder="1" applyAlignment="1">
      <alignment vertical="center"/>
    </xf>
    <xf numFmtId="0" fontId="11" fillId="2" borderId="4" xfId="0" applyFont="1" applyFill="1" applyBorder="1" applyAlignment="1">
      <alignment horizontal="center" vertical="center" textRotation="45"/>
    </xf>
    <xf numFmtId="0" fontId="2" fillId="3" borderId="7" xfId="0" applyFont="1" applyFill="1" applyBorder="1" applyAlignment="1">
      <alignment vertical="center" wrapText="1"/>
    </xf>
    <xf numFmtId="0" fontId="11" fillId="2" borderId="4" xfId="0" applyFont="1" applyFill="1" applyBorder="1" applyAlignment="1">
      <alignment horizontal="center" vertical="center"/>
    </xf>
    <xf numFmtId="3" fontId="7" fillId="6" borderId="12" xfId="0" applyNumberFormat="1" applyFont="1" applyFill="1" applyBorder="1" applyAlignment="1">
      <alignment horizontal="center" vertical="center"/>
    </xf>
    <xf numFmtId="0" fontId="11" fillId="2" borderId="4" xfId="0" applyFont="1" applyFill="1" applyBorder="1" applyAlignment="1">
      <alignment horizontal="center" vertical="center" wrapText="1"/>
    </xf>
    <xf numFmtId="0" fontId="11" fillId="2" borderId="4" xfId="0" applyFont="1" applyFill="1" applyBorder="1" applyAlignment="1">
      <alignment horizontal="center" vertical="center" textRotation="45" wrapText="1"/>
    </xf>
    <xf numFmtId="0" fontId="2" fillId="3" borderId="10" xfId="0" applyFont="1" applyFill="1" applyBorder="1"/>
    <xf numFmtId="0" fontId="2" fillId="3" borderId="4" xfId="0" applyFont="1" applyFill="1" applyBorder="1"/>
    <xf numFmtId="0" fontId="2" fillId="3" borderId="7" xfId="0" applyFont="1" applyFill="1" applyBorder="1"/>
    <xf numFmtId="0" fontId="2" fillId="3" borderId="10"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7" borderId="7" xfId="0" applyFont="1" applyFill="1" applyBorder="1" applyAlignment="1">
      <alignment vertical="center" wrapText="1"/>
    </xf>
    <xf numFmtId="0" fontId="6" fillId="2" borderId="12" xfId="0" applyFont="1" applyFill="1" applyBorder="1" applyAlignment="1">
      <alignment horizontal="center" vertical="center" wrapText="1"/>
    </xf>
    <xf numFmtId="0" fontId="6" fillId="2" borderId="12" xfId="0" applyFont="1" applyFill="1" applyBorder="1" applyAlignment="1">
      <alignment horizontal="center" vertical="center"/>
    </xf>
    <xf numFmtId="3" fontId="2" fillId="6" borderId="12" xfId="0" applyNumberFormat="1" applyFont="1" applyFill="1" applyBorder="1" applyAlignment="1">
      <alignment horizontal="center" vertical="center"/>
    </xf>
    <xf numFmtId="0" fontId="2" fillId="3" borderId="10" xfId="0" applyFont="1" applyFill="1" applyBorder="1" applyAlignment="1">
      <alignment horizontal="center"/>
    </xf>
    <xf numFmtId="0" fontId="6" fillId="2" borderId="1" xfId="0" applyFont="1" applyFill="1" applyBorder="1" applyAlignment="1">
      <alignment horizontal="center" vertical="center" wrapText="1"/>
    </xf>
    <xf numFmtId="0" fontId="2" fillId="3" borderId="7" xfId="0" applyFont="1" applyFill="1" applyBorder="1" applyAlignment="1">
      <alignment horizontal="center"/>
    </xf>
    <xf numFmtId="0" fontId="2" fillId="6" borderId="10" xfId="0" applyFont="1" applyFill="1" applyBorder="1"/>
    <xf numFmtId="0" fontId="6" fillId="11"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6" borderId="4" xfId="0" applyFont="1" applyFill="1" applyBorder="1"/>
    <xf numFmtId="0" fontId="2" fillId="7" borderId="10" xfId="0" applyFont="1" applyFill="1" applyBorder="1" applyAlignment="1">
      <alignment horizontal="center"/>
    </xf>
    <xf numFmtId="0" fontId="2" fillId="7" borderId="7" xfId="0" applyFont="1" applyFill="1" applyBorder="1" applyAlignment="1">
      <alignment horizontal="center"/>
    </xf>
    <xf numFmtId="0" fontId="2" fillId="7" borderId="4" xfId="0" applyFont="1" applyFill="1" applyBorder="1" applyAlignment="1">
      <alignment horizontal="center"/>
    </xf>
    <xf numFmtId="3" fontId="2" fillId="6" borderId="10" xfId="0" applyNumberFormat="1" applyFont="1" applyFill="1" applyBorder="1" applyAlignment="1">
      <alignment horizontal="center"/>
    </xf>
    <xf numFmtId="0" fontId="2" fillId="6" borderId="7" xfId="0" applyFont="1" applyFill="1" applyBorder="1"/>
    <xf numFmtId="3" fontId="2" fillId="6" borderId="4" xfId="0" applyNumberFormat="1" applyFont="1" applyFill="1" applyBorder="1" applyAlignment="1">
      <alignment horizontal="center"/>
    </xf>
    <xf numFmtId="0" fontId="2" fillId="6" borderId="12" xfId="0" applyFont="1" applyFill="1" applyBorder="1" applyAlignment="1">
      <alignment horizontal="center" vertical="center"/>
    </xf>
    <xf numFmtId="0" fontId="2" fillId="6" borderId="2" xfId="0" applyFont="1" applyFill="1" applyBorder="1" applyAlignment="1">
      <alignment horizontal="center"/>
    </xf>
    <xf numFmtId="9"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0" fontId="2" fillId="3" borderId="4" xfId="0" applyFont="1" applyFill="1" applyBorder="1" applyAlignment="1">
      <alignment vertical="center" wrapText="1"/>
    </xf>
    <xf numFmtId="0" fontId="0" fillId="6" borderId="1" xfId="0" applyFont="1" applyFill="1" applyBorder="1" applyAlignment="1">
      <alignment horizontal="center"/>
    </xf>
    <xf numFmtId="3" fontId="2" fillId="6" borderId="1" xfId="0" applyNumberFormat="1" applyFont="1" applyFill="1" applyBorder="1" applyAlignment="1">
      <alignment horizontal="center"/>
    </xf>
    <xf numFmtId="3" fontId="2" fillId="6" borderId="7" xfId="0" applyNumberFormat="1" applyFont="1" applyFill="1" applyBorder="1" applyAlignment="1">
      <alignment horizontal="center"/>
    </xf>
    <xf numFmtId="0" fontId="6" fillId="2" borderId="1" xfId="0" applyFont="1" applyFill="1" applyBorder="1" applyAlignment="1"/>
    <xf numFmtId="0" fontId="2" fillId="7" borderId="4"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wrapText="1"/>
    </xf>
    <xf numFmtId="0" fontId="2" fillId="6" borderId="0" xfId="0" applyFont="1" applyFill="1" applyBorder="1" applyAlignment="1"/>
    <xf numFmtId="0" fontId="2" fillId="6" borderId="11" xfId="0" applyFont="1" applyFill="1" applyBorder="1" applyAlignment="1"/>
    <xf numFmtId="0" fontId="2" fillId="7" borderId="0" xfId="0" applyFont="1" applyFill="1" applyBorder="1" applyAlignment="1"/>
    <xf numFmtId="0" fontId="2" fillId="7" borderId="11" xfId="0" applyFont="1" applyFill="1" applyBorder="1" applyAlignment="1"/>
    <xf numFmtId="0" fontId="2" fillId="3" borderId="3" xfId="0" applyFont="1" applyFill="1" applyBorder="1" applyAlignment="1">
      <alignment horizontal="center"/>
    </xf>
    <xf numFmtId="0" fontId="6" fillId="2" borderId="3" xfId="0" applyFont="1" applyFill="1" applyBorder="1" applyAlignment="1">
      <alignment horizontal="center"/>
    </xf>
    <xf numFmtId="0" fontId="2" fillId="3" borderId="2" xfId="0" applyFont="1" applyFill="1" applyBorder="1" applyAlignment="1">
      <alignment horizontal="center"/>
    </xf>
    <xf numFmtId="0" fontId="2" fillId="7" borderId="9" xfId="0" applyFont="1" applyFill="1" applyBorder="1" applyAlignment="1"/>
    <xf numFmtId="0" fontId="2" fillId="7" borderId="6" xfId="0" applyFont="1" applyFill="1" applyBorder="1" applyAlignment="1"/>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4" xfId="0" applyFont="1" applyFill="1" applyBorder="1" applyAlignment="1">
      <alignment horizontal="center" vertical="center"/>
    </xf>
    <xf numFmtId="0" fontId="2" fillId="7" borderId="9" xfId="0" applyFont="1" applyFill="1" applyBorder="1"/>
    <xf numFmtId="0" fontId="2" fillId="7" borderId="11" xfId="0" applyFont="1" applyFill="1" applyBorder="1"/>
    <xf numFmtId="0" fontId="2" fillId="7" borderId="6" xfId="0" applyFont="1" applyFill="1" applyBorder="1"/>
    <xf numFmtId="0" fontId="2" fillId="6" borderId="3" xfId="0" applyFont="1" applyFill="1" applyBorder="1" applyAlignment="1">
      <alignment horizontal="center"/>
    </xf>
    <xf numFmtId="0" fontId="8" fillId="6" borderId="3" xfId="0" applyFont="1" applyFill="1" applyBorder="1" applyAlignment="1">
      <alignment horizontal="center"/>
    </xf>
    <xf numFmtId="0" fontId="2" fillId="3" borderId="2" xfId="0" applyFont="1" applyFill="1" applyBorder="1" applyAlignment="1"/>
    <xf numFmtId="0" fontId="2" fillId="3" borderId="3" xfId="0" applyFont="1" applyFill="1" applyBorder="1" applyAlignment="1"/>
    <xf numFmtId="0" fontId="8" fillId="3" borderId="3" xfId="0" applyFont="1" applyFill="1" applyBorder="1" applyAlignment="1">
      <alignment horizontal="center"/>
    </xf>
    <xf numFmtId="1" fontId="8" fillId="6" borderId="3" xfId="0" applyNumberFormat="1" applyFont="1" applyFill="1" applyBorder="1" applyAlignment="1">
      <alignment horizont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Temperatures (F)</a:t>
            </a:r>
          </a:p>
        </c:rich>
      </c:tx>
      <c:overlay val="0"/>
    </c:title>
    <c:autoTitleDeleted val="0"/>
    <c:plotArea>
      <c:layout/>
      <c:lineChart>
        <c:grouping val="standard"/>
        <c:varyColors val="1"/>
        <c:ser>
          <c:idx val="0"/>
          <c:order val="0"/>
          <c:tx>
            <c:strRef>
              <c:f>Climate!$A$120</c:f>
              <c:strCache>
                <c:ptCount val="1"/>
                <c:pt idx="0">
                  <c:v>Avg Low</c:v>
                </c:pt>
              </c:strCache>
            </c:strRef>
          </c:tx>
          <c:marker>
            <c:symbol val="circle"/>
            <c:size val="10"/>
            <c:spPr>
              <a:solidFill>
                <a:srgbClr val="4285F4"/>
              </a:solidFill>
              <a:ln cmpd="sng">
                <a:solidFill>
                  <a:srgbClr val="4285F4"/>
                </a:solidFill>
              </a:ln>
            </c:spPr>
          </c:marker>
          <c:dLbls>
            <c:spPr>
              <a:noFill/>
              <a:ln>
                <a:noFill/>
              </a:ln>
              <a:effectLst/>
            </c:spPr>
            <c:txPr>
              <a:bodyPr/>
              <a:lstStyle/>
              <a:p>
                <a:pPr lvl="0">
                  <a:defRPr sz="1000"/>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Climate!$B$120:$M$120</c:f>
              <c:numCache>
                <c:formatCode>General</c:formatCode>
                <c:ptCount val="12"/>
                <c:pt idx="0">
                  <c:v>0</c:v>
                </c:pt>
                <c:pt idx="1">
                  <c:v>32</c:v>
                </c:pt>
                <c:pt idx="2">
                  <c:v>32</c:v>
                </c:pt>
                <c:pt idx="3">
                  <c:v>32</c:v>
                </c:pt>
                <c:pt idx="4">
                  <c:v>32</c:v>
                </c:pt>
                <c:pt idx="5">
                  <c:v>32</c:v>
                </c:pt>
                <c:pt idx="6">
                  <c:v>32</c:v>
                </c:pt>
                <c:pt idx="7">
                  <c:v>32</c:v>
                </c:pt>
                <c:pt idx="8">
                  <c:v>32</c:v>
                </c:pt>
                <c:pt idx="9">
                  <c:v>32</c:v>
                </c:pt>
                <c:pt idx="10">
                  <c:v>32</c:v>
                </c:pt>
                <c:pt idx="11">
                  <c:v>32</c:v>
                </c:pt>
              </c:numCache>
            </c:numRef>
          </c:val>
          <c:smooth val="1"/>
          <c:extLst>
            <c:ext xmlns:c16="http://schemas.microsoft.com/office/drawing/2014/chart" uri="{C3380CC4-5D6E-409C-BE32-E72D297353CC}">
              <c16:uniqueId val="{00000000-7272-492F-BFF2-982B447AF40B}"/>
            </c:ext>
          </c:extLst>
        </c:ser>
        <c:ser>
          <c:idx val="1"/>
          <c:order val="1"/>
          <c:tx>
            <c:strRef>
              <c:f>Climate!$A$119</c:f>
              <c:strCache>
                <c:ptCount val="1"/>
                <c:pt idx="0">
                  <c:v>Avg High</c:v>
                </c:pt>
              </c:strCache>
            </c:strRef>
          </c:tx>
          <c:marker>
            <c:symbol val="circle"/>
            <c:size val="10"/>
            <c:spPr>
              <a:solidFill>
                <a:srgbClr val="DB4437"/>
              </a:solidFill>
              <a:ln cmpd="sng">
                <a:solidFill>
                  <a:srgbClr val="DB4437"/>
                </a:solidFill>
              </a:ln>
            </c:spPr>
          </c:marker>
          <c:dPt>
            <c:idx val="9"/>
            <c:marker>
              <c:symbol val="none"/>
            </c:marker>
            <c:bubble3D val="0"/>
            <c:extLst>
              <c:ext xmlns:c16="http://schemas.microsoft.com/office/drawing/2014/chart" uri="{C3380CC4-5D6E-409C-BE32-E72D297353CC}">
                <c16:uniqueId val="{00000001-7272-492F-BFF2-982B447AF40B}"/>
              </c:ext>
            </c:extLst>
          </c:dPt>
          <c:dLbls>
            <c:spPr>
              <a:noFill/>
              <a:ln>
                <a:noFill/>
              </a:ln>
              <a:effectLst/>
            </c:spPr>
            <c:txPr>
              <a:bodyPr/>
              <a:lstStyle/>
              <a:p>
                <a:pPr lvl="0">
                  <a:defRPr sz="1000"/>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10"/>
          </c:errBar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Climate!$B$119:$M$119</c:f>
              <c:numCache>
                <c:formatCode>General</c:formatCode>
                <c:ptCount val="12"/>
                <c:pt idx="0">
                  <c:v>0</c:v>
                </c:pt>
                <c:pt idx="1">
                  <c:v>32</c:v>
                </c:pt>
                <c:pt idx="2">
                  <c:v>32</c:v>
                </c:pt>
                <c:pt idx="3">
                  <c:v>32</c:v>
                </c:pt>
                <c:pt idx="4">
                  <c:v>32</c:v>
                </c:pt>
                <c:pt idx="5">
                  <c:v>32</c:v>
                </c:pt>
                <c:pt idx="6">
                  <c:v>32</c:v>
                </c:pt>
                <c:pt idx="7">
                  <c:v>32</c:v>
                </c:pt>
                <c:pt idx="8">
                  <c:v>32</c:v>
                </c:pt>
                <c:pt idx="9">
                  <c:v>32</c:v>
                </c:pt>
                <c:pt idx="10">
                  <c:v>32</c:v>
                </c:pt>
                <c:pt idx="11">
                  <c:v>32</c:v>
                </c:pt>
              </c:numCache>
            </c:numRef>
          </c:val>
          <c:smooth val="1"/>
          <c:extLst>
            <c:ext xmlns:c16="http://schemas.microsoft.com/office/drawing/2014/chart" uri="{C3380CC4-5D6E-409C-BE32-E72D297353CC}">
              <c16:uniqueId val="{00000002-7272-492F-BFF2-982B447AF40B}"/>
            </c:ext>
          </c:extLst>
        </c:ser>
        <c:dLbls>
          <c:showLegendKey val="0"/>
          <c:showVal val="0"/>
          <c:showCatName val="0"/>
          <c:showSerName val="0"/>
          <c:showPercent val="0"/>
          <c:showBubbleSize val="0"/>
        </c:dLbls>
        <c:marker val="1"/>
        <c:smooth val="0"/>
        <c:axId val="1753310858"/>
        <c:axId val="1477766777"/>
      </c:lineChart>
      <c:catAx>
        <c:axId val="1753310858"/>
        <c:scaling>
          <c:orientation val="minMax"/>
        </c:scaling>
        <c:delete val="0"/>
        <c:axPos val="b"/>
        <c:title>
          <c:tx>
            <c:rich>
              <a:bodyPr/>
              <a:lstStyle/>
              <a:p>
                <a:pPr lvl="0">
                  <a:defRPr b="0">
                    <a:solidFill>
                      <a:srgbClr val="000000"/>
                    </a:solidFill>
                    <a:latin typeface="Roboto"/>
                  </a:defRPr>
                </a:pPr>
                <a:endParaRPr lang="ru-RU"/>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ru-RU"/>
          </a:p>
        </c:txPr>
        <c:crossAx val="1477766777"/>
        <c:crosses val="autoZero"/>
        <c:auto val="1"/>
        <c:lblAlgn val="ctr"/>
        <c:lblOffset val="100"/>
        <c:noMultiLvlLbl val="1"/>
      </c:catAx>
      <c:valAx>
        <c:axId val="14777667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Temp (F)</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endParaRPr lang="ru-RU"/>
          </a:p>
        </c:txPr>
        <c:crossAx val="1753310858"/>
        <c:crosses val="autoZero"/>
        <c:crossBetween val="between"/>
      </c:valAx>
    </c:plotArea>
    <c:legend>
      <c:legendPos val="r"/>
      <c:overlay val="0"/>
      <c:txPr>
        <a:bodyPr/>
        <a:lstStyle/>
        <a:p>
          <a:pPr lvl="0">
            <a:defRPr b="0">
              <a:solidFill>
                <a:srgbClr val="000000"/>
              </a:solidFill>
              <a:latin typeface="Roboto"/>
            </a:defRPr>
          </a:pPr>
          <a:endParaRPr lang="ru-RU"/>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Precipitation (in)</a:t>
            </a:r>
          </a:p>
        </c:rich>
      </c:tx>
      <c:overlay val="0"/>
    </c:title>
    <c:autoTitleDeleted val="0"/>
    <c:plotArea>
      <c:layout/>
      <c:lineChart>
        <c:grouping val="standard"/>
        <c:varyColors val="0"/>
        <c:ser>
          <c:idx val="0"/>
          <c:order val="0"/>
          <c:tx>
            <c:strRef>
              <c:f>Climate!$A$117</c:f>
              <c:strCache>
                <c:ptCount val="1"/>
                <c:pt idx="0">
                  <c:v>Avg Precip</c:v>
                </c:pt>
              </c:strCache>
            </c:strRef>
          </c:tx>
          <c:marker>
            <c:symbol val="circle"/>
            <c:size val="10"/>
            <c:spPr>
              <a:solidFill>
                <a:srgbClr val="4285F4"/>
              </a:solidFill>
              <a:ln cmpd="sng">
                <a:solidFill>
                  <a:srgbClr val="4285F4"/>
                </a:solidFill>
              </a:ln>
            </c:spPr>
          </c:marker>
          <c:dLbls>
            <c:spPr>
              <a:noFill/>
              <a:ln>
                <a:noFill/>
              </a:ln>
              <a:effectLst/>
            </c:spPr>
            <c:txPr>
              <a:bodyPr/>
              <a:lstStyle/>
              <a:p>
                <a:pPr lvl="0">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Climate!$B$117:$M$117</c:f>
              <c:numCache>
                <c:formatCode>#\ ##0.0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1"/>
          <c:extLst>
            <c:ext xmlns:c16="http://schemas.microsoft.com/office/drawing/2014/chart" uri="{C3380CC4-5D6E-409C-BE32-E72D297353CC}">
              <c16:uniqueId val="{00000000-5135-4BAE-B80B-36106126E8C6}"/>
            </c:ext>
          </c:extLst>
        </c:ser>
        <c:dLbls>
          <c:showLegendKey val="0"/>
          <c:showVal val="0"/>
          <c:showCatName val="0"/>
          <c:showSerName val="0"/>
          <c:showPercent val="0"/>
          <c:showBubbleSize val="0"/>
        </c:dLbls>
        <c:marker val="1"/>
        <c:smooth val="0"/>
        <c:axId val="729702930"/>
        <c:axId val="1942079748"/>
      </c:lineChart>
      <c:catAx>
        <c:axId val="729702930"/>
        <c:scaling>
          <c:orientation val="minMax"/>
        </c:scaling>
        <c:delete val="0"/>
        <c:axPos val="b"/>
        <c:title>
          <c:tx>
            <c:rich>
              <a:bodyPr/>
              <a:lstStyle/>
              <a:p>
                <a:pPr lvl="0">
                  <a:defRPr b="0">
                    <a:solidFill>
                      <a:srgbClr val="000000"/>
                    </a:solidFill>
                    <a:latin typeface="Roboto"/>
                  </a:defRPr>
                </a:pPr>
                <a:endParaRPr lang="ru-RU"/>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ru-RU"/>
          </a:p>
        </c:txPr>
        <c:crossAx val="1942079748"/>
        <c:crosses val="autoZero"/>
        <c:auto val="1"/>
        <c:lblAlgn val="ctr"/>
        <c:lblOffset val="100"/>
        <c:noMultiLvlLbl val="1"/>
      </c:catAx>
      <c:valAx>
        <c:axId val="1942079748"/>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lang="en-US" b="0">
                    <a:solidFill>
                      <a:srgbClr val="000000"/>
                    </a:solidFill>
                    <a:latin typeface="Roboto"/>
                  </a:rPr>
                  <a:t>Monthly Precipitation (in)</a:t>
                </a:r>
              </a:p>
            </c:rich>
          </c:tx>
          <c:overlay val="0"/>
        </c:title>
        <c:numFmt formatCode="#\ ##0.0" sourceLinked="1"/>
        <c:majorTickMark val="none"/>
        <c:minorTickMark val="none"/>
        <c:tickLblPos val="nextTo"/>
        <c:spPr>
          <a:ln>
            <a:solidFill/>
          </a:ln>
        </c:spPr>
        <c:txPr>
          <a:bodyPr/>
          <a:lstStyle/>
          <a:p>
            <a:pPr lvl="0">
              <a:defRPr b="0">
                <a:solidFill>
                  <a:srgbClr val="000000"/>
                </a:solidFill>
                <a:latin typeface="Roboto"/>
              </a:defRPr>
            </a:pPr>
            <a:endParaRPr lang="ru-RU"/>
          </a:p>
        </c:txPr>
        <c:crossAx val="729702930"/>
        <c:crosses val="autoZero"/>
        <c:crossBetween val="between"/>
      </c:valAx>
    </c:plotArea>
    <c:legend>
      <c:legendPos val="r"/>
      <c:overlay val="0"/>
      <c:txPr>
        <a:bodyPr/>
        <a:lstStyle/>
        <a:p>
          <a:pPr lvl="0">
            <a:defRPr b="0">
              <a:solidFill>
                <a:srgbClr val="000000"/>
              </a:solidFill>
              <a:latin typeface="Roboto"/>
            </a:defRPr>
          </a:pPr>
          <a:endParaRPr lang="ru-RU"/>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19050</xdr:colOff>
      <xdr:row>75</xdr:row>
      <xdr:rowOff>266700</xdr:rowOff>
    </xdr:from>
    <xdr:ext cx="7191375" cy="2390775"/>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476250</xdr:colOff>
      <xdr:row>75</xdr:row>
      <xdr:rowOff>266700</xdr:rowOff>
    </xdr:from>
    <xdr:ext cx="7191375" cy="2390775"/>
    <xdr:graphicFrame macro="">
      <xdr:nvGraphicFramePr>
        <xdr:cNvPr id="3" name="Chart 2"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wnloads%20on%20E\CORMYR%20IN%20TABLES%20V08%2011-03-202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ry"/>
      <sheetName val="Summary"/>
      <sheetName val="Quick Stats"/>
      <sheetName val="Dice Tables"/>
      <sheetName val="Tools"/>
      <sheetName val="Basic"/>
      <sheetName val="Climate"/>
      <sheetName val="Ag"/>
      <sheetName val="Information"/>
      <sheetName val="Generation"/>
      <sheetName val="Tables (2)"/>
      <sheetName val="Generator"/>
      <sheetName val="Parameters"/>
      <sheetName val="Racial Information"/>
      <sheetName val="Appearance Table (2)"/>
      <sheetName val="Personal Detail Tables"/>
      <sheetName val="Phrase Tables"/>
      <sheetName val="Human Male Names (2)"/>
      <sheetName val="Human Female Names"/>
      <sheetName val="Human Surnames"/>
      <sheetName val="Human Male Names"/>
      <sheetName val="Male Names"/>
      <sheetName val="Appearance Table"/>
      <sheetName val="Background Generator"/>
      <sheetName val="Acolyte"/>
      <sheetName val="Charlatan"/>
      <sheetName val="Criminal"/>
      <sheetName val="Entertainer"/>
      <sheetName val="FolkHero"/>
      <sheetName val="GuildArtisan"/>
      <sheetName val="Hermit"/>
      <sheetName val="Noble"/>
      <sheetName val="Outlander"/>
      <sheetName val="Sage"/>
      <sheetName val="Sailor"/>
      <sheetName val="Soldier"/>
      <sheetName val="Urchin"/>
      <sheetName val="Feudal Worksheet"/>
      <sheetName val="HEX COLOR TABLE"/>
      <sheetName val="Table - World Setting"/>
      <sheetName val="Table - Random Shops"/>
      <sheetName val="Table - City"/>
      <sheetName val="Table - Castle"/>
      <sheetName val="Table - Prison"/>
      <sheetName val="Table - Brothel"/>
      <sheetName val="Table - Inn-Tavern"/>
      <sheetName val="GEMS OF THE REALMS TABLE"/>
      <sheetName val="NAMES_DATA"/>
      <sheetName val="Аркуш3"/>
      <sheetName val="COINAGE"/>
      <sheetName val="TownSheet"/>
      <sheetName val="SHOP_ALL"/>
      <sheetName val="NpcDesc"/>
      <sheetName val="ShopNames"/>
      <sheetName val="InnMenu"/>
      <sheetName val="NPCs (2)"/>
      <sheetName val="TownInfo"/>
      <sheetName val="Quest"/>
      <sheetName val="000Welcome"/>
      <sheetName val="NPCs"/>
      <sheetName val="Weather Tables"/>
      <sheetName val="Info"/>
      <sheetName val="Illethard - Data"/>
      <sheetName val="Forgotten Realms - Data"/>
      <sheetName val="Instructions"/>
      <sheetName val="Tables"/>
      <sheetName val="Log"/>
      <sheetName val="Crits"/>
      <sheetName val="000CALENDAR1493"/>
      <sheetName val="Weather"/>
      <sheetName val="Level Tables"/>
      <sheetName val="HEX-GEN DATA"/>
      <sheetName val="HEXPLORATION"/>
      <sheetName val="HEX-OTHER"/>
      <sheetName val="HEX-SUBSYSTEM"/>
      <sheetName val="HIRELINGS"/>
      <sheetName val="SPECIAL NPCS"/>
      <sheetName val="TOP SHEET"/>
      <sheetName val="MAGIC ITEMS"/>
      <sheetName val="TREASURE"/>
      <sheetName val="Character_sheet_Kvoth"/>
      <sheetName val="MonstersNPCs"/>
      <sheetName val="Basic Price Sheet"/>
      <sheetName val="Icons"/>
      <sheetName val="FOLK"/>
      <sheetName val="Sheet1"/>
      <sheetName val="Buildings in Cities"/>
      <sheetName val="GM SCREEN"/>
      <sheetName val="npc"/>
      <sheetName val="GM LINKS"/>
      <sheetName val="CORMYR"/>
      <sheetName val="RATING"/>
      <sheetName val="SOCIALENCOUNTERS-ARGUMENTS"/>
      <sheetName val="ORGANIZATIONS"/>
      <sheetName val="Noble Houses"/>
      <sheetName val="TIMELINE"/>
      <sheetName val="Cormyr Encounters"/>
      <sheetName val="SETTLEMENTS"/>
      <sheetName val="Purple Dragons"/>
      <sheetName val="Blue Dragons"/>
      <sheetName val="War Wizards"/>
      <sheetName val="DIAGRAMS"/>
      <sheetName val="D PurpleDragons"/>
      <sheetName val="D BlueDragons"/>
      <sheetName val="Royal Court"/>
      <sheetName val="CONFIG000"/>
      <sheetName val="CREDIT000"/>
      <sheetName val="OGL"/>
      <sheetName val="Sources"/>
    </sheetNames>
    <sheetDataSet>
      <sheetData sheetId="0">
        <row r="33">
          <cell r="E33" t="e">
            <v>#NAME?</v>
          </cell>
        </row>
        <row r="34">
          <cell r="E34" t="e">
            <v>#NAME?</v>
          </cell>
        </row>
        <row r="35">
          <cell r="E35" t="e">
            <v>#NAME?</v>
          </cell>
        </row>
        <row r="36">
          <cell r="E36" t="e">
            <v>#NAME?</v>
          </cell>
        </row>
        <row r="37">
          <cell r="E37" t="str">
            <v>Roll or Choose</v>
          </cell>
        </row>
        <row r="38">
          <cell r="E38" t="str">
            <v>Roll or Choose</v>
          </cell>
        </row>
        <row r="39">
          <cell r="F39" t="b">
            <v>0</v>
          </cell>
        </row>
        <row r="45">
          <cell r="E45" t="str">
            <v>Fully Integrated</v>
          </cell>
        </row>
        <row r="48">
          <cell r="B48" t="str">
            <v>Very Rare</v>
          </cell>
          <cell r="D48" t="str">
            <v>None</v>
          </cell>
          <cell r="F48" t="str">
            <v>None</v>
          </cell>
        </row>
        <row r="49">
          <cell r="B49" t="str">
            <v>None</v>
          </cell>
          <cell r="D49" t="str">
            <v>Uncommon</v>
          </cell>
          <cell r="F49" t="str">
            <v>None</v>
          </cell>
          <cell r="J49" t="str">
            <v>Average</v>
          </cell>
        </row>
        <row r="50">
          <cell r="B50" t="str">
            <v>None</v>
          </cell>
          <cell r="D50" t="str">
            <v>None</v>
          </cell>
          <cell r="F50" t="str">
            <v>None</v>
          </cell>
          <cell r="J50" t="str">
            <v>Average</v>
          </cell>
        </row>
        <row r="51">
          <cell r="B51" t="str">
            <v>Rare</v>
          </cell>
          <cell r="D51" t="str">
            <v>Very Rare</v>
          </cell>
          <cell r="F51" t="str">
            <v>Very Rare</v>
          </cell>
          <cell r="J51" t="str">
            <v>Average</v>
          </cell>
        </row>
        <row r="52">
          <cell r="B52" t="str">
            <v>Very Common</v>
          </cell>
          <cell r="D52" t="str">
            <v>Common</v>
          </cell>
          <cell r="F52" t="str">
            <v>Very Rare</v>
          </cell>
          <cell r="J52">
            <v>10</v>
          </cell>
        </row>
        <row r="53">
          <cell r="B53" t="str">
            <v>Very Common</v>
          </cell>
          <cell r="D53" t="str">
            <v>Uncommon</v>
          </cell>
          <cell r="F53" t="str">
            <v>Uncommon</v>
          </cell>
          <cell r="J53">
            <v>6</v>
          </cell>
        </row>
        <row r="54">
          <cell r="B54" t="str">
            <v>Very Rare</v>
          </cell>
          <cell r="D54" t="str">
            <v>Uncommon</v>
          </cell>
          <cell r="F54" t="str">
            <v>Very Rare</v>
          </cell>
          <cell r="J54">
            <v>3</v>
          </cell>
        </row>
        <row r="55">
          <cell r="B55" t="str">
            <v>None</v>
          </cell>
          <cell r="D55" t="str">
            <v>None</v>
          </cell>
          <cell r="F55" t="str">
            <v>None</v>
          </cell>
          <cell r="J55">
            <v>0.25</v>
          </cell>
        </row>
        <row r="56">
          <cell r="B56" t="str">
            <v>None</v>
          </cell>
          <cell r="D56" t="str">
            <v>Major</v>
          </cell>
          <cell r="F56" t="str">
            <v>None</v>
          </cell>
          <cell r="J56">
            <v>5</v>
          </cell>
        </row>
        <row r="60">
          <cell r="C60" t="b">
            <v>0</v>
          </cell>
          <cell r="F60" t="b">
            <v>0</v>
          </cell>
          <cell r="I60" t="b">
            <v>0</v>
          </cell>
        </row>
        <row r="61">
          <cell r="C61" t="b">
            <v>0</v>
          </cell>
          <cell r="F61" t="b">
            <v>0</v>
          </cell>
          <cell r="I61" t="b">
            <v>0</v>
          </cell>
        </row>
        <row r="62">
          <cell r="C62" t="b">
            <v>0</v>
          </cell>
          <cell r="F62" t="b">
            <v>0</v>
          </cell>
          <cell r="I62" t="b">
            <v>0</v>
          </cell>
        </row>
        <row r="63">
          <cell r="C63" t="b">
            <v>0</v>
          </cell>
          <cell r="F63" t="b">
            <v>0</v>
          </cell>
          <cell r="I63" t="b">
            <v>0</v>
          </cell>
        </row>
        <row r="64">
          <cell r="C64" t="b">
            <v>0</v>
          </cell>
          <cell r="F64" t="b">
            <v>0</v>
          </cell>
          <cell r="I64" t="b">
            <v>0</v>
          </cell>
        </row>
        <row r="65">
          <cell r="C65" t="b">
            <v>0</v>
          </cell>
          <cell r="F65" t="b">
            <v>0</v>
          </cell>
          <cell r="I65" t="b">
            <v>0</v>
          </cell>
        </row>
        <row r="66">
          <cell r="C66" t="b">
            <v>0</v>
          </cell>
          <cell r="F66" t="b">
            <v>0</v>
          </cell>
          <cell r="I66" t="b">
            <v>0</v>
          </cell>
          <cell r="M66">
            <v>0.1</v>
          </cell>
        </row>
        <row r="67">
          <cell r="C67" t="b">
            <v>0</v>
          </cell>
          <cell r="F67" t="b">
            <v>0</v>
          </cell>
          <cell r="I67" t="b">
            <v>0</v>
          </cell>
        </row>
        <row r="68">
          <cell r="C68" t="b">
            <v>0</v>
          </cell>
          <cell r="F68" t="b">
            <v>0</v>
          </cell>
          <cell r="I68" t="b">
            <v>0</v>
          </cell>
        </row>
        <row r="69">
          <cell r="C69" t="b">
            <v>0</v>
          </cell>
          <cell r="F69" t="b">
            <v>0</v>
          </cell>
          <cell r="I69" t="b">
            <v>0</v>
          </cell>
        </row>
        <row r="70">
          <cell r="C70" t="b">
            <v>0</v>
          </cell>
          <cell r="F70" t="b">
            <v>0</v>
          </cell>
          <cell r="I70" t="b">
            <v>0</v>
          </cell>
        </row>
        <row r="71">
          <cell r="C71" t="b">
            <v>0</v>
          </cell>
          <cell r="F71" t="b">
            <v>0</v>
          </cell>
          <cell r="I71" t="b">
            <v>0</v>
          </cell>
        </row>
        <row r="72">
          <cell r="C72" t="b">
            <v>0</v>
          </cell>
          <cell r="F72" t="b">
            <v>0</v>
          </cell>
          <cell r="I72" t="b">
            <v>0</v>
          </cell>
        </row>
        <row r="73">
          <cell r="C73" t="b">
            <v>0</v>
          </cell>
          <cell r="F73" t="b">
            <v>0</v>
          </cell>
          <cell r="I73" t="b">
            <v>0</v>
          </cell>
        </row>
        <row r="74">
          <cell r="C74" t="b">
            <v>0</v>
          </cell>
          <cell r="F74" t="b">
            <v>0</v>
          </cell>
          <cell r="I74" t="b">
            <v>0</v>
          </cell>
        </row>
        <row r="75">
          <cell r="C75" t="b">
            <v>0</v>
          </cell>
          <cell r="F75" t="b">
            <v>0</v>
          </cell>
          <cell r="I75" t="b">
            <v>0</v>
          </cell>
        </row>
        <row r="76">
          <cell r="C76" t="b">
            <v>0</v>
          </cell>
          <cell r="F76" t="b">
            <v>0</v>
          </cell>
          <cell r="I76" t="b">
            <v>0</v>
          </cell>
        </row>
        <row r="77">
          <cell r="F77" t="b">
            <v>0</v>
          </cell>
          <cell r="I77" t="b">
            <v>0</v>
          </cell>
        </row>
        <row r="78">
          <cell r="F78" t="b">
            <v>0</v>
          </cell>
          <cell r="I78" t="b">
            <v>0</v>
          </cell>
        </row>
      </sheetData>
      <sheetData sheetId="1"/>
      <sheetData sheetId="2"/>
      <sheetData sheetId="3"/>
      <sheetData sheetId="4"/>
      <sheetData sheetId="5">
        <row r="5">
          <cell r="D5" t="str">
            <v>Village</v>
          </cell>
        </row>
        <row r="6">
          <cell r="F6">
            <v>12</v>
          </cell>
        </row>
        <row r="9">
          <cell r="D9">
            <v>834</v>
          </cell>
          <cell r="J9" t="e">
            <v>#NAME?</v>
          </cell>
        </row>
        <row r="11">
          <cell r="J11" t="e">
            <v>#NAME?</v>
          </cell>
        </row>
        <row r="16">
          <cell r="B16">
            <v>85</v>
          </cell>
        </row>
        <row r="17">
          <cell r="B17">
            <v>0</v>
          </cell>
        </row>
        <row r="26">
          <cell r="B26" t="str">
            <v>Thorp</v>
          </cell>
          <cell r="J26">
            <v>-3</v>
          </cell>
          <cell r="L26">
            <v>3</v>
          </cell>
        </row>
        <row r="27">
          <cell r="B27" t="str">
            <v>Hamlet</v>
          </cell>
          <cell r="J27">
            <v>-2</v>
          </cell>
          <cell r="L27">
            <v>3</v>
          </cell>
        </row>
        <row r="28">
          <cell r="B28" t="str">
            <v>Village</v>
          </cell>
          <cell r="J28">
            <v>-1</v>
          </cell>
          <cell r="L28">
            <v>3</v>
          </cell>
        </row>
        <row r="29">
          <cell r="B29" t="str">
            <v>Small Town</v>
          </cell>
          <cell r="J29">
            <v>0</v>
          </cell>
          <cell r="L29">
            <v>4</v>
          </cell>
        </row>
        <row r="30">
          <cell r="B30" t="str">
            <v>Large Town</v>
          </cell>
          <cell r="J30">
            <v>0</v>
          </cell>
          <cell r="L30">
            <v>4</v>
          </cell>
        </row>
        <row r="31">
          <cell r="B31" t="str">
            <v>Small City</v>
          </cell>
          <cell r="J31">
            <v>1</v>
          </cell>
          <cell r="L31">
            <v>4</v>
          </cell>
        </row>
        <row r="32">
          <cell r="B32" t="str">
            <v>Large City</v>
          </cell>
          <cell r="J32">
            <v>2</v>
          </cell>
          <cell r="L32">
            <v>5</v>
          </cell>
        </row>
        <row r="33">
          <cell r="B33" t="str">
            <v>Metropolis</v>
          </cell>
          <cell r="J33">
            <v>3</v>
          </cell>
          <cell r="L33">
            <v>5</v>
          </cell>
        </row>
        <row r="34">
          <cell r="B34" t="str">
            <v>Megapolis</v>
          </cell>
          <cell r="J34">
            <v>3</v>
          </cell>
          <cell r="L34">
            <v>5</v>
          </cell>
        </row>
        <row r="44">
          <cell r="A44" t="str">
            <v>Low</v>
          </cell>
          <cell r="B44">
            <v>50</v>
          </cell>
        </row>
        <row r="45">
          <cell r="A45" t="str">
            <v>Average</v>
          </cell>
          <cell r="B45">
            <v>77.5</v>
          </cell>
        </row>
        <row r="46">
          <cell r="A46" t="str">
            <v>High</v>
          </cell>
          <cell r="B46">
            <v>100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7"/>
  <sheetViews>
    <sheetView workbookViewId="0">
      <selection activeCell="A7" sqref="A7:J7"/>
    </sheetView>
  </sheetViews>
  <sheetFormatPr defaultColWidth="14.42578125" defaultRowHeight="15.75" customHeight="1"/>
  <sheetData>
    <row r="1" spans="1:10" ht="15.75" customHeight="1">
      <c r="A1" s="362" t="s">
        <v>0</v>
      </c>
      <c r="B1" s="354"/>
      <c r="C1" s="354"/>
      <c r="D1" s="354"/>
      <c r="E1" s="354"/>
      <c r="F1" s="354"/>
      <c r="G1" s="354"/>
      <c r="H1" s="354"/>
      <c r="I1" s="354"/>
      <c r="J1" s="355"/>
    </row>
    <row r="2" spans="1:10" ht="15.75" customHeight="1">
      <c r="A2" s="356" t="s">
        <v>1</v>
      </c>
      <c r="B2" s="357"/>
      <c r="C2" s="357"/>
      <c r="D2" s="357"/>
      <c r="E2" s="357"/>
      <c r="F2" s="357"/>
      <c r="G2" s="357"/>
      <c r="H2" s="357"/>
      <c r="I2" s="357"/>
      <c r="J2" s="358"/>
    </row>
    <row r="3" spans="1:10" ht="15.75" customHeight="1">
      <c r="A3" s="359"/>
      <c r="B3" s="360"/>
      <c r="C3" s="360"/>
      <c r="D3" s="360"/>
      <c r="E3" s="360"/>
      <c r="F3" s="360"/>
      <c r="G3" s="360"/>
      <c r="H3" s="360"/>
      <c r="I3" s="360"/>
      <c r="J3" s="361"/>
    </row>
    <row r="4" spans="1:10" ht="15.75" customHeight="1">
      <c r="A4" s="363" t="s">
        <v>2</v>
      </c>
      <c r="B4" s="354"/>
      <c r="C4" s="354"/>
      <c r="D4" s="354"/>
      <c r="E4" s="354"/>
      <c r="F4" s="354"/>
      <c r="G4" s="354"/>
      <c r="H4" s="354"/>
      <c r="I4" s="354"/>
      <c r="J4" s="355"/>
    </row>
    <row r="5" spans="1:10" ht="15.75" customHeight="1">
      <c r="A5" s="356" t="s">
        <v>3</v>
      </c>
      <c r="B5" s="357"/>
      <c r="C5" s="357"/>
      <c r="D5" s="357"/>
      <c r="E5" s="357"/>
      <c r="F5" s="357"/>
      <c r="G5" s="357"/>
      <c r="H5" s="357"/>
      <c r="I5" s="357"/>
      <c r="J5" s="358"/>
    </row>
    <row r="6" spans="1:10" ht="15.75" customHeight="1">
      <c r="A6" s="359"/>
      <c r="B6" s="360"/>
      <c r="C6" s="360"/>
      <c r="D6" s="360"/>
      <c r="E6" s="360"/>
      <c r="F6" s="360"/>
      <c r="G6" s="360"/>
      <c r="H6" s="360"/>
      <c r="I6" s="360"/>
      <c r="J6" s="361"/>
    </row>
    <row r="7" spans="1:10" ht="15.75" customHeight="1">
      <c r="A7" s="363" t="s">
        <v>4</v>
      </c>
      <c r="B7" s="354"/>
      <c r="C7" s="354"/>
      <c r="D7" s="354"/>
      <c r="E7" s="354"/>
      <c r="F7" s="354"/>
      <c r="G7" s="354"/>
      <c r="H7" s="354"/>
      <c r="I7" s="354"/>
      <c r="J7" s="355"/>
    </row>
    <row r="8" spans="1:10" ht="15.75" customHeight="1">
      <c r="A8" s="364" t="s">
        <v>5</v>
      </c>
      <c r="B8" s="354"/>
      <c r="C8" s="355"/>
      <c r="D8" s="365" t="s">
        <v>6</v>
      </c>
      <c r="E8" s="355"/>
      <c r="F8" s="366" t="s">
        <v>7</v>
      </c>
      <c r="G8" s="355"/>
      <c r="H8" s="367" t="s">
        <v>8</v>
      </c>
      <c r="I8" s="354"/>
      <c r="J8" s="355"/>
    </row>
    <row r="9" spans="1:10" ht="15.75" customHeight="1">
      <c r="A9" s="356" t="s">
        <v>9</v>
      </c>
      <c r="B9" s="357"/>
      <c r="C9" s="357"/>
      <c r="D9" s="357"/>
      <c r="E9" s="357"/>
      <c r="F9" s="357"/>
      <c r="G9" s="357"/>
      <c r="H9" s="357"/>
      <c r="I9" s="357"/>
      <c r="J9" s="358"/>
    </row>
    <row r="10" spans="1:10" ht="15.75" customHeight="1">
      <c r="A10" s="359"/>
      <c r="B10" s="360"/>
      <c r="C10" s="360"/>
      <c r="D10" s="360"/>
      <c r="E10" s="360"/>
      <c r="F10" s="360"/>
      <c r="G10" s="360"/>
      <c r="H10" s="360"/>
      <c r="I10" s="360"/>
      <c r="J10" s="361"/>
    </row>
    <row r="11" spans="1:10" ht="15.75" customHeight="1">
      <c r="A11" s="353" t="s">
        <v>10</v>
      </c>
      <c r="B11" s="354"/>
      <c r="C11" s="354"/>
      <c r="D11" s="354"/>
      <c r="E11" s="354"/>
      <c r="F11" s="354"/>
      <c r="G11" s="354"/>
      <c r="H11" s="354"/>
      <c r="I11" s="354"/>
      <c r="J11" s="355"/>
    </row>
    <row r="12" spans="1:10" ht="15.75" customHeight="1">
      <c r="A12" s="356" t="s">
        <v>11</v>
      </c>
      <c r="B12" s="357"/>
      <c r="C12" s="357"/>
      <c r="D12" s="357"/>
      <c r="E12" s="357"/>
      <c r="F12" s="357"/>
      <c r="G12" s="357"/>
      <c r="H12" s="357"/>
      <c r="I12" s="357"/>
      <c r="J12" s="358"/>
    </row>
    <row r="13" spans="1:10" ht="15.75" customHeight="1">
      <c r="A13" s="359"/>
      <c r="B13" s="360"/>
      <c r="C13" s="360"/>
      <c r="D13" s="360"/>
      <c r="E13" s="360"/>
      <c r="F13" s="360"/>
      <c r="G13" s="360"/>
      <c r="H13" s="360"/>
      <c r="I13" s="360"/>
      <c r="J13" s="361"/>
    </row>
    <row r="14" spans="1:10" ht="15.75" customHeight="1">
      <c r="A14" s="353" t="s">
        <v>12</v>
      </c>
      <c r="B14" s="354"/>
      <c r="C14" s="354"/>
      <c r="D14" s="354"/>
      <c r="E14" s="354"/>
      <c r="F14" s="354"/>
      <c r="G14" s="354"/>
      <c r="H14" s="354"/>
      <c r="I14" s="354"/>
      <c r="J14" s="355"/>
    </row>
    <row r="15" spans="1:10" ht="15.75" customHeight="1">
      <c r="A15" s="356" t="s">
        <v>13</v>
      </c>
      <c r="B15" s="357"/>
      <c r="C15" s="357"/>
      <c r="D15" s="357"/>
      <c r="E15" s="357"/>
      <c r="F15" s="357"/>
      <c r="G15" s="357"/>
      <c r="H15" s="357"/>
      <c r="I15" s="357"/>
      <c r="J15" s="358"/>
    </row>
    <row r="16" spans="1:10" ht="15.75" customHeight="1">
      <c r="A16" s="359"/>
      <c r="B16" s="360"/>
      <c r="C16" s="360"/>
      <c r="D16" s="360"/>
      <c r="E16" s="360"/>
      <c r="F16" s="360"/>
      <c r="G16" s="360"/>
      <c r="H16" s="360"/>
      <c r="I16" s="360"/>
      <c r="J16" s="361"/>
    </row>
    <row r="17" spans="1:10" ht="15.75" customHeight="1">
      <c r="A17" s="353" t="s">
        <v>14</v>
      </c>
      <c r="B17" s="354"/>
      <c r="C17" s="354"/>
      <c r="D17" s="354"/>
      <c r="E17" s="354"/>
      <c r="F17" s="354"/>
      <c r="G17" s="354"/>
      <c r="H17" s="354"/>
      <c r="I17" s="354"/>
      <c r="J17" s="355"/>
    </row>
  </sheetData>
  <mergeCells count="15">
    <mergeCell ref="A14:J14"/>
    <mergeCell ref="A15:J16"/>
    <mergeCell ref="A17:J17"/>
    <mergeCell ref="A1:J1"/>
    <mergeCell ref="A2:J3"/>
    <mergeCell ref="A4:J4"/>
    <mergeCell ref="A5:J6"/>
    <mergeCell ref="A7:J7"/>
    <mergeCell ref="A8:C8"/>
    <mergeCell ref="D8:E8"/>
    <mergeCell ref="F8:G8"/>
    <mergeCell ref="H8:J8"/>
    <mergeCell ref="A9:J10"/>
    <mergeCell ref="A11:J11"/>
    <mergeCell ref="A12: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992"/>
  <sheetViews>
    <sheetView tabSelected="1" workbookViewId="0">
      <pane ySplit="1" topLeftCell="A2" activePane="bottomLeft" state="frozen"/>
      <selection pane="bottomLeft" activeCell="A3" sqref="A3:C4"/>
    </sheetView>
  </sheetViews>
  <sheetFormatPr defaultColWidth="14.42578125" defaultRowHeight="15.75" customHeight="1"/>
  <sheetData>
    <row r="1" spans="1:15" ht="15.75" customHeight="1">
      <c r="A1" s="394" t="s">
        <v>149</v>
      </c>
      <c r="B1" s="354"/>
      <c r="C1" s="354"/>
      <c r="D1" s="354"/>
      <c r="E1" s="354"/>
      <c r="F1" s="354"/>
      <c r="G1" s="354"/>
      <c r="H1" s="354"/>
      <c r="I1" s="354"/>
      <c r="J1" s="354"/>
      <c r="K1" s="354"/>
      <c r="L1" s="354"/>
      <c r="M1" s="354"/>
      <c r="N1" s="354"/>
      <c r="O1" s="355"/>
    </row>
    <row r="2" spans="1:15" ht="15.75" customHeight="1">
      <c r="A2" s="30"/>
      <c r="B2" s="30"/>
      <c r="C2" s="30"/>
      <c r="F2" s="31"/>
      <c r="I2" s="31"/>
      <c r="L2" s="31"/>
      <c r="O2" s="31"/>
    </row>
    <row r="3" spans="1:15" ht="15.75" customHeight="1">
      <c r="A3" s="407" t="s">
        <v>150</v>
      </c>
      <c r="B3" s="357"/>
      <c r="C3" s="358"/>
      <c r="D3" s="408" t="s">
        <v>151</v>
      </c>
      <c r="E3" s="357"/>
      <c r="F3" s="357"/>
      <c r="G3" s="357"/>
      <c r="H3" s="357"/>
      <c r="I3" s="357"/>
      <c r="J3" s="357"/>
      <c r="K3" s="358"/>
      <c r="L3" s="31"/>
      <c r="O3" s="31"/>
    </row>
    <row r="4" spans="1:15" ht="15.75" customHeight="1">
      <c r="A4" s="359"/>
      <c r="B4" s="360"/>
      <c r="C4" s="361"/>
      <c r="D4" s="359"/>
      <c r="E4" s="360"/>
      <c r="F4" s="360"/>
      <c r="G4" s="360"/>
      <c r="H4" s="360"/>
      <c r="I4" s="360"/>
      <c r="J4" s="360"/>
      <c r="K4" s="361"/>
      <c r="L4" s="31"/>
      <c r="M4" s="32"/>
      <c r="N4" s="32"/>
      <c r="O4" s="31"/>
    </row>
    <row r="5" spans="1:15" ht="15.75" customHeight="1">
      <c r="A5" s="410" t="s">
        <v>783</v>
      </c>
      <c r="B5" s="358"/>
      <c r="C5" s="33" t="s">
        <v>152</v>
      </c>
      <c r="D5" s="409" t="s">
        <v>788</v>
      </c>
      <c r="E5" s="358"/>
      <c r="F5" s="33" t="s">
        <v>153</v>
      </c>
      <c r="G5" s="409" t="s">
        <v>789</v>
      </c>
      <c r="H5" s="358"/>
      <c r="I5" s="33" t="s">
        <v>153</v>
      </c>
      <c r="J5" s="409" t="s">
        <v>791</v>
      </c>
      <c r="K5" s="358"/>
      <c r="L5" s="33" t="s">
        <v>153</v>
      </c>
      <c r="M5" s="409" t="s">
        <v>794</v>
      </c>
      <c r="N5" s="358"/>
      <c r="O5" s="33" t="s">
        <v>153</v>
      </c>
    </row>
    <row r="6" spans="1:15" ht="15.75" customHeight="1">
      <c r="A6" s="403" t="s">
        <v>784</v>
      </c>
      <c r="B6" s="369"/>
      <c r="C6" s="34" t="s">
        <v>154</v>
      </c>
      <c r="D6" s="403" t="s">
        <v>155</v>
      </c>
      <c r="E6" s="369"/>
      <c r="F6" s="34" t="s">
        <v>153</v>
      </c>
      <c r="G6" s="403" t="s">
        <v>156</v>
      </c>
      <c r="H6" s="369"/>
      <c r="I6" s="34" t="s">
        <v>153</v>
      </c>
      <c r="J6" s="403" t="s">
        <v>157</v>
      </c>
      <c r="K6" s="369"/>
      <c r="L6" s="34" t="s">
        <v>153</v>
      </c>
      <c r="M6" s="403" t="s">
        <v>158</v>
      </c>
      <c r="N6" s="369"/>
      <c r="O6" s="34" t="s">
        <v>153</v>
      </c>
    </row>
    <row r="7" spans="1:15" ht="15.75" customHeight="1">
      <c r="A7" s="403" t="s">
        <v>159</v>
      </c>
      <c r="B7" s="369"/>
      <c r="C7" s="34" t="s">
        <v>160</v>
      </c>
      <c r="D7" s="403" t="s">
        <v>161</v>
      </c>
      <c r="E7" s="369"/>
      <c r="F7" s="34" t="s">
        <v>153</v>
      </c>
      <c r="G7" s="403" t="s">
        <v>162</v>
      </c>
      <c r="H7" s="369"/>
      <c r="I7" s="34" t="s">
        <v>153</v>
      </c>
      <c r="J7" s="403" t="s">
        <v>163</v>
      </c>
      <c r="K7" s="369"/>
      <c r="L7" s="34" t="s">
        <v>153</v>
      </c>
      <c r="M7" s="403" t="s">
        <v>164</v>
      </c>
      <c r="N7" s="369"/>
      <c r="O7" s="34" t="s">
        <v>153</v>
      </c>
    </row>
    <row r="8" spans="1:15" ht="15.75" customHeight="1">
      <c r="A8" s="403" t="s">
        <v>165</v>
      </c>
      <c r="B8" s="369"/>
      <c r="C8" s="34" t="s">
        <v>153</v>
      </c>
      <c r="D8" s="403" t="s">
        <v>166</v>
      </c>
      <c r="E8" s="369"/>
      <c r="F8" s="34" t="s">
        <v>153</v>
      </c>
      <c r="G8" s="403" t="s">
        <v>167</v>
      </c>
      <c r="H8" s="369"/>
      <c r="I8" s="34" t="s">
        <v>153</v>
      </c>
      <c r="J8" s="403" t="s">
        <v>168</v>
      </c>
      <c r="K8" s="369"/>
      <c r="L8" s="34" t="s">
        <v>153</v>
      </c>
      <c r="M8" s="403" t="s">
        <v>169</v>
      </c>
      <c r="N8" s="369"/>
      <c r="O8" s="34" t="s">
        <v>153</v>
      </c>
    </row>
    <row r="9" spans="1:15" ht="15.75" customHeight="1">
      <c r="A9" s="403" t="s">
        <v>170</v>
      </c>
      <c r="B9" s="369"/>
      <c r="C9" s="34" t="s">
        <v>153</v>
      </c>
      <c r="D9" s="403" t="s">
        <v>171</v>
      </c>
      <c r="E9" s="369"/>
      <c r="F9" s="34" t="s">
        <v>153</v>
      </c>
      <c r="G9" s="403" t="s">
        <v>172</v>
      </c>
      <c r="H9" s="369"/>
      <c r="I9" s="34" t="s">
        <v>153</v>
      </c>
      <c r="J9" s="403" t="s">
        <v>173</v>
      </c>
      <c r="K9" s="369"/>
      <c r="L9" s="34" t="s">
        <v>153</v>
      </c>
      <c r="M9" s="403" t="s">
        <v>174</v>
      </c>
      <c r="N9" s="369"/>
      <c r="O9" s="34" t="s">
        <v>153</v>
      </c>
    </row>
    <row r="10" spans="1:15" ht="15.75" customHeight="1">
      <c r="A10" s="403" t="s">
        <v>175</v>
      </c>
      <c r="B10" s="369"/>
      <c r="C10" s="34" t="s">
        <v>153</v>
      </c>
      <c r="D10" s="403" t="s">
        <v>176</v>
      </c>
      <c r="E10" s="369"/>
      <c r="F10" s="34" t="s">
        <v>153</v>
      </c>
      <c r="G10" s="403" t="s">
        <v>177</v>
      </c>
      <c r="H10" s="369"/>
      <c r="I10" s="34" t="s">
        <v>153</v>
      </c>
      <c r="J10" s="403" t="s">
        <v>178</v>
      </c>
      <c r="K10" s="369"/>
      <c r="L10" s="34" t="s">
        <v>153</v>
      </c>
      <c r="M10" s="403" t="s">
        <v>179</v>
      </c>
      <c r="N10" s="369"/>
      <c r="O10" s="34" t="s">
        <v>153</v>
      </c>
    </row>
    <row r="11" spans="1:15" ht="15.75" customHeight="1">
      <c r="A11" s="403" t="s">
        <v>180</v>
      </c>
      <c r="B11" s="369"/>
      <c r="C11" s="34" t="s">
        <v>153</v>
      </c>
      <c r="D11" s="403" t="s">
        <v>181</v>
      </c>
      <c r="E11" s="369"/>
      <c r="F11" s="34" t="s">
        <v>153</v>
      </c>
      <c r="G11" s="403" t="s">
        <v>182</v>
      </c>
      <c r="H11" s="369"/>
      <c r="I11" s="34" t="s">
        <v>153</v>
      </c>
      <c r="J11" s="403" t="s">
        <v>183</v>
      </c>
      <c r="K11" s="369"/>
      <c r="L11" s="34" t="s">
        <v>153</v>
      </c>
      <c r="M11" s="403" t="s">
        <v>184</v>
      </c>
      <c r="N11" s="369"/>
      <c r="O11" s="34" t="s">
        <v>153</v>
      </c>
    </row>
    <row r="12" spans="1:15" ht="15.75" customHeight="1">
      <c r="A12" s="403" t="s">
        <v>185</v>
      </c>
      <c r="B12" s="369"/>
      <c r="C12" s="34" t="s">
        <v>153</v>
      </c>
      <c r="D12" s="403" t="s">
        <v>186</v>
      </c>
      <c r="E12" s="369"/>
      <c r="F12" s="34" t="s">
        <v>153</v>
      </c>
      <c r="G12" s="403" t="s">
        <v>187</v>
      </c>
      <c r="H12" s="369"/>
      <c r="I12" s="34" t="s">
        <v>153</v>
      </c>
      <c r="J12" s="403" t="s">
        <v>188</v>
      </c>
      <c r="K12" s="369"/>
      <c r="L12" s="34" t="s">
        <v>153</v>
      </c>
      <c r="M12" s="403" t="s">
        <v>189</v>
      </c>
      <c r="N12" s="369"/>
      <c r="O12" s="34" t="s">
        <v>153</v>
      </c>
    </row>
    <row r="13" spans="1:15" ht="15.75" customHeight="1">
      <c r="A13" s="403" t="s">
        <v>190</v>
      </c>
      <c r="B13" s="369"/>
      <c r="C13" s="34" t="s">
        <v>191</v>
      </c>
      <c r="D13" s="403" t="s">
        <v>192</v>
      </c>
      <c r="E13" s="369"/>
      <c r="F13" s="34" t="s">
        <v>153</v>
      </c>
      <c r="G13" s="403" t="s">
        <v>193</v>
      </c>
      <c r="H13" s="369"/>
      <c r="I13" s="34" t="s">
        <v>153</v>
      </c>
      <c r="J13" s="403" t="s">
        <v>194</v>
      </c>
      <c r="K13" s="369"/>
      <c r="L13" s="34" t="s">
        <v>153</v>
      </c>
      <c r="M13" s="403" t="s">
        <v>195</v>
      </c>
      <c r="N13" s="369"/>
      <c r="O13" s="34" t="s">
        <v>153</v>
      </c>
    </row>
    <row r="14" spans="1:15" ht="15.75" customHeight="1">
      <c r="A14" s="403" t="s">
        <v>196</v>
      </c>
      <c r="B14" s="369"/>
      <c r="C14" s="34" t="s">
        <v>153</v>
      </c>
      <c r="D14" s="403" t="s">
        <v>197</v>
      </c>
      <c r="E14" s="369"/>
      <c r="F14" s="34" t="s">
        <v>198</v>
      </c>
      <c r="G14" s="403" t="s">
        <v>199</v>
      </c>
      <c r="H14" s="369"/>
      <c r="I14" s="34" t="s">
        <v>153</v>
      </c>
      <c r="J14" s="403" t="s">
        <v>200</v>
      </c>
      <c r="K14" s="369"/>
      <c r="L14" s="34" t="s">
        <v>153</v>
      </c>
      <c r="M14" s="403" t="s">
        <v>201</v>
      </c>
      <c r="N14" s="369"/>
      <c r="O14" s="34" t="s">
        <v>153</v>
      </c>
    </row>
    <row r="15" spans="1:15" ht="15.75" customHeight="1">
      <c r="A15" s="403" t="s">
        <v>202</v>
      </c>
      <c r="B15" s="369"/>
      <c r="C15" s="34" t="s">
        <v>153</v>
      </c>
      <c r="D15" s="403" t="s">
        <v>203</v>
      </c>
      <c r="E15" s="369"/>
      <c r="F15" s="34" t="s">
        <v>153</v>
      </c>
      <c r="G15" s="403" t="s">
        <v>204</v>
      </c>
      <c r="H15" s="369"/>
      <c r="I15" s="34" t="s">
        <v>153</v>
      </c>
      <c r="J15" s="403" t="s">
        <v>205</v>
      </c>
      <c r="K15" s="369"/>
      <c r="L15" s="34" t="s">
        <v>153</v>
      </c>
      <c r="M15" s="403" t="s">
        <v>206</v>
      </c>
      <c r="N15" s="369"/>
      <c r="O15" s="34" t="s">
        <v>153</v>
      </c>
    </row>
    <row r="16" spans="1:15" ht="15.75" customHeight="1">
      <c r="A16" s="403" t="s">
        <v>207</v>
      </c>
      <c r="B16" s="369"/>
      <c r="C16" s="34" t="s">
        <v>153</v>
      </c>
      <c r="D16" s="403" t="s">
        <v>208</v>
      </c>
      <c r="E16" s="369"/>
      <c r="F16" s="34" t="s">
        <v>153</v>
      </c>
      <c r="G16" s="403" t="s">
        <v>209</v>
      </c>
      <c r="H16" s="369"/>
      <c r="I16" s="34" t="s">
        <v>153</v>
      </c>
      <c r="J16" s="403" t="s">
        <v>210</v>
      </c>
      <c r="K16" s="369"/>
      <c r="L16" s="34" t="s">
        <v>211</v>
      </c>
      <c r="M16" s="403" t="s">
        <v>212</v>
      </c>
      <c r="N16" s="369"/>
      <c r="O16" s="34" t="s">
        <v>153</v>
      </c>
    </row>
    <row r="17" spans="1:15" ht="15.75" customHeight="1">
      <c r="A17" s="403" t="s">
        <v>213</v>
      </c>
      <c r="B17" s="369"/>
      <c r="C17" s="34" t="s">
        <v>153</v>
      </c>
      <c r="D17" s="403" t="s">
        <v>214</v>
      </c>
      <c r="E17" s="369"/>
      <c r="F17" s="34" t="s">
        <v>153</v>
      </c>
      <c r="G17" s="403" t="s">
        <v>215</v>
      </c>
      <c r="H17" s="369"/>
      <c r="I17" s="34" t="s">
        <v>153</v>
      </c>
      <c r="J17" s="403" t="s">
        <v>216</v>
      </c>
      <c r="K17" s="369"/>
      <c r="L17" s="34" t="s">
        <v>153</v>
      </c>
      <c r="M17" s="403" t="s">
        <v>217</v>
      </c>
      <c r="N17" s="369"/>
      <c r="O17" s="34" t="s">
        <v>153</v>
      </c>
    </row>
    <row r="18" spans="1:15" ht="15.75" customHeight="1">
      <c r="A18" s="403" t="s">
        <v>218</v>
      </c>
      <c r="B18" s="369"/>
      <c r="C18" s="34" t="s">
        <v>219</v>
      </c>
      <c r="D18" s="403" t="s">
        <v>220</v>
      </c>
      <c r="E18" s="369"/>
      <c r="F18" s="34" t="s">
        <v>153</v>
      </c>
      <c r="G18" s="403" t="s">
        <v>221</v>
      </c>
      <c r="H18" s="369"/>
      <c r="I18" s="34" t="s">
        <v>153</v>
      </c>
      <c r="J18" s="403" t="s">
        <v>222</v>
      </c>
      <c r="K18" s="369"/>
      <c r="L18" s="34" t="s">
        <v>153</v>
      </c>
      <c r="M18" s="403" t="s">
        <v>223</v>
      </c>
      <c r="N18" s="369"/>
      <c r="O18" s="34" t="s">
        <v>153</v>
      </c>
    </row>
    <row r="19" spans="1:15" ht="15.75" customHeight="1">
      <c r="A19" s="403" t="s">
        <v>224</v>
      </c>
      <c r="B19" s="369"/>
      <c r="C19" s="34" t="s">
        <v>153</v>
      </c>
      <c r="D19" s="403" t="s">
        <v>225</v>
      </c>
      <c r="E19" s="369"/>
      <c r="F19" s="34" t="s">
        <v>153</v>
      </c>
      <c r="G19" s="403" t="s">
        <v>226</v>
      </c>
      <c r="H19" s="369"/>
      <c r="I19" s="34" t="s">
        <v>153</v>
      </c>
      <c r="J19" s="403" t="s">
        <v>227</v>
      </c>
      <c r="K19" s="369"/>
      <c r="L19" s="34" t="s">
        <v>153</v>
      </c>
      <c r="M19" s="403" t="s">
        <v>228</v>
      </c>
      <c r="N19" s="369"/>
      <c r="O19" s="34" t="s">
        <v>153</v>
      </c>
    </row>
    <row r="20" spans="1:15" ht="15.75" customHeight="1">
      <c r="A20" s="403" t="s">
        <v>229</v>
      </c>
      <c r="B20" s="369"/>
      <c r="C20" s="34" t="s">
        <v>153</v>
      </c>
      <c r="D20" s="403" t="s">
        <v>230</v>
      </c>
      <c r="E20" s="369"/>
      <c r="F20" s="34" t="s">
        <v>153</v>
      </c>
      <c r="G20" s="403" t="s">
        <v>231</v>
      </c>
      <c r="H20" s="369"/>
      <c r="I20" s="34" t="s">
        <v>153</v>
      </c>
      <c r="J20" s="403" t="s">
        <v>232</v>
      </c>
      <c r="K20" s="369"/>
      <c r="L20" s="34" t="s">
        <v>153</v>
      </c>
      <c r="M20" s="403" t="s">
        <v>233</v>
      </c>
      <c r="N20" s="369"/>
      <c r="O20" s="34" t="s">
        <v>153</v>
      </c>
    </row>
    <row r="21" spans="1:15" ht="15.75" customHeight="1">
      <c r="A21" s="403" t="s">
        <v>234</v>
      </c>
      <c r="B21" s="369"/>
      <c r="C21" s="34" t="s">
        <v>153</v>
      </c>
      <c r="D21" s="403" t="s">
        <v>235</v>
      </c>
      <c r="E21" s="369"/>
      <c r="F21" s="34" t="s">
        <v>153</v>
      </c>
      <c r="G21" s="403" t="s">
        <v>236</v>
      </c>
      <c r="H21" s="369"/>
      <c r="I21" s="34" t="s">
        <v>153</v>
      </c>
      <c r="J21" s="403" t="s">
        <v>237</v>
      </c>
      <c r="K21" s="369"/>
      <c r="L21" s="34" t="s">
        <v>153</v>
      </c>
      <c r="M21" s="403" t="s">
        <v>238</v>
      </c>
      <c r="N21" s="369"/>
      <c r="O21" s="34" t="s">
        <v>153</v>
      </c>
    </row>
    <row r="22" spans="1:15" ht="15.75" customHeight="1">
      <c r="A22" s="403" t="s">
        <v>239</v>
      </c>
      <c r="B22" s="369"/>
      <c r="C22" s="34" t="s">
        <v>240</v>
      </c>
      <c r="D22" s="403" t="s">
        <v>241</v>
      </c>
      <c r="E22" s="369"/>
      <c r="F22" s="34" t="s">
        <v>153</v>
      </c>
      <c r="G22" s="403" t="s">
        <v>242</v>
      </c>
      <c r="H22" s="369"/>
      <c r="I22" s="34" t="s">
        <v>153</v>
      </c>
      <c r="J22" s="403" t="s">
        <v>243</v>
      </c>
      <c r="K22" s="369"/>
      <c r="L22" s="34" t="s">
        <v>153</v>
      </c>
      <c r="M22" s="403" t="s">
        <v>244</v>
      </c>
      <c r="N22" s="369"/>
      <c r="O22" s="34" t="s">
        <v>153</v>
      </c>
    </row>
    <row r="23" spans="1:15" ht="15.75" customHeight="1">
      <c r="A23" s="403" t="s">
        <v>245</v>
      </c>
      <c r="B23" s="369"/>
      <c r="C23" s="34" t="s">
        <v>153</v>
      </c>
      <c r="D23" s="403" t="s">
        <v>246</v>
      </c>
      <c r="E23" s="369"/>
      <c r="F23" s="34" t="s">
        <v>153</v>
      </c>
      <c r="G23" s="403" t="s">
        <v>247</v>
      </c>
      <c r="H23" s="369"/>
      <c r="I23" s="34" t="s">
        <v>153</v>
      </c>
      <c r="J23" s="403" t="s">
        <v>248</v>
      </c>
      <c r="K23" s="369"/>
      <c r="L23" s="34" t="s">
        <v>153</v>
      </c>
      <c r="M23" s="403" t="s">
        <v>249</v>
      </c>
      <c r="N23" s="369"/>
      <c r="O23" s="34" t="s">
        <v>153</v>
      </c>
    </row>
    <row r="24" spans="1:15" ht="15.75" customHeight="1">
      <c r="A24" s="403" t="s">
        <v>250</v>
      </c>
      <c r="B24" s="369"/>
      <c r="C24" s="34" t="s">
        <v>153</v>
      </c>
      <c r="D24" s="403" t="s">
        <v>251</v>
      </c>
      <c r="E24" s="369"/>
      <c r="F24" s="34" t="s">
        <v>153</v>
      </c>
      <c r="G24" s="403" t="s">
        <v>252</v>
      </c>
      <c r="H24" s="369"/>
      <c r="I24" s="34" t="s">
        <v>153</v>
      </c>
      <c r="J24" s="403" t="s">
        <v>253</v>
      </c>
      <c r="K24" s="369"/>
      <c r="L24" s="34" t="s">
        <v>153</v>
      </c>
      <c r="M24" s="403" t="s">
        <v>254</v>
      </c>
      <c r="N24" s="369"/>
      <c r="O24" s="34" t="s">
        <v>153</v>
      </c>
    </row>
    <row r="25" spans="1:15" ht="15.75" customHeight="1">
      <c r="A25" s="403" t="s">
        <v>255</v>
      </c>
      <c r="B25" s="369"/>
      <c r="C25" s="34" t="s">
        <v>153</v>
      </c>
      <c r="D25" s="403" t="s">
        <v>256</v>
      </c>
      <c r="E25" s="369"/>
      <c r="F25" s="34" t="s">
        <v>153</v>
      </c>
      <c r="G25" s="403" t="s">
        <v>257</v>
      </c>
      <c r="H25" s="369"/>
      <c r="I25" s="34" t="s">
        <v>153</v>
      </c>
      <c r="J25" s="403" t="s">
        <v>258</v>
      </c>
      <c r="K25" s="369"/>
      <c r="L25" s="34" t="s">
        <v>153</v>
      </c>
      <c r="M25" s="403" t="s">
        <v>120</v>
      </c>
      <c r="N25" s="369"/>
      <c r="O25" s="34" t="s">
        <v>153</v>
      </c>
    </row>
    <row r="26" spans="1:15" ht="15.75" customHeight="1">
      <c r="A26" s="403" t="s">
        <v>259</v>
      </c>
      <c r="B26" s="369"/>
      <c r="C26" s="34" t="s">
        <v>153</v>
      </c>
      <c r="D26" s="403" t="s">
        <v>260</v>
      </c>
      <c r="E26" s="369"/>
      <c r="F26" s="34" t="s">
        <v>153</v>
      </c>
      <c r="G26" s="403" t="s">
        <v>261</v>
      </c>
      <c r="H26" s="369"/>
      <c r="I26" s="34" t="s">
        <v>153</v>
      </c>
      <c r="J26" s="403" t="s">
        <v>262</v>
      </c>
      <c r="K26" s="369"/>
      <c r="L26" s="34" t="s">
        <v>153</v>
      </c>
      <c r="M26" s="403" t="s">
        <v>263</v>
      </c>
      <c r="N26" s="369"/>
      <c r="O26" s="34" t="s">
        <v>153</v>
      </c>
    </row>
    <row r="27" spans="1:15" ht="15.75" customHeight="1">
      <c r="A27" s="403" t="s">
        <v>264</v>
      </c>
      <c r="B27" s="369"/>
      <c r="C27" s="34" t="s">
        <v>153</v>
      </c>
      <c r="D27" s="403" t="s">
        <v>265</v>
      </c>
      <c r="E27" s="369"/>
      <c r="F27" s="34" t="s">
        <v>266</v>
      </c>
      <c r="G27" s="403" t="s">
        <v>267</v>
      </c>
      <c r="H27" s="369"/>
      <c r="I27" s="34" t="s">
        <v>153</v>
      </c>
      <c r="J27" s="403" t="s">
        <v>268</v>
      </c>
      <c r="K27" s="369"/>
      <c r="L27" s="34" t="s">
        <v>153</v>
      </c>
      <c r="M27" s="403" t="s">
        <v>269</v>
      </c>
      <c r="N27" s="369"/>
      <c r="O27" s="34" t="s">
        <v>153</v>
      </c>
    </row>
    <row r="28" spans="1:15" ht="15.75" customHeight="1">
      <c r="A28" s="403" t="s">
        <v>270</v>
      </c>
      <c r="B28" s="369"/>
      <c r="C28" s="34" t="s">
        <v>153</v>
      </c>
      <c r="D28" s="403" t="s">
        <v>271</v>
      </c>
      <c r="E28" s="369"/>
      <c r="F28" s="34" t="s">
        <v>153</v>
      </c>
      <c r="G28" s="403" t="s">
        <v>272</v>
      </c>
      <c r="H28" s="369"/>
      <c r="I28" s="34" t="s">
        <v>153</v>
      </c>
      <c r="J28" s="403" t="s">
        <v>273</v>
      </c>
      <c r="K28" s="369"/>
      <c r="L28" s="34" t="s">
        <v>153</v>
      </c>
      <c r="M28" s="403" t="s">
        <v>274</v>
      </c>
      <c r="N28" s="369"/>
      <c r="O28" s="34" t="s">
        <v>153</v>
      </c>
    </row>
    <row r="29" spans="1:15" ht="15.75" customHeight="1">
      <c r="A29" s="403" t="s">
        <v>275</v>
      </c>
      <c r="B29" s="369"/>
      <c r="C29" s="34" t="s">
        <v>153</v>
      </c>
      <c r="D29" s="403" t="s">
        <v>276</v>
      </c>
      <c r="E29" s="369"/>
      <c r="F29" s="34" t="s">
        <v>153</v>
      </c>
      <c r="G29" s="403" t="s">
        <v>277</v>
      </c>
      <c r="H29" s="369"/>
      <c r="I29" s="34" t="s">
        <v>153</v>
      </c>
      <c r="J29" s="403" t="s">
        <v>278</v>
      </c>
      <c r="K29" s="369"/>
      <c r="L29" s="34" t="s">
        <v>153</v>
      </c>
      <c r="M29" s="403" t="s">
        <v>279</v>
      </c>
      <c r="N29" s="369"/>
      <c r="O29" s="34" t="s">
        <v>153</v>
      </c>
    </row>
    <row r="30" spans="1:15" ht="15.75" customHeight="1">
      <c r="A30" s="403" t="s">
        <v>280</v>
      </c>
      <c r="B30" s="369"/>
      <c r="C30" s="34" t="s">
        <v>281</v>
      </c>
      <c r="D30" s="403" t="s">
        <v>282</v>
      </c>
      <c r="E30" s="369"/>
      <c r="F30" s="34" t="s">
        <v>153</v>
      </c>
      <c r="G30" s="403" t="s">
        <v>283</v>
      </c>
      <c r="H30" s="369"/>
      <c r="I30" s="34" t="s">
        <v>284</v>
      </c>
      <c r="J30" s="403" t="s">
        <v>285</v>
      </c>
      <c r="K30" s="369"/>
      <c r="L30" s="34" t="s">
        <v>153</v>
      </c>
      <c r="M30" s="403" t="s">
        <v>286</v>
      </c>
      <c r="N30" s="369"/>
      <c r="O30" s="34" t="s">
        <v>153</v>
      </c>
    </row>
    <row r="31" spans="1:15" ht="15.75" customHeight="1">
      <c r="A31" s="403" t="s">
        <v>287</v>
      </c>
      <c r="B31" s="369"/>
      <c r="C31" s="34" t="s">
        <v>153</v>
      </c>
      <c r="D31" s="403" t="s">
        <v>288</v>
      </c>
      <c r="E31" s="369"/>
      <c r="F31" s="34" t="s">
        <v>153</v>
      </c>
      <c r="G31" s="403" t="s">
        <v>289</v>
      </c>
      <c r="H31" s="369"/>
      <c r="I31" s="34" t="s">
        <v>153</v>
      </c>
      <c r="J31" s="403" t="s">
        <v>290</v>
      </c>
      <c r="K31" s="369"/>
      <c r="L31" s="34" t="s">
        <v>291</v>
      </c>
      <c r="M31" s="403" t="s">
        <v>292</v>
      </c>
      <c r="N31" s="369"/>
      <c r="O31" s="34" t="s">
        <v>153</v>
      </c>
    </row>
    <row r="32" spans="1:15" ht="15.75" customHeight="1">
      <c r="A32" s="403" t="s">
        <v>293</v>
      </c>
      <c r="B32" s="369"/>
      <c r="C32" s="34" t="s">
        <v>153</v>
      </c>
      <c r="D32" s="403" t="s">
        <v>294</v>
      </c>
      <c r="E32" s="369"/>
      <c r="F32" s="34" t="s">
        <v>153</v>
      </c>
      <c r="G32" s="403" t="s">
        <v>295</v>
      </c>
      <c r="H32" s="369"/>
      <c r="I32" s="34" t="s">
        <v>153</v>
      </c>
      <c r="J32" s="403" t="s">
        <v>296</v>
      </c>
      <c r="K32" s="369"/>
      <c r="L32" s="34" t="s">
        <v>153</v>
      </c>
      <c r="M32" s="403" t="s">
        <v>297</v>
      </c>
      <c r="N32" s="369"/>
      <c r="O32" s="34" t="s">
        <v>153</v>
      </c>
    </row>
    <row r="33" spans="1:15" ht="15.75" customHeight="1">
      <c r="A33" s="403" t="s">
        <v>298</v>
      </c>
      <c r="B33" s="369"/>
      <c r="C33" s="34" t="s">
        <v>153</v>
      </c>
      <c r="D33" s="403" t="s">
        <v>299</v>
      </c>
      <c r="E33" s="369"/>
      <c r="F33" s="34" t="s">
        <v>153</v>
      </c>
      <c r="G33" s="403" t="s">
        <v>300</v>
      </c>
      <c r="H33" s="369"/>
      <c r="I33" s="34" t="s">
        <v>153</v>
      </c>
      <c r="J33" s="403" t="s">
        <v>301</v>
      </c>
      <c r="K33" s="369"/>
      <c r="L33" s="34" t="s">
        <v>153</v>
      </c>
      <c r="M33" s="403" t="s">
        <v>302</v>
      </c>
      <c r="N33" s="369"/>
      <c r="O33" s="34" t="s">
        <v>153</v>
      </c>
    </row>
    <row r="34" spans="1:15" ht="15.75" customHeight="1">
      <c r="A34" s="403" t="s">
        <v>303</v>
      </c>
      <c r="B34" s="369"/>
      <c r="C34" s="34" t="s">
        <v>153</v>
      </c>
      <c r="D34" s="403" t="s">
        <v>304</v>
      </c>
      <c r="E34" s="369"/>
      <c r="F34" s="34" t="s">
        <v>153</v>
      </c>
      <c r="G34" s="403" t="s">
        <v>305</v>
      </c>
      <c r="H34" s="369"/>
      <c r="I34" s="34" t="s">
        <v>153</v>
      </c>
      <c r="J34" s="403" t="s">
        <v>306</v>
      </c>
      <c r="K34" s="369"/>
      <c r="L34" s="34" t="s">
        <v>153</v>
      </c>
      <c r="M34" s="403" t="s">
        <v>307</v>
      </c>
      <c r="N34" s="369"/>
      <c r="O34" s="34" t="s">
        <v>153</v>
      </c>
    </row>
    <row r="35" spans="1:15" ht="15.75" customHeight="1">
      <c r="A35" s="403" t="s">
        <v>308</v>
      </c>
      <c r="B35" s="369"/>
      <c r="C35" s="34" t="s">
        <v>153</v>
      </c>
      <c r="D35" s="403" t="s">
        <v>309</v>
      </c>
      <c r="E35" s="369"/>
      <c r="F35" s="34" t="s">
        <v>153</v>
      </c>
      <c r="G35" s="403" t="s">
        <v>310</v>
      </c>
      <c r="H35" s="369"/>
      <c r="I35" s="34" t="s">
        <v>153</v>
      </c>
      <c r="J35" s="403" t="s">
        <v>311</v>
      </c>
      <c r="K35" s="369"/>
      <c r="L35" s="34" t="s">
        <v>153</v>
      </c>
      <c r="M35" s="403" t="s">
        <v>312</v>
      </c>
      <c r="N35" s="369"/>
      <c r="O35" s="34" t="s">
        <v>153</v>
      </c>
    </row>
    <row r="36" spans="1:15" ht="12.75">
      <c r="A36" s="403" t="s">
        <v>313</v>
      </c>
      <c r="B36" s="369"/>
      <c r="C36" s="34" t="s">
        <v>153</v>
      </c>
      <c r="D36" s="403" t="s">
        <v>314</v>
      </c>
      <c r="E36" s="369"/>
      <c r="F36" s="34" t="s">
        <v>153</v>
      </c>
      <c r="G36" s="403" t="s">
        <v>315</v>
      </c>
      <c r="H36" s="369"/>
      <c r="I36" s="34" t="s">
        <v>153</v>
      </c>
      <c r="J36" s="403" t="s">
        <v>316</v>
      </c>
      <c r="K36" s="369"/>
      <c r="L36" s="34" t="s">
        <v>153</v>
      </c>
      <c r="M36" s="403" t="s">
        <v>317</v>
      </c>
      <c r="N36" s="369"/>
      <c r="O36" s="34" t="s">
        <v>153</v>
      </c>
    </row>
    <row r="37" spans="1:15" ht="12.75">
      <c r="A37" s="403" t="s">
        <v>318</v>
      </c>
      <c r="B37" s="369"/>
      <c r="C37" s="34" t="s">
        <v>153</v>
      </c>
      <c r="D37" s="403" t="s">
        <v>319</v>
      </c>
      <c r="E37" s="369"/>
      <c r="F37" s="34" t="s">
        <v>153</v>
      </c>
      <c r="G37" s="403" t="s">
        <v>320</v>
      </c>
      <c r="H37" s="369"/>
      <c r="I37" s="34" t="s">
        <v>153</v>
      </c>
      <c r="J37" s="403" t="s">
        <v>321</v>
      </c>
      <c r="K37" s="369"/>
      <c r="L37" s="34" t="s">
        <v>153</v>
      </c>
      <c r="M37" s="403" t="s">
        <v>322</v>
      </c>
      <c r="N37" s="369"/>
      <c r="O37" s="34" t="s">
        <v>323</v>
      </c>
    </row>
    <row r="38" spans="1:15" ht="12.75">
      <c r="A38" s="403" t="s">
        <v>324</v>
      </c>
      <c r="B38" s="369"/>
      <c r="C38" s="34" t="s">
        <v>153</v>
      </c>
      <c r="D38" s="403" t="s">
        <v>325</v>
      </c>
      <c r="E38" s="369"/>
      <c r="F38" s="34" t="s">
        <v>153</v>
      </c>
      <c r="G38" s="403" t="s">
        <v>326</v>
      </c>
      <c r="H38" s="369"/>
      <c r="I38" s="34" t="s">
        <v>153</v>
      </c>
      <c r="J38" s="403" t="s">
        <v>327</v>
      </c>
      <c r="K38" s="369"/>
      <c r="L38" s="34" t="s">
        <v>328</v>
      </c>
      <c r="M38" s="403" t="s">
        <v>329</v>
      </c>
      <c r="N38" s="369"/>
      <c r="O38" s="34" t="s">
        <v>153</v>
      </c>
    </row>
    <row r="39" spans="1:15" ht="12.75">
      <c r="A39" s="403" t="s">
        <v>330</v>
      </c>
      <c r="B39" s="369"/>
      <c r="C39" s="34" t="s">
        <v>153</v>
      </c>
      <c r="D39" s="403" t="s">
        <v>331</v>
      </c>
      <c r="E39" s="369"/>
      <c r="F39" s="34" t="s">
        <v>153</v>
      </c>
      <c r="G39" s="403" t="s">
        <v>332</v>
      </c>
      <c r="H39" s="369"/>
      <c r="I39" s="34" t="s">
        <v>153</v>
      </c>
      <c r="J39" s="403" t="s">
        <v>333</v>
      </c>
      <c r="K39" s="369"/>
      <c r="L39" s="34" t="s">
        <v>153</v>
      </c>
      <c r="M39" s="403" t="s">
        <v>334</v>
      </c>
      <c r="N39" s="369"/>
      <c r="O39" s="34" t="s">
        <v>153</v>
      </c>
    </row>
    <row r="40" spans="1:15" ht="12.75">
      <c r="A40" s="403" t="s">
        <v>335</v>
      </c>
      <c r="B40" s="369"/>
      <c r="C40" s="34" t="s">
        <v>153</v>
      </c>
      <c r="D40" s="403" t="s">
        <v>336</v>
      </c>
      <c r="E40" s="369"/>
      <c r="F40" s="34" t="s">
        <v>153</v>
      </c>
      <c r="G40" s="403" t="s">
        <v>337</v>
      </c>
      <c r="H40" s="369"/>
      <c r="I40" s="34" t="s">
        <v>153</v>
      </c>
      <c r="J40" s="403" t="s">
        <v>338</v>
      </c>
      <c r="K40" s="369"/>
      <c r="L40" s="34" t="s">
        <v>153</v>
      </c>
      <c r="M40" s="403" t="s">
        <v>339</v>
      </c>
      <c r="N40" s="369"/>
      <c r="O40" s="34" t="s">
        <v>153</v>
      </c>
    </row>
    <row r="41" spans="1:15" ht="12.75">
      <c r="A41" s="403" t="s">
        <v>340</v>
      </c>
      <c r="B41" s="369"/>
      <c r="C41" s="34" t="s">
        <v>153</v>
      </c>
      <c r="D41" s="403" t="s">
        <v>341</v>
      </c>
      <c r="E41" s="369"/>
      <c r="F41" s="34" t="s">
        <v>153</v>
      </c>
      <c r="G41" s="403" t="s">
        <v>342</v>
      </c>
      <c r="H41" s="369"/>
      <c r="I41" s="34" t="s">
        <v>153</v>
      </c>
      <c r="J41" s="403" t="s">
        <v>343</v>
      </c>
      <c r="K41" s="369"/>
      <c r="L41" s="34" t="s">
        <v>153</v>
      </c>
      <c r="M41" s="403" t="s">
        <v>344</v>
      </c>
      <c r="N41" s="369"/>
      <c r="O41" s="34" t="s">
        <v>153</v>
      </c>
    </row>
    <row r="42" spans="1:15" ht="12.75">
      <c r="A42" s="403" t="s">
        <v>345</v>
      </c>
      <c r="B42" s="369"/>
      <c r="C42" s="34" t="s">
        <v>153</v>
      </c>
      <c r="D42" s="403" t="s">
        <v>346</v>
      </c>
      <c r="E42" s="369"/>
      <c r="F42" s="34" t="s">
        <v>153</v>
      </c>
      <c r="G42" s="403" t="s">
        <v>347</v>
      </c>
      <c r="H42" s="369"/>
      <c r="I42" s="34" t="s">
        <v>348</v>
      </c>
      <c r="J42" s="403" t="s">
        <v>349</v>
      </c>
      <c r="K42" s="369"/>
      <c r="L42" s="34" t="s">
        <v>153</v>
      </c>
      <c r="M42" s="404" t="s">
        <v>350</v>
      </c>
      <c r="N42" s="361"/>
      <c r="O42" s="35" t="s">
        <v>153</v>
      </c>
    </row>
    <row r="43" spans="1:15" ht="12.75">
      <c r="A43" s="403" t="s">
        <v>351</v>
      </c>
      <c r="B43" s="369"/>
      <c r="C43" s="34" t="s">
        <v>153</v>
      </c>
      <c r="D43" s="403" t="s">
        <v>352</v>
      </c>
      <c r="E43" s="369"/>
      <c r="F43" s="34" t="s">
        <v>153</v>
      </c>
      <c r="G43" s="403" t="s">
        <v>353</v>
      </c>
      <c r="H43" s="369"/>
      <c r="I43" s="34" t="s">
        <v>153</v>
      </c>
      <c r="J43" s="403" t="s">
        <v>354</v>
      </c>
      <c r="K43" s="369"/>
      <c r="L43" s="34" t="s">
        <v>153</v>
      </c>
      <c r="M43" s="36"/>
      <c r="N43" s="36"/>
      <c r="O43" s="37"/>
    </row>
    <row r="44" spans="1:15" ht="12.75">
      <c r="A44" s="403" t="s">
        <v>355</v>
      </c>
      <c r="B44" s="369"/>
      <c r="C44" s="34" t="s">
        <v>153</v>
      </c>
      <c r="D44" s="403" t="s">
        <v>356</v>
      </c>
      <c r="E44" s="369"/>
      <c r="F44" s="34" t="s">
        <v>153</v>
      </c>
      <c r="G44" s="403" t="s">
        <v>357</v>
      </c>
      <c r="H44" s="369"/>
      <c r="I44" s="34" t="s">
        <v>153</v>
      </c>
      <c r="J44" s="403" t="s">
        <v>358</v>
      </c>
      <c r="K44" s="369"/>
      <c r="L44" s="34" t="s">
        <v>153</v>
      </c>
      <c r="M44" s="36"/>
      <c r="N44" s="36"/>
      <c r="O44" s="37"/>
    </row>
    <row r="45" spans="1:15" ht="12.75">
      <c r="A45" s="403" t="s">
        <v>359</v>
      </c>
      <c r="B45" s="369"/>
      <c r="C45" s="34" t="s">
        <v>153</v>
      </c>
      <c r="D45" s="403" t="s">
        <v>360</v>
      </c>
      <c r="E45" s="369"/>
      <c r="F45" s="34" t="s">
        <v>153</v>
      </c>
      <c r="G45" s="404" t="s">
        <v>361</v>
      </c>
      <c r="H45" s="361"/>
      <c r="I45" s="35" t="s">
        <v>153</v>
      </c>
      <c r="J45" s="403" t="s">
        <v>362</v>
      </c>
      <c r="K45" s="369"/>
      <c r="L45" s="34" t="s">
        <v>153</v>
      </c>
      <c r="M45" s="36"/>
      <c r="N45" s="36"/>
      <c r="O45" s="37"/>
    </row>
    <row r="46" spans="1:15" ht="12.75">
      <c r="A46" s="403" t="s">
        <v>363</v>
      </c>
      <c r="B46" s="369"/>
      <c r="C46" s="34" t="s">
        <v>153</v>
      </c>
      <c r="D46" s="403" t="s">
        <v>364</v>
      </c>
      <c r="E46" s="369"/>
      <c r="F46" s="34" t="s">
        <v>365</v>
      </c>
      <c r="G46" s="36"/>
      <c r="H46" s="36"/>
      <c r="I46" s="37"/>
      <c r="J46" s="403" t="s">
        <v>366</v>
      </c>
      <c r="K46" s="369"/>
      <c r="L46" s="34" t="s">
        <v>153</v>
      </c>
      <c r="M46" s="36"/>
      <c r="N46" s="36"/>
      <c r="O46" s="37"/>
    </row>
    <row r="47" spans="1:15" ht="12.75">
      <c r="A47" s="403" t="s">
        <v>367</v>
      </c>
      <c r="B47" s="369"/>
      <c r="C47" s="34" t="s">
        <v>368</v>
      </c>
      <c r="D47" s="403" t="s">
        <v>369</v>
      </c>
      <c r="E47" s="369"/>
      <c r="F47" s="34" t="s">
        <v>153</v>
      </c>
      <c r="G47" s="36"/>
      <c r="H47" s="36"/>
      <c r="I47" s="37"/>
      <c r="J47" s="403" t="s">
        <v>370</v>
      </c>
      <c r="K47" s="369"/>
      <c r="L47" s="34" t="s">
        <v>153</v>
      </c>
      <c r="M47" s="36"/>
      <c r="N47" s="36"/>
      <c r="O47" s="37"/>
    </row>
    <row r="48" spans="1:15" ht="12.75">
      <c r="A48" s="404" t="s">
        <v>371</v>
      </c>
      <c r="B48" s="361"/>
      <c r="C48" s="35" t="s">
        <v>153</v>
      </c>
      <c r="D48" s="403" t="s">
        <v>372</v>
      </c>
      <c r="E48" s="369"/>
      <c r="F48" s="34" t="s">
        <v>153</v>
      </c>
      <c r="G48" s="36"/>
      <c r="H48" s="36"/>
      <c r="I48" s="37"/>
      <c r="J48" s="403" t="s">
        <v>373</v>
      </c>
      <c r="K48" s="369"/>
      <c r="L48" s="34" t="s">
        <v>153</v>
      </c>
      <c r="M48" s="36"/>
      <c r="N48" s="36"/>
      <c r="O48" s="37"/>
    </row>
    <row r="49" spans="1:15" ht="12.75">
      <c r="A49" s="36"/>
      <c r="B49" s="36"/>
      <c r="C49" s="37"/>
      <c r="D49" s="403" t="s">
        <v>374</v>
      </c>
      <c r="E49" s="369"/>
      <c r="F49" s="34" t="s">
        <v>153</v>
      </c>
      <c r="G49" s="36"/>
      <c r="H49" s="36"/>
      <c r="I49" s="37"/>
      <c r="J49" s="403" t="s">
        <v>375</v>
      </c>
      <c r="K49" s="369"/>
      <c r="L49" s="34" t="s">
        <v>153</v>
      </c>
      <c r="M49" s="36"/>
      <c r="N49" s="36"/>
      <c r="O49" s="37"/>
    </row>
    <row r="50" spans="1:15" ht="12.75">
      <c r="A50" s="36"/>
      <c r="B50" s="36"/>
      <c r="C50" s="37"/>
      <c r="D50" s="403" t="s">
        <v>376</v>
      </c>
      <c r="E50" s="369"/>
      <c r="F50" s="34" t="s">
        <v>153</v>
      </c>
      <c r="G50" s="36"/>
      <c r="H50" s="36"/>
      <c r="I50" s="37"/>
      <c r="J50" s="403" t="s">
        <v>377</v>
      </c>
      <c r="K50" s="369"/>
      <c r="L50" s="34" t="s">
        <v>153</v>
      </c>
      <c r="M50" s="36"/>
      <c r="N50" s="36"/>
      <c r="O50" s="37"/>
    </row>
    <row r="51" spans="1:15" ht="12.75">
      <c r="A51" s="36"/>
      <c r="B51" s="36"/>
      <c r="C51" s="37"/>
      <c r="D51" s="403" t="s">
        <v>378</v>
      </c>
      <c r="E51" s="369"/>
      <c r="F51" s="34" t="s">
        <v>153</v>
      </c>
      <c r="G51" s="36"/>
      <c r="H51" s="36"/>
      <c r="I51" s="37"/>
      <c r="J51" s="404" t="s">
        <v>379</v>
      </c>
      <c r="K51" s="361"/>
      <c r="L51" s="35" t="s">
        <v>153</v>
      </c>
      <c r="M51" s="36"/>
      <c r="N51" s="36"/>
      <c r="O51" s="37"/>
    </row>
    <row r="52" spans="1:15" ht="12.75">
      <c r="A52" s="36"/>
      <c r="B52" s="36"/>
      <c r="C52" s="37"/>
      <c r="D52" s="403" t="s">
        <v>380</v>
      </c>
      <c r="E52" s="369"/>
      <c r="F52" s="34" t="s">
        <v>153</v>
      </c>
      <c r="G52" s="36"/>
      <c r="H52" s="36"/>
      <c r="I52" s="37"/>
      <c r="J52" s="36"/>
      <c r="K52" s="36"/>
      <c r="L52" s="37"/>
      <c r="M52" s="36"/>
      <c r="N52" s="36"/>
      <c r="O52" s="37"/>
    </row>
    <row r="53" spans="1:15" ht="12.75">
      <c r="A53" s="36"/>
      <c r="B53" s="36"/>
      <c r="C53" s="37"/>
      <c r="D53" s="403" t="s">
        <v>381</v>
      </c>
      <c r="E53" s="369"/>
      <c r="F53" s="34" t="s">
        <v>153</v>
      </c>
      <c r="G53" s="36"/>
      <c r="H53" s="36"/>
      <c r="I53" s="37"/>
      <c r="J53" s="36"/>
      <c r="K53" s="36"/>
      <c r="L53" s="37"/>
      <c r="M53" s="36"/>
      <c r="N53" s="36"/>
      <c r="O53" s="37"/>
    </row>
    <row r="54" spans="1:15" ht="12.75">
      <c r="A54" s="36"/>
      <c r="B54" s="36"/>
      <c r="C54" s="37"/>
      <c r="D54" s="403" t="s">
        <v>382</v>
      </c>
      <c r="E54" s="369"/>
      <c r="F54" s="34" t="s">
        <v>153</v>
      </c>
      <c r="G54" s="36"/>
      <c r="H54" s="36"/>
      <c r="I54" s="37"/>
      <c r="J54" s="36"/>
      <c r="K54" s="36"/>
      <c r="L54" s="37"/>
      <c r="M54" s="36"/>
      <c r="N54" s="36"/>
      <c r="O54" s="37"/>
    </row>
    <row r="55" spans="1:15" ht="12.75">
      <c r="A55" s="36"/>
      <c r="B55" s="36"/>
      <c r="C55" s="37"/>
      <c r="D55" s="404" t="s">
        <v>383</v>
      </c>
      <c r="E55" s="361"/>
      <c r="F55" s="35" t="s">
        <v>153</v>
      </c>
      <c r="G55" s="36"/>
      <c r="H55" s="36"/>
      <c r="I55" s="37"/>
      <c r="J55" s="36"/>
      <c r="K55" s="36"/>
      <c r="L55" s="37"/>
      <c r="M55" s="36"/>
      <c r="N55" s="36"/>
      <c r="O55" s="37"/>
    </row>
    <row r="56" spans="1:15" ht="12.75">
      <c r="C56" s="31"/>
      <c r="F56" s="31"/>
      <c r="I56" s="31"/>
      <c r="L56" s="31"/>
      <c r="O56" s="31"/>
    </row>
    <row r="57" spans="1:15" ht="12.75">
      <c r="I57" s="31"/>
      <c r="L57" s="31"/>
      <c r="O57" s="31"/>
    </row>
    <row r="58" spans="1:15" ht="12.75">
      <c r="A58" s="407" t="s">
        <v>384</v>
      </c>
      <c r="B58" s="357"/>
      <c r="C58" s="358"/>
      <c r="D58" s="395" t="s">
        <v>385</v>
      </c>
      <c r="E58" s="357"/>
      <c r="F58" s="358"/>
      <c r="H58" s="407" t="s">
        <v>386</v>
      </c>
      <c r="I58" s="357"/>
      <c r="J58" s="358"/>
      <c r="K58" s="399" t="s">
        <v>387</v>
      </c>
      <c r="L58" s="358"/>
      <c r="O58" s="31"/>
    </row>
    <row r="59" spans="1:15" ht="12.75">
      <c r="A59" s="359"/>
      <c r="B59" s="360"/>
      <c r="C59" s="361"/>
      <c r="D59" s="359"/>
      <c r="E59" s="360"/>
      <c r="F59" s="361"/>
      <c r="H59" s="359"/>
      <c r="I59" s="360"/>
      <c r="J59" s="361"/>
      <c r="K59" s="359"/>
      <c r="L59" s="361"/>
      <c r="O59" s="31"/>
    </row>
    <row r="60" spans="1:15" ht="12.75">
      <c r="A60" s="26" t="s">
        <v>130</v>
      </c>
      <c r="B60" s="26" t="s">
        <v>388</v>
      </c>
      <c r="C60" s="26" t="s">
        <v>389</v>
      </c>
      <c r="D60" s="26" t="s">
        <v>130</v>
      </c>
      <c r="E60" s="26" t="s">
        <v>388</v>
      </c>
      <c r="F60" s="26" t="s">
        <v>389</v>
      </c>
      <c r="H60" s="26" t="s">
        <v>131</v>
      </c>
      <c r="I60" s="26" t="s">
        <v>390</v>
      </c>
      <c r="J60" s="26" t="s">
        <v>391</v>
      </c>
      <c r="K60" s="26" t="s">
        <v>392</v>
      </c>
      <c r="L60" s="26" t="s">
        <v>393</v>
      </c>
      <c r="M60" s="38"/>
      <c r="N60" s="38"/>
      <c r="O60" s="38"/>
    </row>
    <row r="61" spans="1:15" ht="12.75">
      <c r="A61" s="39" t="s">
        <v>27</v>
      </c>
      <c r="B61" s="21" t="s">
        <v>394</v>
      </c>
      <c r="C61" s="21" t="s">
        <v>394</v>
      </c>
      <c r="D61" s="39" t="s">
        <v>37</v>
      </c>
      <c r="E61" s="21" t="s">
        <v>395</v>
      </c>
      <c r="F61" s="21" t="s">
        <v>394</v>
      </c>
      <c r="H61" s="40" t="s">
        <v>132</v>
      </c>
      <c r="I61" s="41" t="e">
        <f t="array" aca="1" ref="I61:I70" ca="1">Ag!CH46:CH55&amp;IF(Ag!CH47:CH56="",""," to "&amp;Ag!CH47:CH56-1)</f>
        <v>#NAME?</v>
      </c>
      <c r="J61" s="21" t="e">
        <f t="array" aca="1" ref="J61:J70" ca="1">Ag!CH58:CH67&amp;IF(Ag!CH59:CH68="",""," to "&amp;Ag!CH59:CH68-1)</f>
        <v>#NAME?</v>
      </c>
      <c r="K61" s="21" t="e">
        <f t="array" aca="1" ref="K61:K70" ca="1">Ag!CH70:CH79&amp;IF(Ag!CH71:CH80="",""," to "&amp;Ag!CH71:CH80-1)</f>
        <v>#NAME?</v>
      </c>
      <c r="L61" s="41" t="s">
        <v>396</v>
      </c>
      <c r="O61" s="31"/>
    </row>
    <row r="62" spans="1:15" ht="12.75">
      <c r="A62" s="39" t="s">
        <v>32</v>
      </c>
      <c r="B62" s="21" t="s">
        <v>394</v>
      </c>
      <c r="C62" s="21" t="s">
        <v>394</v>
      </c>
      <c r="D62" s="39" t="s">
        <v>38</v>
      </c>
      <c r="E62" s="21" t="s">
        <v>397</v>
      </c>
      <c r="F62" s="21" t="s">
        <v>394</v>
      </c>
      <c r="H62" s="40" t="s">
        <v>134</v>
      </c>
      <c r="I62" s="41" t="e">
        <f ca="1"/>
        <v>#NAME?</v>
      </c>
      <c r="J62" s="21" t="e">
        <f ca="1"/>
        <v>#NAME?</v>
      </c>
      <c r="K62" s="21" t="e">
        <f ca="1"/>
        <v>#NAME?</v>
      </c>
      <c r="L62" s="41" t="s">
        <v>398</v>
      </c>
      <c r="O62" s="31"/>
    </row>
    <row r="63" spans="1:15" ht="12.75">
      <c r="A63" s="39" t="s">
        <v>51</v>
      </c>
      <c r="B63" s="21" t="s">
        <v>394</v>
      </c>
      <c r="C63" s="21" t="s">
        <v>394</v>
      </c>
      <c r="D63" s="39" t="s">
        <v>44</v>
      </c>
      <c r="E63" s="21" t="s">
        <v>399</v>
      </c>
      <c r="F63" s="21" t="s">
        <v>394</v>
      </c>
      <c r="H63" s="40" t="s">
        <v>136</v>
      </c>
      <c r="I63" s="41" t="e">
        <f ca="1"/>
        <v>#NAME?</v>
      </c>
      <c r="J63" s="21" t="e">
        <f ca="1"/>
        <v>#NAME?</v>
      </c>
      <c r="K63" s="21" t="e">
        <f ca="1"/>
        <v>#NAME?</v>
      </c>
      <c r="L63" s="41" t="s">
        <v>400</v>
      </c>
      <c r="O63" s="31"/>
    </row>
    <row r="64" spans="1:15" ht="12.75">
      <c r="A64" s="39" t="s">
        <v>54</v>
      </c>
      <c r="B64" s="21" t="s">
        <v>394</v>
      </c>
      <c r="C64" s="21" t="s">
        <v>394</v>
      </c>
      <c r="D64" s="39" t="s">
        <v>50</v>
      </c>
      <c r="E64" s="21" t="s">
        <v>401</v>
      </c>
      <c r="F64" s="21" t="s">
        <v>394</v>
      </c>
      <c r="H64" s="40" t="s">
        <v>138</v>
      </c>
      <c r="I64" s="41" t="e">
        <f ca="1"/>
        <v>#NAME?</v>
      </c>
      <c r="J64" s="21" t="e">
        <f ca="1"/>
        <v>#NAME?</v>
      </c>
      <c r="K64" s="21" t="e">
        <f ca="1"/>
        <v>#NAME?</v>
      </c>
      <c r="L64" s="41" t="s">
        <v>402</v>
      </c>
      <c r="O64" s="31"/>
    </row>
    <row r="65" spans="1:15" ht="12.75">
      <c r="A65" s="39" t="s">
        <v>403</v>
      </c>
      <c r="B65" s="21" t="s">
        <v>394</v>
      </c>
      <c r="C65" s="21" t="s">
        <v>394</v>
      </c>
      <c r="D65" s="39" t="s">
        <v>35</v>
      </c>
      <c r="E65" s="21" t="s">
        <v>404</v>
      </c>
      <c r="F65" s="21" t="s">
        <v>394</v>
      </c>
      <c r="H65" s="40" t="s">
        <v>140</v>
      </c>
      <c r="I65" s="41" t="e">
        <f ca="1"/>
        <v>#NAME?</v>
      </c>
      <c r="J65" s="21" t="e">
        <f ca="1"/>
        <v>#NAME?</v>
      </c>
      <c r="K65" s="21" t="e">
        <f ca="1"/>
        <v>#NAME?</v>
      </c>
      <c r="L65" s="41" t="s">
        <v>405</v>
      </c>
      <c r="O65" s="31"/>
    </row>
    <row r="66" spans="1:15" ht="12.75">
      <c r="A66" s="39" t="s">
        <v>33</v>
      </c>
      <c r="B66" s="21" t="s">
        <v>394</v>
      </c>
      <c r="C66" s="21" t="s">
        <v>394</v>
      </c>
      <c r="D66" s="39" t="s">
        <v>28</v>
      </c>
      <c r="E66" s="21" t="s">
        <v>406</v>
      </c>
      <c r="F66" s="21" t="s">
        <v>394</v>
      </c>
      <c r="H66" s="40" t="s">
        <v>142</v>
      </c>
      <c r="I66" s="41" t="e">
        <f ca="1"/>
        <v>#NAME?</v>
      </c>
      <c r="J66" s="21" t="e">
        <f ca="1"/>
        <v>#NAME?</v>
      </c>
      <c r="K66" s="21" t="e">
        <f ca="1"/>
        <v>#NAME?</v>
      </c>
      <c r="L66" s="41" t="s">
        <v>407</v>
      </c>
      <c r="O66" s="31"/>
    </row>
    <row r="67" spans="1:15" ht="12.75">
      <c r="A67" s="39" t="s">
        <v>52</v>
      </c>
      <c r="B67" s="21" t="s">
        <v>394</v>
      </c>
      <c r="C67" s="21" t="s">
        <v>394</v>
      </c>
      <c r="D67" s="39" t="s">
        <v>46</v>
      </c>
      <c r="E67" s="21" t="s">
        <v>408</v>
      </c>
      <c r="F67" s="21" t="s">
        <v>394</v>
      </c>
      <c r="H67" s="40" t="s">
        <v>144</v>
      </c>
      <c r="I67" s="41" t="e">
        <f ca="1"/>
        <v>#NAME?</v>
      </c>
      <c r="J67" s="21" t="e">
        <f ca="1"/>
        <v>#NAME?</v>
      </c>
      <c r="K67" s="21" t="e">
        <f ca="1"/>
        <v>#NAME?</v>
      </c>
      <c r="L67" s="41" t="s">
        <v>409</v>
      </c>
      <c r="O67" s="31"/>
    </row>
    <row r="68" spans="1:15" ht="12.75">
      <c r="A68" s="39" t="s">
        <v>410</v>
      </c>
      <c r="B68" s="21" t="s">
        <v>394</v>
      </c>
      <c r="C68" s="21" t="s">
        <v>394</v>
      </c>
      <c r="D68" s="39" t="s">
        <v>49</v>
      </c>
      <c r="E68" s="21" t="s">
        <v>411</v>
      </c>
      <c r="F68" s="21" t="s">
        <v>394</v>
      </c>
      <c r="H68" s="40" t="s">
        <v>412</v>
      </c>
      <c r="I68" s="41" t="e">
        <f ca="1"/>
        <v>#NAME?</v>
      </c>
      <c r="J68" s="21" t="e">
        <f ca="1"/>
        <v>#NAME?</v>
      </c>
      <c r="K68" s="21" t="e">
        <f ca="1"/>
        <v>#NAME?</v>
      </c>
      <c r="L68" s="41" t="s">
        <v>413</v>
      </c>
      <c r="O68" s="31"/>
    </row>
    <row r="69" spans="1:15" ht="12.75">
      <c r="A69" s="39" t="s">
        <v>30</v>
      </c>
      <c r="B69" s="21" t="s">
        <v>394</v>
      </c>
      <c r="C69" s="21" t="s">
        <v>394</v>
      </c>
      <c r="D69" s="39" t="s">
        <v>47</v>
      </c>
      <c r="E69" s="21" t="s">
        <v>414</v>
      </c>
      <c r="F69" s="21" t="s">
        <v>394</v>
      </c>
      <c r="H69" s="40" t="s">
        <v>415</v>
      </c>
      <c r="I69" s="41" t="e">
        <f ca="1"/>
        <v>#NAME?</v>
      </c>
      <c r="J69" s="21" t="e">
        <f ca="1"/>
        <v>#NAME?</v>
      </c>
      <c r="K69" s="21" t="e">
        <f ca="1"/>
        <v>#NAME?</v>
      </c>
      <c r="L69" s="41" t="s">
        <v>405</v>
      </c>
      <c r="O69" s="31"/>
    </row>
    <row r="70" spans="1:15" ht="12.75">
      <c r="A70" s="39" t="s">
        <v>34</v>
      </c>
      <c r="B70" s="21" t="s">
        <v>394</v>
      </c>
      <c r="C70" s="21" t="s">
        <v>394</v>
      </c>
      <c r="D70" s="39" t="s">
        <v>42</v>
      </c>
      <c r="E70" s="21" t="s">
        <v>416</v>
      </c>
      <c r="F70" s="21" t="s">
        <v>394</v>
      </c>
      <c r="H70" s="42" t="s">
        <v>417</v>
      </c>
      <c r="I70" s="43" t="e">
        <f ca="1"/>
        <v>#NAME?</v>
      </c>
      <c r="J70" s="22" t="e">
        <f ca="1"/>
        <v>#NAME?</v>
      </c>
      <c r="K70" s="22" t="e">
        <f ca="1"/>
        <v>#NAME?</v>
      </c>
      <c r="L70" s="43" t="s">
        <v>418</v>
      </c>
      <c r="O70" s="31"/>
    </row>
    <row r="71" spans="1:15" ht="12.75">
      <c r="A71" s="39" t="s">
        <v>53</v>
      </c>
      <c r="B71" s="21" t="s">
        <v>394</v>
      </c>
      <c r="C71" s="21" t="s">
        <v>394</v>
      </c>
      <c r="D71" s="39" t="s">
        <v>40</v>
      </c>
      <c r="E71" s="21" t="s">
        <v>419</v>
      </c>
      <c r="F71" s="21" t="s">
        <v>394</v>
      </c>
      <c r="O71" s="31"/>
    </row>
    <row r="72" spans="1:15" ht="12.75">
      <c r="A72" s="39" t="s">
        <v>57</v>
      </c>
      <c r="B72" s="21" t="s">
        <v>394</v>
      </c>
      <c r="C72" s="21" t="s">
        <v>394</v>
      </c>
      <c r="D72" s="39" t="s">
        <v>45</v>
      </c>
      <c r="E72" s="21" t="s">
        <v>420</v>
      </c>
      <c r="F72" s="21" t="s">
        <v>394</v>
      </c>
      <c r="O72" s="31"/>
    </row>
    <row r="73" spans="1:15" ht="12.75">
      <c r="A73" s="39" t="s">
        <v>421</v>
      </c>
      <c r="B73" s="21" t="s">
        <v>422</v>
      </c>
      <c r="C73" s="21" t="s">
        <v>394</v>
      </c>
      <c r="D73" s="44" t="s">
        <v>55</v>
      </c>
      <c r="E73" s="22" t="s">
        <v>423</v>
      </c>
      <c r="F73" s="22" t="s">
        <v>394</v>
      </c>
      <c r="O73" s="31"/>
    </row>
    <row r="74" spans="1:15" ht="12.75">
      <c r="A74" s="44" t="s">
        <v>48</v>
      </c>
      <c r="B74" s="22" t="s">
        <v>424</v>
      </c>
      <c r="C74" s="22" t="s">
        <v>394</v>
      </c>
      <c r="F74" s="31"/>
      <c r="O74" s="31"/>
    </row>
    <row r="75" spans="1:15" ht="12.75">
      <c r="C75" s="31"/>
      <c r="F75" s="31"/>
      <c r="O75" s="31"/>
    </row>
    <row r="76" spans="1:15" ht="18">
      <c r="A76" s="402" t="s">
        <v>425</v>
      </c>
      <c r="B76" s="354"/>
      <c r="C76" s="354"/>
      <c r="D76" s="354"/>
      <c r="E76" s="354"/>
      <c r="F76" s="354"/>
      <c r="G76" s="354"/>
      <c r="H76" s="354"/>
      <c r="I76" s="354"/>
      <c r="J76" s="354"/>
      <c r="K76" s="354"/>
      <c r="L76" s="354"/>
      <c r="M76" s="354"/>
      <c r="N76" s="354"/>
      <c r="O76" s="355"/>
    </row>
    <row r="77" spans="1:15" ht="12.75">
      <c r="A77" s="45"/>
      <c r="B77" s="45"/>
      <c r="C77" s="45"/>
      <c r="D77" s="45"/>
      <c r="E77" s="45"/>
      <c r="F77" s="45"/>
      <c r="G77" s="45"/>
      <c r="H77" s="45"/>
      <c r="I77" s="45"/>
      <c r="J77" s="45"/>
      <c r="K77" s="45"/>
      <c r="L77" s="45"/>
      <c r="M77" s="45"/>
      <c r="N77" s="45"/>
      <c r="O77" s="45"/>
    </row>
    <row r="78" spans="1:15" ht="12.75">
      <c r="A78" s="45"/>
      <c r="B78" s="45"/>
      <c r="C78" s="45"/>
      <c r="D78" s="45"/>
      <c r="E78" s="45"/>
      <c r="F78" s="45"/>
      <c r="G78" s="45"/>
      <c r="H78" s="45"/>
      <c r="I78" s="45"/>
      <c r="J78" s="45"/>
      <c r="K78" s="45"/>
      <c r="L78" s="45"/>
      <c r="M78" s="45"/>
      <c r="N78" s="45"/>
      <c r="O78" s="45"/>
    </row>
    <row r="79" spans="1:15" ht="12.75">
      <c r="A79" s="45"/>
      <c r="B79" s="45"/>
      <c r="C79" s="45"/>
      <c r="D79" s="45"/>
      <c r="E79" s="45"/>
      <c r="F79" s="45"/>
      <c r="G79" s="45"/>
      <c r="H79" s="45"/>
      <c r="I79" s="45"/>
      <c r="J79" s="45"/>
      <c r="K79" s="45"/>
      <c r="L79" s="45"/>
      <c r="M79" s="45"/>
      <c r="N79" s="45"/>
      <c r="O79" s="45"/>
    </row>
    <row r="80" spans="1:15" ht="12.75">
      <c r="A80" s="45"/>
      <c r="B80" s="45"/>
      <c r="C80" s="45"/>
      <c r="D80" s="45"/>
      <c r="E80" s="45"/>
      <c r="F80" s="45"/>
      <c r="G80" s="45"/>
      <c r="H80" s="45"/>
      <c r="I80" s="45"/>
      <c r="J80" s="45"/>
      <c r="K80" s="45"/>
      <c r="L80" s="45"/>
      <c r="M80" s="45"/>
      <c r="N80" s="45"/>
      <c r="O80" s="45"/>
    </row>
    <row r="81" spans="1:15" ht="12.75">
      <c r="A81" s="45"/>
      <c r="B81" s="45"/>
      <c r="C81" s="45"/>
      <c r="D81" s="45"/>
      <c r="E81" s="45"/>
      <c r="F81" s="45"/>
      <c r="G81" s="45"/>
      <c r="H81" s="45"/>
      <c r="I81" s="45"/>
      <c r="J81" s="45"/>
      <c r="K81" s="45"/>
      <c r="L81" s="45"/>
      <c r="M81" s="45"/>
      <c r="N81" s="45"/>
      <c r="O81" s="45"/>
    </row>
    <row r="82" spans="1:15" ht="12.75">
      <c r="A82" s="45"/>
      <c r="B82" s="45"/>
      <c r="C82" s="45"/>
      <c r="D82" s="45"/>
      <c r="E82" s="45"/>
      <c r="F82" s="45"/>
      <c r="G82" s="45"/>
      <c r="H82" s="45"/>
      <c r="I82" s="45"/>
      <c r="J82" s="45"/>
      <c r="K82" s="45"/>
      <c r="L82" s="45"/>
      <c r="M82" s="45"/>
      <c r="N82" s="45"/>
      <c r="O82" s="45"/>
    </row>
    <row r="83" spans="1:15" ht="12.75">
      <c r="A83" s="45"/>
      <c r="B83" s="45"/>
      <c r="C83" s="45"/>
      <c r="D83" s="45"/>
      <c r="E83" s="45"/>
      <c r="F83" s="45"/>
      <c r="G83" s="45"/>
      <c r="H83" s="45"/>
      <c r="I83" s="45"/>
      <c r="J83" s="45"/>
      <c r="K83" s="45"/>
      <c r="L83" s="45"/>
      <c r="M83" s="45"/>
      <c r="N83" s="45"/>
      <c r="O83" s="45"/>
    </row>
    <row r="84" spans="1:15" ht="12.75">
      <c r="A84" s="45"/>
      <c r="B84" s="45"/>
      <c r="C84" s="45"/>
      <c r="D84" s="45"/>
      <c r="E84" s="45"/>
      <c r="F84" s="45"/>
      <c r="G84" s="45"/>
      <c r="H84" s="45"/>
      <c r="I84" s="45"/>
      <c r="J84" s="45"/>
      <c r="K84" s="45"/>
      <c r="L84" s="45"/>
      <c r="M84" s="45"/>
      <c r="N84" s="45"/>
      <c r="O84" s="45"/>
    </row>
    <row r="85" spans="1:15" ht="12.75">
      <c r="A85" s="45"/>
      <c r="B85" s="45"/>
      <c r="C85" s="45"/>
      <c r="D85" s="45"/>
      <c r="E85" s="45"/>
      <c r="F85" s="45"/>
      <c r="G85" s="45"/>
      <c r="H85" s="45"/>
      <c r="I85" s="45"/>
      <c r="J85" s="45"/>
      <c r="K85" s="45"/>
      <c r="L85" s="45"/>
      <c r="M85" s="45"/>
      <c r="N85" s="45"/>
      <c r="O85" s="45"/>
    </row>
    <row r="86" spans="1:15" ht="12.75">
      <c r="A86" s="45"/>
      <c r="B86" s="45"/>
      <c r="C86" s="45"/>
      <c r="D86" s="45"/>
      <c r="E86" s="45"/>
      <c r="F86" s="45"/>
      <c r="G86" s="45"/>
      <c r="H86" s="45"/>
      <c r="I86" s="45"/>
      <c r="J86" s="45"/>
      <c r="K86" s="45"/>
      <c r="L86" s="45"/>
      <c r="M86" s="45"/>
      <c r="N86" s="45"/>
      <c r="O86" s="45"/>
    </row>
    <row r="87" spans="1:15" ht="12.75">
      <c r="A87" s="45"/>
      <c r="B87" s="45"/>
      <c r="C87" s="45"/>
      <c r="D87" s="45"/>
      <c r="E87" s="45"/>
      <c r="F87" s="45"/>
      <c r="G87" s="45"/>
      <c r="H87" s="45"/>
      <c r="I87" s="45"/>
      <c r="J87" s="45"/>
      <c r="K87" s="45"/>
      <c r="L87" s="45"/>
      <c r="M87" s="45"/>
      <c r="N87" s="45"/>
      <c r="O87" s="45"/>
    </row>
    <row r="88" spans="1:15" ht="12.75">
      <c r="A88" s="45"/>
      <c r="B88" s="45"/>
      <c r="C88" s="45"/>
      <c r="D88" s="45"/>
      <c r="E88" s="45"/>
      <c r="F88" s="45"/>
      <c r="G88" s="45"/>
      <c r="H88" s="45"/>
      <c r="I88" s="45"/>
      <c r="J88" s="45"/>
      <c r="K88" s="45"/>
      <c r="L88" s="45"/>
      <c r="M88" s="45"/>
      <c r="N88" s="45"/>
      <c r="O88" s="45"/>
    </row>
    <row r="89" spans="1:15" ht="12.75">
      <c r="A89" s="400" t="s">
        <v>426</v>
      </c>
      <c r="B89" s="354"/>
      <c r="C89" s="354"/>
      <c r="D89" s="354"/>
      <c r="E89" s="354"/>
      <c r="F89" s="354"/>
      <c r="G89" s="354"/>
      <c r="H89" s="354"/>
      <c r="I89" s="354"/>
      <c r="J89" s="354"/>
      <c r="K89" s="354"/>
      <c r="L89" s="354"/>
      <c r="M89" s="354"/>
      <c r="N89" s="354"/>
      <c r="O89" s="355"/>
    </row>
    <row r="90" spans="1:15" ht="12.75">
      <c r="A90" s="398" t="s">
        <v>427</v>
      </c>
      <c r="B90" s="354"/>
      <c r="C90" s="355"/>
      <c r="D90" s="26" t="s">
        <v>145</v>
      </c>
      <c r="E90" s="26" t="s">
        <v>428</v>
      </c>
      <c r="F90" s="26" t="s">
        <v>429</v>
      </c>
      <c r="G90" s="26" t="s">
        <v>146</v>
      </c>
      <c r="H90" s="26" t="s">
        <v>430</v>
      </c>
      <c r="I90" s="26" t="s">
        <v>431</v>
      </c>
      <c r="J90" s="26" t="s">
        <v>147</v>
      </c>
      <c r="K90" s="26" t="s">
        <v>432</v>
      </c>
      <c r="L90" s="26" t="s">
        <v>433</v>
      </c>
      <c r="M90" s="26" t="s">
        <v>148</v>
      </c>
      <c r="N90" s="26" t="s">
        <v>434</v>
      </c>
      <c r="O90" s="26" t="s">
        <v>435</v>
      </c>
    </row>
    <row r="91" spans="1:15" ht="12.75">
      <c r="A91" s="371" t="s">
        <v>436</v>
      </c>
      <c r="B91" s="393"/>
      <c r="C91" s="369"/>
      <c r="D91" s="46" t="str">
        <f t="array" aca="1" ref="D91:O93" ca="1">Climate!B124:M126</f>
        <v>None</v>
      </c>
      <c r="E91" s="46" t="str">
        <f ca="1"/>
        <v>None</v>
      </c>
      <c r="F91" s="46" t="str">
        <f ca="1"/>
        <v>None</v>
      </c>
      <c r="G91" s="46" t="str">
        <f ca="1"/>
        <v>None</v>
      </c>
      <c r="H91" s="46" t="str">
        <f ca="1"/>
        <v>None</v>
      </c>
      <c r="I91" s="46" t="str">
        <f ca="1"/>
        <v>None</v>
      </c>
      <c r="J91" s="46" t="str">
        <f ca="1"/>
        <v>None</v>
      </c>
      <c r="K91" s="46" t="str">
        <f ca="1"/>
        <v>None</v>
      </c>
      <c r="L91" s="46" t="str">
        <f ca="1"/>
        <v>None</v>
      </c>
      <c r="M91" s="46" t="str">
        <f ca="1"/>
        <v>None</v>
      </c>
      <c r="N91" s="46" t="str">
        <f ca="1"/>
        <v>None</v>
      </c>
      <c r="O91" s="46" t="str">
        <f ca="1"/>
        <v>None</v>
      </c>
    </row>
    <row r="92" spans="1:15" ht="12.75">
      <c r="A92" s="371" t="s">
        <v>437</v>
      </c>
      <c r="B92" s="393"/>
      <c r="C92" s="369"/>
      <c r="D92" s="47" t="str">
        <f ca="1"/>
        <v>None</v>
      </c>
      <c r="E92" s="47" t="str">
        <f ca="1"/>
        <v>None</v>
      </c>
      <c r="F92" s="47" t="str">
        <f ca="1"/>
        <v>None</v>
      </c>
      <c r="G92" s="47" t="str">
        <f ca="1"/>
        <v>None</v>
      </c>
      <c r="H92" s="47" t="str">
        <f ca="1"/>
        <v>None</v>
      </c>
      <c r="I92" s="47" t="str">
        <f ca="1"/>
        <v>None</v>
      </c>
      <c r="J92" s="47" t="str">
        <f ca="1"/>
        <v>None</v>
      </c>
      <c r="K92" s="47" t="str">
        <f ca="1"/>
        <v>None</v>
      </c>
      <c r="L92" s="47" t="str">
        <f ca="1"/>
        <v>None</v>
      </c>
      <c r="M92" s="47" t="str">
        <f ca="1"/>
        <v>None</v>
      </c>
      <c r="N92" s="47" t="str">
        <f ca="1"/>
        <v>None</v>
      </c>
      <c r="O92" s="47" t="str">
        <f ca="1"/>
        <v>None</v>
      </c>
    </row>
    <row r="93" spans="1:15" ht="12.75">
      <c r="A93" s="381" t="s">
        <v>438</v>
      </c>
      <c r="B93" s="393"/>
      <c r="C93" s="369"/>
      <c r="D93" s="48" t="e">
        <f ca="1"/>
        <v>#NAME?</v>
      </c>
      <c r="E93" s="48" t="e">
        <f ca="1"/>
        <v>#NAME?</v>
      </c>
      <c r="F93" s="48" t="e">
        <f ca="1"/>
        <v>#NAME?</v>
      </c>
      <c r="G93" s="48" t="e">
        <f ca="1"/>
        <v>#NAME?</v>
      </c>
      <c r="H93" s="48" t="e">
        <f ca="1"/>
        <v>#NAME?</v>
      </c>
      <c r="I93" s="48" t="e">
        <f ca="1"/>
        <v>#NAME?</v>
      </c>
      <c r="J93" s="48" t="e">
        <f ca="1"/>
        <v>#NAME?</v>
      </c>
      <c r="K93" s="48" t="e">
        <f ca="1"/>
        <v>#NAME?</v>
      </c>
      <c r="L93" s="48" t="e">
        <f ca="1"/>
        <v>#NAME?</v>
      </c>
      <c r="M93" s="48" t="e">
        <f ca="1"/>
        <v>#NAME?</v>
      </c>
      <c r="N93" s="48" t="e">
        <f ca="1"/>
        <v>#NAME?</v>
      </c>
      <c r="O93" s="48" t="e">
        <f ca="1"/>
        <v>#NAME?</v>
      </c>
    </row>
    <row r="94" spans="1:15" ht="12.75">
      <c r="A94" s="374" t="s">
        <v>439</v>
      </c>
      <c r="B94" s="360"/>
      <c r="C94" s="361"/>
      <c r="D94" s="406" t="e">
        <f ca="1">IF(Climate!$C4&lt;0,"Summer Solstice","Winter Solstice")</f>
        <v>#NAME?</v>
      </c>
      <c r="E94" s="354"/>
      <c r="F94" s="355"/>
      <c r="G94" s="406" t="e">
        <f ca="1">IF(Climate!$C4&lt;0,"Autumnal Equinox","Vernal Equinox")</f>
        <v>#NAME?</v>
      </c>
      <c r="H94" s="354"/>
      <c r="I94" s="355"/>
      <c r="J94" s="406" t="e">
        <f ca="1">IF(Climate!$C4&lt;0,"Winter Solstice","Summer Solstice")</f>
        <v>#NAME?</v>
      </c>
      <c r="K94" s="354"/>
      <c r="L94" s="355"/>
      <c r="M94" s="406" t="e">
        <f ca="1">IF(Climate!$C4&lt;0,"Vernal Equinox","Autumnal Equinox")</f>
        <v>#NAME?</v>
      </c>
      <c r="N94" s="354"/>
      <c r="O94" s="355"/>
    </row>
    <row r="95" spans="1:15" ht="12.75">
      <c r="A95" s="400" t="s">
        <v>440</v>
      </c>
      <c r="B95" s="354"/>
      <c r="C95" s="354"/>
      <c r="D95" s="354"/>
      <c r="E95" s="354"/>
      <c r="F95" s="354"/>
      <c r="G95" s="354"/>
      <c r="H95" s="354"/>
      <c r="I95" s="354"/>
      <c r="J95" s="354"/>
      <c r="K95" s="354"/>
      <c r="L95" s="354"/>
      <c r="M95" s="354"/>
      <c r="N95" s="354"/>
      <c r="O95" s="355"/>
    </row>
    <row r="96" spans="1:15" ht="12.75">
      <c r="A96" s="398" t="s">
        <v>441</v>
      </c>
      <c r="B96" s="354"/>
      <c r="C96" s="355"/>
      <c r="D96" s="26" t="s">
        <v>145</v>
      </c>
      <c r="E96" s="26" t="s">
        <v>428</v>
      </c>
      <c r="F96" s="26" t="s">
        <v>429</v>
      </c>
      <c r="G96" s="26" t="s">
        <v>146</v>
      </c>
      <c r="H96" s="26" t="s">
        <v>430</v>
      </c>
      <c r="I96" s="26" t="s">
        <v>431</v>
      </c>
      <c r="J96" s="26" t="s">
        <v>147</v>
      </c>
      <c r="K96" s="26" t="s">
        <v>432</v>
      </c>
      <c r="L96" s="26" t="s">
        <v>433</v>
      </c>
      <c r="M96" s="26" t="s">
        <v>148</v>
      </c>
      <c r="N96" s="26" t="s">
        <v>434</v>
      </c>
      <c r="O96" s="26" t="s">
        <v>435</v>
      </c>
    </row>
    <row r="97" spans="1:15" ht="12.75">
      <c r="A97" s="388" t="s">
        <v>442</v>
      </c>
      <c r="B97" s="357"/>
      <c r="C97" s="358"/>
      <c r="D97" s="27" t="e">
        <f t="array" ref="D97:O98" ca="1">Climate!B119:M120</f>
        <v>#VALUE!</v>
      </c>
      <c r="E97" s="27">
        <v>32</v>
      </c>
      <c r="F97" s="27">
        <v>32</v>
      </c>
      <c r="G97" s="27">
        <v>32</v>
      </c>
      <c r="H97" s="27">
        <v>32</v>
      </c>
      <c r="I97" s="27">
        <v>32</v>
      </c>
      <c r="J97" s="27">
        <v>32</v>
      </c>
      <c r="K97" s="27">
        <v>32</v>
      </c>
      <c r="L97" s="27">
        <v>32</v>
      </c>
      <c r="M97" s="27">
        <v>32</v>
      </c>
      <c r="N97" s="27">
        <v>32</v>
      </c>
      <c r="O97" s="27">
        <v>32</v>
      </c>
    </row>
    <row r="98" spans="1:15" ht="12.75">
      <c r="A98" s="405" t="s">
        <v>443</v>
      </c>
      <c r="B98" s="360"/>
      <c r="C98" s="361"/>
      <c r="D98" s="22" t="e">
        <f ca="1"/>
        <v>#VALUE!</v>
      </c>
      <c r="E98" s="22">
        <v>32</v>
      </c>
      <c r="F98" s="22">
        <v>32</v>
      </c>
      <c r="G98" s="22">
        <v>32</v>
      </c>
      <c r="H98" s="22">
        <v>32</v>
      </c>
      <c r="I98" s="22">
        <v>32</v>
      </c>
      <c r="J98" s="22">
        <v>32</v>
      </c>
      <c r="K98" s="22">
        <v>32</v>
      </c>
      <c r="L98" s="22">
        <v>32</v>
      </c>
      <c r="M98" s="22">
        <v>32</v>
      </c>
      <c r="N98" s="22">
        <v>32</v>
      </c>
      <c r="O98" s="22">
        <v>32</v>
      </c>
    </row>
    <row r="99" spans="1:15" ht="12.75">
      <c r="A99" s="49" t="s">
        <v>444</v>
      </c>
      <c r="B99" s="380" t="s">
        <v>445</v>
      </c>
      <c r="C99" s="358"/>
      <c r="D99" s="21" t="e">
        <f t="array" ref="D99:O99" ca="1">Climate!B121:M121*2</f>
        <v>#VALUE!</v>
      </c>
      <c r="E99" s="21">
        <v>0</v>
      </c>
      <c r="F99" s="21">
        <v>0</v>
      </c>
      <c r="G99" s="21">
        <v>0</v>
      </c>
      <c r="H99" s="21">
        <v>0</v>
      </c>
      <c r="I99" s="21">
        <v>0</v>
      </c>
      <c r="J99" s="21">
        <v>0</v>
      </c>
      <c r="K99" s="21">
        <v>0</v>
      </c>
      <c r="L99" s="21">
        <v>0</v>
      </c>
      <c r="M99" s="21">
        <v>0</v>
      </c>
      <c r="N99" s="21">
        <v>0</v>
      </c>
      <c r="O99" s="21">
        <v>0</v>
      </c>
    </row>
    <row r="100" spans="1:15" ht="12.75">
      <c r="A100" s="40" t="s">
        <v>446</v>
      </c>
      <c r="B100" s="371" t="s">
        <v>447</v>
      </c>
      <c r="C100" s="369"/>
      <c r="D100" s="21" t="e">
        <f t="array" ref="D100:O100" ca="1">Climate!B121:M121</f>
        <v>#VALUE!</v>
      </c>
      <c r="E100" s="21">
        <v>0</v>
      </c>
      <c r="F100" s="21">
        <v>0</v>
      </c>
      <c r="G100" s="21">
        <v>0</v>
      </c>
      <c r="H100" s="21">
        <v>0</v>
      </c>
      <c r="I100" s="21">
        <v>0</v>
      </c>
      <c r="J100" s="21">
        <v>0</v>
      </c>
      <c r="K100" s="21">
        <v>0</v>
      </c>
      <c r="L100" s="21">
        <v>0</v>
      </c>
      <c r="M100" s="21">
        <v>0</v>
      </c>
      <c r="N100" s="21">
        <v>0</v>
      </c>
      <c r="O100" s="21">
        <v>0</v>
      </c>
    </row>
    <row r="101" spans="1:15" ht="12.75">
      <c r="A101" s="40" t="s">
        <v>448</v>
      </c>
      <c r="B101" s="371" t="s">
        <v>31</v>
      </c>
      <c r="C101" s="369"/>
      <c r="D101" s="41">
        <v>0</v>
      </c>
      <c r="E101" s="41">
        <v>0</v>
      </c>
      <c r="F101" s="41">
        <v>0</v>
      </c>
      <c r="G101" s="41">
        <v>0</v>
      </c>
      <c r="H101" s="41">
        <v>0</v>
      </c>
      <c r="I101" s="41">
        <v>0</v>
      </c>
      <c r="J101" s="41">
        <v>0</v>
      </c>
      <c r="K101" s="41">
        <v>0</v>
      </c>
      <c r="L101" s="41">
        <v>0</v>
      </c>
      <c r="M101" s="41">
        <v>0</v>
      </c>
      <c r="N101" s="41">
        <v>0</v>
      </c>
      <c r="O101" s="41">
        <v>0</v>
      </c>
    </row>
    <row r="102" spans="1:15" ht="12.75">
      <c r="A102" s="50">
        <v>44165</v>
      </c>
      <c r="B102" s="371" t="s">
        <v>449</v>
      </c>
      <c r="C102" s="369"/>
      <c r="D102" s="21" t="e">
        <f t="array" ref="D102:O102" ca="1">Climate!B121:M121*-1</f>
        <v>#VALUE!</v>
      </c>
      <c r="E102" s="21">
        <v>0</v>
      </c>
      <c r="F102" s="21">
        <v>0</v>
      </c>
      <c r="G102" s="21">
        <v>0</v>
      </c>
      <c r="H102" s="21">
        <v>0</v>
      </c>
      <c r="I102" s="21">
        <v>0</v>
      </c>
      <c r="J102" s="21">
        <v>0</v>
      </c>
      <c r="K102" s="21">
        <v>0</v>
      </c>
      <c r="L102" s="21">
        <v>0</v>
      </c>
      <c r="M102" s="21">
        <v>0</v>
      </c>
      <c r="N102" s="21">
        <v>0</v>
      </c>
      <c r="O102" s="21">
        <v>0</v>
      </c>
    </row>
    <row r="103" spans="1:15" ht="12.75">
      <c r="A103" s="51">
        <v>43840</v>
      </c>
      <c r="B103" s="405" t="s">
        <v>450</v>
      </c>
      <c r="C103" s="361"/>
      <c r="D103" s="22" t="e">
        <f t="array" ref="D103:O103" ca="1">Climate!B121:M121*-2</f>
        <v>#VALUE!</v>
      </c>
      <c r="E103" s="22">
        <v>0</v>
      </c>
      <c r="F103" s="22">
        <v>0</v>
      </c>
      <c r="G103" s="22">
        <v>0</v>
      </c>
      <c r="H103" s="22">
        <v>0</v>
      </c>
      <c r="I103" s="22">
        <v>0</v>
      </c>
      <c r="J103" s="22">
        <v>0</v>
      </c>
      <c r="K103" s="22">
        <v>0</v>
      </c>
      <c r="L103" s="22">
        <v>0</v>
      </c>
      <c r="M103" s="22">
        <v>0</v>
      </c>
      <c r="N103" s="22">
        <v>0</v>
      </c>
      <c r="O103" s="22">
        <v>0</v>
      </c>
    </row>
    <row r="104" spans="1:15" ht="12.75">
      <c r="A104" s="400" t="s">
        <v>451</v>
      </c>
      <c r="B104" s="354"/>
      <c r="C104" s="354"/>
      <c r="D104" s="354"/>
      <c r="E104" s="354"/>
      <c r="F104" s="354"/>
      <c r="G104" s="354"/>
      <c r="H104" s="354"/>
      <c r="I104" s="354"/>
      <c r="J104" s="354"/>
      <c r="K104" s="354"/>
      <c r="L104" s="354"/>
      <c r="M104" s="354"/>
      <c r="N104" s="354"/>
      <c r="O104" s="355"/>
    </row>
    <row r="105" spans="1:15" ht="12.75">
      <c r="A105" s="398" t="s">
        <v>441</v>
      </c>
      <c r="B105" s="354"/>
      <c r="C105" s="355"/>
      <c r="D105" s="26" t="s">
        <v>145</v>
      </c>
      <c r="E105" s="26" t="s">
        <v>428</v>
      </c>
      <c r="F105" s="26" t="s">
        <v>429</v>
      </c>
      <c r="G105" s="26" t="s">
        <v>146</v>
      </c>
      <c r="H105" s="26" t="s">
        <v>430</v>
      </c>
      <c r="I105" s="26" t="s">
        <v>431</v>
      </c>
      <c r="J105" s="26" t="s">
        <v>147</v>
      </c>
      <c r="K105" s="26" t="s">
        <v>432</v>
      </c>
      <c r="L105" s="26" t="s">
        <v>433</v>
      </c>
      <c r="M105" s="26" t="s">
        <v>148</v>
      </c>
      <c r="N105" s="26" t="s">
        <v>434</v>
      </c>
      <c r="O105" s="26" t="s">
        <v>435</v>
      </c>
    </row>
    <row r="106" spans="1:15" ht="12.75">
      <c r="A106" s="371" t="s">
        <v>452</v>
      </c>
      <c r="B106" s="393"/>
      <c r="C106" s="369"/>
      <c r="D106" s="27" t="e">
        <f t="array" aca="1" ref="D106:O106" ca="1">ROUND(Climate!B118:M118*100,0)</f>
        <v>#VALUE!</v>
      </c>
      <c r="E106" s="27">
        <f ca="1"/>
        <v>1</v>
      </c>
      <c r="F106" s="27">
        <f ca="1"/>
        <v>1</v>
      </c>
      <c r="G106" s="27">
        <f ca="1"/>
        <v>1</v>
      </c>
      <c r="H106" s="27">
        <f ca="1"/>
        <v>1</v>
      </c>
      <c r="I106" s="27">
        <f ca="1"/>
        <v>1</v>
      </c>
      <c r="J106" s="27">
        <f ca="1"/>
        <v>1</v>
      </c>
      <c r="K106" s="27">
        <f ca="1"/>
        <v>1</v>
      </c>
      <c r="L106" s="27">
        <f ca="1"/>
        <v>1</v>
      </c>
      <c r="M106" s="27">
        <f ca="1"/>
        <v>1</v>
      </c>
      <c r="N106" s="27">
        <f ca="1"/>
        <v>1</v>
      </c>
      <c r="O106" s="27">
        <f ca="1"/>
        <v>1</v>
      </c>
    </row>
    <row r="107" spans="1:15" ht="12.75">
      <c r="A107" s="371" t="s">
        <v>453</v>
      </c>
      <c r="B107" s="393"/>
      <c r="C107" s="369"/>
      <c r="D107" s="21" t="e">
        <f t="shared" ref="D107:O107" ca="1" si="0">_xludf.ifs(
D98+D99&lt;=32,100,
D98+D100&lt;=32,90,
D98+D101&lt;=32,70,
D98+D102&lt;=32,30,
D98+D103&lt;=32,10,
TRUE,"Too Warm")</f>
        <v>#NAME?</v>
      </c>
      <c r="E107" s="21" t="e">
        <f t="shared" ca="1" si="0"/>
        <v>#NAME?</v>
      </c>
      <c r="F107" s="21" t="e">
        <f t="shared" ca="1" si="0"/>
        <v>#NAME?</v>
      </c>
      <c r="G107" s="21" t="e">
        <f t="shared" ca="1" si="0"/>
        <v>#NAME?</v>
      </c>
      <c r="H107" s="21" t="e">
        <f t="shared" ca="1" si="0"/>
        <v>#NAME?</v>
      </c>
      <c r="I107" s="21" t="e">
        <f t="shared" ca="1" si="0"/>
        <v>#NAME?</v>
      </c>
      <c r="J107" s="21" t="e">
        <f t="shared" ca="1" si="0"/>
        <v>#NAME?</v>
      </c>
      <c r="K107" s="21" t="e">
        <f t="shared" ca="1" si="0"/>
        <v>#NAME?</v>
      </c>
      <c r="L107" s="21" t="e">
        <f t="shared" ca="1" si="0"/>
        <v>#NAME?</v>
      </c>
      <c r="M107" s="21" t="e">
        <f t="shared" ca="1" si="0"/>
        <v>#NAME?</v>
      </c>
      <c r="N107" s="21" t="e">
        <f t="shared" ca="1" si="0"/>
        <v>#NAME?</v>
      </c>
      <c r="O107" s="21" t="e">
        <f t="shared" ca="1" si="0"/>
        <v>#NAME?</v>
      </c>
    </row>
    <row r="108" spans="1:15" ht="12.75">
      <c r="A108" s="405" t="s">
        <v>454</v>
      </c>
      <c r="B108" s="360"/>
      <c r="C108" s="361"/>
      <c r="D108" s="28" t="e">
        <f t="array" ref="D108:O108" ca="1">Climate!B117:M117</f>
        <v>#VALUE!</v>
      </c>
      <c r="E108" s="28">
        <v>0</v>
      </c>
      <c r="F108" s="28">
        <v>0</v>
      </c>
      <c r="G108" s="28">
        <v>0</v>
      </c>
      <c r="H108" s="28">
        <v>0</v>
      </c>
      <c r="I108" s="28">
        <v>0</v>
      </c>
      <c r="J108" s="28">
        <v>0</v>
      </c>
      <c r="K108" s="28">
        <v>0</v>
      </c>
      <c r="L108" s="28">
        <v>0</v>
      </c>
      <c r="M108" s="28">
        <v>0</v>
      </c>
      <c r="N108" s="28">
        <v>0</v>
      </c>
      <c r="O108" s="28">
        <v>0</v>
      </c>
    </row>
    <row r="109" spans="1:15" ht="12.75">
      <c r="C109" s="31"/>
      <c r="F109" s="31"/>
      <c r="I109" s="31"/>
      <c r="L109" s="31"/>
      <c r="O109" s="31"/>
    </row>
    <row r="110" spans="1:15" ht="12.75">
      <c r="C110" s="31"/>
      <c r="F110" s="31"/>
      <c r="I110" s="31"/>
      <c r="L110" s="31"/>
      <c r="O110" s="31"/>
    </row>
    <row r="111" spans="1:15" ht="12.75">
      <c r="C111" s="31"/>
      <c r="F111" s="31"/>
      <c r="I111" s="31"/>
      <c r="L111" s="31"/>
      <c r="O111" s="31"/>
    </row>
    <row r="112" spans="1:15" ht="12.75">
      <c r="C112" s="31"/>
      <c r="F112" s="31"/>
      <c r="I112" s="31"/>
      <c r="L112" s="31"/>
      <c r="O112" s="31"/>
    </row>
    <row r="113" spans="3:15" ht="12.75">
      <c r="C113" s="31"/>
      <c r="F113" s="31"/>
      <c r="I113" s="31"/>
      <c r="L113" s="31"/>
      <c r="O113" s="31"/>
    </row>
    <row r="114" spans="3:15" ht="12.75">
      <c r="C114" s="31"/>
      <c r="F114" s="31"/>
      <c r="I114" s="31"/>
      <c r="L114" s="31"/>
      <c r="O114" s="31"/>
    </row>
    <row r="115" spans="3:15" ht="12.75">
      <c r="C115" s="31"/>
      <c r="F115" s="31"/>
      <c r="I115" s="31"/>
      <c r="L115" s="31"/>
      <c r="O115" s="31"/>
    </row>
    <row r="116" spans="3:15" ht="12.75">
      <c r="C116" s="31"/>
      <c r="F116" s="31"/>
      <c r="I116" s="31"/>
      <c r="L116" s="31"/>
      <c r="O116" s="31"/>
    </row>
    <row r="117" spans="3:15" ht="12.75">
      <c r="C117" s="31"/>
      <c r="F117" s="31"/>
      <c r="I117" s="31"/>
      <c r="L117" s="31"/>
      <c r="O117" s="31"/>
    </row>
    <row r="118" spans="3:15" ht="12.75">
      <c r="C118" s="31"/>
      <c r="F118" s="31"/>
      <c r="I118" s="31"/>
      <c r="L118" s="31"/>
      <c r="O118" s="31"/>
    </row>
    <row r="119" spans="3:15" ht="12.75">
      <c r="C119" s="31"/>
      <c r="F119" s="31"/>
      <c r="I119" s="31"/>
      <c r="L119" s="31"/>
      <c r="O119" s="31"/>
    </row>
    <row r="120" spans="3:15" ht="12.75">
      <c r="C120" s="31"/>
      <c r="F120" s="31"/>
      <c r="I120" s="31"/>
      <c r="L120" s="31"/>
      <c r="O120" s="31"/>
    </row>
    <row r="121" spans="3:15" ht="12.75">
      <c r="C121" s="31"/>
      <c r="F121" s="31"/>
      <c r="I121" s="31"/>
      <c r="L121" s="31"/>
      <c r="O121" s="31"/>
    </row>
    <row r="122" spans="3:15" ht="12.75">
      <c r="C122" s="31"/>
      <c r="F122" s="31"/>
      <c r="I122" s="31"/>
      <c r="L122" s="31"/>
      <c r="O122" s="31"/>
    </row>
    <row r="123" spans="3:15" ht="12.75">
      <c r="C123" s="31"/>
      <c r="F123" s="31"/>
      <c r="I123" s="31"/>
      <c r="L123" s="31"/>
      <c r="O123" s="31"/>
    </row>
    <row r="124" spans="3:15" ht="12.75">
      <c r="C124" s="31"/>
      <c r="F124" s="31"/>
      <c r="I124" s="31"/>
      <c r="L124" s="31"/>
      <c r="O124" s="31"/>
    </row>
    <row r="125" spans="3:15" ht="12.75">
      <c r="C125" s="31"/>
      <c r="F125" s="31"/>
      <c r="I125" s="31"/>
      <c r="L125" s="31"/>
      <c r="O125" s="31"/>
    </row>
    <row r="126" spans="3:15" ht="12.75">
      <c r="C126" s="31"/>
      <c r="F126" s="31"/>
      <c r="I126" s="31"/>
      <c r="L126" s="31"/>
      <c r="O126" s="31"/>
    </row>
    <row r="127" spans="3:15" ht="12.75">
      <c r="C127" s="31"/>
      <c r="F127" s="31"/>
      <c r="I127" s="31"/>
      <c r="L127" s="31"/>
      <c r="O127" s="31"/>
    </row>
    <row r="128" spans="3:15" ht="12.75">
      <c r="C128" s="31"/>
      <c r="F128" s="31"/>
      <c r="I128" s="31"/>
      <c r="L128" s="31"/>
      <c r="O128" s="31"/>
    </row>
    <row r="129" spans="3:15" ht="12.75">
      <c r="C129" s="31"/>
      <c r="F129" s="31"/>
      <c r="I129" s="31"/>
      <c r="L129" s="31"/>
      <c r="O129" s="31"/>
    </row>
    <row r="130" spans="3:15" ht="12.75">
      <c r="C130" s="31"/>
      <c r="F130" s="31"/>
      <c r="I130" s="31"/>
      <c r="L130" s="31"/>
      <c r="O130" s="31"/>
    </row>
    <row r="131" spans="3:15" ht="12.75">
      <c r="C131" s="31"/>
      <c r="F131" s="31"/>
      <c r="I131" s="31"/>
      <c r="L131" s="31"/>
      <c r="O131" s="31"/>
    </row>
    <row r="132" spans="3:15" ht="12.75">
      <c r="C132" s="31"/>
      <c r="F132" s="31"/>
      <c r="I132" s="31"/>
      <c r="L132" s="31"/>
      <c r="O132" s="31"/>
    </row>
    <row r="133" spans="3:15" ht="12.75">
      <c r="C133" s="31"/>
      <c r="F133" s="31"/>
      <c r="I133" s="31"/>
      <c r="L133" s="31"/>
      <c r="O133" s="31"/>
    </row>
    <row r="134" spans="3:15" ht="12.75">
      <c r="C134" s="31"/>
      <c r="F134" s="31"/>
      <c r="I134" s="31"/>
      <c r="L134" s="31"/>
      <c r="O134" s="31"/>
    </row>
    <row r="135" spans="3:15" ht="12.75">
      <c r="C135" s="31"/>
      <c r="F135" s="31"/>
      <c r="I135" s="31"/>
      <c r="L135" s="31"/>
      <c r="O135" s="31"/>
    </row>
    <row r="136" spans="3:15" ht="12.75">
      <c r="C136" s="31"/>
      <c r="F136" s="31"/>
      <c r="I136" s="31"/>
      <c r="L136" s="31"/>
      <c r="O136" s="31"/>
    </row>
    <row r="137" spans="3:15" ht="12.75">
      <c r="C137" s="31"/>
      <c r="F137" s="31"/>
      <c r="I137" s="31"/>
      <c r="L137" s="31"/>
      <c r="O137" s="31"/>
    </row>
    <row r="138" spans="3:15" ht="12.75">
      <c r="C138" s="31"/>
      <c r="F138" s="31"/>
      <c r="I138" s="31"/>
      <c r="L138" s="31"/>
      <c r="O138" s="31"/>
    </row>
    <row r="139" spans="3:15" ht="12.75">
      <c r="C139" s="31"/>
      <c r="F139" s="31"/>
      <c r="I139" s="31"/>
      <c r="L139" s="31"/>
      <c r="O139" s="31"/>
    </row>
    <row r="140" spans="3:15" ht="12.75">
      <c r="C140" s="31"/>
      <c r="F140" s="31"/>
      <c r="I140" s="31"/>
      <c r="L140" s="31"/>
      <c r="O140" s="31"/>
    </row>
    <row r="141" spans="3:15" ht="12.75">
      <c r="C141" s="31"/>
      <c r="F141" s="31"/>
      <c r="I141" s="31"/>
      <c r="L141" s="31"/>
      <c r="O141" s="31"/>
    </row>
    <row r="142" spans="3:15" ht="12.75">
      <c r="C142" s="31"/>
      <c r="F142" s="31"/>
      <c r="I142" s="31"/>
      <c r="L142" s="31"/>
      <c r="O142" s="31"/>
    </row>
    <row r="143" spans="3:15" ht="12.75">
      <c r="C143" s="31"/>
      <c r="F143" s="31"/>
      <c r="I143" s="31"/>
      <c r="L143" s="31"/>
      <c r="O143" s="31"/>
    </row>
    <row r="144" spans="3:15" ht="12.75">
      <c r="C144" s="31"/>
      <c r="F144" s="31"/>
      <c r="I144" s="31"/>
      <c r="L144" s="31"/>
      <c r="O144" s="31"/>
    </row>
    <row r="145" spans="3:15" ht="12.75">
      <c r="C145" s="31"/>
      <c r="F145" s="31"/>
      <c r="I145" s="31"/>
      <c r="L145" s="31"/>
      <c r="O145" s="31"/>
    </row>
    <row r="146" spans="3:15" ht="12.75">
      <c r="C146" s="31"/>
      <c r="F146" s="31"/>
      <c r="I146" s="31"/>
      <c r="L146" s="31"/>
      <c r="O146" s="31"/>
    </row>
    <row r="147" spans="3:15" ht="12.75">
      <c r="C147" s="31"/>
      <c r="F147" s="31"/>
      <c r="I147" s="31"/>
      <c r="L147" s="31"/>
      <c r="O147" s="31"/>
    </row>
    <row r="148" spans="3:15" ht="12.75">
      <c r="C148" s="31"/>
      <c r="F148" s="31"/>
      <c r="I148" s="31"/>
      <c r="L148" s="31"/>
      <c r="O148" s="31"/>
    </row>
    <row r="149" spans="3:15" ht="12.75">
      <c r="C149" s="31"/>
      <c r="F149" s="31"/>
      <c r="I149" s="31"/>
      <c r="L149" s="31"/>
      <c r="O149" s="31"/>
    </row>
    <row r="150" spans="3:15" ht="12.75">
      <c r="C150" s="31"/>
      <c r="F150" s="31"/>
      <c r="I150" s="31"/>
      <c r="L150" s="31"/>
      <c r="O150" s="31"/>
    </row>
    <row r="151" spans="3:15" ht="12.75">
      <c r="C151" s="31"/>
      <c r="F151" s="31"/>
      <c r="I151" s="31"/>
      <c r="L151" s="31"/>
      <c r="O151" s="31"/>
    </row>
    <row r="152" spans="3:15" ht="12.75">
      <c r="C152" s="31"/>
      <c r="F152" s="31"/>
      <c r="I152" s="31"/>
      <c r="L152" s="31"/>
      <c r="O152" s="31"/>
    </row>
    <row r="153" spans="3:15" ht="12.75">
      <c r="C153" s="31"/>
      <c r="F153" s="31"/>
      <c r="I153" s="31"/>
      <c r="L153" s="31"/>
      <c r="O153" s="31"/>
    </row>
    <row r="154" spans="3:15" ht="12.75">
      <c r="C154" s="31"/>
      <c r="F154" s="31"/>
      <c r="I154" s="31"/>
      <c r="L154" s="31"/>
      <c r="O154" s="31"/>
    </row>
    <row r="155" spans="3:15" ht="12.75">
      <c r="C155" s="31"/>
      <c r="F155" s="31"/>
      <c r="I155" s="31"/>
      <c r="L155" s="31"/>
      <c r="O155" s="31"/>
    </row>
    <row r="156" spans="3:15" ht="12.75">
      <c r="C156" s="31"/>
      <c r="F156" s="31"/>
      <c r="I156" s="31"/>
      <c r="L156" s="31"/>
      <c r="O156" s="31"/>
    </row>
    <row r="157" spans="3:15" ht="12.75">
      <c r="C157" s="31"/>
      <c r="F157" s="31"/>
      <c r="I157" s="31"/>
      <c r="L157" s="31"/>
      <c r="O157" s="31"/>
    </row>
    <row r="158" spans="3:15" ht="12.75">
      <c r="C158" s="31"/>
      <c r="F158" s="31"/>
      <c r="I158" s="31"/>
      <c r="L158" s="31"/>
      <c r="O158" s="31"/>
    </row>
    <row r="159" spans="3:15" ht="12.75">
      <c r="C159" s="31"/>
      <c r="F159" s="31"/>
      <c r="I159" s="31"/>
      <c r="L159" s="31"/>
      <c r="O159" s="31"/>
    </row>
    <row r="160" spans="3:15" ht="12.75">
      <c r="C160" s="31"/>
      <c r="F160" s="31"/>
      <c r="I160" s="31"/>
      <c r="L160" s="31"/>
      <c r="O160" s="31"/>
    </row>
    <row r="161" spans="3:15" ht="12.75">
      <c r="C161" s="31"/>
      <c r="F161" s="31"/>
      <c r="I161" s="31"/>
      <c r="L161" s="31"/>
      <c r="O161" s="31"/>
    </row>
    <row r="162" spans="3:15" ht="12.75">
      <c r="C162" s="31"/>
      <c r="F162" s="31"/>
      <c r="I162" s="31"/>
      <c r="L162" s="31"/>
      <c r="O162" s="31"/>
    </row>
    <row r="163" spans="3:15" ht="12.75">
      <c r="C163" s="31"/>
      <c r="F163" s="31"/>
      <c r="I163" s="31"/>
      <c r="L163" s="31"/>
      <c r="O163" s="31"/>
    </row>
    <row r="164" spans="3:15" ht="12.75">
      <c r="C164" s="31"/>
      <c r="F164" s="31"/>
      <c r="I164" s="31"/>
      <c r="L164" s="31"/>
      <c r="O164" s="31"/>
    </row>
    <row r="165" spans="3:15" ht="12.75">
      <c r="C165" s="31"/>
      <c r="F165" s="31"/>
      <c r="I165" s="31"/>
      <c r="L165" s="31"/>
      <c r="O165" s="31"/>
    </row>
    <row r="166" spans="3:15" ht="12.75">
      <c r="C166" s="31"/>
      <c r="F166" s="31"/>
      <c r="I166" s="31"/>
      <c r="L166" s="31"/>
      <c r="O166" s="31"/>
    </row>
    <row r="167" spans="3:15" ht="12.75">
      <c r="C167" s="31"/>
      <c r="F167" s="31"/>
      <c r="I167" s="31"/>
      <c r="L167" s="31"/>
      <c r="O167" s="31"/>
    </row>
    <row r="168" spans="3:15" ht="12.75">
      <c r="C168" s="31"/>
      <c r="F168" s="31"/>
      <c r="I168" s="31"/>
      <c r="L168" s="31"/>
      <c r="O168" s="31"/>
    </row>
    <row r="169" spans="3:15" ht="12.75">
      <c r="C169" s="31"/>
      <c r="F169" s="31"/>
      <c r="I169" s="31"/>
      <c r="L169" s="31"/>
      <c r="O169" s="31"/>
    </row>
    <row r="170" spans="3:15" ht="12.75">
      <c r="C170" s="31"/>
      <c r="F170" s="31"/>
      <c r="I170" s="31"/>
      <c r="L170" s="31"/>
      <c r="O170" s="31"/>
    </row>
    <row r="171" spans="3:15" ht="12.75">
      <c r="C171" s="31"/>
      <c r="F171" s="31"/>
      <c r="I171" s="31"/>
      <c r="L171" s="31"/>
      <c r="O171" s="31"/>
    </row>
    <row r="172" spans="3:15" ht="12.75">
      <c r="C172" s="31"/>
      <c r="F172" s="31"/>
      <c r="I172" s="31"/>
      <c r="L172" s="31"/>
      <c r="O172" s="31"/>
    </row>
    <row r="173" spans="3:15" ht="12.75">
      <c r="C173" s="31"/>
      <c r="F173" s="31"/>
      <c r="I173" s="31"/>
      <c r="L173" s="31"/>
      <c r="O173" s="31"/>
    </row>
    <row r="174" spans="3:15" ht="12.75">
      <c r="C174" s="31"/>
      <c r="F174" s="31"/>
      <c r="I174" s="31"/>
      <c r="L174" s="31"/>
      <c r="O174" s="31"/>
    </row>
    <row r="175" spans="3:15" ht="12.75">
      <c r="C175" s="31"/>
      <c r="F175" s="31"/>
      <c r="I175" s="31"/>
      <c r="L175" s="31"/>
      <c r="O175" s="31"/>
    </row>
    <row r="176" spans="3:15" ht="12.75">
      <c r="C176" s="31"/>
      <c r="F176" s="31"/>
      <c r="I176" s="31"/>
      <c r="L176" s="31"/>
      <c r="O176" s="31"/>
    </row>
    <row r="177" spans="3:15" ht="12.75">
      <c r="C177" s="31"/>
      <c r="F177" s="31"/>
      <c r="I177" s="31"/>
      <c r="L177" s="31"/>
      <c r="O177" s="31"/>
    </row>
    <row r="178" spans="3:15" ht="12.75">
      <c r="C178" s="31"/>
      <c r="F178" s="31"/>
      <c r="I178" s="31"/>
      <c r="L178" s="31"/>
      <c r="O178" s="31"/>
    </row>
    <row r="179" spans="3:15" ht="12.75">
      <c r="C179" s="31"/>
      <c r="F179" s="31"/>
      <c r="I179" s="31"/>
      <c r="L179" s="31"/>
      <c r="O179" s="31"/>
    </row>
    <row r="180" spans="3:15" ht="12.75">
      <c r="C180" s="31"/>
      <c r="F180" s="31"/>
      <c r="I180" s="31"/>
      <c r="L180" s="31"/>
      <c r="O180" s="31"/>
    </row>
    <row r="181" spans="3:15" ht="12.75">
      <c r="C181" s="31"/>
      <c r="F181" s="31"/>
      <c r="I181" s="31"/>
      <c r="L181" s="31"/>
      <c r="O181" s="31"/>
    </row>
    <row r="182" spans="3:15" ht="12.75">
      <c r="C182" s="31"/>
      <c r="F182" s="31"/>
      <c r="I182" s="31"/>
      <c r="L182" s="31"/>
      <c r="O182" s="31"/>
    </row>
    <row r="183" spans="3:15" ht="12.75">
      <c r="C183" s="31"/>
      <c r="F183" s="31"/>
      <c r="I183" s="31"/>
      <c r="L183" s="31"/>
      <c r="O183" s="31"/>
    </row>
    <row r="184" spans="3:15" ht="12.75">
      <c r="C184" s="31"/>
      <c r="F184" s="31"/>
      <c r="I184" s="31"/>
      <c r="L184" s="31"/>
      <c r="O184" s="31"/>
    </row>
    <row r="185" spans="3:15" ht="12.75">
      <c r="C185" s="31"/>
      <c r="F185" s="31"/>
      <c r="I185" s="31"/>
      <c r="L185" s="31"/>
      <c r="O185" s="31"/>
    </row>
    <row r="186" spans="3:15" ht="12.75">
      <c r="C186" s="31"/>
      <c r="F186" s="31"/>
      <c r="I186" s="31"/>
      <c r="L186" s="31"/>
      <c r="O186" s="31"/>
    </row>
    <row r="187" spans="3:15" ht="12.75">
      <c r="C187" s="31"/>
      <c r="F187" s="31"/>
      <c r="I187" s="31"/>
      <c r="L187" s="31"/>
      <c r="O187" s="31"/>
    </row>
    <row r="188" spans="3:15" ht="12.75">
      <c r="C188" s="31"/>
      <c r="F188" s="31"/>
      <c r="I188" s="31"/>
      <c r="L188" s="31"/>
      <c r="O188" s="31"/>
    </row>
    <row r="189" spans="3:15" ht="12.75">
      <c r="C189" s="31"/>
      <c r="F189" s="31"/>
      <c r="I189" s="31"/>
      <c r="L189" s="31"/>
      <c r="O189" s="31"/>
    </row>
    <row r="190" spans="3:15" ht="12.75">
      <c r="C190" s="31"/>
      <c r="F190" s="31"/>
      <c r="I190" s="31"/>
      <c r="L190" s="31"/>
      <c r="O190" s="31"/>
    </row>
    <row r="191" spans="3:15" ht="12.75">
      <c r="C191" s="31"/>
      <c r="F191" s="31"/>
      <c r="I191" s="31"/>
      <c r="L191" s="31"/>
      <c r="O191" s="31"/>
    </row>
    <row r="192" spans="3:15" ht="12.75">
      <c r="C192" s="31"/>
      <c r="F192" s="31"/>
      <c r="I192" s="31"/>
      <c r="L192" s="31"/>
      <c r="O192" s="31"/>
    </row>
    <row r="193" spans="3:15" ht="12.75">
      <c r="C193" s="31"/>
      <c r="F193" s="31"/>
      <c r="I193" s="31"/>
      <c r="L193" s="31"/>
      <c r="O193" s="31"/>
    </row>
    <row r="194" spans="3:15" ht="12.75">
      <c r="C194" s="31"/>
      <c r="F194" s="31"/>
      <c r="I194" s="31"/>
      <c r="L194" s="31"/>
      <c r="O194" s="31"/>
    </row>
    <row r="195" spans="3:15" ht="12.75">
      <c r="C195" s="31"/>
      <c r="F195" s="31"/>
      <c r="I195" s="31"/>
      <c r="L195" s="31"/>
      <c r="O195" s="31"/>
    </row>
    <row r="196" spans="3:15" ht="12.75">
      <c r="C196" s="31"/>
      <c r="F196" s="31"/>
      <c r="I196" s="31"/>
      <c r="L196" s="31"/>
      <c r="O196" s="31"/>
    </row>
    <row r="197" spans="3:15" ht="12.75">
      <c r="C197" s="31"/>
      <c r="F197" s="31"/>
      <c r="I197" s="31"/>
      <c r="L197" s="31"/>
      <c r="O197" s="31"/>
    </row>
    <row r="198" spans="3:15" ht="12.75">
      <c r="C198" s="31"/>
      <c r="F198" s="31"/>
      <c r="I198" s="31"/>
      <c r="L198" s="31"/>
      <c r="O198" s="31"/>
    </row>
    <row r="199" spans="3:15" ht="12.75">
      <c r="C199" s="31"/>
      <c r="F199" s="31"/>
      <c r="I199" s="31"/>
      <c r="L199" s="31"/>
      <c r="O199" s="31"/>
    </row>
    <row r="200" spans="3:15" ht="12.75">
      <c r="C200" s="31"/>
      <c r="F200" s="31"/>
      <c r="I200" s="31"/>
      <c r="L200" s="31"/>
      <c r="O200" s="31"/>
    </row>
    <row r="201" spans="3:15" ht="12.75">
      <c r="C201" s="31"/>
      <c r="F201" s="31"/>
      <c r="I201" s="31"/>
      <c r="L201" s="31"/>
      <c r="O201" s="31"/>
    </row>
    <row r="202" spans="3:15" ht="12.75">
      <c r="C202" s="31"/>
      <c r="F202" s="31"/>
      <c r="I202" s="31"/>
      <c r="L202" s="31"/>
      <c r="O202" s="31"/>
    </row>
    <row r="203" spans="3:15" ht="12.75">
      <c r="C203" s="31"/>
      <c r="F203" s="31"/>
      <c r="I203" s="31"/>
      <c r="L203" s="31"/>
      <c r="O203" s="31"/>
    </row>
    <row r="204" spans="3:15" ht="12.75">
      <c r="C204" s="31"/>
      <c r="F204" s="31"/>
      <c r="I204" s="31"/>
      <c r="L204" s="31"/>
      <c r="O204" s="31"/>
    </row>
    <row r="205" spans="3:15" ht="12.75">
      <c r="C205" s="31"/>
      <c r="F205" s="31"/>
      <c r="I205" s="31"/>
      <c r="L205" s="31"/>
      <c r="O205" s="31"/>
    </row>
    <row r="206" spans="3:15" ht="12.75">
      <c r="C206" s="31"/>
      <c r="F206" s="31"/>
      <c r="I206" s="31"/>
      <c r="L206" s="31"/>
      <c r="O206" s="31"/>
    </row>
    <row r="207" spans="3:15" ht="12.75">
      <c r="C207" s="31"/>
      <c r="F207" s="31"/>
      <c r="I207" s="31"/>
      <c r="L207" s="31"/>
      <c r="O207" s="31"/>
    </row>
    <row r="208" spans="3:15" ht="12.75">
      <c r="C208" s="31"/>
      <c r="F208" s="31"/>
      <c r="I208" s="31"/>
      <c r="L208" s="31"/>
      <c r="O208" s="31"/>
    </row>
    <row r="209" spans="3:15" ht="12.75">
      <c r="C209" s="31"/>
      <c r="F209" s="31"/>
      <c r="I209" s="31"/>
      <c r="L209" s="31"/>
      <c r="O209" s="31"/>
    </row>
    <row r="210" spans="3:15" ht="12.75">
      <c r="C210" s="31"/>
      <c r="F210" s="31"/>
      <c r="I210" s="31"/>
      <c r="L210" s="31"/>
      <c r="O210" s="31"/>
    </row>
    <row r="211" spans="3:15" ht="12.75">
      <c r="C211" s="31"/>
      <c r="F211" s="31"/>
      <c r="I211" s="31"/>
      <c r="L211" s="31"/>
      <c r="O211" s="31"/>
    </row>
    <row r="212" spans="3:15" ht="12.75">
      <c r="C212" s="31"/>
      <c r="F212" s="31"/>
      <c r="I212" s="31"/>
      <c r="L212" s="31"/>
      <c r="O212" s="31"/>
    </row>
    <row r="213" spans="3:15" ht="12.75">
      <c r="C213" s="31"/>
      <c r="F213" s="31"/>
      <c r="I213" s="31"/>
      <c r="L213" s="31"/>
      <c r="O213" s="31"/>
    </row>
    <row r="214" spans="3:15" ht="12.75">
      <c r="C214" s="31"/>
      <c r="F214" s="31"/>
      <c r="I214" s="31"/>
      <c r="L214" s="31"/>
      <c r="O214" s="31"/>
    </row>
    <row r="215" spans="3:15" ht="12.75">
      <c r="C215" s="31"/>
      <c r="F215" s="31"/>
      <c r="I215" s="31"/>
      <c r="L215" s="31"/>
      <c r="O215" s="31"/>
    </row>
    <row r="216" spans="3:15" ht="12.75">
      <c r="C216" s="31"/>
      <c r="F216" s="31"/>
      <c r="I216" s="31"/>
      <c r="L216" s="31"/>
      <c r="O216" s="31"/>
    </row>
    <row r="217" spans="3:15" ht="12.75">
      <c r="C217" s="31"/>
      <c r="F217" s="31"/>
      <c r="I217" s="31"/>
      <c r="L217" s="31"/>
      <c r="O217" s="31"/>
    </row>
    <row r="218" spans="3:15" ht="12.75">
      <c r="C218" s="31"/>
      <c r="F218" s="31"/>
      <c r="I218" s="31"/>
      <c r="L218" s="31"/>
      <c r="O218" s="31"/>
    </row>
    <row r="219" spans="3:15" ht="12.75">
      <c r="C219" s="31"/>
      <c r="F219" s="31"/>
      <c r="I219" s="31"/>
      <c r="L219" s="31"/>
      <c r="O219" s="31"/>
    </row>
    <row r="220" spans="3:15" ht="12.75">
      <c r="C220" s="31"/>
      <c r="F220" s="31"/>
      <c r="I220" s="31"/>
      <c r="L220" s="31"/>
      <c r="O220" s="31"/>
    </row>
    <row r="221" spans="3:15" ht="12.75">
      <c r="C221" s="31"/>
      <c r="F221" s="31"/>
      <c r="I221" s="31"/>
      <c r="L221" s="31"/>
      <c r="O221" s="31"/>
    </row>
    <row r="222" spans="3:15" ht="12.75">
      <c r="C222" s="31"/>
      <c r="F222" s="31"/>
      <c r="I222" s="31"/>
      <c r="L222" s="31"/>
      <c r="O222" s="31"/>
    </row>
    <row r="223" spans="3:15" ht="12.75">
      <c r="C223" s="31"/>
      <c r="F223" s="31"/>
      <c r="I223" s="31"/>
      <c r="L223" s="31"/>
      <c r="O223" s="31"/>
    </row>
    <row r="224" spans="3:15" ht="12.75">
      <c r="C224" s="31"/>
      <c r="F224" s="31"/>
      <c r="I224" s="31"/>
      <c r="L224" s="31"/>
      <c r="O224" s="31"/>
    </row>
    <row r="225" spans="3:15" ht="12.75">
      <c r="C225" s="31"/>
      <c r="F225" s="31"/>
      <c r="I225" s="31"/>
      <c r="L225" s="31"/>
      <c r="O225" s="31"/>
    </row>
    <row r="226" spans="3:15" ht="12.75">
      <c r="C226" s="31"/>
      <c r="F226" s="31"/>
      <c r="I226" s="31"/>
      <c r="L226" s="31"/>
      <c r="O226" s="31"/>
    </row>
    <row r="227" spans="3:15" ht="12.75">
      <c r="C227" s="31"/>
      <c r="F227" s="31"/>
      <c r="I227" s="31"/>
      <c r="L227" s="31"/>
      <c r="O227" s="31"/>
    </row>
    <row r="228" spans="3:15" ht="12.75">
      <c r="C228" s="31"/>
      <c r="F228" s="31"/>
      <c r="I228" s="31"/>
      <c r="L228" s="31"/>
      <c r="O228" s="31"/>
    </row>
    <row r="229" spans="3:15" ht="12.75">
      <c r="C229" s="31"/>
      <c r="F229" s="31"/>
      <c r="I229" s="31"/>
      <c r="L229" s="31"/>
      <c r="O229" s="31"/>
    </row>
    <row r="230" spans="3:15" ht="12.75">
      <c r="C230" s="31"/>
      <c r="F230" s="31"/>
      <c r="I230" s="31"/>
      <c r="L230" s="31"/>
      <c r="O230" s="31"/>
    </row>
    <row r="231" spans="3:15" ht="12.75">
      <c r="C231" s="31"/>
      <c r="F231" s="31"/>
      <c r="I231" s="31"/>
      <c r="L231" s="31"/>
      <c r="O231" s="31"/>
    </row>
    <row r="232" spans="3:15" ht="12.75">
      <c r="C232" s="31"/>
      <c r="F232" s="31"/>
      <c r="I232" s="31"/>
      <c r="L232" s="31"/>
      <c r="O232" s="31"/>
    </row>
    <row r="233" spans="3:15" ht="12.75">
      <c r="C233" s="31"/>
      <c r="F233" s="31"/>
      <c r="I233" s="31"/>
      <c r="L233" s="31"/>
      <c r="O233" s="31"/>
    </row>
    <row r="234" spans="3:15" ht="12.75">
      <c r="C234" s="31"/>
      <c r="F234" s="31"/>
      <c r="I234" s="31"/>
      <c r="L234" s="31"/>
      <c r="O234" s="31"/>
    </row>
    <row r="235" spans="3:15" ht="12.75">
      <c r="C235" s="31"/>
      <c r="F235" s="31"/>
      <c r="I235" s="31"/>
      <c r="L235" s="31"/>
      <c r="O235" s="31"/>
    </row>
    <row r="236" spans="3:15" ht="12.75">
      <c r="C236" s="31"/>
      <c r="F236" s="31"/>
      <c r="I236" s="31"/>
      <c r="L236" s="31"/>
      <c r="O236" s="31"/>
    </row>
    <row r="237" spans="3:15" ht="12.75">
      <c r="C237" s="31"/>
      <c r="F237" s="31"/>
      <c r="I237" s="31"/>
      <c r="L237" s="31"/>
      <c r="O237" s="31"/>
    </row>
    <row r="238" spans="3:15" ht="12.75">
      <c r="C238" s="31"/>
      <c r="F238" s="31"/>
      <c r="I238" s="31"/>
      <c r="L238" s="31"/>
      <c r="O238" s="31"/>
    </row>
    <row r="239" spans="3:15" ht="12.75">
      <c r="C239" s="31"/>
      <c r="F239" s="31"/>
      <c r="I239" s="31"/>
      <c r="L239" s="31"/>
      <c r="O239" s="31"/>
    </row>
    <row r="240" spans="3:15" ht="12.75">
      <c r="C240" s="31"/>
      <c r="F240" s="31"/>
      <c r="I240" s="31"/>
      <c r="L240" s="31"/>
      <c r="O240" s="31"/>
    </row>
    <row r="241" spans="3:15" ht="12.75">
      <c r="C241" s="31"/>
      <c r="F241" s="31"/>
      <c r="I241" s="31"/>
      <c r="L241" s="31"/>
      <c r="O241" s="31"/>
    </row>
    <row r="242" spans="3:15" ht="12.75">
      <c r="C242" s="31"/>
      <c r="F242" s="31"/>
      <c r="I242" s="31"/>
      <c r="L242" s="31"/>
      <c r="O242" s="31"/>
    </row>
    <row r="243" spans="3:15" ht="12.75">
      <c r="C243" s="31"/>
      <c r="F243" s="31"/>
      <c r="I243" s="31"/>
      <c r="L243" s="31"/>
      <c r="O243" s="31"/>
    </row>
    <row r="244" spans="3:15" ht="12.75">
      <c r="C244" s="31"/>
      <c r="F244" s="31"/>
      <c r="I244" s="31"/>
      <c r="L244" s="31"/>
      <c r="O244" s="31"/>
    </row>
    <row r="245" spans="3:15" ht="12.75">
      <c r="C245" s="31"/>
      <c r="F245" s="31"/>
      <c r="I245" s="31"/>
      <c r="L245" s="31"/>
      <c r="O245" s="31"/>
    </row>
    <row r="246" spans="3:15" ht="12.75">
      <c r="C246" s="31"/>
      <c r="F246" s="31"/>
      <c r="I246" s="31"/>
      <c r="L246" s="31"/>
      <c r="O246" s="31"/>
    </row>
    <row r="247" spans="3:15" ht="12.75">
      <c r="C247" s="31"/>
      <c r="F247" s="31"/>
      <c r="I247" s="31"/>
      <c r="L247" s="31"/>
      <c r="O247" s="31"/>
    </row>
    <row r="248" spans="3:15" ht="12.75">
      <c r="C248" s="31"/>
      <c r="F248" s="31"/>
      <c r="I248" s="31"/>
      <c r="L248" s="31"/>
      <c r="O248" s="31"/>
    </row>
    <row r="249" spans="3:15" ht="12.75">
      <c r="C249" s="31"/>
      <c r="F249" s="31"/>
      <c r="I249" s="31"/>
      <c r="L249" s="31"/>
      <c r="O249" s="31"/>
    </row>
    <row r="250" spans="3:15" ht="12.75">
      <c r="C250" s="31"/>
      <c r="F250" s="31"/>
      <c r="I250" s="31"/>
      <c r="L250" s="31"/>
      <c r="O250" s="31"/>
    </row>
    <row r="251" spans="3:15" ht="12.75">
      <c r="C251" s="31"/>
      <c r="F251" s="31"/>
      <c r="I251" s="31"/>
      <c r="L251" s="31"/>
      <c r="O251" s="31"/>
    </row>
    <row r="252" spans="3:15" ht="12.75">
      <c r="C252" s="31"/>
      <c r="F252" s="31"/>
      <c r="I252" s="31"/>
      <c r="L252" s="31"/>
      <c r="O252" s="31"/>
    </row>
    <row r="253" spans="3:15" ht="12.75">
      <c r="C253" s="31"/>
      <c r="F253" s="31"/>
      <c r="I253" s="31"/>
      <c r="L253" s="31"/>
      <c r="O253" s="31"/>
    </row>
    <row r="254" spans="3:15" ht="12.75">
      <c r="C254" s="31"/>
      <c r="F254" s="31"/>
      <c r="I254" s="31"/>
      <c r="L254" s="31"/>
      <c r="O254" s="31"/>
    </row>
    <row r="255" spans="3:15" ht="12.75">
      <c r="C255" s="31"/>
      <c r="F255" s="31"/>
      <c r="I255" s="31"/>
      <c r="L255" s="31"/>
      <c r="O255" s="31"/>
    </row>
    <row r="256" spans="3:15" ht="12.75">
      <c r="C256" s="31"/>
      <c r="F256" s="31"/>
      <c r="I256" s="31"/>
      <c r="L256" s="31"/>
      <c r="O256" s="31"/>
    </row>
    <row r="257" spans="3:15" ht="12.75">
      <c r="C257" s="31"/>
      <c r="F257" s="31"/>
      <c r="I257" s="31"/>
      <c r="L257" s="31"/>
      <c r="O257" s="31"/>
    </row>
    <row r="258" spans="3:15" ht="12.75">
      <c r="C258" s="31"/>
      <c r="F258" s="31"/>
      <c r="I258" s="31"/>
      <c r="L258" s="31"/>
      <c r="O258" s="31"/>
    </row>
    <row r="259" spans="3:15" ht="12.75">
      <c r="C259" s="31"/>
      <c r="F259" s="31"/>
      <c r="I259" s="31"/>
      <c r="L259" s="31"/>
      <c r="O259" s="31"/>
    </row>
    <row r="260" spans="3:15" ht="12.75">
      <c r="C260" s="31"/>
      <c r="F260" s="31"/>
      <c r="I260" s="31"/>
      <c r="L260" s="31"/>
      <c r="O260" s="31"/>
    </row>
    <row r="261" spans="3:15" ht="12.75">
      <c r="C261" s="31"/>
      <c r="F261" s="31"/>
      <c r="I261" s="31"/>
      <c r="L261" s="31"/>
      <c r="O261" s="31"/>
    </row>
    <row r="262" spans="3:15" ht="12.75">
      <c r="C262" s="31"/>
      <c r="F262" s="31"/>
      <c r="I262" s="31"/>
      <c r="L262" s="31"/>
      <c r="O262" s="31"/>
    </row>
    <row r="263" spans="3:15" ht="12.75">
      <c r="C263" s="31"/>
      <c r="F263" s="31"/>
      <c r="I263" s="31"/>
      <c r="L263" s="31"/>
      <c r="O263" s="31"/>
    </row>
    <row r="264" spans="3:15" ht="12.75">
      <c r="C264" s="31"/>
      <c r="F264" s="31"/>
      <c r="I264" s="31"/>
      <c r="L264" s="31"/>
      <c r="O264" s="31"/>
    </row>
    <row r="265" spans="3:15" ht="12.75">
      <c r="C265" s="31"/>
      <c r="F265" s="31"/>
      <c r="I265" s="31"/>
      <c r="L265" s="31"/>
      <c r="O265" s="31"/>
    </row>
    <row r="266" spans="3:15" ht="12.75">
      <c r="C266" s="31"/>
      <c r="F266" s="31"/>
      <c r="I266" s="31"/>
      <c r="L266" s="31"/>
      <c r="O266" s="31"/>
    </row>
    <row r="267" spans="3:15" ht="12.75">
      <c r="C267" s="31"/>
      <c r="F267" s="31"/>
      <c r="I267" s="31"/>
      <c r="L267" s="31"/>
      <c r="O267" s="31"/>
    </row>
    <row r="268" spans="3:15" ht="12.75">
      <c r="C268" s="31"/>
      <c r="F268" s="31"/>
      <c r="I268" s="31"/>
      <c r="L268" s="31"/>
      <c r="O268" s="31"/>
    </row>
    <row r="269" spans="3:15" ht="12.75">
      <c r="C269" s="31"/>
      <c r="F269" s="31"/>
      <c r="I269" s="31"/>
      <c r="L269" s="31"/>
      <c r="O269" s="31"/>
    </row>
    <row r="270" spans="3:15" ht="12.75">
      <c r="C270" s="31"/>
      <c r="F270" s="31"/>
      <c r="I270" s="31"/>
      <c r="L270" s="31"/>
      <c r="O270" s="31"/>
    </row>
    <row r="271" spans="3:15" ht="12.75">
      <c r="C271" s="31"/>
      <c r="F271" s="31"/>
      <c r="I271" s="31"/>
      <c r="L271" s="31"/>
      <c r="O271" s="31"/>
    </row>
    <row r="272" spans="3:15" ht="12.75">
      <c r="C272" s="31"/>
      <c r="F272" s="31"/>
      <c r="I272" s="31"/>
      <c r="L272" s="31"/>
      <c r="O272" s="31"/>
    </row>
    <row r="273" spans="3:15" ht="12.75">
      <c r="C273" s="31"/>
      <c r="F273" s="31"/>
      <c r="I273" s="31"/>
      <c r="L273" s="31"/>
      <c r="O273" s="31"/>
    </row>
    <row r="274" spans="3:15" ht="12.75">
      <c r="C274" s="31"/>
      <c r="F274" s="31"/>
      <c r="I274" s="31"/>
      <c r="L274" s="31"/>
      <c r="O274" s="31"/>
    </row>
    <row r="275" spans="3:15" ht="12.75">
      <c r="C275" s="31"/>
      <c r="F275" s="31"/>
      <c r="I275" s="31"/>
      <c r="L275" s="31"/>
      <c r="O275" s="31"/>
    </row>
    <row r="276" spans="3:15" ht="12.75">
      <c r="C276" s="31"/>
      <c r="F276" s="31"/>
      <c r="I276" s="31"/>
      <c r="L276" s="31"/>
      <c r="O276" s="31"/>
    </row>
    <row r="277" spans="3:15" ht="12.75">
      <c r="C277" s="31"/>
      <c r="F277" s="31"/>
      <c r="I277" s="31"/>
      <c r="L277" s="31"/>
      <c r="O277" s="31"/>
    </row>
    <row r="278" spans="3:15" ht="12.75">
      <c r="C278" s="31"/>
      <c r="F278" s="31"/>
      <c r="I278" s="31"/>
      <c r="L278" s="31"/>
      <c r="O278" s="31"/>
    </row>
    <row r="279" spans="3:15" ht="12.75">
      <c r="C279" s="31"/>
      <c r="F279" s="31"/>
      <c r="I279" s="31"/>
      <c r="L279" s="31"/>
      <c r="O279" s="31"/>
    </row>
    <row r="280" spans="3:15" ht="12.75">
      <c r="C280" s="31"/>
      <c r="F280" s="31"/>
      <c r="I280" s="31"/>
      <c r="L280" s="31"/>
      <c r="O280" s="31"/>
    </row>
    <row r="281" spans="3:15" ht="12.75">
      <c r="C281" s="31"/>
      <c r="F281" s="31"/>
      <c r="I281" s="31"/>
      <c r="L281" s="31"/>
      <c r="O281" s="31"/>
    </row>
    <row r="282" spans="3:15" ht="12.75">
      <c r="C282" s="31"/>
      <c r="F282" s="31"/>
      <c r="I282" s="31"/>
      <c r="L282" s="31"/>
      <c r="O282" s="31"/>
    </row>
    <row r="283" spans="3:15" ht="12.75">
      <c r="C283" s="31"/>
      <c r="F283" s="31"/>
      <c r="I283" s="31"/>
      <c r="L283" s="31"/>
      <c r="O283" s="31"/>
    </row>
    <row r="284" spans="3:15" ht="12.75">
      <c r="C284" s="31"/>
      <c r="F284" s="31"/>
      <c r="I284" s="31"/>
      <c r="L284" s="31"/>
      <c r="O284" s="31"/>
    </row>
    <row r="285" spans="3:15" ht="12.75">
      <c r="C285" s="31"/>
      <c r="F285" s="31"/>
      <c r="I285" s="31"/>
      <c r="L285" s="31"/>
      <c r="O285" s="31"/>
    </row>
    <row r="286" spans="3:15" ht="12.75">
      <c r="C286" s="31"/>
      <c r="F286" s="31"/>
      <c r="I286" s="31"/>
      <c r="L286" s="31"/>
      <c r="O286" s="31"/>
    </row>
    <row r="287" spans="3:15" ht="12.75">
      <c r="C287" s="31"/>
      <c r="F287" s="31"/>
      <c r="I287" s="31"/>
      <c r="L287" s="31"/>
      <c r="O287" s="31"/>
    </row>
    <row r="288" spans="3:15" ht="12.75">
      <c r="C288" s="31"/>
      <c r="F288" s="31"/>
      <c r="I288" s="31"/>
      <c r="L288" s="31"/>
      <c r="O288" s="31"/>
    </row>
    <row r="289" spans="3:15" ht="12.75">
      <c r="C289" s="31"/>
      <c r="F289" s="31"/>
      <c r="I289" s="31"/>
      <c r="L289" s="31"/>
      <c r="O289" s="31"/>
    </row>
    <row r="290" spans="3:15" ht="12.75">
      <c r="C290" s="31"/>
      <c r="F290" s="31"/>
      <c r="I290" s="31"/>
      <c r="L290" s="31"/>
      <c r="O290" s="31"/>
    </row>
    <row r="291" spans="3:15" ht="12.75">
      <c r="C291" s="31"/>
      <c r="F291" s="31"/>
      <c r="I291" s="31"/>
      <c r="L291" s="31"/>
      <c r="O291" s="31"/>
    </row>
    <row r="292" spans="3:15" ht="12.75">
      <c r="C292" s="31"/>
      <c r="F292" s="31"/>
      <c r="I292" s="31"/>
      <c r="L292" s="31"/>
      <c r="O292" s="31"/>
    </row>
    <row r="293" spans="3:15" ht="12.75">
      <c r="C293" s="31"/>
      <c r="F293" s="31"/>
      <c r="I293" s="31"/>
      <c r="L293" s="31"/>
      <c r="O293" s="31"/>
    </row>
    <row r="294" spans="3:15" ht="12.75">
      <c r="C294" s="31"/>
      <c r="F294" s="31"/>
      <c r="I294" s="31"/>
      <c r="L294" s="31"/>
      <c r="O294" s="31"/>
    </row>
    <row r="295" spans="3:15" ht="12.75">
      <c r="C295" s="31"/>
      <c r="F295" s="31"/>
      <c r="I295" s="31"/>
      <c r="L295" s="31"/>
      <c r="O295" s="31"/>
    </row>
    <row r="296" spans="3:15" ht="12.75">
      <c r="C296" s="31"/>
      <c r="F296" s="31"/>
      <c r="I296" s="31"/>
      <c r="L296" s="31"/>
      <c r="O296" s="31"/>
    </row>
    <row r="297" spans="3:15" ht="12.75">
      <c r="C297" s="31"/>
      <c r="F297" s="31"/>
      <c r="I297" s="31"/>
      <c r="L297" s="31"/>
      <c r="O297" s="31"/>
    </row>
    <row r="298" spans="3:15" ht="12.75">
      <c r="C298" s="31"/>
      <c r="F298" s="31"/>
      <c r="I298" s="31"/>
      <c r="L298" s="31"/>
      <c r="O298" s="31"/>
    </row>
    <row r="299" spans="3:15" ht="12.75">
      <c r="C299" s="31"/>
      <c r="F299" s="31"/>
      <c r="I299" s="31"/>
      <c r="L299" s="31"/>
      <c r="O299" s="31"/>
    </row>
    <row r="300" spans="3:15" ht="12.75">
      <c r="C300" s="31"/>
      <c r="F300" s="31"/>
      <c r="I300" s="31"/>
      <c r="L300" s="31"/>
      <c r="O300" s="31"/>
    </row>
    <row r="301" spans="3:15" ht="12.75">
      <c r="C301" s="31"/>
      <c r="F301" s="31"/>
      <c r="I301" s="31"/>
      <c r="L301" s="31"/>
      <c r="O301" s="31"/>
    </row>
    <row r="302" spans="3:15" ht="12.75">
      <c r="C302" s="31"/>
      <c r="F302" s="31"/>
      <c r="I302" s="31"/>
      <c r="L302" s="31"/>
      <c r="O302" s="31"/>
    </row>
    <row r="303" spans="3:15" ht="12.75">
      <c r="C303" s="31"/>
      <c r="F303" s="31"/>
      <c r="I303" s="31"/>
      <c r="L303" s="31"/>
      <c r="O303" s="31"/>
    </row>
    <row r="304" spans="3:15" ht="12.75">
      <c r="C304" s="31"/>
      <c r="F304" s="31"/>
      <c r="I304" s="31"/>
      <c r="L304" s="31"/>
      <c r="O304" s="31"/>
    </row>
    <row r="305" spans="3:15" ht="12.75">
      <c r="C305" s="31"/>
      <c r="F305" s="31"/>
      <c r="I305" s="31"/>
      <c r="L305" s="31"/>
      <c r="O305" s="31"/>
    </row>
    <row r="306" spans="3:15" ht="12.75">
      <c r="C306" s="31"/>
      <c r="F306" s="31"/>
      <c r="I306" s="31"/>
      <c r="L306" s="31"/>
      <c r="O306" s="31"/>
    </row>
    <row r="307" spans="3:15" ht="12.75">
      <c r="C307" s="31"/>
      <c r="F307" s="31"/>
      <c r="I307" s="31"/>
      <c r="L307" s="31"/>
      <c r="O307" s="31"/>
    </row>
    <row r="308" spans="3:15" ht="12.75">
      <c r="C308" s="31"/>
      <c r="F308" s="31"/>
      <c r="I308" s="31"/>
      <c r="L308" s="31"/>
      <c r="O308" s="31"/>
    </row>
    <row r="309" spans="3:15" ht="12.75">
      <c r="C309" s="31"/>
      <c r="F309" s="31"/>
      <c r="I309" s="31"/>
      <c r="L309" s="31"/>
      <c r="O309" s="31"/>
    </row>
    <row r="310" spans="3:15" ht="12.75">
      <c r="C310" s="31"/>
      <c r="F310" s="31"/>
      <c r="I310" s="31"/>
      <c r="L310" s="31"/>
      <c r="O310" s="31"/>
    </row>
    <row r="311" spans="3:15" ht="12.75">
      <c r="C311" s="31"/>
      <c r="F311" s="31"/>
      <c r="I311" s="31"/>
      <c r="L311" s="31"/>
      <c r="O311" s="31"/>
    </row>
    <row r="312" spans="3:15" ht="12.75">
      <c r="C312" s="31"/>
      <c r="F312" s="31"/>
      <c r="I312" s="31"/>
      <c r="L312" s="31"/>
      <c r="O312" s="31"/>
    </row>
    <row r="313" spans="3:15" ht="12.75">
      <c r="C313" s="31"/>
      <c r="F313" s="31"/>
      <c r="I313" s="31"/>
      <c r="L313" s="31"/>
      <c r="O313" s="31"/>
    </row>
    <row r="314" spans="3:15" ht="12.75">
      <c r="C314" s="31"/>
      <c r="F314" s="31"/>
      <c r="I314" s="31"/>
      <c r="L314" s="31"/>
      <c r="O314" s="31"/>
    </row>
    <row r="315" spans="3:15" ht="12.75">
      <c r="C315" s="31"/>
      <c r="F315" s="31"/>
      <c r="I315" s="31"/>
      <c r="L315" s="31"/>
      <c r="O315" s="31"/>
    </row>
    <row r="316" spans="3:15" ht="12.75">
      <c r="C316" s="31"/>
      <c r="F316" s="31"/>
      <c r="I316" s="31"/>
      <c r="L316" s="31"/>
      <c r="O316" s="31"/>
    </row>
    <row r="317" spans="3:15" ht="12.75">
      <c r="C317" s="31"/>
      <c r="F317" s="31"/>
      <c r="I317" s="31"/>
      <c r="L317" s="31"/>
      <c r="O317" s="31"/>
    </row>
    <row r="318" spans="3:15" ht="12.75">
      <c r="C318" s="31"/>
      <c r="F318" s="31"/>
      <c r="I318" s="31"/>
      <c r="L318" s="31"/>
      <c r="O318" s="31"/>
    </row>
    <row r="319" spans="3:15" ht="12.75">
      <c r="C319" s="31"/>
      <c r="F319" s="31"/>
      <c r="I319" s="31"/>
      <c r="L319" s="31"/>
      <c r="O319" s="31"/>
    </row>
    <row r="320" spans="3:15" ht="12.75">
      <c r="C320" s="31"/>
      <c r="F320" s="31"/>
      <c r="I320" s="31"/>
      <c r="L320" s="31"/>
      <c r="O320" s="31"/>
    </row>
    <row r="321" spans="3:15" ht="12.75">
      <c r="C321" s="31"/>
      <c r="F321" s="31"/>
      <c r="I321" s="31"/>
      <c r="L321" s="31"/>
      <c r="O321" s="31"/>
    </row>
    <row r="322" spans="3:15" ht="12.75">
      <c r="C322" s="31"/>
      <c r="F322" s="31"/>
      <c r="I322" s="31"/>
      <c r="L322" s="31"/>
      <c r="O322" s="31"/>
    </row>
    <row r="323" spans="3:15" ht="12.75">
      <c r="C323" s="31"/>
      <c r="F323" s="31"/>
      <c r="I323" s="31"/>
      <c r="L323" s="31"/>
      <c r="O323" s="31"/>
    </row>
    <row r="324" spans="3:15" ht="12.75">
      <c r="C324" s="31"/>
      <c r="F324" s="31"/>
      <c r="I324" s="31"/>
      <c r="L324" s="31"/>
      <c r="O324" s="31"/>
    </row>
    <row r="325" spans="3:15" ht="12.75">
      <c r="C325" s="31"/>
      <c r="F325" s="31"/>
      <c r="I325" s="31"/>
      <c r="L325" s="31"/>
      <c r="O325" s="31"/>
    </row>
    <row r="326" spans="3:15" ht="12.75">
      <c r="C326" s="31"/>
      <c r="F326" s="31"/>
      <c r="I326" s="31"/>
      <c r="L326" s="31"/>
      <c r="O326" s="31"/>
    </row>
    <row r="327" spans="3:15" ht="12.75">
      <c r="C327" s="31"/>
      <c r="F327" s="31"/>
      <c r="I327" s="31"/>
      <c r="L327" s="31"/>
      <c r="O327" s="31"/>
    </row>
    <row r="328" spans="3:15" ht="12.75">
      <c r="C328" s="31"/>
      <c r="F328" s="31"/>
      <c r="I328" s="31"/>
      <c r="L328" s="31"/>
      <c r="O328" s="31"/>
    </row>
    <row r="329" spans="3:15" ht="12.75">
      <c r="C329" s="31"/>
      <c r="F329" s="31"/>
      <c r="I329" s="31"/>
      <c r="L329" s="31"/>
      <c r="O329" s="31"/>
    </row>
    <row r="330" spans="3:15" ht="12.75">
      <c r="C330" s="31"/>
      <c r="F330" s="31"/>
      <c r="I330" s="31"/>
      <c r="L330" s="31"/>
      <c r="O330" s="31"/>
    </row>
    <row r="331" spans="3:15" ht="12.75">
      <c r="C331" s="31"/>
      <c r="F331" s="31"/>
      <c r="I331" s="31"/>
      <c r="L331" s="31"/>
      <c r="O331" s="31"/>
    </row>
    <row r="332" spans="3:15" ht="12.75">
      <c r="C332" s="31"/>
      <c r="F332" s="31"/>
      <c r="I332" s="31"/>
      <c r="L332" s="31"/>
      <c r="O332" s="31"/>
    </row>
    <row r="333" spans="3:15" ht="12.75">
      <c r="C333" s="31"/>
      <c r="F333" s="31"/>
      <c r="I333" s="31"/>
      <c r="L333" s="31"/>
      <c r="O333" s="31"/>
    </row>
    <row r="334" spans="3:15" ht="12.75">
      <c r="C334" s="31"/>
      <c r="F334" s="31"/>
      <c r="I334" s="31"/>
      <c r="L334" s="31"/>
      <c r="O334" s="31"/>
    </row>
    <row r="335" spans="3:15" ht="12.75">
      <c r="C335" s="31"/>
      <c r="F335" s="31"/>
      <c r="I335" s="31"/>
      <c r="L335" s="31"/>
      <c r="O335" s="31"/>
    </row>
    <row r="336" spans="3:15" ht="12.75">
      <c r="C336" s="31"/>
      <c r="F336" s="31"/>
      <c r="I336" s="31"/>
      <c r="L336" s="31"/>
      <c r="O336" s="31"/>
    </row>
    <row r="337" spans="3:15" ht="12.75">
      <c r="C337" s="31"/>
      <c r="F337" s="31"/>
      <c r="I337" s="31"/>
      <c r="L337" s="31"/>
      <c r="O337" s="31"/>
    </row>
    <row r="338" spans="3:15" ht="12.75">
      <c r="C338" s="31"/>
      <c r="F338" s="31"/>
      <c r="I338" s="31"/>
      <c r="L338" s="31"/>
      <c r="O338" s="31"/>
    </row>
    <row r="339" spans="3:15" ht="12.75">
      <c r="C339" s="31"/>
      <c r="F339" s="31"/>
      <c r="I339" s="31"/>
      <c r="L339" s="31"/>
      <c r="O339" s="31"/>
    </row>
    <row r="340" spans="3:15" ht="12.75">
      <c r="C340" s="31"/>
      <c r="F340" s="31"/>
      <c r="I340" s="31"/>
      <c r="L340" s="31"/>
      <c r="O340" s="31"/>
    </row>
    <row r="341" spans="3:15" ht="12.75">
      <c r="C341" s="31"/>
      <c r="F341" s="31"/>
      <c r="I341" s="31"/>
      <c r="L341" s="31"/>
      <c r="O341" s="31"/>
    </row>
    <row r="342" spans="3:15" ht="12.75">
      <c r="C342" s="31"/>
      <c r="F342" s="31"/>
      <c r="I342" s="31"/>
      <c r="L342" s="31"/>
      <c r="O342" s="31"/>
    </row>
    <row r="343" spans="3:15" ht="12.75">
      <c r="C343" s="31"/>
      <c r="F343" s="31"/>
      <c r="I343" s="31"/>
      <c r="L343" s="31"/>
      <c r="O343" s="31"/>
    </row>
    <row r="344" spans="3:15" ht="12.75">
      <c r="C344" s="31"/>
      <c r="F344" s="31"/>
      <c r="I344" s="31"/>
      <c r="L344" s="31"/>
      <c r="O344" s="31"/>
    </row>
    <row r="345" spans="3:15" ht="12.75">
      <c r="C345" s="31"/>
      <c r="F345" s="31"/>
      <c r="I345" s="31"/>
      <c r="L345" s="31"/>
      <c r="O345" s="31"/>
    </row>
    <row r="346" spans="3:15" ht="12.75">
      <c r="C346" s="31"/>
      <c r="F346" s="31"/>
      <c r="I346" s="31"/>
      <c r="L346" s="31"/>
      <c r="O346" s="31"/>
    </row>
    <row r="347" spans="3:15" ht="12.75">
      <c r="C347" s="31"/>
      <c r="F347" s="31"/>
      <c r="I347" s="31"/>
      <c r="L347" s="31"/>
      <c r="O347" s="31"/>
    </row>
    <row r="348" spans="3:15" ht="12.75">
      <c r="C348" s="31"/>
      <c r="F348" s="31"/>
      <c r="I348" s="31"/>
      <c r="L348" s="31"/>
      <c r="O348" s="31"/>
    </row>
    <row r="349" spans="3:15" ht="12.75">
      <c r="C349" s="31"/>
      <c r="F349" s="31"/>
      <c r="I349" s="31"/>
      <c r="L349" s="31"/>
      <c r="O349" s="31"/>
    </row>
    <row r="350" spans="3:15" ht="12.75">
      <c r="C350" s="31"/>
      <c r="F350" s="31"/>
      <c r="I350" s="31"/>
      <c r="L350" s="31"/>
      <c r="O350" s="31"/>
    </row>
    <row r="351" spans="3:15" ht="12.75">
      <c r="C351" s="31"/>
      <c r="F351" s="31"/>
      <c r="I351" s="31"/>
      <c r="L351" s="31"/>
      <c r="O351" s="31"/>
    </row>
    <row r="352" spans="3:15" ht="12.75">
      <c r="C352" s="31"/>
      <c r="F352" s="31"/>
      <c r="I352" s="31"/>
      <c r="L352" s="31"/>
      <c r="O352" s="31"/>
    </row>
    <row r="353" spans="3:15" ht="12.75">
      <c r="C353" s="31"/>
      <c r="F353" s="31"/>
      <c r="I353" s="31"/>
      <c r="L353" s="31"/>
      <c r="O353" s="31"/>
    </row>
    <row r="354" spans="3:15" ht="12.75">
      <c r="C354" s="31"/>
      <c r="F354" s="31"/>
      <c r="I354" s="31"/>
      <c r="L354" s="31"/>
      <c r="O354" s="31"/>
    </row>
    <row r="355" spans="3:15" ht="12.75">
      <c r="C355" s="31"/>
      <c r="F355" s="31"/>
      <c r="I355" s="31"/>
      <c r="L355" s="31"/>
      <c r="O355" s="31"/>
    </row>
    <row r="356" spans="3:15" ht="12.75">
      <c r="C356" s="31"/>
      <c r="F356" s="31"/>
      <c r="I356" s="31"/>
      <c r="L356" s="31"/>
      <c r="O356" s="31"/>
    </row>
    <row r="357" spans="3:15" ht="12.75">
      <c r="C357" s="31"/>
      <c r="F357" s="31"/>
      <c r="I357" s="31"/>
      <c r="L357" s="31"/>
      <c r="O357" s="31"/>
    </row>
    <row r="358" spans="3:15" ht="12.75">
      <c r="C358" s="31"/>
      <c r="F358" s="31"/>
      <c r="I358" s="31"/>
      <c r="L358" s="31"/>
      <c r="O358" s="31"/>
    </row>
    <row r="359" spans="3:15" ht="12.75">
      <c r="C359" s="31"/>
      <c r="F359" s="31"/>
      <c r="I359" s="31"/>
      <c r="L359" s="31"/>
      <c r="O359" s="31"/>
    </row>
    <row r="360" spans="3:15" ht="12.75">
      <c r="C360" s="31"/>
      <c r="F360" s="31"/>
      <c r="I360" s="31"/>
      <c r="L360" s="31"/>
      <c r="O360" s="31"/>
    </row>
    <row r="361" spans="3:15" ht="12.75">
      <c r="C361" s="31"/>
      <c r="F361" s="31"/>
      <c r="I361" s="31"/>
      <c r="L361" s="31"/>
      <c r="O361" s="31"/>
    </row>
    <row r="362" spans="3:15" ht="12.75">
      <c r="C362" s="31"/>
      <c r="F362" s="31"/>
      <c r="I362" s="31"/>
      <c r="L362" s="31"/>
      <c r="O362" s="31"/>
    </row>
    <row r="363" spans="3:15" ht="12.75">
      <c r="C363" s="31"/>
      <c r="F363" s="31"/>
      <c r="I363" s="31"/>
      <c r="L363" s="31"/>
      <c r="O363" s="31"/>
    </row>
    <row r="364" spans="3:15" ht="12.75">
      <c r="C364" s="31"/>
      <c r="F364" s="31"/>
      <c r="I364" s="31"/>
      <c r="L364" s="31"/>
      <c r="O364" s="31"/>
    </row>
    <row r="365" spans="3:15" ht="12.75">
      <c r="C365" s="31"/>
      <c r="F365" s="31"/>
      <c r="I365" s="31"/>
      <c r="L365" s="31"/>
      <c r="O365" s="31"/>
    </row>
    <row r="366" spans="3:15" ht="12.75">
      <c r="C366" s="31"/>
      <c r="F366" s="31"/>
      <c r="I366" s="31"/>
      <c r="L366" s="31"/>
      <c r="O366" s="31"/>
    </row>
    <row r="367" spans="3:15" ht="12.75">
      <c r="C367" s="31"/>
      <c r="F367" s="31"/>
      <c r="I367" s="31"/>
      <c r="L367" s="31"/>
      <c r="O367" s="31"/>
    </row>
    <row r="368" spans="3:15" ht="12.75">
      <c r="C368" s="31"/>
      <c r="F368" s="31"/>
      <c r="I368" s="31"/>
      <c r="L368" s="31"/>
      <c r="O368" s="31"/>
    </row>
    <row r="369" spans="3:15" ht="12.75">
      <c r="C369" s="31"/>
      <c r="F369" s="31"/>
      <c r="I369" s="31"/>
      <c r="L369" s="31"/>
      <c r="O369" s="31"/>
    </row>
    <row r="370" spans="3:15" ht="12.75">
      <c r="C370" s="31"/>
      <c r="F370" s="31"/>
      <c r="I370" s="31"/>
      <c r="L370" s="31"/>
      <c r="O370" s="31"/>
    </row>
    <row r="371" spans="3:15" ht="12.75">
      <c r="C371" s="31"/>
      <c r="F371" s="31"/>
      <c r="I371" s="31"/>
      <c r="L371" s="31"/>
      <c r="O371" s="31"/>
    </row>
    <row r="372" spans="3:15" ht="12.75">
      <c r="C372" s="31"/>
      <c r="F372" s="31"/>
      <c r="I372" s="31"/>
      <c r="L372" s="31"/>
      <c r="O372" s="31"/>
    </row>
    <row r="373" spans="3:15" ht="12.75">
      <c r="C373" s="31"/>
      <c r="F373" s="31"/>
      <c r="I373" s="31"/>
      <c r="L373" s="31"/>
      <c r="O373" s="31"/>
    </row>
    <row r="374" spans="3:15" ht="12.75">
      <c r="C374" s="31"/>
      <c r="F374" s="31"/>
      <c r="I374" s="31"/>
      <c r="L374" s="31"/>
      <c r="O374" s="31"/>
    </row>
    <row r="375" spans="3:15" ht="12.75">
      <c r="C375" s="31"/>
      <c r="F375" s="31"/>
      <c r="I375" s="31"/>
      <c r="L375" s="31"/>
      <c r="O375" s="31"/>
    </row>
    <row r="376" spans="3:15" ht="12.75">
      <c r="C376" s="31"/>
      <c r="F376" s="31"/>
      <c r="I376" s="31"/>
      <c r="L376" s="31"/>
      <c r="O376" s="31"/>
    </row>
    <row r="377" spans="3:15" ht="12.75">
      <c r="C377" s="31"/>
      <c r="F377" s="31"/>
      <c r="I377" s="31"/>
      <c r="L377" s="31"/>
      <c r="O377" s="31"/>
    </row>
    <row r="378" spans="3:15" ht="12.75">
      <c r="C378" s="31"/>
      <c r="F378" s="31"/>
      <c r="I378" s="31"/>
      <c r="L378" s="31"/>
      <c r="O378" s="31"/>
    </row>
    <row r="379" spans="3:15" ht="12.75">
      <c r="C379" s="31"/>
      <c r="F379" s="31"/>
      <c r="I379" s="31"/>
      <c r="L379" s="31"/>
      <c r="O379" s="31"/>
    </row>
    <row r="380" spans="3:15" ht="12.75">
      <c r="C380" s="31"/>
      <c r="F380" s="31"/>
      <c r="I380" s="31"/>
      <c r="L380" s="31"/>
      <c r="O380" s="31"/>
    </row>
    <row r="381" spans="3:15" ht="12.75">
      <c r="C381" s="31"/>
      <c r="F381" s="31"/>
      <c r="I381" s="31"/>
      <c r="L381" s="31"/>
      <c r="O381" s="31"/>
    </row>
    <row r="382" spans="3:15" ht="12.75">
      <c r="C382" s="31"/>
      <c r="F382" s="31"/>
      <c r="I382" s="31"/>
      <c r="L382" s="31"/>
      <c r="O382" s="31"/>
    </row>
    <row r="383" spans="3:15" ht="12.75">
      <c r="C383" s="31"/>
      <c r="F383" s="31"/>
      <c r="I383" s="31"/>
      <c r="L383" s="31"/>
      <c r="O383" s="31"/>
    </row>
    <row r="384" spans="3:15" ht="12.75">
      <c r="C384" s="31"/>
      <c r="F384" s="31"/>
      <c r="I384" s="31"/>
      <c r="L384" s="31"/>
      <c r="O384" s="31"/>
    </row>
    <row r="385" spans="3:15" ht="12.75">
      <c r="C385" s="31"/>
      <c r="F385" s="31"/>
      <c r="I385" s="31"/>
      <c r="L385" s="31"/>
      <c r="O385" s="31"/>
    </row>
    <row r="386" spans="3:15" ht="12.75">
      <c r="C386" s="31"/>
      <c r="F386" s="31"/>
      <c r="I386" s="31"/>
      <c r="L386" s="31"/>
      <c r="O386" s="31"/>
    </row>
    <row r="387" spans="3:15" ht="12.75">
      <c r="C387" s="31"/>
      <c r="F387" s="31"/>
      <c r="I387" s="31"/>
      <c r="L387" s="31"/>
      <c r="O387" s="31"/>
    </row>
    <row r="388" spans="3:15" ht="12.75">
      <c r="C388" s="31"/>
      <c r="F388" s="31"/>
      <c r="I388" s="31"/>
      <c r="L388" s="31"/>
      <c r="O388" s="31"/>
    </row>
    <row r="389" spans="3:15" ht="12.75">
      <c r="C389" s="31"/>
      <c r="F389" s="31"/>
      <c r="I389" s="31"/>
      <c r="L389" s="31"/>
      <c r="O389" s="31"/>
    </row>
    <row r="390" spans="3:15" ht="12.75">
      <c r="C390" s="31"/>
      <c r="F390" s="31"/>
      <c r="I390" s="31"/>
      <c r="L390" s="31"/>
      <c r="O390" s="31"/>
    </row>
    <row r="391" spans="3:15" ht="12.75">
      <c r="C391" s="31"/>
      <c r="F391" s="31"/>
      <c r="I391" s="31"/>
      <c r="L391" s="31"/>
      <c r="O391" s="31"/>
    </row>
    <row r="392" spans="3:15" ht="12.75">
      <c r="C392" s="31"/>
      <c r="F392" s="31"/>
      <c r="I392" s="31"/>
      <c r="L392" s="31"/>
      <c r="O392" s="31"/>
    </row>
    <row r="393" spans="3:15" ht="12.75">
      <c r="C393" s="31"/>
      <c r="F393" s="31"/>
      <c r="I393" s="31"/>
      <c r="L393" s="31"/>
      <c r="O393" s="31"/>
    </row>
    <row r="394" spans="3:15" ht="12.75">
      <c r="C394" s="31"/>
      <c r="F394" s="31"/>
      <c r="I394" s="31"/>
      <c r="L394" s="31"/>
      <c r="O394" s="31"/>
    </row>
    <row r="395" spans="3:15" ht="12.75">
      <c r="C395" s="31"/>
      <c r="F395" s="31"/>
      <c r="I395" s="31"/>
      <c r="L395" s="31"/>
      <c r="O395" s="31"/>
    </row>
    <row r="396" spans="3:15" ht="12.75">
      <c r="C396" s="31"/>
      <c r="F396" s="31"/>
      <c r="I396" s="31"/>
      <c r="L396" s="31"/>
      <c r="O396" s="31"/>
    </row>
    <row r="397" spans="3:15" ht="12.75">
      <c r="C397" s="31"/>
      <c r="F397" s="31"/>
      <c r="I397" s="31"/>
      <c r="L397" s="31"/>
      <c r="O397" s="31"/>
    </row>
    <row r="398" spans="3:15" ht="12.75">
      <c r="C398" s="31"/>
      <c r="F398" s="31"/>
      <c r="I398" s="31"/>
      <c r="L398" s="31"/>
      <c r="O398" s="31"/>
    </row>
    <row r="399" spans="3:15" ht="12.75">
      <c r="C399" s="31"/>
      <c r="F399" s="31"/>
      <c r="I399" s="31"/>
      <c r="L399" s="31"/>
      <c r="O399" s="31"/>
    </row>
    <row r="400" spans="3:15" ht="12.75">
      <c r="C400" s="31"/>
      <c r="F400" s="31"/>
      <c r="I400" s="31"/>
      <c r="L400" s="31"/>
      <c r="O400" s="31"/>
    </row>
    <row r="401" spans="3:15" ht="12.75">
      <c r="C401" s="31"/>
      <c r="F401" s="31"/>
      <c r="I401" s="31"/>
      <c r="L401" s="31"/>
      <c r="O401" s="31"/>
    </row>
    <row r="402" spans="3:15" ht="12.75">
      <c r="C402" s="31"/>
      <c r="F402" s="31"/>
      <c r="I402" s="31"/>
      <c r="L402" s="31"/>
      <c r="O402" s="31"/>
    </row>
    <row r="403" spans="3:15" ht="12.75">
      <c r="C403" s="31"/>
      <c r="F403" s="31"/>
      <c r="I403" s="31"/>
      <c r="L403" s="31"/>
      <c r="O403" s="31"/>
    </row>
    <row r="404" spans="3:15" ht="12.75">
      <c r="C404" s="31"/>
      <c r="F404" s="31"/>
      <c r="I404" s="31"/>
      <c r="L404" s="31"/>
      <c r="O404" s="31"/>
    </row>
    <row r="405" spans="3:15" ht="12.75">
      <c r="C405" s="31"/>
      <c r="F405" s="31"/>
      <c r="I405" s="31"/>
      <c r="L405" s="31"/>
      <c r="O405" s="31"/>
    </row>
    <row r="406" spans="3:15" ht="12.75">
      <c r="C406" s="31"/>
      <c r="F406" s="31"/>
      <c r="I406" s="31"/>
      <c r="L406" s="31"/>
      <c r="O406" s="31"/>
    </row>
    <row r="407" spans="3:15" ht="12.75">
      <c r="C407" s="31"/>
      <c r="F407" s="31"/>
      <c r="I407" s="31"/>
      <c r="L407" s="31"/>
      <c r="O407" s="31"/>
    </row>
    <row r="408" spans="3:15" ht="12.75">
      <c r="C408" s="31"/>
      <c r="F408" s="31"/>
      <c r="I408" s="31"/>
      <c r="L408" s="31"/>
      <c r="O408" s="31"/>
    </row>
    <row r="409" spans="3:15" ht="12.75">
      <c r="C409" s="31"/>
      <c r="F409" s="31"/>
      <c r="I409" s="31"/>
      <c r="L409" s="31"/>
      <c r="O409" s="31"/>
    </row>
    <row r="410" spans="3:15" ht="12.75">
      <c r="C410" s="31"/>
      <c r="F410" s="31"/>
      <c r="I410" s="31"/>
      <c r="L410" s="31"/>
      <c r="O410" s="31"/>
    </row>
    <row r="411" spans="3:15" ht="12.75">
      <c r="C411" s="31"/>
      <c r="F411" s="31"/>
      <c r="I411" s="31"/>
      <c r="L411" s="31"/>
      <c r="O411" s="31"/>
    </row>
    <row r="412" spans="3:15" ht="12.75">
      <c r="C412" s="31"/>
      <c r="F412" s="31"/>
      <c r="I412" s="31"/>
      <c r="L412" s="31"/>
      <c r="O412" s="31"/>
    </row>
    <row r="413" spans="3:15" ht="12.75">
      <c r="C413" s="31"/>
      <c r="F413" s="31"/>
      <c r="I413" s="31"/>
      <c r="L413" s="31"/>
      <c r="O413" s="31"/>
    </row>
    <row r="414" spans="3:15" ht="12.75">
      <c r="C414" s="31"/>
      <c r="F414" s="31"/>
      <c r="I414" s="31"/>
      <c r="L414" s="31"/>
      <c r="O414" s="31"/>
    </row>
    <row r="415" spans="3:15" ht="12.75">
      <c r="C415" s="31"/>
      <c r="F415" s="31"/>
      <c r="I415" s="31"/>
      <c r="L415" s="31"/>
      <c r="O415" s="31"/>
    </row>
    <row r="416" spans="3:15" ht="12.75">
      <c r="C416" s="31"/>
      <c r="F416" s="31"/>
      <c r="I416" s="31"/>
      <c r="L416" s="31"/>
      <c r="O416" s="31"/>
    </row>
    <row r="417" spans="3:15" ht="12.75">
      <c r="C417" s="31"/>
      <c r="F417" s="31"/>
      <c r="I417" s="31"/>
      <c r="L417" s="31"/>
      <c r="O417" s="31"/>
    </row>
    <row r="418" spans="3:15" ht="12.75">
      <c r="C418" s="31"/>
      <c r="F418" s="31"/>
      <c r="I418" s="31"/>
      <c r="L418" s="31"/>
      <c r="O418" s="31"/>
    </row>
    <row r="419" spans="3:15" ht="12.75">
      <c r="C419" s="31"/>
      <c r="F419" s="31"/>
      <c r="I419" s="31"/>
      <c r="L419" s="31"/>
      <c r="O419" s="31"/>
    </row>
    <row r="420" spans="3:15" ht="12.75">
      <c r="C420" s="31"/>
      <c r="F420" s="31"/>
      <c r="I420" s="31"/>
      <c r="L420" s="31"/>
      <c r="O420" s="31"/>
    </row>
    <row r="421" spans="3:15" ht="12.75">
      <c r="C421" s="31"/>
      <c r="F421" s="31"/>
      <c r="I421" s="31"/>
      <c r="L421" s="31"/>
      <c r="O421" s="31"/>
    </row>
    <row r="422" spans="3:15" ht="12.75">
      <c r="C422" s="31"/>
      <c r="F422" s="31"/>
      <c r="I422" s="31"/>
      <c r="L422" s="31"/>
      <c r="O422" s="31"/>
    </row>
    <row r="423" spans="3:15" ht="12.75">
      <c r="C423" s="31"/>
      <c r="F423" s="31"/>
      <c r="I423" s="31"/>
      <c r="L423" s="31"/>
      <c r="O423" s="31"/>
    </row>
    <row r="424" spans="3:15" ht="12.75">
      <c r="C424" s="31"/>
      <c r="F424" s="31"/>
      <c r="I424" s="31"/>
      <c r="L424" s="31"/>
      <c r="O424" s="31"/>
    </row>
    <row r="425" spans="3:15" ht="12.75">
      <c r="C425" s="31"/>
      <c r="F425" s="31"/>
      <c r="I425" s="31"/>
      <c r="L425" s="31"/>
      <c r="O425" s="31"/>
    </row>
    <row r="426" spans="3:15" ht="12.75">
      <c r="C426" s="31"/>
      <c r="F426" s="31"/>
      <c r="I426" s="31"/>
      <c r="L426" s="31"/>
      <c r="O426" s="31"/>
    </row>
    <row r="427" spans="3:15" ht="12.75">
      <c r="C427" s="31"/>
      <c r="F427" s="31"/>
      <c r="I427" s="31"/>
      <c r="L427" s="31"/>
      <c r="O427" s="31"/>
    </row>
    <row r="428" spans="3:15" ht="12.75">
      <c r="C428" s="31"/>
      <c r="F428" s="31"/>
      <c r="I428" s="31"/>
      <c r="L428" s="31"/>
      <c r="O428" s="31"/>
    </row>
    <row r="429" spans="3:15" ht="12.75">
      <c r="C429" s="31"/>
      <c r="F429" s="31"/>
      <c r="I429" s="31"/>
      <c r="L429" s="31"/>
      <c r="O429" s="31"/>
    </row>
    <row r="430" spans="3:15" ht="12.75">
      <c r="C430" s="31"/>
      <c r="F430" s="31"/>
      <c r="I430" s="31"/>
      <c r="L430" s="31"/>
      <c r="O430" s="31"/>
    </row>
    <row r="431" spans="3:15" ht="12.75">
      <c r="C431" s="31"/>
      <c r="F431" s="31"/>
      <c r="I431" s="31"/>
      <c r="L431" s="31"/>
      <c r="O431" s="31"/>
    </row>
    <row r="432" spans="3:15" ht="12.75">
      <c r="C432" s="31"/>
      <c r="F432" s="31"/>
      <c r="I432" s="31"/>
      <c r="L432" s="31"/>
      <c r="O432" s="31"/>
    </row>
    <row r="433" spans="3:15" ht="12.75">
      <c r="C433" s="31"/>
      <c r="F433" s="31"/>
      <c r="I433" s="31"/>
      <c r="L433" s="31"/>
      <c r="O433" s="31"/>
    </row>
    <row r="434" spans="3:15" ht="12.75">
      <c r="C434" s="31"/>
      <c r="F434" s="31"/>
      <c r="I434" s="31"/>
      <c r="L434" s="31"/>
      <c r="O434" s="31"/>
    </row>
    <row r="435" spans="3:15" ht="12.75">
      <c r="C435" s="31"/>
      <c r="F435" s="31"/>
      <c r="I435" s="31"/>
      <c r="L435" s="31"/>
      <c r="O435" s="31"/>
    </row>
    <row r="436" spans="3:15" ht="12.75">
      <c r="C436" s="31"/>
      <c r="F436" s="31"/>
      <c r="I436" s="31"/>
      <c r="L436" s="31"/>
      <c r="O436" s="31"/>
    </row>
    <row r="437" spans="3:15" ht="12.75">
      <c r="C437" s="31"/>
      <c r="F437" s="31"/>
      <c r="I437" s="31"/>
      <c r="L437" s="31"/>
      <c r="O437" s="31"/>
    </row>
    <row r="438" spans="3:15" ht="12.75">
      <c r="C438" s="31"/>
      <c r="F438" s="31"/>
      <c r="I438" s="31"/>
      <c r="L438" s="31"/>
      <c r="O438" s="31"/>
    </row>
    <row r="439" spans="3:15" ht="12.75">
      <c r="C439" s="31"/>
      <c r="F439" s="31"/>
      <c r="I439" s="31"/>
      <c r="L439" s="31"/>
      <c r="O439" s="31"/>
    </row>
    <row r="440" spans="3:15" ht="12.75">
      <c r="C440" s="31"/>
      <c r="F440" s="31"/>
      <c r="I440" s="31"/>
      <c r="L440" s="31"/>
      <c r="O440" s="31"/>
    </row>
    <row r="441" spans="3:15" ht="12.75">
      <c r="C441" s="31"/>
      <c r="F441" s="31"/>
      <c r="I441" s="31"/>
      <c r="L441" s="31"/>
      <c r="O441" s="31"/>
    </row>
    <row r="442" spans="3:15" ht="12.75">
      <c r="C442" s="31"/>
      <c r="F442" s="31"/>
      <c r="I442" s="31"/>
      <c r="L442" s="31"/>
      <c r="O442" s="31"/>
    </row>
    <row r="443" spans="3:15" ht="12.75">
      <c r="C443" s="31"/>
      <c r="F443" s="31"/>
      <c r="I443" s="31"/>
      <c r="L443" s="31"/>
      <c r="O443" s="31"/>
    </row>
    <row r="444" spans="3:15" ht="12.75">
      <c r="C444" s="31"/>
      <c r="F444" s="31"/>
      <c r="I444" s="31"/>
      <c r="L444" s="31"/>
      <c r="O444" s="31"/>
    </row>
    <row r="445" spans="3:15" ht="12.75">
      <c r="C445" s="31"/>
      <c r="F445" s="31"/>
      <c r="I445" s="31"/>
      <c r="L445" s="31"/>
      <c r="O445" s="31"/>
    </row>
    <row r="446" spans="3:15" ht="12.75">
      <c r="C446" s="31"/>
      <c r="F446" s="31"/>
      <c r="I446" s="31"/>
      <c r="L446" s="31"/>
      <c r="O446" s="31"/>
    </row>
    <row r="447" spans="3:15" ht="12.75">
      <c r="C447" s="31"/>
      <c r="F447" s="31"/>
      <c r="I447" s="31"/>
      <c r="L447" s="31"/>
      <c r="O447" s="31"/>
    </row>
    <row r="448" spans="3:15" ht="12.75">
      <c r="C448" s="31"/>
      <c r="F448" s="31"/>
      <c r="I448" s="31"/>
      <c r="L448" s="31"/>
      <c r="O448" s="31"/>
    </row>
    <row r="449" spans="3:15" ht="12.75">
      <c r="C449" s="31"/>
      <c r="F449" s="31"/>
      <c r="I449" s="31"/>
      <c r="L449" s="31"/>
      <c r="O449" s="31"/>
    </row>
    <row r="450" spans="3:15" ht="12.75">
      <c r="C450" s="31"/>
      <c r="F450" s="31"/>
      <c r="I450" s="31"/>
      <c r="L450" s="31"/>
      <c r="O450" s="31"/>
    </row>
    <row r="451" spans="3:15" ht="12.75">
      <c r="C451" s="31"/>
      <c r="F451" s="31"/>
      <c r="I451" s="31"/>
      <c r="L451" s="31"/>
      <c r="O451" s="31"/>
    </row>
    <row r="452" spans="3:15" ht="12.75">
      <c r="C452" s="31"/>
      <c r="F452" s="31"/>
      <c r="I452" s="31"/>
      <c r="L452" s="31"/>
      <c r="O452" s="31"/>
    </row>
    <row r="453" spans="3:15" ht="12.75">
      <c r="C453" s="31"/>
      <c r="F453" s="31"/>
      <c r="I453" s="31"/>
      <c r="L453" s="31"/>
      <c r="O453" s="31"/>
    </row>
    <row r="454" spans="3:15" ht="12.75">
      <c r="C454" s="31"/>
      <c r="F454" s="31"/>
      <c r="I454" s="31"/>
      <c r="L454" s="31"/>
      <c r="O454" s="31"/>
    </row>
    <row r="455" spans="3:15" ht="12.75">
      <c r="C455" s="31"/>
      <c r="F455" s="31"/>
      <c r="I455" s="31"/>
      <c r="L455" s="31"/>
      <c r="O455" s="31"/>
    </row>
    <row r="456" spans="3:15" ht="12.75">
      <c r="C456" s="31"/>
      <c r="F456" s="31"/>
      <c r="I456" s="31"/>
      <c r="L456" s="31"/>
      <c r="O456" s="31"/>
    </row>
    <row r="457" spans="3:15" ht="12.75">
      <c r="C457" s="31"/>
      <c r="F457" s="31"/>
      <c r="I457" s="31"/>
      <c r="L457" s="31"/>
      <c r="O457" s="31"/>
    </row>
    <row r="458" spans="3:15" ht="12.75">
      <c r="C458" s="31"/>
      <c r="F458" s="31"/>
      <c r="I458" s="31"/>
      <c r="L458" s="31"/>
      <c r="O458" s="31"/>
    </row>
    <row r="459" spans="3:15" ht="12.75">
      <c r="C459" s="31"/>
      <c r="F459" s="31"/>
      <c r="I459" s="31"/>
      <c r="L459" s="31"/>
      <c r="O459" s="31"/>
    </row>
    <row r="460" spans="3:15" ht="12.75">
      <c r="C460" s="31"/>
      <c r="F460" s="31"/>
      <c r="I460" s="31"/>
      <c r="L460" s="31"/>
      <c r="O460" s="31"/>
    </row>
    <row r="461" spans="3:15" ht="12.75">
      <c r="C461" s="31"/>
      <c r="F461" s="31"/>
      <c r="I461" s="31"/>
      <c r="L461" s="31"/>
      <c r="O461" s="31"/>
    </row>
    <row r="462" spans="3:15" ht="12.75">
      <c r="C462" s="31"/>
      <c r="F462" s="31"/>
      <c r="I462" s="31"/>
      <c r="L462" s="31"/>
      <c r="O462" s="31"/>
    </row>
    <row r="463" spans="3:15" ht="12.75">
      <c r="C463" s="31"/>
      <c r="F463" s="31"/>
      <c r="I463" s="31"/>
      <c r="L463" s="31"/>
      <c r="O463" s="31"/>
    </row>
    <row r="464" spans="3:15" ht="12.75">
      <c r="C464" s="31"/>
      <c r="F464" s="31"/>
      <c r="I464" s="31"/>
      <c r="L464" s="31"/>
      <c r="O464" s="31"/>
    </row>
    <row r="465" spans="3:15" ht="12.75">
      <c r="C465" s="31"/>
      <c r="F465" s="31"/>
      <c r="I465" s="31"/>
      <c r="L465" s="31"/>
      <c r="O465" s="31"/>
    </row>
    <row r="466" spans="3:15" ht="12.75">
      <c r="C466" s="31"/>
      <c r="F466" s="31"/>
      <c r="I466" s="31"/>
      <c r="L466" s="31"/>
      <c r="O466" s="31"/>
    </row>
    <row r="467" spans="3:15" ht="12.75">
      <c r="C467" s="31"/>
      <c r="F467" s="31"/>
      <c r="I467" s="31"/>
      <c r="L467" s="31"/>
      <c r="O467" s="31"/>
    </row>
    <row r="468" spans="3:15" ht="12.75">
      <c r="C468" s="31"/>
      <c r="F468" s="31"/>
      <c r="I468" s="31"/>
      <c r="L468" s="31"/>
      <c r="O468" s="31"/>
    </row>
    <row r="469" spans="3:15" ht="12.75">
      <c r="C469" s="31"/>
      <c r="F469" s="31"/>
      <c r="I469" s="31"/>
      <c r="L469" s="31"/>
      <c r="O469" s="31"/>
    </row>
    <row r="470" spans="3:15" ht="12.75">
      <c r="C470" s="31"/>
      <c r="F470" s="31"/>
      <c r="I470" s="31"/>
      <c r="L470" s="31"/>
      <c r="O470" s="31"/>
    </row>
    <row r="471" spans="3:15" ht="12.75">
      <c r="C471" s="31"/>
      <c r="F471" s="31"/>
      <c r="I471" s="31"/>
      <c r="L471" s="31"/>
      <c r="O471" s="31"/>
    </row>
    <row r="472" spans="3:15" ht="12.75">
      <c r="C472" s="31"/>
      <c r="F472" s="31"/>
      <c r="I472" s="31"/>
      <c r="L472" s="31"/>
      <c r="O472" s="31"/>
    </row>
    <row r="473" spans="3:15" ht="12.75">
      <c r="C473" s="31"/>
      <c r="F473" s="31"/>
      <c r="I473" s="31"/>
      <c r="L473" s="31"/>
      <c r="O473" s="31"/>
    </row>
    <row r="474" spans="3:15" ht="12.75">
      <c r="C474" s="31"/>
      <c r="F474" s="31"/>
      <c r="I474" s="31"/>
      <c r="L474" s="31"/>
      <c r="O474" s="31"/>
    </row>
    <row r="475" spans="3:15" ht="12.75">
      <c r="C475" s="31"/>
      <c r="F475" s="31"/>
      <c r="I475" s="31"/>
      <c r="L475" s="31"/>
      <c r="O475" s="31"/>
    </row>
    <row r="476" spans="3:15" ht="12.75">
      <c r="C476" s="31"/>
      <c r="F476" s="31"/>
      <c r="I476" s="31"/>
      <c r="L476" s="31"/>
      <c r="O476" s="31"/>
    </row>
    <row r="477" spans="3:15" ht="12.75">
      <c r="C477" s="31"/>
      <c r="F477" s="31"/>
      <c r="I477" s="31"/>
      <c r="L477" s="31"/>
      <c r="O477" s="31"/>
    </row>
    <row r="478" spans="3:15" ht="12.75">
      <c r="C478" s="31"/>
      <c r="F478" s="31"/>
      <c r="I478" s="31"/>
      <c r="L478" s="31"/>
      <c r="O478" s="31"/>
    </row>
    <row r="479" spans="3:15" ht="12.75">
      <c r="C479" s="31"/>
      <c r="F479" s="31"/>
      <c r="I479" s="31"/>
      <c r="L479" s="31"/>
      <c r="O479" s="31"/>
    </row>
    <row r="480" spans="3:15" ht="12.75">
      <c r="C480" s="31"/>
      <c r="F480" s="31"/>
      <c r="I480" s="31"/>
      <c r="L480" s="31"/>
      <c r="O480" s="31"/>
    </row>
    <row r="481" spans="3:15" ht="12.75">
      <c r="C481" s="31"/>
      <c r="F481" s="31"/>
      <c r="I481" s="31"/>
      <c r="L481" s="31"/>
      <c r="O481" s="31"/>
    </row>
    <row r="482" spans="3:15" ht="12.75">
      <c r="C482" s="31"/>
      <c r="F482" s="31"/>
      <c r="I482" s="31"/>
      <c r="L482" s="31"/>
      <c r="O482" s="31"/>
    </row>
    <row r="483" spans="3:15" ht="12.75">
      <c r="C483" s="31"/>
      <c r="F483" s="31"/>
      <c r="I483" s="31"/>
      <c r="L483" s="31"/>
      <c r="O483" s="31"/>
    </row>
    <row r="484" spans="3:15" ht="12.75">
      <c r="C484" s="31"/>
      <c r="F484" s="31"/>
      <c r="I484" s="31"/>
      <c r="L484" s="31"/>
      <c r="O484" s="31"/>
    </row>
    <row r="485" spans="3:15" ht="12.75">
      <c r="C485" s="31"/>
      <c r="F485" s="31"/>
      <c r="I485" s="31"/>
      <c r="L485" s="31"/>
      <c r="O485" s="31"/>
    </row>
    <row r="486" spans="3:15" ht="12.75">
      <c r="C486" s="31"/>
      <c r="F486" s="31"/>
      <c r="I486" s="31"/>
      <c r="L486" s="31"/>
      <c r="O486" s="31"/>
    </row>
    <row r="487" spans="3:15" ht="12.75">
      <c r="C487" s="31"/>
      <c r="F487" s="31"/>
      <c r="I487" s="31"/>
      <c r="L487" s="31"/>
      <c r="O487" s="31"/>
    </row>
    <row r="488" spans="3:15" ht="12.75">
      <c r="C488" s="31"/>
      <c r="F488" s="31"/>
      <c r="I488" s="31"/>
      <c r="L488" s="31"/>
      <c r="O488" s="31"/>
    </row>
    <row r="489" spans="3:15" ht="12.75">
      <c r="C489" s="31"/>
      <c r="F489" s="31"/>
      <c r="I489" s="31"/>
      <c r="L489" s="31"/>
      <c r="O489" s="31"/>
    </row>
    <row r="490" spans="3:15" ht="12.75">
      <c r="C490" s="31"/>
      <c r="F490" s="31"/>
      <c r="I490" s="31"/>
      <c r="L490" s="31"/>
      <c r="O490" s="31"/>
    </row>
    <row r="491" spans="3:15" ht="12.75">
      <c r="C491" s="31"/>
      <c r="F491" s="31"/>
      <c r="I491" s="31"/>
      <c r="L491" s="31"/>
      <c r="O491" s="31"/>
    </row>
    <row r="492" spans="3:15" ht="12.75">
      <c r="C492" s="31"/>
      <c r="F492" s="31"/>
      <c r="I492" s="31"/>
      <c r="L492" s="31"/>
      <c r="O492" s="31"/>
    </row>
    <row r="493" spans="3:15" ht="12.75">
      <c r="C493" s="31"/>
      <c r="F493" s="31"/>
      <c r="I493" s="31"/>
      <c r="L493" s="31"/>
      <c r="O493" s="31"/>
    </row>
    <row r="494" spans="3:15" ht="12.75">
      <c r="C494" s="31"/>
      <c r="F494" s="31"/>
      <c r="I494" s="31"/>
      <c r="L494" s="31"/>
      <c r="O494" s="31"/>
    </row>
    <row r="495" spans="3:15" ht="12.75">
      <c r="C495" s="31"/>
      <c r="F495" s="31"/>
      <c r="I495" s="31"/>
      <c r="L495" s="31"/>
      <c r="O495" s="31"/>
    </row>
    <row r="496" spans="3:15" ht="12.75">
      <c r="C496" s="31"/>
      <c r="F496" s="31"/>
      <c r="I496" s="31"/>
      <c r="L496" s="31"/>
      <c r="O496" s="31"/>
    </row>
    <row r="497" spans="3:15" ht="12.75">
      <c r="C497" s="31"/>
      <c r="F497" s="31"/>
      <c r="I497" s="31"/>
      <c r="L497" s="31"/>
      <c r="O497" s="31"/>
    </row>
    <row r="498" spans="3:15" ht="12.75">
      <c r="C498" s="31"/>
      <c r="F498" s="31"/>
      <c r="I498" s="31"/>
      <c r="L498" s="31"/>
      <c r="O498" s="31"/>
    </row>
    <row r="499" spans="3:15" ht="12.75">
      <c r="C499" s="31"/>
      <c r="F499" s="31"/>
      <c r="I499" s="31"/>
      <c r="L499" s="31"/>
      <c r="O499" s="31"/>
    </row>
    <row r="500" spans="3:15" ht="12.75">
      <c r="C500" s="31"/>
      <c r="F500" s="31"/>
      <c r="I500" s="31"/>
      <c r="L500" s="31"/>
      <c r="O500" s="31"/>
    </row>
    <row r="501" spans="3:15" ht="12.75">
      <c r="C501" s="31"/>
      <c r="F501" s="31"/>
      <c r="I501" s="31"/>
      <c r="L501" s="31"/>
      <c r="O501" s="31"/>
    </row>
    <row r="502" spans="3:15" ht="12.75">
      <c r="C502" s="31"/>
      <c r="F502" s="31"/>
      <c r="I502" s="31"/>
      <c r="L502" s="31"/>
      <c r="O502" s="31"/>
    </row>
    <row r="503" spans="3:15" ht="12.75">
      <c r="C503" s="31"/>
      <c r="F503" s="31"/>
      <c r="I503" s="31"/>
      <c r="L503" s="31"/>
      <c r="O503" s="31"/>
    </row>
    <row r="504" spans="3:15" ht="12.75">
      <c r="C504" s="31"/>
      <c r="F504" s="31"/>
      <c r="I504" s="31"/>
      <c r="L504" s="31"/>
      <c r="O504" s="31"/>
    </row>
    <row r="505" spans="3:15" ht="12.75">
      <c r="C505" s="31"/>
      <c r="F505" s="31"/>
      <c r="I505" s="31"/>
      <c r="L505" s="31"/>
      <c r="O505" s="31"/>
    </row>
    <row r="506" spans="3:15" ht="12.75">
      <c r="C506" s="31"/>
      <c r="F506" s="31"/>
      <c r="I506" s="31"/>
      <c r="L506" s="31"/>
      <c r="O506" s="31"/>
    </row>
    <row r="507" spans="3:15" ht="12.75">
      <c r="C507" s="31"/>
      <c r="F507" s="31"/>
      <c r="I507" s="31"/>
      <c r="L507" s="31"/>
      <c r="O507" s="31"/>
    </row>
    <row r="508" spans="3:15" ht="12.75">
      <c r="C508" s="31"/>
      <c r="F508" s="31"/>
      <c r="I508" s="31"/>
      <c r="L508" s="31"/>
      <c r="O508" s="31"/>
    </row>
    <row r="509" spans="3:15" ht="12.75">
      <c r="C509" s="31"/>
      <c r="F509" s="31"/>
      <c r="I509" s="31"/>
      <c r="L509" s="31"/>
      <c r="O509" s="31"/>
    </row>
    <row r="510" spans="3:15" ht="12.75">
      <c r="C510" s="31"/>
      <c r="F510" s="31"/>
      <c r="I510" s="31"/>
      <c r="L510" s="31"/>
      <c r="O510" s="31"/>
    </row>
    <row r="511" spans="3:15" ht="12.75">
      <c r="C511" s="31"/>
      <c r="F511" s="31"/>
      <c r="I511" s="31"/>
      <c r="L511" s="31"/>
      <c r="O511" s="31"/>
    </row>
    <row r="512" spans="3:15" ht="12.75">
      <c r="C512" s="31"/>
      <c r="F512" s="31"/>
      <c r="I512" s="31"/>
      <c r="L512" s="31"/>
      <c r="O512" s="31"/>
    </row>
    <row r="513" spans="3:15" ht="12.75">
      <c r="C513" s="31"/>
      <c r="F513" s="31"/>
      <c r="I513" s="31"/>
      <c r="L513" s="31"/>
      <c r="O513" s="31"/>
    </row>
    <row r="514" spans="3:15" ht="12.75">
      <c r="C514" s="31"/>
      <c r="F514" s="31"/>
      <c r="I514" s="31"/>
      <c r="L514" s="31"/>
      <c r="O514" s="31"/>
    </row>
    <row r="515" spans="3:15" ht="12.75">
      <c r="C515" s="31"/>
      <c r="F515" s="31"/>
      <c r="I515" s="31"/>
      <c r="L515" s="31"/>
      <c r="O515" s="31"/>
    </row>
    <row r="516" spans="3:15" ht="12.75">
      <c r="C516" s="31"/>
      <c r="F516" s="31"/>
      <c r="I516" s="31"/>
      <c r="L516" s="31"/>
      <c r="O516" s="31"/>
    </row>
    <row r="517" spans="3:15" ht="12.75">
      <c r="C517" s="31"/>
      <c r="F517" s="31"/>
      <c r="I517" s="31"/>
      <c r="L517" s="31"/>
      <c r="O517" s="31"/>
    </row>
    <row r="518" spans="3:15" ht="12.75">
      <c r="C518" s="31"/>
      <c r="F518" s="31"/>
      <c r="I518" s="31"/>
      <c r="L518" s="31"/>
      <c r="O518" s="31"/>
    </row>
    <row r="519" spans="3:15" ht="12.75">
      <c r="C519" s="31"/>
      <c r="F519" s="31"/>
      <c r="I519" s="31"/>
      <c r="L519" s="31"/>
      <c r="O519" s="31"/>
    </row>
    <row r="520" spans="3:15" ht="12.75">
      <c r="C520" s="31"/>
      <c r="F520" s="31"/>
      <c r="I520" s="31"/>
      <c r="L520" s="31"/>
      <c r="O520" s="31"/>
    </row>
    <row r="521" spans="3:15" ht="12.75">
      <c r="C521" s="31"/>
      <c r="F521" s="31"/>
      <c r="I521" s="31"/>
      <c r="L521" s="31"/>
      <c r="O521" s="31"/>
    </row>
    <row r="522" spans="3:15" ht="12.75">
      <c r="C522" s="31"/>
      <c r="F522" s="31"/>
      <c r="I522" s="31"/>
      <c r="L522" s="31"/>
      <c r="O522" s="31"/>
    </row>
    <row r="523" spans="3:15" ht="12.75">
      <c r="C523" s="31"/>
      <c r="F523" s="31"/>
      <c r="I523" s="31"/>
      <c r="L523" s="31"/>
      <c r="O523" s="31"/>
    </row>
    <row r="524" spans="3:15" ht="12.75">
      <c r="C524" s="31"/>
      <c r="F524" s="31"/>
      <c r="I524" s="31"/>
      <c r="L524" s="31"/>
      <c r="O524" s="31"/>
    </row>
    <row r="525" spans="3:15" ht="12.75">
      <c r="C525" s="31"/>
      <c r="F525" s="31"/>
      <c r="I525" s="31"/>
      <c r="L525" s="31"/>
      <c r="O525" s="31"/>
    </row>
    <row r="526" spans="3:15" ht="12.75">
      <c r="C526" s="31"/>
      <c r="F526" s="31"/>
      <c r="I526" s="31"/>
      <c r="L526" s="31"/>
      <c r="O526" s="31"/>
    </row>
    <row r="527" spans="3:15" ht="12.75">
      <c r="C527" s="31"/>
      <c r="F527" s="31"/>
      <c r="I527" s="31"/>
      <c r="L527" s="31"/>
      <c r="O527" s="31"/>
    </row>
    <row r="528" spans="3:15" ht="12.75">
      <c r="C528" s="31"/>
      <c r="F528" s="31"/>
      <c r="I528" s="31"/>
      <c r="L528" s="31"/>
      <c r="O528" s="31"/>
    </row>
    <row r="529" spans="3:15" ht="12.75">
      <c r="C529" s="31"/>
      <c r="F529" s="31"/>
      <c r="I529" s="31"/>
      <c r="L529" s="31"/>
      <c r="O529" s="31"/>
    </row>
    <row r="530" spans="3:15" ht="12.75">
      <c r="C530" s="31"/>
      <c r="F530" s="31"/>
      <c r="I530" s="31"/>
      <c r="L530" s="31"/>
      <c r="O530" s="31"/>
    </row>
    <row r="531" spans="3:15" ht="12.75">
      <c r="C531" s="31"/>
      <c r="F531" s="31"/>
      <c r="I531" s="31"/>
      <c r="L531" s="31"/>
      <c r="O531" s="31"/>
    </row>
    <row r="532" spans="3:15" ht="12.75">
      <c r="C532" s="31"/>
      <c r="F532" s="31"/>
      <c r="I532" s="31"/>
      <c r="L532" s="31"/>
      <c r="O532" s="31"/>
    </row>
    <row r="533" spans="3:15" ht="12.75">
      <c r="C533" s="31"/>
      <c r="F533" s="31"/>
      <c r="I533" s="31"/>
      <c r="L533" s="31"/>
      <c r="O533" s="31"/>
    </row>
    <row r="534" spans="3:15" ht="12.75">
      <c r="C534" s="31"/>
      <c r="F534" s="31"/>
      <c r="I534" s="31"/>
      <c r="L534" s="31"/>
      <c r="O534" s="31"/>
    </row>
    <row r="535" spans="3:15" ht="12.75">
      <c r="C535" s="31"/>
      <c r="F535" s="31"/>
      <c r="I535" s="31"/>
      <c r="L535" s="31"/>
      <c r="O535" s="31"/>
    </row>
    <row r="536" spans="3:15" ht="12.75">
      <c r="C536" s="31"/>
      <c r="F536" s="31"/>
      <c r="I536" s="31"/>
      <c r="L536" s="31"/>
      <c r="O536" s="31"/>
    </row>
    <row r="537" spans="3:15" ht="12.75">
      <c r="C537" s="31"/>
      <c r="F537" s="31"/>
      <c r="I537" s="31"/>
      <c r="L537" s="31"/>
      <c r="O537" s="31"/>
    </row>
    <row r="538" spans="3:15" ht="12.75">
      <c r="C538" s="31"/>
      <c r="F538" s="31"/>
      <c r="I538" s="31"/>
      <c r="L538" s="31"/>
      <c r="O538" s="31"/>
    </row>
    <row r="539" spans="3:15" ht="12.75">
      <c r="C539" s="31"/>
      <c r="F539" s="31"/>
      <c r="I539" s="31"/>
      <c r="L539" s="31"/>
      <c r="O539" s="31"/>
    </row>
    <row r="540" spans="3:15" ht="12.75">
      <c r="C540" s="31"/>
      <c r="F540" s="31"/>
      <c r="I540" s="31"/>
      <c r="L540" s="31"/>
      <c r="O540" s="31"/>
    </row>
    <row r="541" spans="3:15" ht="12.75">
      <c r="C541" s="31"/>
      <c r="F541" s="31"/>
      <c r="I541" s="31"/>
      <c r="L541" s="31"/>
      <c r="O541" s="31"/>
    </row>
    <row r="542" spans="3:15" ht="12.75">
      <c r="C542" s="31"/>
      <c r="F542" s="31"/>
      <c r="I542" s="31"/>
      <c r="L542" s="31"/>
      <c r="O542" s="31"/>
    </row>
    <row r="543" spans="3:15" ht="12.75">
      <c r="C543" s="31"/>
      <c r="F543" s="31"/>
      <c r="I543" s="31"/>
      <c r="L543" s="31"/>
      <c r="O543" s="31"/>
    </row>
    <row r="544" spans="3:15" ht="12.75">
      <c r="C544" s="31"/>
      <c r="F544" s="31"/>
      <c r="I544" s="31"/>
      <c r="L544" s="31"/>
      <c r="O544" s="31"/>
    </row>
    <row r="545" spans="3:15" ht="12.75">
      <c r="C545" s="31"/>
      <c r="F545" s="31"/>
      <c r="I545" s="31"/>
      <c r="L545" s="31"/>
      <c r="O545" s="31"/>
    </row>
    <row r="546" spans="3:15" ht="12.75">
      <c r="C546" s="31"/>
      <c r="F546" s="31"/>
      <c r="I546" s="31"/>
      <c r="L546" s="31"/>
      <c r="O546" s="31"/>
    </row>
    <row r="547" spans="3:15" ht="12.75">
      <c r="C547" s="31"/>
      <c r="F547" s="31"/>
      <c r="I547" s="31"/>
      <c r="L547" s="31"/>
      <c r="O547" s="31"/>
    </row>
    <row r="548" spans="3:15" ht="12.75">
      <c r="C548" s="31"/>
      <c r="F548" s="31"/>
      <c r="I548" s="31"/>
      <c r="L548" s="31"/>
      <c r="O548" s="31"/>
    </row>
    <row r="549" spans="3:15" ht="12.75">
      <c r="C549" s="31"/>
      <c r="F549" s="31"/>
      <c r="I549" s="31"/>
      <c r="L549" s="31"/>
      <c r="O549" s="31"/>
    </row>
    <row r="550" spans="3:15" ht="12.75">
      <c r="C550" s="31"/>
      <c r="F550" s="31"/>
      <c r="I550" s="31"/>
      <c r="L550" s="31"/>
      <c r="O550" s="31"/>
    </row>
    <row r="551" spans="3:15" ht="12.75">
      <c r="C551" s="31"/>
      <c r="F551" s="31"/>
      <c r="I551" s="31"/>
      <c r="L551" s="31"/>
      <c r="O551" s="31"/>
    </row>
    <row r="552" spans="3:15" ht="12.75">
      <c r="C552" s="31"/>
      <c r="F552" s="31"/>
      <c r="I552" s="31"/>
      <c r="L552" s="31"/>
      <c r="O552" s="31"/>
    </row>
    <row r="553" spans="3:15" ht="12.75">
      <c r="C553" s="31"/>
      <c r="F553" s="31"/>
      <c r="I553" s="31"/>
      <c r="L553" s="31"/>
      <c r="O553" s="31"/>
    </row>
    <row r="554" spans="3:15" ht="12.75">
      <c r="C554" s="31"/>
      <c r="F554" s="31"/>
      <c r="I554" s="31"/>
      <c r="L554" s="31"/>
      <c r="O554" s="31"/>
    </row>
    <row r="555" spans="3:15" ht="12.75">
      <c r="C555" s="31"/>
      <c r="F555" s="31"/>
      <c r="I555" s="31"/>
      <c r="L555" s="31"/>
      <c r="O555" s="31"/>
    </row>
    <row r="556" spans="3:15" ht="12.75">
      <c r="C556" s="31"/>
      <c r="F556" s="31"/>
      <c r="I556" s="31"/>
      <c r="L556" s="31"/>
      <c r="O556" s="31"/>
    </row>
    <row r="557" spans="3:15" ht="12.75">
      <c r="C557" s="31"/>
      <c r="F557" s="31"/>
      <c r="I557" s="31"/>
      <c r="L557" s="31"/>
      <c r="O557" s="31"/>
    </row>
    <row r="558" spans="3:15" ht="12.75">
      <c r="C558" s="31"/>
      <c r="F558" s="31"/>
      <c r="I558" s="31"/>
      <c r="L558" s="31"/>
      <c r="O558" s="31"/>
    </row>
    <row r="559" spans="3:15" ht="12.75">
      <c r="C559" s="31"/>
      <c r="F559" s="31"/>
      <c r="I559" s="31"/>
      <c r="L559" s="31"/>
      <c r="O559" s="31"/>
    </row>
    <row r="560" spans="3:15" ht="12.75">
      <c r="C560" s="31"/>
      <c r="F560" s="31"/>
      <c r="I560" s="31"/>
      <c r="L560" s="31"/>
      <c r="O560" s="31"/>
    </row>
    <row r="561" spans="3:15" ht="12.75">
      <c r="C561" s="31"/>
      <c r="F561" s="31"/>
      <c r="I561" s="31"/>
      <c r="L561" s="31"/>
      <c r="O561" s="31"/>
    </row>
    <row r="562" spans="3:15" ht="12.75">
      <c r="C562" s="31"/>
      <c r="F562" s="31"/>
      <c r="I562" s="31"/>
      <c r="L562" s="31"/>
      <c r="O562" s="31"/>
    </row>
    <row r="563" spans="3:15" ht="12.75">
      <c r="C563" s="31"/>
      <c r="F563" s="31"/>
      <c r="I563" s="31"/>
      <c r="L563" s="31"/>
      <c r="O563" s="31"/>
    </row>
    <row r="564" spans="3:15" ht="12.75">
      <c r="C564" s="31"/>
      <c r="F564" s="31"/>
      <c r="I564" s="31"/>
      <c r="L564" s="31"/>
      <c r="O564" s="31"/>
    </row>
    <row r="565" spans="3:15" ht="12.75">
      <c r="C565" s="31"/>
      <c r="F565" s="31"/>
      <c r="I565" s="31"/>
      <c r="L565" s="31"/>
      <c r="O565" s="31"/>
    </row>
    <row r="566" spans="3:15" ht="12.75">
      <c r="C566" s="31"/>
      <c r="F566" s="31"/>
      <c r="I566" s="31"/>
      <c r="L566" s="31"/>
      <c r="O566" s="31"/>
    </row>
    <row r="567" spans="3:15" ht="12.75">
      <c r="C567" s="31"/>
      <c r="F567" s="31"/>
      <c r="I567" s="31"/>
      <c r="L567" s="31"/>
      <c r="O567" s="31"/>
    </row>
    <row r="568" spans="3:15" ht="12.75">
      <c r="C568" s="31"/>
      <c r="F568" s="31"/>
      <c r="I568" s="31"/>
      <c r="L568" s="31"/>
      <c r="O568" s="31"/>
    </row>
    <row r="569" spans="3:15" ht="12.75">
      <c r="C569" s="31"/>
      <c r="F569" s="31"/>
      <c r="I569" s="31"/>
      <c r="L569" s="31"/>
      <c r="O569" s="31"/>
    </row>
    <row r="570" spans="3:15" ht="12.75">
      <c r="C570" s="31"/>
      <c r="F570" s="31"/>
      <c r="I570" s="31"/>
      <c r="L570" s="31"/>
      <c r="O570" s="31"/>
    </row>
    <row r="571" spans="3:15" ht="12.75">
      <c r="C571" s="31"/>
      <c r="F571" s="31"/>
      <c r="I571" s="31"/>
      <c r="L571" s="31"/>
      <c r="O571" s="31"/>
    </row>
    <row r="572" spans="3:15" ht="12.75">
      <c r="C572" s="31"/>
      <c r="F572" s="31"/>
      <c r="I572" s="31"/>
      <c r="L572" s="31"/>
      <c r="O572" s="31"/>
    </row>
    <row r="573" spans="3:15" ht="12.75">
      <c r="C573" s="31"/>
      <c r="F573" s="31"/>
      <c r="I573" s="31"/>
      <c r="L573" s="31"/>
      <c r="O573" s="31"/>
    </row>
    <row r="574" spans="3:15" ht="12.75">
      <c r="C574" s="31"/>
      <c r="F574" s="31"/>
      <c r="I574" s="31"/>
      <c r="L574" s="31"/>
      <c r="O574" s="31"/>
    </row>
    <row r="575" spans="3:15" ht="12.75">
      <c r="C575" s="31"/>
      <c r="F575" s="31"/>
      <c r="I575" s="31"/>
      <c r="L575" s="31"/>
      <c r="O575" s="31"/>
    </row>
    <row r="576" spans="3:15" ht="12.75">
      <c r="C576" s="31"/>
      <c r="F576" s="31"/>
      <c r="I576" s="31"/>
      <c r="L576" s="31"/>
      <c r="O576" s="31"/>
    </row>
    <row r="577" spans="3:15" ht="12.75">
      <c r="C577" s="31"/>
      <c r="F577" s="31"/>
      <c r="I577" s="31"/>
      <c r="L577" s="31"/>
      <c r="O577" s="31"/>
    </row>
    <row r="578" spans="3:15" ht="12.75">
      <c r="C578" s="31"/>
      <c r="F578" s="31"/>
      <c r="I578" s="31"/>
      <c r="L578" s="31"/>
      <c r="O578" s="31"/>
    </row>
    <row r="579" spans="3:15" ht="12.75">
      <c r="C579" s="31"/>
      <c r="F579" s="31"/>
      <c r="I579" s="31"/>
      <c r="L579" s="31"/>
      <c r="O579" s="31"/>
    </row>
    <row r="580" spans="3:15" ht="12.75">
      <c r="C580" s="31"/>
      <c r="F580" s="31"/>
      <c r="I580" s="31"/>
      <c r="L580" s="31"/>
      <c r="O580" s="31"/>
    </row>
    <row r="581" spans="3:15" ht="12.75">
      <c r="C581" s="31"/>
      <c r="F581" s="31"/>
      <c r="I581" s="31"/>
      <c r="L581" s="31"/>
      <c r="O581" s="31"/>
    </row>
    <row r="582" spans="3:15" ht="12.75">
      <c r="C582" s="31"/>
      <c r="F582" s="31"/>
      <c r="I582" s="31"/>
      <c r="L582" s="31"/>
      <c r="O582" s="31"/>
    </row>
    <row r="583" spans="3:15" ht="12.75">
      <c r="C583" s="31"/>
      <c r="F583" s="31"/>
      <c r="I583" s="31"/>
      <c r="L583" s="31"/>
      <c r="O583" s="31"/>
    </row>
    <row r="584" spans="3:15" ht="12.75">
      <c r="C584" s="31"/>
      <c r="F584" s="31"/>
      <c r="I584" s="31"/>
      <c r="L584" s="31"/>
      <c r="O584" s="31"/>
    </row>
    <row r="585" spans="3:15" ht="12.75">
      <c r="C585" s="31"/>
      <c r="F585" s="31"/>
      <c r="I585" s="31"/>
      <c r="L585" s="31"/>
      <c r="O585" s="31"/>
    </row>
    <row r="586" spans="3:15" ht="12.75">
      <c r="C586" s="31"/>
      <c r="F586" s="31"/>
      <c r="I586" s="31"/>
      <c r="L586" s="31"/>
      <c r="O586" s="31"/>
    </row>
    <row r="587" spans="3:15" ht="12.75">
      <c r="C587" s="31"/>
      <c r="F587" s="31"/>
      <c r="I587" s="31"/>
      <c r="L587" s="31"/>
      <c r="O587" s="31"/>
    </row>
    <row r="588" spans="3:15" ht="12.75">
      <c r="C588" s="31"/>
      <c r="F588" s="31"/>
      <c r="I588" s="31"/>
      <c r="L588" s="31"/>
      <c r="O588" s="31"/>
    </row>
    <row r="589" spans="3:15" ht="12.75">
      <c r="C589" s="31"/>
      <c r="F589" s="31"/>
      <c r="I589" s="31"/>
      <c r="L589" s="31"/>
      <c r="O589" s="31"/>
    </row>
    <row r="590" spans="3:15" ht="12.75">
      <c r="C590" s="31"/>
      <c r="F590" s="31"/>
      <c r="I590" s="31"/>
      <c r="L590" s="31"/>
      <c r="O590" s="31"/>
    </row>
    <row r="591" spans="3:15" ht="12.75">
      <c r="C591" s="31"/>
      <c r="F591" s="31"/>
      <c r="I591" s="31"/>
      <c r="L591" s="31"/>
      <c r="O591" s="31"/>
    </row>
    <row r="592" spans="3:15" ht="12.75">
      <c r="C592" s="31"/>
      <c r="F592" s="31"/>
      <c r="I592" s="31"/>
      <c r="L592" s="31"/>
      <c r="O592" s="31"/>
    </row>
    <row r="593" spans="3:15" ht="12.75">
      <c r="C593" s="31"/>
      <c r="F593" s="31"/>
      <c r="I593" s="31"/>
      <c r="L593" s="31"/>
      <c r="O593" s="31"/>
    </row>
    <row r="594" spans="3:15" ht="12.75">
      <c r="C594" s="31"/>
      <c r="F594" s="31"/>
      <c r="I594" s="31"/>
      <c r="L594" s="31"/>
      <c r="O594" s="31"/>
    </row>
    <row r="595" spans="3:15" ht="12.75">
      <c r="C595" s="31"/>
      <c r="F595" s="31"/>
      <c r="I595" s="31"/>
      <c r="L595" s="31"/>
      <c r="O595" s="31"/>
    </row>
    <row r="596" spans="3:15" ht="12.75">
      <c r="C596" s="31"/>
      <c r="F596" s="31"/>
      <c r="I596" s="31"/>
      <c r="L596" s="31"/>
      <c r="O596" s="31"/>
    </row>
    <row r="597" spans="3:15" ht="12.75">
      <c r="C597" s="31"/>
      <c r="F597" s="31"/>
      <c r="I597" s="31"/>
      <c r="L597" s="31"/>
      <c r="O597" s="31"/>
    </row>
    <row r="598" spans="3:15" ht="12.75">
      <c r="C598" s="31"/>
      <c r="F598" s="31"/>
      <c r="I598" s="31"/>
      <c r="L598" s="31"/>
      <c r="O598" s="31"/>
    </row>
    <row r="599" spans="3:15" ht="12.75">
      <c r="C599" s="31"/>
      <c r="F599" s="31"/>
      <c r="I599" s="31"/>
      <c r="L599" s="31"/>
      <c r="O599" s="31"/>
    </row>
    <row r="600" spans="3:15" ht="12.75">
      <c r="C600" s="31"/>
      <c r="F600" s="31"/>
      <c r="I600" s="31"/>
      <c r="L600" s="31"/>
      <c r="O600" s="31"/>
    </row>
    <row r="601" spans="3:15" ht="12.75">
      <c r="C601" s="31"/>
      <c r="F601" s="31"/>
      <c r="I601" s="31"/>
      <c r="L601" s="31"/>
      <c r="O601" s="31"/>
    </row>
    <row r="602" spans="3:15" ht="12.75">
      <c r="C602" s="31"/>
      <c r="F602" s="31"/>
      <c r="I602" s="31"/>
      <c r="L602" s="31"/>
      <c r="O602" s="31"/>
    </row>
    <row r="603" spans="3:15" ht="12.75">
      <c r="C603" s="31"/>
      <c r="F603" s="31"/>
      <c r="I603" s="31"/>
      <c r="L603" s="31"/>
      <c r="O603" s="31"/>
    </row>
    <row r="604" spans="3:15" ht="12.75">
      <c r="C604" s="31"/>
      <c r="F604" s="31"/>
      <c r="I604" s="31"/>
      <c r="L604" s="31"/>
      <c r="O604" s="31"/>
    </row>
    <row r="605" spans="3:15" ht="12.75">
      <c r="C605" s="31"/>
      <c r="F605" s="31"/>
      <c r="I605" s="31"/>
      <c r="L605" s="31"/>
      <c r="O605" s="31"/>
    </row>
    <row r="606" spans="3:15" ht="12.75">
      <c r="C606" s="31"/>
      <c r="F606" s="31"/>
      <c r="I606" s="31"/>
      <c r="L606" s="31"/>
      <c r="O606" s="31"/>
    </row>
    <row r="607" spans="3:15" ht="12.75">
      <c r="C607" s="31"/>
      <c r="F607" s="31"/>
      <c r="I607" s="31"/>
      <c r="L607" s="31"/>
      <c r="O607" s="31"/>
    </row>
    <row r="608" spans="3:15" ht="12.75">
      <c r="C608" s="31"/>
      <c r="F608" s="31"/>
      <c r="I608" s="31"/>
      <c r="L608" s="31"/>
      <c r="O608" s="31"/>
    </row>
    <row r="609" spans="3:15" ht="12.75">
      <c r="C609" s="31"/>
      <c r="F609" s="31"/>
      <c r="I609" s="31"/>
      <c r="L609" s="31"/>
      <c r="O609" s="31"/>
    </row>
    <row r="610" spans="3:15" ht="12.75">
      <c r="C610" s="31"/>
      <c r="F610" s="31"/>
      <c r="I610" s="31"/>
      <c r="L610" s="31"/>
      <c r="O610" s="31"/>
    </row>
    <row r="611" spans="3:15" ht="12.75">
      <c r="C611" s="31"/>
      <c r="F611" s="31"/>
      <c r="I611" s="31"/>
      <c r="L611" s="31"/>
      <c r="O611" s="31"/>
    </row>
    <row r="612" spans="3:15" ht="12.75">
      <c r="C612" s="31"/>
      <c r="F612" s="31"/>
      <c r="I612" s="31"/>
      <c r="L612" s="31"/>
      <c r="O612" s="31"/>
    </row>
    <row r="613" spans="3:15" ht="12.75">
      <c r="C613" s="31"/>
      <c r="F613" s="31"/>
      <c r="I613" s="31"/>
      <c r="L613" s="31"/>
      <c r="O613" s="31"/>
    </row>
    <row r="614" spans="3:15" ht="12.75">
      <c r="C614" s="31"/>
      <c r="F614" s="31"/>
      <c r="I614" s="31"/>
      <c r="L614" s="31"/>
      <c r="O614" s="31"/>
    </row>
    <row r="615" spans="3:15" ht="12.75">
      <c r="C615" s="31"/>
      <c r="F615" s="31"/>
      <c r="I615" s="31"/>
      <c r="L615" s="31"/>
      <c r="O615" s="31"/>
    </row>
    <row r="616" spans="3:15" ht="12.75">
      <c r="C616" s="31"/>
      <c r="F616" s="31"/>
      <c r="I616" s="31"/>
      <c r="L616" s="31"/>
      <c r="O616" s="31"/>
    </row>
    <row r="617" spans="3:15" ht="12.75">
      <c r="C617" s="31"/>
      <c r="F617" s="31"/>
      <c r="I617" s="31"/>
      <c r="L617" s="31"/>
      <c r="O617" s="31"/>
    </row>
    <row r="618" spans="3:15" ht="12.75">
      <c r="C618" s="31"/>
      <c r="F618" s="31"/>
      <c r="I618" s="31"/>
      <c r="L618" s="31"/>
      <c r="O618" s="31"/>
    </row>
    <row r="619" spans="3:15" ht="12.75">
      <c r="C619" s="31"/>
      <c r="F619" s="31"/>
      <c r="I619" s="31"/>
      <c r="L619" s="31"/>
      <c r="O619" s="31"/>
    </row>
    <row r="620" spans="3:15" ht="12.75">
      <c r="C620" s="31"/>
      <c r="F620" s="31"/>
      <c r="I620" s="31"/>
      <c r="L620" s="31"/>
      <c r="O620" s="31"/>
    </row>
    <row r="621" spans="3:15" ht="12.75">
      <c r="C621" s="31"/>
      <c r="F621" s="31"/>
      <c r="I621" s="31"/>
      <c r="L621" s="31"/>
      <c r="O621" s="31"/>
    </row>
    <row r="622" spans="3:15" ht="12.75">
      <c r="C622" s="31"/>
      <c r="F622" s="31"/>
      <c r="I622" s="31"/>
      <c r="L622" s="31"/>
      <c r="O622" s="31"/>
    </row>
    <row r="623" spans="3:15" ht="12.75">
      <c r="C623" s="31"/>
      <c r="F623" s="31"/>
      <c r="I623" s="31"/>
      <c r="L623" s="31"/>
      <c r="O623" s="31"/>
    </row>
    <row r="624" spans="3:15" ht="12.75">
      <c r="C624" s="31"/>
      <c r="F624" s="31"/>
      <c r="I624" s="31"/>
      <c r="L624" s="31"/>
      <c r="O624" s="31"/>
    </row>
    <row r="625" spans="3:15" ht="12.75">
      <c r="C625" s="31"/>
      <c r="F625" s="31"/>
      <c r="I625" s="31"/>
      <c r="L625" s="31"/>
      <c r="O625" s="31"/>
    </row>
    <row r="626" spans="3:15" ht="12.75">
      <c r="C626" s="31"/>
      <c r="F626" s="31"/>
      <c r="I626" s="31"/>
      <c r="L626" s="31"/>
      <c r="O626" s="31"/>
    </row>
    <row r="627" spans="3:15" ht="12.75">
      <c r="C627" s="31"/>
      <c r="F627" s="31"/>
      <c r="I627" s="31"/>
      <c r="L627" s="31"/>
      <c r="O627" s="31"/>
    </row>
    <row r="628" spans="3:15" ht="12.75">
      <c r="C628" s="31"/>
      <c r="F628" s="31"/>
      <c r="I628" s="31"/>
      <c r="L628" s="31"/>
      <c r="O628" s="31"/>
    </row>
    <row r="629" spans="3:15" ht="12.75">
      <c r="C629" s="31"/>
      <c r="F629" s="31"/>
      <c r="I629" s="31"/>
      <c r="L629" s="31"/>
      <c r="O629" s="31"/>
    </row>
    <row r="630" spans="3:15" ht="12.75">
      <c r="C630" s="31"/>
      <c r="F630" s="31"/>
      <c r="I630" s="31"/>
      <c r="L630" s="31"/>
      <c r="O630" s="31"/>
    </row>
    <row r="631" spans="3:15" ht="12.75">
      <c r="C631" s="31"/>
      <c r="F631" s="31"/>
      <c r="I631" s="31"/>
      <c r="L631" s="31"/>
      <c r="O631" s="31"/>
    </row>
    <row r="632" spans="3:15" ht="12.75">
      <c r="C632" s="31"/>
      <c r="F632" s="31"/>
      <c r="I632" s="31"/>
      <c r="L632" s="31"/>
      <c r="O632" s="31"/>
    </row>
    <row r="633" spans="3:15" ht="12.75">
      <c r="C633" s="31"/>
      <c r="F633" s="31"/>
      <c r="I633" s="31"/>
      <c r="L633" s="31"/>
      <c r="O633" s="31"/>
    </row>
    <row r="634" spans="3:15" ht="12.75">
      <c r="C634" s="31"/>
      <c r="F634" s="31"/>
      <c r="I634" s="31"/>
      <c r="L634" s="31"/>
      <c r="O634" s="31"/>
    </row>
    <row r="635" spans="3:15" ht="12.75">
      <c r="C635" s="31"/>
      <c r="F635" s="31"/>
      <c r="I635" s="31"/>
      <c r="L635" s="31"/>
      <c r="O635" s="31"/>
    </row>
    <row r="636" spans="3:15" ht="12.75">
      <c r="C636" s="31"/>
      <c r="F636" s="31"/>
      <c r="I636" s="31"/>
      <c r="L636" s="31"/>
      <c r="O636" s="31"/>
    </row>
    <row r="637" spans="3:15" ht="12.75">
      <c r="C637" s="31"/>
      <c r="F637" s="31"/>
      <c r="I637" s="31"/>
      <c r="L637" s="31"/>
      <c r="O637" s="31"/>
    </row>
    <row r="638" spans="3:15" ht="12.75">
      <c r="C638" s="31"/>
      <c r="F638" s="31"/>
      <c r="I638" s="31"/>
      <c r="L638" s="31"/>
      <c r="O638" s="31"/>
    </row>
    <row r="639" spans="3:15" ht="12.75">
      <c r="C639" s="31"/>
      <c r="F639" s="31"/>
      <c r="I639" s="31"/>
      <c r="L639" s="31"/>
      <c r="O639" s="31"/>
    </row>
    <row r="640" spans="3:15" ht="12.75">
      <c r="C640" s="31"/>
      <c r="F640" s="31"/>
      <c r="I640" s="31"/>
      <c r="L640" s="31"/>
      <c r="O640" s="31"/>
    </row>
    <row r="641" spans="3:15" ht="12.75">
      <c r="C641" s="31"/>
      <c r="F641" s="31"/>
      <c r="I641" s="31"/>
      <c r="L641" s="31"/>
      <c r="O641" s="31"/>
    </row>
    <row r="642" spans="3:15" ht="12.75">
      <c r="C642" s="31"/>
      <c r="F642" s="31"/>
      <c r="I642" s="31"/>
      <c r="L642" s="31"/>
      <c r="O642" s="31"/>
    </row>
    <row r="643" spans="3:15" ht="12.75">
      <c r="C643" s="31"/>
      <c r="F643" s="31"/>
      <c r="I643" s="31"/>
      <c r="L643" s="31"/>
      <c r="O643" s="31"/>
    </row>
    <row r="644" spans="3:15" ht="12.75">
      <c r="C644" s="31"/>
      <c r="F644" s="31"/>
      <c r="I644" s="31"/>
      <c r="L644" s="31"/>
      <c r="O644" s="31"/>
    </row>
    <row r="645" spans="3:15" ht="12.75">
      <c r="C645" s="31"/>
      <c r="F645" s="31"/>
      <c r="I645" s="31"/>
      <c r="L645" s="31"/>
      <c r="O645" s="31"/>
    </row>
    <row r="646" spans="3:15" ht="12.75">
      <c r="C646" s="31"/>
      <c r="F646" s="31"/>
      <c r="I646" s="31"/>
      <c r="L646" s="31"/>
      <c r="O646" s="31"/>
    </row>
    <row r="647" spans="3:15" ht="12.75">
      <c r="C647" s="31"/>
      <c r="F647" s="31"/>
      <c r="I647" s="31"/>
      <c r="L647" s="31"/>
      <c r="O647" s="31"/>
    </row>
    <row r="648" spans="3:15" ht="12.75">
      <c r="C648" s="31"/>
      <c r="F648" s="31"/>
      <c r="I648" s="31"/>
      <c r="L648" s="31"/>
      <c r="O648" s="31"/>
    </row>
    <row r="649" spans="3:15" ht="12.75">
      <c r="C649" s="31"/>
      <c r="F649" s="31"/>
      <c r="I649" s="31"/>
      <c r="L649" s="31"/>
      <c r="O649" s="31"/>
    </row>
    <row r="650" spans="3:15" ht="12.75">
      <c r="C650" s="31"/>
      <c r="F650" s="31"/>
      <c r="I650" s="31"/>
      <c r="L650" s="31"/>
      <c r="O650" s="31"/>
    </row>
    <row r="651" spans="3:15" ht="12.75">
      <c r="C651" s="31"/>
      <c r="F651" s="31"/>
      <c r="I651" s="31"/>
      <c r="L651" s="31"/>
      <c r="O651" s="31"/>
    </row>
    <row r="652" spans="3:15" ht="12.75">
      <c r="C652" s="31"/>
      <c r="F652" s="31"/>
      <c r="I652" s="31"/>
      <c r="L652" s="31"/>
      <c r="O652" s="31"/>
    </row>
    <row r="653" spans="3:15" ht="12.75">
      <c r="C653" s="31"/>
      <c r="F653" s="31"/>
      <c r="I653" s="31"/>
      <c r="L653" s="31"/>
      <c r="O653" s="31"/>
    </row>
    <row r="654" spans="3:15" ht="12.75">
      <c r="C654" s="31"/>
      <c r="F654" s="31"/>
      <c r="I654" s="31"/>
      <c r="L654" s="31"/>
      <c r="O654" s="31"/>
    </row>
    <row r="655" spans="3:15" ht="12.75">
      <c r="C655" s="31"/>
      <c r="F655" s="31"/>
      <c r="I655" s="31"/>
      <c r="L655" s="31"/>
      <c r="O655" s="31"/>
    </row>
    <row r="656" spans="3:15" ht="12.75">
      <c r="C656" s="31"/>
      <c r="F656" s="31"/>
      <c r="I656" s="31"/>
      <c r="L656" s="31"/>
      <c r="O656" s="31"/>
    </row>
    <row r="657" spans="3:15" ht="12.75">
      <c r="C657" s="31"/>
      <c r="F657" s="31"/>
      <c r="I657" s="31"/>
      <c r="L657" s="31"/>
      <c r="O657" s="31"/>
    </row>
    <row r="658" spans="3:15" ht="12.75">
      <c r="C658" s="31"/>
      <c r="F658" s="31"/>
      <c r="I658" s="31"/>
      <c r="L658" s="31"/>
      <c r="O658" s="31"/>
    </row>
    <row r="659" spans="3:15" ht="12.75">
      <c r="C659" s="31"/>
      <c r="F659" s="31"/>
      <c r="I659" s="31"/>
      <c r="L659" s="31"/>
      <c r="O659" s="31"/>
    </row>
    <row r="660" spans="3:15" ht="12.75">
      <c r="C660" s="31"/>
      <c r="F660" s="31"/>
      <c r="I660" s="31"/>
      <c r="L660" s="31"/>
      <c r="O660" s="31"/>
    </row>
    <row r="661" spans="3:15" ht="12.75">
      <c r="C661" s="31"/>
      <c r="F661" s="31"/>
      <c r="I661" s="31"/>
      <c r="L661" s="31"/>
      <c r="O661" s="31"/>
    </row>
    <row r="662" spans="3:15" ht="12.75">
      <c r="C662" s="31"/>
      <c r="F662" s="31"/>
      <c r="I662" s="31"/>
      <c r="L662" s="31"/>
      <c r="O662" s="31"/>
    </row>
    <row r="663" spans="3:15" ht="12.75">
      <c r="C663" s="31"/>
      <c r="F663" s="31"/>
      <c r="I663" s="31"/>
      <c r="L663" s="31"/>
      <c r="O663" s="31"/>
    </row>
    <row r="664" spans="3:15" ht="12.75">
      <c r="C664" s="31"/>
      <c r="F664" s="31"/>
      <c r="I664" s="31"/>
      <c r="L664" s="31"/>
      <c r="O664" s="31"/>
    </row>
    <row r="665" spans="3:15" ht="12.75">
      <c r="C665" s="31"/>
      <c r="F665" s="31"/>
      <c r="I665" s="31"/>
      <c r="L665" s="31"/>
      <c r="O665" s="31"/>
    </row>
    <row r="666" spans="3:15" ht="12.75">
      <c r="C666" s="31"/>
      <c r="F666" s="31"/>
      <c r="I666" s="31"/>
      <c r="L666" s="31"/>
      <c r="O666" s="31"/>
    </row>
    <row r="667" spans="3:15" ht="12.75">
      <c r="C667" s="31"/>
      <c r="F667" s="31"/>
      <c r="I667" s="31"/>
      <c r="L667" s="31"/>
      <c r="O667" s="31"/>
    </row>
    <row r="668" spans="3:15" ht="12.75">
      <c r="C668" s="31"/>
      <c r="F668" s="31"/>
      <c r="I668" s="31"/>
      <c r="L668" s="31"/>
      <c r="O668" s="31"/>
    </row>
    <row r="669" spans="3:15" ht="12.75">
      <c r="C669" s="31"/>
      <c r="F669" s="31"/>
      <c r="I669" s="31"/>
      <c r="L669" s="31"/>
      <c r="O669" s="31"/>
    </row>
    <row r="670" spans="3:15" ht="12.75">
      <c r="C670" s="31"/>
      <c r="F670" s="31"/>
      <c r="I670" s="31"/>
      <c r="L670" s="31"/>
      <c r="O670" s="31"/>
    </row>
    <row r="671" spans="3:15" ht="12.75">
      <c r="C671" s="31"/>
      <c r="F671" s="31"/>
      <c r="I671" s="31"/>
      <c r="L671" s="31"/>
      <c r="O671" s="31"/>
    </row>
    <row r="672" spans="3:15" ht="12.75">
      <c r="C672" s="31"/>
      <c r="F672" s="31"/>
      <c r="I672" s="31"/>
      <c r="L672" s="31"/>
      <c r="O672" s="31"/>
    </row>
    <row r="673" spans="3:15" ht="12.75">
      <c r="C673" s="31"/>
      <c r="F673" s="31"/>
      <c r="I673" s="31"/>
      <c r="L673" s="31"/>
      <c r="O673" s="31"/>
    </row>
    <row r="674" spans="3:15" ht="12.75">
      <c r="C674" s="31"/>
      <c r="F674" s="31"/>
      <c r="I674" s="31"/>
      <c r="L674" s="31"/>
      <c r="O674" s="31"/>
    </row>
    <row r="675" spans="3:15" ht="12.75">
      <c r="C675" s="31"/>
      <c r="F675" s="31"/>
      <c r="I675" s="31"/>
      <c r="L675" s="31"/>
      <c r="O675" s="31"/>
    </row>
    <row r="676" spans="3:15" ht="12.75">
      <c r="C676" s="31"/>
      <c r="F676" s="31"/>
      <c r="I676" s="31"/>
      <c r="L676" s="31"/>
      <c r="O676" s="31"/>
    </row>
    <row r="677" spans="3:15" ht="12.75">
      <c r="C677" s="31"/>
      <c r="F677" s="31"/>
      <c r="I677" s="31"/>
      <c r="L677" s="31"/>
      <c r="O677" s="31"/>
    </row>
    <row r="678" spans="3:15" ht="12.75">
      <c r="C678" s="31"/>
      <c r="F678" s="31"/>
      <c r="I678" s="31"/>
      <c r="L678" s="31"/>
      <c r="O678" s="31"/>
    </row>
    <row r="679" spans="3:15" ht="12.75">
      <c r="C679" s="31"/>
      <c r="F679" s="31"/>
      <c r="I679" s="31"/>
      <c r="L679" s="31"/>
      <c r="O679" s="31"/>
    </row>
    <row r="680" spans="3:15" ht="12.75">
      <c r="C680" s="31"/>
      <c r="F680" s="31"/>
      <c r="I680" s="31"/>
      <c r="L680" s="31"/>
      <c r="O680" s="31"/>
    </row>
    <row r="681" spans="3:15" ht="12.75">
      <c r="C681" s="31"/>
      <c r="F681" s="31"/>
      <c r="I681" s="31"/>
      <c r="L681" s="31"/>
      <c r="O681" s="31"/>
    </row>
    <row r="682" spans="3:15" ht="12.75">
      <c r="C682" s="31"/>
      <c r="F682" s="31"/>
      <c r="I682" s="31"/>
      <c r="L682" s="31"/>
      <c r="O682" s="31"/>
    </row>
    <row r="683" spans="3:15" ht="12.75">
      <c r="C683" s="31"/>
      <c r="F683" s="31"/>
      <c r="I683" s="31"/>
      <c r="L683" s="31"/>
      <c r="O683" s="31"/>
    </row>
    <row r="684" spans="3:15" ht="12.75">
      <c r="C684" s="31"/>
      <c r="F684" s="31"/>
      <c r="I684" s="31"/>
      <c r="L684" s="31"/>
      <c r="O684" s="31"/>
    </row>
    <row r="685" spans="3:15" ht="12.75">
      <c r="C685" s="31"/>
      <c r="F685" s="31"/>
      <c r="I685" s="31"/>
      <c r="L685" s="31"/>
      <c r="O685" s="31"/>
    </row>
    <row r="686" spans="3:15" ht="12.75">
      <c r="C686" s="31"/>
      <c r="F686" s="31"/>
      <c r="I686" s="31"/>
      <c r="L686" s="31"/>
      <c r="O686" s="31"/>
    </row>
    <row r="687" spans="3:15" ht="12.75">
      <c r="C687" s="31"/>
      <c r="F687" s="31"/>
      <c r="I687" s="31"/>
      <c r="L687" s="31"/>
      <c r="O687" s="31"/>
    </row>
    <row r="688" spans="3:15" ht="12.75">
      <c r="C688" s="31"/>
      <c r="F688" s="31"/>
      <c r="I688" s="31"/>
      <c r="L688" s="31"/>
      <c r="O688" s="31"/>
    </row>
    <row r="689" spans="3:15" ht="12.75">
      <c r="C689" s="31"/>
      <c r="F689" s="31"/>
      <c r="I689" s="31"/>
      <c r="L689" s="31"/>
      <c r="O689" s="31"/>
    </row>
    <row r="690" spans="3:15" ht="12.75">
      <c r="C690" s="31"/>
      <c r="F690" s="31"/>
      <c r="I690" s="31"/>
      <c r="L690" s="31"/>
      <c r="O690" s="31"/>
    </row>
    <row r="691" spans="3:15" ht="12.75">
      <c r="C691" s="31"/>
      <c r="F691" s="31"/>
      <c r="I691" s="31"/>
      <c r="L691" s="31"/>
      <c r="O691" s="31"/>
    </row>
    <row r="692" spans="3:15" ht="12.75">
      <c r="C692" s="31"/>
      <c r="F692" s="31"/>
      <c r="I692" s="31"/>
      <c r="L692" s="31"/>
      <c r="O692" s="31"/>
    </row>
    <row r="693" spans="3:15" ht="12.75">
      <c r="C693" s="31"/>
      <c r="F693" s="31"/>
      <c r="I693" s="31"/>
      <c r="L693" s="31"/>
      <c r="O693" s="31"/>
    </row>
    <row r="694" spans="3:15" ht="12.75">
      <c r="C694" s="31"/>
      <c r="F694" s="31"/>
      <c r="I694" s="31"/>
      <c r="L694" s="31"/>
      <c r="O694" s="31"/>
    </row>
    <row r="695" spans="3:15" ht="12.75">
      <c r="C695" s="31"/>
      <c r="F695" s="31"/>
      <c r="I695" s="31"/>
      <c r="L695" s="31"/>
      <c r="O695" s="31"/>
    </row>
    <row r="696" spans="3:15" ht="12.75">
      <c r="C696" s="31"/>
      <c r="F696" s="31"/>
      <c r="I696" s="31"/>
      <c r="L696" s="31"/>
      <c r="O696" s="31"/>
    </row>
    <row r="697" spans="3:15" ht="12.75">
      <c r="C697" s="31"/>
      <c r="F697" s="31"/>
      <c r="I697" s="31"/>
      <c r="L697" s="31"/>
      <c r="O697" s="31"/>
    </row>
    <row r="698" spans="3:15" ht="12.75">
      <c r="C698" s="31"/>
      <c r="F698" s="31"/>
      <c r="I698" s="31"/>
      <c r="L698" s="31"/>
      <c r="O698" s="31"/>
    </row>
    <row r="699" spans="3:15" ht="12.75">
      <c r="C699" s="31"/>
      <c r="F699" s="31"/>
      <c r="I699" s="31"/>
      <c r="L699" s="31"/>
      <c r="O699" s="31"/>
    </row>
    <row r="700" spans="3:15" ht="12.75">
      <c r="C700" s="31"/>
      <c r="F700" s="31"/>
      <c r="I700" s="31"/>
      <c r="L700" s="31"/>
      <c r="O700" s="31"/>
    </row>
    <row r="701" spans="3:15" ht="12.75">
      <c r="C701" s="31"/>
      <c r="F701" s="31"/>
      <c r="I701" s="31"/>
      <c r="L701" s="31"/>
      <c r="O701" s="31"/>
    </row>
    <row r="702" spans="3:15" ht="12.75">
      <c r="C702" s="31"/>
      <c r="F702" s="31"/>
      <c r="I702" s="31"/>
      <c r="L702" s="31"/>
      <c r="O702" s="31"/>
    </row>
    <row r="703" spans="3:15" ht="12.75">
      <c r="C703" s="31"/>
      <c r="F703" s="31"/>
      <c r="I703" s="31"/>
      <c r="L703" s="31"/>
      <c r="O703" s="31"/>
    </row>
    <row r="704" spans="3:15" ht="12.75">
      <c r="C704" s="31"/>
      <c r="F704" s="31"/>
      <c r="I704" s="31"/>
      <c r="L704" s="31"/>
      <c r="O704" s="31"/>
    </row>
    <row r="705" spans="3:15" ht="12.75">
      <c r="C705" s="31"/>
      <c r="F705" s="31"/>
      <c r="I705" s="31"/>
      <c r="L705" s="31"/>
      <c r="O705" s="31"/>
    </row>
    <row r="706" spans="3:15" ht="12.75">
      <c r="C706" s="31"/>
      <c r="F706" s="31"/>
      <c r="I706" s="31"/>
      <c r="L706" s="31"/>
      <c r="O706" s="31"/>
    </row>
    <row r="707" spans="3:15" ht="12.75">
      <c r="C707" s="31"/>
      <c r="F707" s="31"/>
      <c r="I707" s="31"/>
      <c r="L707" s="31"/>
      <c r="O707" s="31"/>
    </row>
    <row r="708" spans="3:15" ht="12.75">
      <c r="C708" s="31"/>
      <c r="F708" s="31"/>
      <c r="I708" s="31"/>
      <c r="L708" s="31"/>
      <c r="O708" s="31"/>
    </row>
    <row r="709" spans="3:15" ht="12.75">
      <c r="C709" s="31"/>
      <c r="F709" s="31"/>
      <c r="I709" s="31"/>
      <c r="L709" s="31"/>
      <c r="O709" s="31"/>
    </row>
    <row r="710" spans="3:15" ht="12.75">
      <c r="C710" s="31"/>
      <c r="F710" s="31"/>
      <c r="I710" s="31"/>
      <c r="L710" s="31"/>
      <c r="O710" s="31"/>
    </row>
    <row r="711" spans="3:15" ht="12.75">
      <c r="C711" s="31"/>
      <c r="F711" s="31"/>
      <c r="I711" s="31"/>
      <c r="L711" s="31"/>
      <c r="O711" s="31"/>
    </row>
    <row r="712" spans="3:15" ht="12.75">
      <c r="C712" s="31"/>
      <c r="F712" s="31"/>
      <c r="I712" s="31"/>
      <c r="L712" s="31"/>
      <c r="O712" s="31"/>
    </row>
    <row r="713" spans="3:15" ht="12.75">
      <c r="C713" s="31"/>
      <c r="F713" s="31"/>
      <c r="I713" s="31"/>
      <c r="L713" s="31"/>
      <c r="O713" s="31"/>
    </row>
    <row r="714" spans="3:15" ht="12.75">
      <c r="C714" s="31"/>
      <c r="F714" s="31"/>
      <c r="I714" s="31"/>
      <c r="L714" s="31"/>
      <c r="O714" s="31"/>
    </row>
    <row r="715" spans="3:15" ht="12.75">
      <c r="C715" s="31"/>
      <c r="F715" s="31"/>
      <c r="I715" s="31"/>
      <c r="L715" s="31"/>
      <c r="O715" s="31"/>
    </row>
    <row r="716" spans="3:15" ht="12.75">
      <c r="C716" s="31"/>
      <c r="F716" s="31"/>
      <c r="I716" s="31"/>
      <c r="L716" s="31"/>
      <c r="O716" s="31"/>
    </row>
    <row r="717" spans="3:15" ht="12.75">
      <c r="C717" s="31"/>
      <c r="F717" s="31"/>
      <c r="I717" s="31"/>
      <c r="L717" s="31"/>
      <c r="O717" s="31"/>
    </row>
    <row r="718" spans="3:15" ht="12.75">
      <c r="C718" s="31"/>
      <c r="F718" s="31"/>
      <c r="I718" s="31"/>
      <c r="L718" s="31"/>
      <c r="O718" s="31"/>
    </row>
    <row r="719" spans="3:15" ht="12.75">
      <c r="C719" s="31"/>
      <c r="F719" s="31"/>
      <c r="I719" s="31"/>
      <c r="L719" s="31"/>
      <c r="O719" s="31"/>
    </row>
    <row r="720" spans="3:15" ht="12.75">
      <c r="C720" s="31"/>
      <c r="F720" s="31"/>
      <c r="I720" s="31"/>
      <c r="L720" s="31"/>
      <c r="O720" s="31"/>
    </row>
    <row r="721" spans="3:15" ht="12.75">
      <c r="C721" s="31"/>
      <c r="F721" s="31"/>
      <c r="I721" s="31"/>
      <c r="L721" s="31"/>
      <c r="O721" s="31"/>
    </row>
    <row r="722" spans="3:15" ht="12.75">
      <c r="C722" s="31"/>
      <c r="F722" s="31"/>
      <c r="I722" s="31"/>
      <c r="L722" s="31"/>
      <c r="O722" s="31"/>
    </row>
    <row r="723" spans="3:15" ht="12.75">
      <c r="C723" s="31"/>
      <c r="F723" s="31"/>
      <c r="I723" s="31"/>
      <c r="L723" s="31"/>
      <c r="O723" s="31"/>
    </row>
    <row r="724" spans="3:15" ht="12.75">
      <c r="C724" s="31"/>
      <c r="F724" s="31"/>
      <c r="I724" s="31"/>
      <c r="L724" s="31"/>
      <c r="O724" s="31"/>
    </row>
    <row r="725" spans="3:15" ht="12.75">
      <c r="C725" s="31"/>
      <c r="F725" s="31"/>
      <c r="I725" s="31"/>
      <c r="L725" s="31"/>
      <c r="O725" s="31"/>
    </row>
    <row r="726" spans="3:15" ht="12.75">
      <c r="C726" s="31"/>
      <c r="F726" s="31"/>
      <c r="I726" s="31"/>
      <c r="L726" s="31"/>
      <c r="O726" s="31"/>
    </row>
    <row r="727" spans="3:15" ht="12.75">
      <c r="C727" s="31"/>
      <c r="F727" s="31"/>
      <c r="I727" s="31"/>
      <c r="L727" s="31"/>
      <c r="O727" s="31"/>
    </row>
    <row r="728" spans="3:15" ht="12.75">
      <c r="C728" s="31"/>
      <c r="F728" s="31"/>
      <c r="I728" s="31"/>
      <c r="L728" s="31"/>
      <c r="O728" s="31"/>
    </row>
    <row r="729" spans="3:15" ht="12.75">
      <c r="C729" s="31"/>
      <c r="F729" s="31"/>
      <c r="I729" s="31"/>
      <c r="L729" s="31"/>
      <c r="O729" s="31"/>
    </row>
    <row r="730" spans="3:15" ht="12.75">
      <c r="C730" s="31"/>
      <c r="F730" s="31"/>
      <c r="I730" s="31"/>
      <c r="L730" s="31"/>
      <c r="O730" s="31"/>
    </row>
    <row r="731" spans="3:15" ht="12.75">
      <c r="C731" s="31"/>
      <c r="F731" s="31"/>
      <c r="I731" s="31"/>
      <c r="L731" s="31"/>
      <c r="O731" s="31"/>
    </row>
    <row r="732" spans="3:15" ht="12.75">
      <c r="C732" s="31"/>
      <c r="F732" s="31"/>
      <c r="I732" s="31"/>
      <c r="L732" s="31"/>
      <c r="O732" s="31"/>
    </row>
    <row r="733" spans="3:15" ht="12.75">
      <c r="C733" s="31"/>
      <c r="F733" s="31"/>
      <c r="I733" s="31"/>
      <c r="L733" s="31"/>
      <c r="O733" s="31"/>
    </row>
    <row r="734" spans="3:15" ht="12.75">
      <c r="C734" s="31"/>
      <c r="F734" s="31"/>
      <c r="I734" s="31"/>
      <c r="L734" s="31"/>
      <c r="O734" s="31"/>
    </row>
    <row r="735" spans="3:15" ht="12.75">
      <c r="C735" s="31"/>
      <c r="F735" s="31"/>
      <c r="I735" s="31"/>
      <c r="L735" s="31"/>
      <c r="O735" s="31"/>
    </row>
    <row r="736" spans="3:15" ht="12.75">
      <c r="C736" s="31"/>
      <c r="F736" s="31"/>
      <c r="I736" s="31"/>
      <c r="L736" s="31"/>
      <c r="O736" s="31"/>
    </row>
    <row r="737" spans="3:15" ht="12.75">
      <c r="C737" s="31"/>
      <c r="F737" s="31"/>
      <c r="I737" s="31"/>
      <c r="L737" s="31"/>
      <c r="O737" s="31"/>
    </row>
    <row r="738" spans="3:15" ht="12.75">
      <c r="C738" s="31"/>
      <c r="F738" s="31"/>
      <c r="I738" s="31"/>
      <c r="L738" s="31"/>
      <c r="O738" s="31"/>
    </row>
    <row r="739" spans="3:15" ht="12.75">
      <c r="C739" s="31"/>
      <c r="F739" s="31"/>
      <c r="I739" s="31"/>
      <c r="L739" s="31"/>
      <c r="O739" s="31"/>
    </row>
    <row r="740" spans="3:15" ht="12.75">
      <c r="C740" s="31"/>
      <c r="F740" s="31"/>
      <c r="I740" s="31"/>
      <c r="L740" s="31"/>
      <c r="O740" s="31"/>
    </row>
    <row r="741" spans="3:15" ht="12.75">
      <c r="C741" s="31"/>
      <c r="F741" s="31"/>
      <c r="I741" s="31"/>
      <c r="L741" s="31"/>
      <c r="O741" s="31"/>
    </row>
    <row r="742" spans="3:15" ht="12.75">
      <c r="C742" s="31"/>
      <c r="F742" s="31"/>
      <c r="I742" s="31"/>
      <c r="L742" s="31"/>
      <c r="O742" s="31"/>
    </row>
    <row r="743" spans="3:15" ht="12.75">
      <c r="C743" s="31"/>
      <c r="F743" s="31"/>
      <c r="I743" s="31"/>
      <c r="L743" s="31"/>
      <c r="O743" s="31"/>
    </row>
    <row r="744" spans="3:15" ht="12.75">
      <c r="C744" s="31"/>
      <c r="F744" s="31"/>
      <c r="I744" s="31"/>
      <c r="L744" s="31"/>
      <c r="O744" s="31"/>
    </row>
    <row r="745" spans="3:15" ht="12.75">
      <c r="C745" s="31"/>
      <c r="F745" s="31"/>
      <c r="I745" s="31"/>
      <c r="L745" s="31"/>
      <c r="O745" s="31"/>
    </row>
    <row r="746" spans="3:15" ht="12.75">
      <c r="C746" s="31"/>
      <c r="F746" s="31"/>
      <c r="I746" s="31"/>
      <c r="L746" s="31"/>
      <c r="O746" s="31"/>
    </row>
    <row r="747" spans="3:15" ht="12.75">
      <c r="C747" s="31"/>
      <c r="F747" s="31"/>
      <c r="I747" s="31"/>
      <c r="L747" s="31"/>
      <c r="O747" s="31"/>
    </row>
    <row r="748" spans="3:15" ht="12.75">
      <c r="C748" s="31"/>
      <c r="F748" s="31"/>
      <c r="I748" s="31"/>
      <c r="L748" s="31"/>
      <c r="O748" s="31"/>
    </row>
    <row r="749" spans="3:15" ht="12.75">
      <c r="C749" s="31"/>
      <c r="F749" s="31"/>
      <c r="I749" s="31"/>
      <c r="L749" s="31"/>
      <c r="O749" s="31"/>
    </row>
    <row r="750" spans="3:15" ht="12.75">
      <c r="C750" s="31"/>
      <c r="F750" s="31"/>
      <c r="I750" s="31"/>
      <c r="L750" s="31"/>
      <c r="O750" s="31"/>
    </row>
    <row r="751" spans="3:15" ht="12.75">
      <c r="C751" s="31"/>
      <c r="F751" s="31"/>
      <c r="I751" s="31"/>
      <c r="L751" s="31"/>
      <c r="O751" s="31"/>
    </row>
    <row r="752" spans="3:15" ht="12.75">
      <c r="C752" s="31"/>
      <c r="F752" s="31"/>
      <c r="I752" s="31"/>
      <c r="L752" s="31"/>
      <c r="O752" s="31"/>
    </row>
    <row r="753" spans="3:15" ht="12.75">
      <c r="C753" s="31"/>
      <c r="F753" s="31"/>
      <c r="I753" s="31"/>
      <c r="L753" s="31"/>
      <c r="O753" s="31"/>
    </row>
    <row r="754" spans="3:15" ht="12.75">
      <c r="C754" s="31"/>
      <c r="F754" s="31"/>
      <c r="I754" s="31"/>
      <c r="L754" s="31"/>
      <c r="O754" s="31"/>
    </row>
    <row r="755" spans="3:15" ht="12.75">
      <c r="C755" s="31"/>
      <c r="F755" s="31"/>
      <c r="I755" s="31"/>
      <c r="L755" s="31"/>
      <c r="O755" s="31"/>
    </row>
    <row r="756" spans="3:15" ht="12.75">
      <c r="C756" s="31"/>
      <c r="F756" s="31"/>
      <c r="I756" s="31"/>
      <c r="L756" s="31"/>
      <c r="O756" s="31"/>
    </row>
    <row r="757" spans="3:15" ht="12.75">
      <c r="C757" s="31"/>
      <c r="F757" s="31"/>
      <c r="I757" s="31"/>
      <c r="L757" s="31"/>
      <c r="O757" s="31"/>
    </row>
    <row r="758" spans="3:15" ht="12.75">
      <c r="C758" s="31"/>
      <c r="F758" s="31"/>
      <c r="I758" s="31"/>
      <c r="L758" s="31"/>
      <c r="O758" s="31"/>
    </row>
    <row r="759" spans="3:15" ht="12.75">
      <c r="C759" s="31"/>
      <c r="F759" s="31"/>
      <c r="I759" s="31"/>
      <c r="L759" s="31"/>
      <c r="O759" s="31"/>
    </row>
    <row r="760" spans="3:15" ht="12.75">
      <c r="C760" s="31"/>
      <c r="F760" s="31"/>
      <c r="I760" s="31"/>
      <c r="L760" s="31"/>
      <c r="O760" s="31"/>
    </row>
    <row r="761" spans="3:15" ht="12.75">
      <c r="C761" s="31"/>
      <c r="F761" s="31"/>
      <c r="I761" s="31"/>
      <c r="L761" s="31"/>
      <c r="O761" s="31"/>
    </row>
    <row r="762" spans="3:15" ht="12.75">
      <c r="C762" s="31"/>
      <c r="F762" s="31"/>
      <c r="I762" s="31"/>
      <c r="L762" s="31"/>
      <c r="O762" s="31"/>
    </row>
    <row r="763" spans="3:15" ht="12.75">
      <c r="C763" s="31"/>
      <c r="F763" s="31"/>
      <c r="I763" s="31"/>
      <c r="L763" s="31"/>
      <c r="O763" s="31"/>
    </row>
    <row r="764" spans="3:15" ht="12.75">
      <c r="C764" s="31"/>
      <c r="F764" s="31"/>
      <c r="I764" s="31"/>
      <c r="L764" s="31"/>
      <c r="O764" s="31"/>
    </row>
    <row r="765" spans="3:15" ht="12.75">
      <c r="C765" s="31"/>
      <c r="F765" s="31"/>
      <c r="I765" s="31"/>
      <c r="L765" s="31"/>
      <c r="O765" s="31"/>
    </row>
    <row r="766" spans="3:15" ht="12.75">
      <c r="C766" s="31"/>
      <c r="F766" s="31"/>
      <c r="I766" s="31"/>
      <c r="L766" s="31"/>
      <c r="O766" s="31"/>
    </row>
    <row r="767" spans="3:15" ht="12.75">
      <c r="C767" s="31"/>
      <c r="F767" s="31"/>
      <c r="I767" s="31"/>
      <c r="L767" s="31"/>
      <c r="O767" s="31"/>
    </row>
    <row r="768" spans="3:15" ht="12.75">
      <c r="C768" s="31"/>
      <c r="F768" s="31"/>
      <c r="I768" s="31"/>
      <c r="L768" s="31"/>
      <c r="O768" s="31"/>
    </row>
    <row r="769" spans="3:15" ht="12.75">
      <c r="C769" s="31"/>
      <c r="F769" s="31"/>
      <c r="I769" s="31"/>
      <c r="L769" s="31"/>
      <c r="O769" s="31"/>
    </row>
    <row r="770" spans="3:15" ht="12.75">
      <c r="C770" s="31"/>
      <c r="F770" s="31"/>
      <c r="I770" s="31"/>
      <c r="L770" s="31"/>
      <c r="O770" s="31"/>
    </row>
    <row r="771" spans="3:15" ht="12.75">
      <c r="C771" s="31"/>
      <c r="F771" s="31"/>
      <c r="I771" s="31"/>
      <c r="L771" s="31"/>
      <c r="O771" s="31"/>
    </row>
    <row r="772" spans="3:15" ht="12.75">
      <c r="C772" s="31"/>
      <c r="F772" s="31"/>
      <c r="I772" s="31"/>
      <c r="L772" s="31"/>
      <c r="O772" s="31"/>
    </row>
    <row r="773" spans="3:15" ht="12.75">
      <c r="C773" s="31"/>
      <c r="F773" s="31"/>
      <c r="I773" s="31"/>
      <c r="L773" s="31"/>
      <c r="O773" s="31"/>
    </row>
    <row r="774" spans="3:15" ht="12.75">
      <c r="C774" s="31"/>
      <c r="F774" s="31"/>
      <c r="I774" s="31"/>
      <c r="L774" s="31"/>
      <c r="O774" s="31"/>
    </row>
    <row r="775" spans="3:15" ht="12.75">
      <c r="C775" s="31"/>
      <c r="F775" s="31"/>
      <c r="I775" s="31"/>
      <c r="L775" s="31"/>
      <c r="O775" s="31"/>
    </row>
    <row r="776" spans="3:15" ht="12.75">
      <c r="C776" s="31"/>
      <c r="F776" s="31"/>
      <c r="I776" s="31"/>
      <c r="L776" s="31"/>
      <c r="O776" s="31"/>
    </row>
    <row r="777" spans="3:15" ht="12.75">
      <c r="C777" s="31"/>
      <c r="F777" s="31"/>
      <c r="I777" s="31"/>
      <c r="L777" s="31"/>
      <c r="O777" s="31"/>
    </row>
    <row r="778" spans="3:15" ht="12.75">
      <c r="C778" s="31"/>
      <c r="F778" s="31"/>
      <c r="I778" s="31"/>
      <c r="L778" s="31"/>
      <c r="O778" s="31"/>
    </row>
    <row r="779" spans="3:15" ht="12.75">
      <c r="C779" s="31"/>
      <c r="F779" s="31"/>
      <c r="I779" s="31"/>
      <c r="L779" s="31"/>
      <c r="O779" s="31"/>
    </row>
    <row r="780" spans="3:15" ht="12.75">
      <c r="C780" s="31"/>
      <c r="F780" s="31"/>
      <c r="I780" s="31"/>
      <c r="L780" s="31"/>
      <c r="O780" s="31"/>
    </row>
    <row r="781" spans="3:15" ht="12.75">
      <c r="C781" s="31"/>
      <c r="F781" s="31"/>
      <c r="I781" s="31"/>
      <c r="L781" s="31"/>
      <c r="O781" s="31"/>
    </row>
    <row r="782" spans="3:15" ht="12.75">
      <c r="C782" s="31"/>
      <c r="F782" s="31"/>
      <c r="I782" s="31"/>
      <c r="L782" s="31"/>
      <c r="O782" s="31"/>
    </row>
    <row r="783" spans="3:15" ht="12.75">
      <c r="C783" s="31"/>
      <c r="F783" s="31"/>
      <c r="I783" s="31"/>
      <c r="L783" s="31"/>
      <c r="O783" s="31"/>
    </row>
    <row r="784" spans="3:15" ht="12.75">
      <c r="C784" s="31"/>
      <c r="F784" s="31"/>
      <c r="I784" s="31"/>
      <c r="L784" s="31"/>
      <c r="O784" s="31"/>
    </row>
    <row r="785" spans="3:15" ht="12.75">
      <c r="C785" s="31"/>
      <c r="F785" s="31"/>
      <c r="I785" s="31"/>
      <c r="L785" s="31"/>
      <c r="O785" s="31"/>
    </row>
    <row r="786" spans="3:15" ht="12.75">
      <c r="C786" s="31"/>
      <c r="F786" s="31"/>
      <c r="I786" s="31"/>
      <c r="L786" s="31"/>
      <c r="O786" s="31"/>
    </row>
    <row r="787" spans="3:15" ht="12.75">
      <c r="C787" s="31"/>
      <c r="F787" s="31"/>
      <c r="I787" s="31"/>
      <c r="L787" s="31"/>
      <c r="O787" s="31"/>
    </row>
    <row r="788" spans="3:15" ht="12.75">
      <c r="C788" s="31"/>
      <c r="F788" s="31"/>
      <c r="I788" s="31"/>
      <c r="L788" s="31"/>
      <c r="O788" s="31"/>
    </row>
    <row r="789" spans="3:15" ht="12.75">
      <c r="C789" s="31"/>
      <c r="F789" s="31"/>
      <c r="I789" s="31"/>
      <c r="L789" s="31"/>
      <c r="O789" s="31"/>
    </row>
    <row r="790" spans="3:15" ht="12.75">
      <c r="C790" s="31"/>
      <c r="F790" s="31"/>
      <c r="I790" s="31"/>
      <c r="L790" s="31"/>
      <c r="O790" s="31"/>
    </row>
    <row r="791" spans="3:15" ht="12.75">
      <c r="C791" s="31"/>
      <c r="F791" s="31"/>
      <c r="I791" s="31"/>
      <c r="L791" s="31"/>
      <c r="O791" s="31"/>
    </row>
    <row r="792" spans="3:15" ht="12.75">
      <c r="C792" s="31"/>
      <c r="F792" s="31"/>
      <c r="I792" s="31"/>
      <c r="L792" s="31"/>
      <c r="O792" s="31"/>
    </row>
    <row r="793" spans="3:15" ht="12.75">
      <c r="C793" s="31"/>
      <c r="F793" s="31"/>
      <c r="I793" s="31"/>
      <c r="L793" s="31"/>
      <c r="O793" s="31"/>
    </row>
    <row r="794" spans="3:15" ht="12.75">
      <c r="C794" s="31"/>
      <c r="F794" s="31"/>
      <c r="I794" s="31"/>
      <c r="L794" s="31"/>
      <c r="O794" s="31"/>
    </row>
    <row r="795" spans="3:15" ht="12.75">
      <c r="C795" s="31"/>
      <c r="F795" s="31"/>
      <c r="I795" s="31"/>
      <c r="L795" s="31"/>
      <c r="O795" s="31"/>
    </row>
    <row r="796" spans="3:15" ht="12.75">
      <c r="C796" s="31"/>
      <c r="F796" s="31"/>
      <c r="I796" s="31"/>
      <c r="L796" s="31"/>
      <c r="O796" s="31"/>
    </row>
    <row r="797" spans="3:15" ht="12.75">
      <c r="C797" s="31"/>
      <c r="F797" s="31"/>
      <c r="I797" s="31"/>
      <c r="L797" s="31"/>
      <c r="O797" s="31"/>
    </row>
    <row r="798" spans="3:15" ht="12.75">
      <c r="C798" s="31"/>
      <c r="F798" s="31"/>
      <c r="I798" s="31"/>
      <c r="L798" s="31"/>
      <c r="O798" s="31"/>
    </row>
    <row r="799" spans="3:15" ht="12.75">
      <c r="C799" s="31"/>
      <c r="F799" s="31"/>
      <c r="I799" s="31"/>
      <c r="L799" s="31"/>
      <c r="O799" s="31"/>
    </row>
    <row r="800" spans="3:15" ht="12.75">
      <c r="C800" s="31"/>
      <c r="F800" s="31"/>
      <c r="I800" s="31"/>
      <c r="L800" s="31"/>
      <c r="O800" s="31"/>
    </row>
    <row r="801" spans="3:15" ht="12.75">
      <c r="C801" s="31"/>
      <c r="F801" s="31"/>
      <c r="I801" s="31"/>
      <c r="L801" s="31"/>
      <c r="O801" s="31"/>
    </row>
    <row r="802" spans="3:15" ht="12.75">
      <c r="C802" s="31"/>
      <c r="F802" s="31"/>
      <c r="I802" s="31"/>
      <c r="L802" s="31"/>
      <c r="O802" s="31"/>
    </row>
    <row r="803" spans="3:15" ht="12.75">
      <c r="C803" s="31"/>
      <c r="F803" s="31"/>
      <c r="I803" s="31"/>
      <c r="L803" s="31"/>
      <c r="O803" s="31"/>
    </row>
    <row r="804" spans="3:15" ht="12.75">
      <c r="C804" s="31"/>
      <c r="F804" s="31"/>
      <c r="I804" s="31"/>
      <c r="L804" s="31"/>
      <c r="O804" s="31"/>
    </row>
    <row r="805" spans="3:15" ht="12.75">
      <c r="C805" s="31"/>
      <c r="F805" s="31"/>
      <c r="I805" s="31"/>
      <c r="L805" s="31"/>
      <c r="O805" s="31"/>
    </row>
    <row r="806" spans="3:15" ht="12.75">
      <c r="C806" s="31"/>
      <c r="F806" s="31"/>
      <c r="I806" s="31"/>
      <c r="L806" s="31"/>
      <c r="O806" s="31"/>
    </row>
    <row r="807" spans="3:15" ht="12.75">
      <c r="C807" s="31"/>
      <c r="F807" s="31"/>
      <c r="I807" s="31"/>
      <c r="L807" s="31"/>
      <c r="O807" s="31"/>
    </row>
    <row r="808" spans="3:15" ht="12.75">
      <c r="C808" s="31"/>
      <c r="F808" s="31"/>
      <c r="I808" s="31"/>
      <c r="L808" s="31"/>
      <c r="O808" s="31"/>
    </row>
    <row r="809" spans="3:15" ht="12.75">
      <c r="C809" s="31"/>
      <c r="F809" s="31"/>
      <c r="I809" s="31"/>
      <c r="L809" s="31"/>
      <c r="O809" s="31"/>
    </row>
    <row r="810" spans="3:15" ht="12.75">
      <c r="C810" s="31"/>
      <c r="F810" s="31"/>
      <c r="I810" s="31"/>
      <c r="L810" s="31"/>
      <c r="O810" s="31"/>
    </row>
    <row r="811" spans="3:15" ht="12.75">
      <c r="C811" s="31"/>
      <c r="F811" s="31"/>
      <c r="I811" s="31"/>
      <c r="L811" s="31"/>
      <c r="O811" s="31"/>
    </row>
    <row r="812" spans="3:15" ht="12.75">
      <c r="C812" s="31"/>
      <c r="F812" s="31"/>
      <c r="I812" s="31"/>
      <c r="L812" s="31"/>
      <c r="O812" s="31"/>
    </row>
    <row r="813" spans="3:15" ht="12.75">
      <c r="C813" s="31"/>
      <c r="F813" s="31"/>
      <c r="I813" s="31"/>
      <c r="L813" s="31"/>
      <c r="O813" s="31"/>
    </row>
    <row r="814" spans="3:15" ht="12.75">
      <c r="C814" s="31"/>
      <c r="F814" s="31"/>
      <c r="I814" s="31"/>
      <c r="L814" s="31"/>
      <c r="O814" s="31"/>
    </row>
    <row r="815" spans="3:15" ht="12.75">
      <c r="C815" s="31"/>
      <c r="F815" s="31"/>
      <c r="I815" s="31"/>
      <c r="L815" s="31"/>
      <c r="O815" s="31"/>
    </row>
    <row r="816" spans="3:15" ht="12.75">
      <c r="C816" s="31"/>
      <c r="F816" s="31"/>
      <c r="I816" s="31"/>
      <c r="L816" s="31"/>
      <c r="O816" s="31"/>
    </row>
    <row r="817" spans="3:15" ht="12.75">
      <c r="C817" s="31"/>
      <c r="F817" s="31"/>
      <c r="I817" s="31"/>
      <c r="L817" s="31"/>
      <c r="O817" s="31"/>
    </row>
    <row r="818" spans="3:15" ht="12.75">
      <c r="C818" s="31"/>
      <c r="F818" s="31"/>
      <c r="I818" s="31"/>
      <c r="L818" s="31"/>
      <c r="O818" s="31"/>
    </row>
    <row r="819" spans="3:15" ht="12.75">
      <c r="C819" s="31"/>
      <c r="F819" s="31"/>
      <c r="I819" s="31"/>
      <c r="L819" s="31"/>
      <c r="O819" s="31"/>
    </row>
    <row r="820" spans="3:15" ht="12.75">
      <c r="C820" s="31"/>
      <c r="F820" s="31"/>
      <c r="I820" s="31"/>
      <c r="L820" s="31"/>
      <c r="O820" s="31"/>
    </row>
    <row r="821" spans="3:15" ht="12.75">
      <c r="C821" s="31"/>
      <c r="F821" s="31"/>
      <c r="I821" s="31"/>
      <c r="L821" s="31"/>
      <c r="O821" s="31"/>
    </row>
    <row r="822" spans="3:15" ht="12.75">
      <c r="C822" s="31"/>
      <c r="F822" s="31"/>
      <c r="I822" s="31"/>
      <c r="L822" s="31"/>
      <c r="O822" s="31"/>
    </row>
    <row r="823" spans="3:15" ht="12.75">
      <c r="C823" s="31"/>
      <c r="F823" s="31"/>
      <c r="I823" s="31"/>
      <c r="L823" s="31"/>
      <c r="O823" s="31"/>
    </row>
    <row r="824" spans="3:15" ht="12.75">
      <c r="C824" s="31"/>
      <c r="F824" s="31"/>
      <c r="I824" s="31"/>
      <c r="L824" s="31"/>
      <c r="O824" s="31"/>
    </row>
    <row r="825" spans="3:15" ht="12.75">
      <c r="C825" s="31"/>
      <c r="F825" s="31"/>
      <c r="I825" s="31"/>
      <c r="L825" s="31"/>
      <c r="O825" s="31"/>
    </row>
    <row r="826" spans="3:15" ht="12.75">
      <c r="C826" s="31"/>
      <c r="F826" s="31"/>
      <c r="I826" s="31"/>
      <c r="L826" s="31"/>
      <c r="O826" s="31"/>
    </row>
    <row r="827" spans="3:15" ht="12.75">
      <c r="C827" s="31"/>
      <c r="F827" s="31"/>
      <c r="I827" s="31"/>
      <c r="L827" s="31"/>
      <c r="O827" s="31"/>
    </row>
    <row r="828" spans="3:15" ht="12.75">
      <c r="C828" s="31"/>
      <c r="F828" s="31"/>
      <c r="I828" s="31"/>
      <c r="L828" s="31"/>
      <c r="O828" s="31"/>
    </row>
    <row r="829" spans="3:15" ht="12.75">
      <c r="C829" s="31"/>
      <c r="F829" s="31"/>
      <c r="I829" s="31"/>
      <c r="L829" s="31"/>
      <c r="O829" s="31"/>
    </row>
    <row r="830" spans="3:15" ht="12.75">
      <c r="C830" s="31"/>
      <c r="F830" s="31"/>
      <c r="I830" s="31"/>
      <c r="L830" s="31"/>
      <c r="O830" s="31"/>
    </row>
    <row r="831" spans="3:15" ht="12.75">
      <c r="C831" s="31"/>
      <c r="F831" s="31"/>
      <c r="I831" s="31"/>
      <c r="L831" s="31"/>
      <c r="O831" s="31"/>
    </row>
    <row r="832" spans="3:15" ht="12.75">
      <c r="C832" s="31"/>
      <c r="F832" s="31"/>
      <c r="I832" s="31"/>
      <c r="L832" s="31"/>
      <c r="O832" s="31"/>
    </row>
    <row r="833" spans="3:15" ht="12.75">
      <c r="C833" s="31"/>
      <c r="F833" s="31"/>
      <c r="I833" s="31"/>
      <c r="L833" s="31"/>
      <c r="O833" s="31"/>
    </row>
    <row r="834" spans="3:15" ht="12.75">
      <c r="C834" s="31"/>
      <c r="F834" s="31"/>
      <c r="I834" s="31"/>
      <c r="L834" s="31"/>
      <c r="O834" s="31"/>
    </row>
    <row r="835" spans="3:15" ht="12.75">
      <c r="C835" s="31"/>
      <c r="F835" s="31"/>
      <c r="I835" s="31"/>
      <c r="L835" s="31"/>
      <c r="O835" s="31"/>
    </row>
    <row r="836" spans="3:15" ht="12.75">
      <c r="C836" s="31"/>
      <c r="F836" s="31"/>
      <c r="I836" s="31"/>
      <c r="L836" s="31"/>
      <c r="O836" s="31"/>
    </row>
    <row r="837" spans="3:15" ht="12.75">
      <c r="C837" s="31"/>
      <c r="F837" s="31"/>
      <c r="I837" s="31"/>
      <c r="L837" s="31"/>
      <c r="O837" s="31"/>
    </row>
    <row r="838" spans="3:15" ht="12.75">
      <c r="C838" s="31"/>
      <c r="F838" s="31"/>
      <c r="I838" s="31"/>
      <c r="L838" s="31"/>
      <c r="O838" s="31"/>
    </row>
    <row r="839" spans="3:15" ht="12.75">
      <c r="C839" s="31"/>
      <c r="F839" s="31"/>
      <c r="I839" s="31"/>
      <c r="L839" s="31"/>
      <c r="O839" s="31"/>
    </row>
    <row r="840" spans="3:15" ht="12.75">
      <c r="C840" s="31"/>
      <c r="F840" s="31"/>
      <c r="I840" s="31"/>
      <c r="L840" s="31"/>
      <c r="O840" s="31"/>
    </row>
    <row r="841" spans="3:15" ht="12.75">
      <c r="C841" s="31"/>
      <c r="F841" s="31"/>
      <c r="I841" s="31"/>
      <c r="L841" s="31"/>
      <c r="O841" s="31"/>
    </row>
    <row r="842" spans="3:15" ht="12.75">
      <c r="C842" s="31"/>
      <c r="F842" s="31"/>
      <c r="I842" s="31"/>
      <c r="L842" s="31"/>
      <c r="O842" s="31"/>
    </row>
    <row r="843" spans="3:15" ht="12.75">
      <c r="C843" s="31"/>
      <c r="F843" s="31"/>
      <c r="I843" s="31"/>
      <c r="L843" s="31"/>
      <c r="O843" s="31"/>
    </row>
    <row r="844" spans="3:15" ht="12.75">
      <c r="C844" s="31"/>
      <c r="F844" s="31"/>
      <c r="I844" s="31"/>
      <c r="L844" s="31"/>
      <c r="O844" s="31"/>
    </row>
    <row r="845" spans="3:15" ht="12.75">
      <c r="C845" s="31"/>
      <c r="F845" s="31"/>
      <c r="I845" s="31"/>
      <c r="L845" s="31"/>
      <c r="O845" s="31"/>
    </row>
    <row r="846" spans="3:15" ht="12.75">
      <c r="C846" s="31"/>
      <c r="F846" s="31"/>
      <c r="I846" s="31"/>
      <c r="L846" s="31"/>
      <c r="O846" s="31"/>
    </row>
    <row r="847" spans="3:15" ht="12.75">
      <c r="C847" s="31"/>
      <c r="F847" s="31"/>
      <c r="I847" s="31"/>
      <c r="L847" s="31"/>
      <c r="O847" s="31"/>
    </row>
    <row r="848" spans="3:15" ht="12.75">
      <c r="C848" s="31"/>
      <c r="F848" s="31"/>
      <c r="I848" s="31"/>
      <c r="L848" s="31"/>
      <c r="O848" s="31"/>
    </row>
    <row r="849" spans="3:15" ht="12.75">
      <c r="C849" s="31"/>
      <c r="F849" s="31"/>
      <c r="I849" s="31"/>
      <c r="L849" s="31"/>
      <c r="O849" s="31"/>
    </row>
    <row r="850" spans="3:15" ht="12.75">
      <c r="C850" s="31"/>
      <c r="F850" s="31"/>
      <c r="I850" s="31"/>
      <c r="L850" s="31"/>
      <c r="O850" s="31"/>
    </row>
    <row r="851" spans="3:15" ht="12.75">
      <c r="C851" s="31"/>
      <c r="F851" s="31"/>
      <c r="I851" s="31"/>
      <c r="L851" s="31"/>
      <c r="O851" s="31"/>
    </row>
    <row r="852" spans="3:15" ht="12.75">
      <c r="C852" s="31"/>
      <c r="F852" s="31"/>
      <c r="I852" s="31"/>
      <c r="L852" s="31"/>
      <c r="O852" s="31"/>
    </row>
    <row r="853" spans="3:15" ht="12.75">
      <c r="C853" s="31"/>
      <c r="F853" s="31"/>
      <c r="I853" s="31"/>
      <c r="L853" s="31"/>
      <c r="O853" s="31"/>
    </row>
    <row r="854" spans="3:15" ht="12.75">
      <c r="C854" s="31"/>
      <c r="F854" s="31"/>
      <c r="I854" s="31"/>
      <c r="L854" s="31"/>
      <c r="O854" s="31"/>
    </row>
    <row r="855" spans="3:15" ht="12.75">
      <c r="C855" s="31"/>
      <c r="F855" s="31"/>
      <c r="I855" s="31"/>
      <c r="L855" s="31"/>
      <c r="O855" s="31"/>
    </row>
    <row r="856" spans="3:15" ht="12.75">
      <c r="C856" s="31"/>
      <c r="F856" s="31"/>
      <c r="I856" s="31"/>
      <c r="L856" s="31"/>
      <c r="O856" s="31"/>
    </row>
    <row r="857" spans="3:15" ht="12.75">
      <c r="C857" s="31"/>
      <c r="F857" s="31"/>
      <c r="I857" s="31"/>
      <c r="L857" s="31"/>
      <c r="O857" s="31"/>
    </row>
    <row r="858" spans="3:15" ht="12.75">
      <c r="C858" s="31"/>
      <c r="F858" s="31"/>
      <c r="I858" s="31"/>
      <c r="L858" s="31"/>
      <c r="O858" s="31"/>
    </row>
    <row r="859" spans="3:15" ht="12.75">
      <c r="C859" s="31"/>
      <c r="F859" s="31"/>
      <c r="I859" s="31"/>
      <c r="L859" s="31"/>
      <c r="O859" s="31"/>
    </row>
    <row r="860" spans="3:15" ht="12.75">
      <c r="C860" s="31"/>
      <c r="F860" s="31"/>
      <c r="I860" s="31"/>
      <c r="L860" s="31"/>
      <c r="O860" s="31"/>
    </row>
    <row r="861" spans="3:15" ht="12.75">
      <c r="C861" s="31"/>
      <c r="F861" s="31"/>
      <c r="I861" s="31"/>
      <c r="L861" s="31"/>
      <c r="O861" s="31"/>
    </row>
    <row r="862" spans="3:15" ht="12.75">
      <c r="C862" s="31"/>
      <c r="F862" s="31"/>
      <c r="I862" s="31"/>
      <c r="L862" s="31"/>
      <c r="O862" s="31"/>
    </row>
    <row r="863" spans="3:15" ht="12.75">
      <c r="C863" s="31"/>
      <c r="F863" s="31"/>
      <c r="I863" s="31"/>
      <c r="L863" s="31"/>
      <c r="O863" s="31"/>
    </row>
    <row r="864" spans="3:15" ht="12.75">
      <c r="C864" s="31"/>
      <c r="F864" s="31"/>
      <c r="I864" s="31"/>
      <c r="L864" s="31"/>
      <c r="O864" s="31"/>
    </row>
    <row r="865" spans="3:15" ht="12.75">
      <c r="C865" s="31"/>
      <c r="F865" s="31"/>
      <c r="I865" s="31"/>
      <c r="L865" s="31"/>
      <c r="O865" s="31"/>
    </row>
    <row r="866" spans="3:15" ht="12.75">
      <c r="C866" s="31"/>
      <c r="F866" s="31"/>
      <c r="I866" s="31"/>
      <c r="L866" s="31"/>
      <c r="O866" s="31"/>
    </row>
    <row r="867" spans="3:15" ht="12.75">
      <c r="C867" s="31"/>
      <c r="F867" s="31"/>
      <c r="I867" s="31"/>
      <c r="L867" s="31"/>
      <c r="O867" s="31"/>
    </row>
    <row r="868" spans="3:15" ht="12.75">
      <c r="C868" s="31"/>
      <c r="F868" s="31"/>
      <c r="I868" s="31"/>
      <c r="L868" s="31"/>
      <c r="O868" s="31"/>
    </row>
    <row r="869" spans="3:15" ht="12.75">
      <c r="C869" s="31"/>
      <c r="F869" s="31"/>
      <c r="I869" s="31"/>
      <c r="L869" s="31"/>
      <c r="O869" s="31"/>
    </row>
    <row r="870" spans="3:15" ht="12.75">
      <c r="C870" s="31"/>
      <c r="F870" s="31"/>
      <c r="I870" s="31"/>
      <c r="L870" s="31"/>
      <c r="O870" s="31"/>
    </row>
    <row r="871" spans="3:15" ht="12.75">
      <c r="C871" s="31"/>
      <c r="F871" s="31"/>
      <c r="I871" s="31"/>
      <c r="L871" s="31"/>
      <c r="O871" s="31"/>
    </row>
    <row r="872" spans="3:15" ht="12.75">
      <c r="C872" s="31"/>
      <c r="F872" s="31"/>
      <c r="I872" s="31"/>
      <c r="L872" s="31"/>
      <c r="O872" s="31"/>
    </row>
    <row r="873" spans="3:15" ht="12.75">
      <c r="C873" s="31"/>
      <c r="F873" s="31"/>
      <c r="I873" s="31"/>
      <c r="L873" s="31"/>
      <c r="O873" s="31"/>
    </row>
    <row r="874" spans="3:15" ht="12.75">
      <c r="C874" s="31"/>
      <c r="F874" s="31"/>
      <c r="I874" s="31"/>
      <c r="L874" s="31"/>
      <c r="O874" s="31"/>
    </row>
    <row r="875" spans="3:15" ht="12.75">
      <c r="C875" s="31"/>
      <c r="F875" s="31"/>
      <c r="I875" s="31"/>
      <c r="L875" s="31"/>
      <c r="O875" s="31"/>
    </row>
    <row r="876" spans="3:15" ht="12.75">
      <c r="C876" s="31"/>
      <c r="F876" s="31"/>
      <c r="I876" s="31"/>
      <c r="L876" s="31"/>
      <c r="O876" s="31"/>
    </row>
    <row r="877" spans="3:15" ht="12.75">
      <c r="C877" s="31"/>
      <c r="F877" s="31"/>
      <c r="I877" s="31"/>
      <c r="L877" s="31"/>
      <c r="O877" s="31"/>
    </row>
    <row r="878" spans="3:15" ht="12.75">
      <c r="C878" s="31"/>
      <c r="F878" s="31"/>
      <c r="I878" s="31"/>
      <c r="L878" s="31"/>
      <c r="O878" s="31"/>
    </row>
    <row r="879" spans="3:15" ht="12.75">
      <c r="C879" s="31"/>
      <c r="F879" s="31"/>
      <c r="I879" s="31"/>
      <c r="L879" s="31"/>
      <c r="O879" s="31"/>
    </row>
    <row r="880" spans="3:15" ht="12.75">
      <c r="C880" s="31"/>
      <c r="F880" s="31"/>
      <c r="I880" s="31"/>
      <c r="L880" s="31"/>
      <c r="O880" s="31"/>
    </row>
    <row r="881" spans="3:15" ht="12.75">
      <c r="C881" s="31"/>
      <c r="F881" s="31"/>
      <c r="I881" s="31"/>
      <c r="L881" s="31"/>
      <c r="O881" s="31"/>
    </row>
    <row r="882" spans="3:15" ht="12.75">
      <c r="C882" s="31"/>
      <c r="F882" s="31"/>
      <c r="I882" s="31"/>
      <c r="L882" s="31"/>
      <c r="O882" s="31"/>
    </row>
    <row r="883" spans="3:15" ht="12.75">
      <c r="C883" s="31"/>
      <c r="F883" s="31"/>
      <c r="I883" s="31"/>
      <c r="L883" s="31"/>
      <c r="O883" s="31"/>
    </row>
    <row r="884" spans="3:15" ht="12.75">
      <c r="C884" s="31"/>
      <c r="F884" s="31"/>
      <c r="I884" s="31"/>
      <c r="L884" s="31"/>
      <c r="O884" s="31"/>
    </row>
    <row r="885" spans="3:15" ht="12.75">
      <c r="C885" s="31"/>
      <c r="F885" s="31"/>
      <c r="I885" s="31"/>
      <c r="L885" s="31"/>
      <c r="O885" s="31"/>
    </row>
    <row r="886" spans="3:15" ht="12.75">
      <c r="C886" s="31"/>
      <c r="F886" s="31"/>
      <c r="I886" s="31"/>
      <c r="L886" s="31"/>
      <c r="O886" s="31"/>
    </row>
    <row r="887" spans="3:15" ht="12.75">
      <c r="C887" s="31"/>
      <c r="F887" s="31"/>
      <c r="I887" s="31"/>
      <c r="L887" s="31"/>
      <c r="O887" s="31"/>
    </row>
    <row r="888" spans="3:15" ht="12.75">
      <c r="C888" s="31"/>
      <c r="F888" s="31"/>
      <c r="I888" s="31"/>
      <c r="L888" s="31"/>
      <c r="O888" s="31"/>
    </row>
    <row r="889" spans="3:15" ht="12.75">
      <c r="C889" s="31"/>
      <c r="F889" s="31"/>
      <c r="I889" s="31"/>
      <c r="L889" s="31"/>
      <c r="O889" s="31"/>
    </row>
    <row r="890" spans="3:15" ht="12.75">
      <c r="C890" s="31"/>
      <c r="F890" s="31"/>
      <c r="I890" s="31"/>
      <c r="L890" s="31"/>
      <c r="O890" s="31"/>
    </row>
    <row r="891" spans="3:15" ht="12.75">
      <c r="C891" s="31"/>
      <c r="F891" s="31"/>
      <c r="I891" s="31"/>
      <c r="L891" s="31"/>
      <c r="O891" s="31"/>
    </row>
    <row r="892" spans="3:15" ht="12.75">
      <c r="C892" s="31"/>
      <c r="F892" s="31"/>
      <c r="I892" s="31"/>
      <c r="L892" s="31"/>
      <c r="O892" s="31"/>
    </row>
    <row r="893" spans="3:15" ht="12.75">
      <c r="C893" s="31"/>
      <c r="F893" s="31"/>
      <c r="I893" s="31"/>
      <c r="L893" s="31"/>
      <c r="O893" s="31"/>
    </row>
    <row r="894" spans="3:15" ht="12.75">
      <c r="C894" s="31"/>
      <c r="F894" s="31"/>
      <c r="I894" s="31"/>
      <c r="L894" s="31"/>
      <c r="O894" s="31"/>
    </row>
    <row r="895" spans="3:15" ht="12.75">
      <c r="C895" s="31"/>
      <c r="F895" s="31"/>
      <c r="I895" s="31"/>
      <c r="L895" s="31"/>
      <c r="O895" s="31"/>
    </row>
    <row r="896" spans="3:15" ht="12.75">
      <c r="C896" s="31"/>
      <c r="F896" s="31"/>
      <c r="I896" s="31"/>
      <c r="L896" s="31"/>
      <c r="O896" s="31"/>
    </row>
    <row r="897" spans="3:15" ht="12.75">
      <c r="C897" s="31"/>
      <c r="F897" s="31"/>
      <c r="I897" s="31"/>
      <c r="L897" s="31"/>
      <c r="O897" s="31"/>
    </row>
    <row r="898" spans="3:15" ht="12.75">
      <c r="C898" s="31"/>
      <c r="F898" s="31"/>
      <c r="I898" s="31"/>
      <c r="L898" s="31"/>
      <c r="O898" s="31"/>
    </row>
    <row r="899" spans="3:15" ht="12.75">
      <c r="C899" s="31"/>
      <c r="F899" s="31"/>
      <c r="I899" s="31"/>
      <c r="L899" s="31"/>
      <c r="O899" s="31"/>
    </row>
    <row r="900" spans="3:15" ht="12.75">
      <c r="C900" s="31"/>
      <c r="F900" s="31"/>
      <c r="I900" s="31"/>
      <c r="L900" s="31"/>
      <c r="O900" s="31"/>
    </row>
    <row r="901" spans="3:15" ht="12.75">
      <c r="C901" s="31"/>
      <c r="F901" s="31"/>
      <c r="I901" s="31"/>
      <c r="L901" s="31"/>
      <c r="O901" s="31"/>
    </row>
    <row r="902" spans="3:15" ht="12.75">
      <c r="C902" s="31"/>
      <c r="F902" s="31"/>
      <c r="I902" s="31"/>
      <c r="L902" s="31"/>
      <c r="O902" s="31"/>
    </row>
    <row r="903" spans="3:15" ht="12.75">
      <c r="C903" s="31"/>
      <c r="F903" s="31"/>
      <c r="I903" s="31"/>
      <c r="L903" s="31"/>
      <c r="O903" s="31"/>
    </row>
    <row r="904" spans="3:15" ht="12.75">
      <c r="C904" s="31"/>
      <c r="F904" s="31"/>
      <c r="I904" s="31"/>
      <c r="L904" s="31"/>
      <c r="O904" s="31"/>
    </row>
    <row r="905" spans="3:15" ht="12.75">
      <c r="C905" s="31"/>
      <c r="F905" s="31"/>
      <c r="I905" s="31"/>
      <c r="L905" s="31"/>
      <c r="O905" s="31"/>
    </row>
    <row r="906" spans="3:15" ht="12.75">
      <c r="C906" s="31"/>
      <c r="F906" s="31"/>
      <c r="I906" s="31"/>
      <c r="L906" s="31"/>
      <c r="O906" s="31"/>
    </row>
    <row r="907" spans="3:15" ht="12.75">
      <c r="C907" s="31"/>
      <c r="F907" s="31"/>
      <c r="I907" s="31"/>
      <c r="L907" s="31"/>
      <c r="O907" s="31"/>
    </row>
    <row r="908" spans="3:15" ht="12.75">
      <c r="C908" s="31"/>
      <c r="F908" s="31"/>
      <c r="I908" s="31"/>
      <c r="L908" s="31"/>
      <c r="O908" s="31"/>
    </row>
    <row r="909" spans="3:15" ht="12.75">
      <c r="C909" s="31"/>
      <c r="F909" s="31"/>
      <c r="I909" s="31"/>
      <c r="L909" s="31"/>
      <c r="O909" s="31"/>
    </row>
    <row r="910" spans="3:15" ht="12.75">
      <c r="C910" s="31"/>
      <c r="F910" s="31"/>
      <c r="I910" s="31"/>
      <c r="L910" s="31"/>
      <c r="O910" s="31"/>
    </row>
    <row r="911" spans="3:15" ht="12.75">
      <c r="C911" s="31"/>
      <c r="F911" s="31"/>
      <c r="I911" s="31"/>
      <c r="L911" s="31"/>
      <c r="O911" s="31"/>
    </row>
    <row r="912" spans="3:15" ht="12.75">
      <c r="C912" s="31"/>
      <c r="F912" s="31"/>
      <c r="I912" s="31"/>
      <c r="L912" s="31"/>
      <c r="O912" s="31"/>
    </row>
    <row r="913" spans="3:15" ht="12.75">
      <c r="C913" s="31"/>
      <c r="F913" s="31"/>
      <c r="I913" s="31"/>
      <c r="L913" s="31"/>
      <c r="O913" s="31"/>
    </row>
    <row r="914" spans="3:15" ht="12.75">
      <c r="C914" s="31"/>
      <c r="F914" s="31"/>
      <c r="I914" s="31"/>
      <c r="L914" s="31"/>
      <c r="O914" s="31"/>
    </row>
    <row r="915" spans="3:15" ht="12.75">
      <c r="C915" s="31"/>
      <c r="F915" s="31"/>
      <c r="I915" s="31"/>
      <c r="L915" s="31"/>
      <c r="O915" s="31"/>
    </row>
    <row r="916" spans="3:15" ht="12.75">
      <c r="C916" s="31"/>
      <c r="F916" s="31"/>
      <c r="I916" s="31"/>
      <c r="L916" s="31"/>
      <c r="O916" s="31"/>
    </row>
    <row r="917" spans="3:15" ht="12.75">
      <c r="C917" s="31"/>
      <c r="F917" s="31"/>
      <c r="I917" s="31"/>
      <c r="L917" s="31"/>
      <c r="O917" s="31"/>
    </row>
    <row r="918" spans="3:15" ht="12.75">
      <c r="C918" s="31"/>
      <c r="F918" s="31"/>
      <c r="I918" s="31"/>
      <c r="L918" s="31"/>
      <c r="O918" s="31"/>
    </row>
    <row r="919" spans="3:15" ht="12.75">
      <c r="C919" s="31"/>
      <c r="F919" s="31"/>
      <c r="I919" s="31"/>
      <c r="L919" s="31"/>
      <c r="O919" s="31"/>
    </row>
    <row r="920" spans="3:15" ht="12.75">
      <c r="C920" s="31"/>
      <c r="F920" s="31"/>
      <c r="I920" s="31"/>
      <c r="L920" s="31"/>
      <c r="O920" s="31"/>
    </row>
    <row r="921" spans="3:15" ht="12.75">
      <c r="C921" s="31"/>
      <c r="F921" s="31"/>
      <c r="I921" s="31"/>
      <c r="L921" s="31"/>
      <c r="O921" s="31"/>
    </row>
    <row r="922" spans="3:15" ht="12.75">
      <c r="C922" s="31"/>
      <c r="F922" s="31"/>
      <c r="I922" s="31"/>
      <c r="L922" s="31"/>
      <c r="O922" s="31"/>
    </row>
    <row r="923" spans="3:15" ht="12.75">
      <c r="C923" s="31"/>
      <c r="F923" s="31"/>
      <c r="I923" s="31"/>
      <c r="L923" s="31"/>
      <c r="O923" s="31"/>
    </row>
    <row r="924" spans="3:15" ht="12.75">
      <c r="C924" s="31"/>
      <c r="F924" s="31"/>
      <c r="I924" s="31"/>
      <c r="L924" s="31"/>
      <c r="O924" s="31"/>
    </row>
    <row r="925" spans="3:15" ht="12.75">
      <c r="C925" s="31"/>
      <c r="F925" s="31"/>
      <c r="I925" s="31"/>
      <c r="L925" s="31"/>
      <c r="O925" s="31"/>
    </row>
    <row r="926" spans="3:15" ht="12.75">
      <c r="C926" s="31"/>
      <c r="F926" s="31"/>
      <c r="I926" s="31"/>
      <c r="L926" s="31"/>
      <c r="O926" s="31"/>
    </row>
    <row r="927" spans="3:15" ht="12.75">
      <c r="C927" s="31"/>
      <c r="F927" s="31"/>
      <c r="I927" s="31"/>
      <c r="L927" s="31"/>
      <c r="O927" s="31"/>
    </row>
    <row r="928" spans="3:15" ht="12.75">
      <c r="C928" s="31"/>
      <c r="F928" s="31"/>
      <c r="I928" s="31"/>
      <c r="L928" s="31"/>
      <c r="O928" s="31"/>
    </row>
    <row r="929" spans="3:15" ht="12.75">
      <c r="C929" s="31"/>
      <c r="F929" s="31"/>
      <c r="I929" s="31"/>
      <c r="L929" s="31"/>
      <c r="O929" s="31"/>
    </row>
    <row r="930" spans="3:15" ht="12.75">
      <c r="C930" s="31"/>
      <c r="F930" s="31"/>
      <c r="I930" s="31"/>
      <c r="L930" s="31"/>
      <c r="O930" s="31"/>
    </row>
    <row r="931" spans="3:15" ht="12.75">
      <c r="C931" s="31"/>
      <c r="F931" s="31"/>
      <c r="I931" s="31"/>
      <c r="L931" s="31"/>
      <c r="O931" s="31"/>
    </row>
    <row r="932" spans="3:15" ht="12.75">
      <c r="C932" s="31"/>
      <c r="F932" s="31"/>
      <c r="I932" s="31"/>
      <c r="L932" s="31"/>
      <c r="O932" s="31"/>
    </row>
    <row r="933" spans="3:15" ht="12.75">
      <c r="C933" s="31"/>
      <c r="F933" s="31"/>
      <c r="I933" s="31"/>
      <c r="L933" s="31"/>
      <c r="O933" s="31"/>
    </row>
    <row r="934" spans="3:15" ht="12.75">
      <c r="C934" s="31"/>
      <c r="F934" s="31"/>
      <c r="I934" s="31"/>
      <c r="L934" s="31"/>
      <c r="O934" s="31"/>
    </row>
    <row r="935" spans="3:15" ht="12.75">
      <c r="C935" s="31"/>
      <c r="F935" s="31"/>
      <c r="I935" s="31"/>
      <c r="L935" s="31"/>
      <c r="O935" s="31"/>
    </row>
    <row r="936" spans="3:15" ht="12.75">
      <c r="C936" s="31"/>
      <c r="F936" s="31"/>
      <c r="I936" s="31"/>
      <c r="L936" s="31"/>
      <c r="O936" s="31"/>
    </row>
    <row r="937" spans="3:15" ht="12.75">
      <c r="C937" s="31"/>
      <c r="F937" s="31"/>
      <c r="I937" s="31"/>
      <c r="L937" s="31"/>
      <c r="O937" s="31"/>
    </row>
    <row r="938" spans="3:15" ht="12.75">
      <c r="C938" s="31"/>
      <c r="F938" s="31"/>
      <c r="I938" s="31"/>
      <c r="L938" s="31"/>
      <c r="O938" s="31"/>
    </row>
    <row r="939" spans="3:15" ht="12.75">
      <c r="C939" s="31"/>
      <c r="F939" s="31"/>
      <c r="I939" s="31"/>
      <c r="L939" s="31"/>
      <c r="O939" s="31"/>
    </row>
    <row r="940" spans="3:15" ht="12.75">
      <c r="C940" s="31"/>
      <c r="F940" s="31"/>
      <c r="I940" s="31"/>
      <c r="L940" s="31"/>
      <c r="O940" s="31"/>
    </row>
    <row r="941" spans="3:15" ht="12.75">
      <c r="C941" s="31"/>
      <c r="F941" s="31"/>
      <c r="I941" s="31"/>
      <c r="L941" s="31"/>
      <c r="O941" s="31"/>
    </row>
    <row r="942" spans="3:15" ht="12.75">
      <c r="C942" s="31"/>
      <c r="F942" s="31"/>
      <c r="I942" s="31"/>
      <c r="L942" s="31"/>
      <c r="O942" s="31"/>
    </row>
    <row r="943" spans="3:15" ht="12.75">
      <c r="C943" s="31"/>
      <c r="F943" s="31"/>
      <c r="I943" s="31"/>
      <c r="L943" s="31"/>
      <c r="O943" s="31"/>
    </row>
    <row r="944" spans="3:15" ht="12.75">
      <c r="C944" s="31"/>
      <c r="F944" s="31"/>
      <c r="I944" s="31"/>
      <c r="L944" s="31"/>
      <c r="O944" s="31"/>
    </row>
    <row r="945" spans="3:15" ht="12.75">
      <c r="C945" s="31"/>
      <c r="F945" s="31"/>
      <c r="I945" s="31"/>
      <c r="L945" s="31"/>
      <c r="O945" s="31"/>
    </row>
    <row r="946" spans="3:15" ht="12.75">
      <c r="C946" s="31"/>
      <c r="F946" s="31"/>
      <c r="I946" s="31"/>
      <c r="L946" s="31"/>
      <c r="O946" s="31"/>
    </row>
    <row r="947" spans="3:15" ht="12.75">
      <c r="C947" s="31"/>
      <c r="F947" s="31"/>
      <c r="I947" s="31"/>
      <c r="L947" s="31"/>
      <c r="O947" s="31"/>
    </row>
    <row r="948" spans="3:15" ht="12.75">
      <c r="C948" s="31"/>
      <c r="F948" s="31"/>
      <c r="I948" s="31"/>
      <c r="L948" s="31"/>
      <c r="O948" s="31"/>
    </row>
    <row r="949" spans="3:15" ht="12.75">
      <c r="C949" s="31"/>
      <c r="F949" s="31"/>
      <c r="I949" s="31"/>
      <c r="L949" s="31"/>
      <c r="O949" s="31"/>
    </row>
    <row r="950" spans="3:15" ht="12.75">
      <c r="C950" s="31"/>
      <c r="F950" s="31"/>
      <c r="I950" s="31"/>
      <c r="L950" s="31"/>
      <c r="O950" s="31"/>
    </row>
    <row r="951" spans="3:15" ht="12.75">
      <c r="C951" s="31"/>
      <c r="F951" s="31"/>
      <c r="I951" s="31"/>
      <c r="L951" s="31"/>
      <c r="O951" s="31"/>
    </row>
    <row r="952" spans="3:15" ht="12.75">
      <c r="C952" s="31"/>
      <c r="F952" s="31"/>
      <c r="I952" s="31"/>
      <c r="L952" s="31"/>
      <c r="O952" s="31"/>
    </row>
    <row r="953" spans="3:15" ht="12.75">
      <c r="C953" s="31"/>
      <c r="F953" s="31"/>
      <c r="I953" s="31"/>
      <c r="L953" s="31"/>
      <c r="O953" s="31"/>
    </row>
    <row r="954" spans="3:15" ht="12.75">
      <c r="C954" s="31"/>
      <c r="F954" s="31"/>
      <c r="I954" s="31"/>
      <c r="L954" s="31"/>
      <c r="O954" s="31"/>
    </row>
    <row r="955" spans="3:15" ht="12.75">
      <c r="C955" s="31"/>
      <c r="F955" s="31"/>
      <c r="I955" s="31"/>
      <c r="L955" s="31"/>
      <c r="O955" s="31"/>
    </row>
    <row r="956" spans="3:15" ht="12.75">
      <c r="C956" s="31"/>
      <c r="F956" s="31"/>
      <c r="I956" s="31"/>
      <c r="L956" s="31"/>
      <c r="O956" s="31"/>
    </row>
    <row r="957" spans="3:15" ht="12.75">
      <c r="C957" s="31"/>
      <c r="F957" s="31"/>
      <c r="I957" s="31"/>
      <c r="L957" s="31"/>
      <c r="O957" s="31"/>
    </row>
    <row r="958" spans="3:15" ht="12.75">
      <c r="C958" s="31"/>
      <c r="F958" s="31"/>
      <c r="I958" s="31"/>
      <c r="L958" s="31"/>
      <c r="O958" s="31"/>
    </row>
    <row r="959" spans="3:15" ht="12.75">
      <c r="C959" s="31"/>
      <c r="F959" s="31"/>
      <c r="I959" s="31"/>
      <c r="L959" s="31"/>
      <c r="O959" s="31"/>
    </row>
    <row r="960" spans="3:15" ht="12.75">
      <c r="C960" s="31"/>
      <c r="F960" s="31"/>
      <c r="I960" s="31"/>
      <c r="L960" s="31"/>
      <c r="O960" s="31"/>
    </row>
    <row r="961" spans="3:15" ht="12.75">
      <c r="C961" s="31"/>
      <c r="F961" s="31"/>
      <c r="I961" s="31"/>
      <c r="L961" s="31"/>
      <c r="O961" s="31"/>
    </row>
    <row r="962" spans="3:15" ht="12.75">
      <c r="C962" s="31"/>
      <c r="F962" s="31"/>
      <c r="I962" s="31"/>
      <c r="L962" s="31"/>
      <c r="O962" s="31"/>
    </row>
    <row r="963" spans="3:15" ht="12.75">
      <c r="C963" s="31"/>
      <c r="F963" s="31"/>
      <c r="I963" s="31"/>
      <c r="L963" s="31"/>
      <c r="O963" s="31"/>
    </row>
    <row r="964" spans="3:15" ht="12.75">
      <c r="C964" s="31"/>
      <c r="F964" s="31"/>
      <c r="I964" s="31"/>
      <c r="L964" s="31"/>
      <c r="O964" s="31"/>
    </row>
    <row r="965" spans="3:15" ht="12.75">
      <c r="C965" s="31"/>
      <c r="F965" s="31"/>
      <c r="I965" s="31"/>
      <c r="L965" s="31"/>
      <c r="O965" s="31"/>
    </row>
    <row r="966" spans="3:15" ht="12.75">
      <c r="C966" s="31"/>
      <c r="F966" s="31"/>
      <c r="I966" s="31"/>
      <c r="L966" s="31"/>
      <c r="O966" s="31"/>
    </row>
    <row r="967" spans="3:15" ht="12.75">
      <c r="C967" s="31"/>
      <c r="F967" s="31"/>
      <c r="I967" s="31"/>
      <c r="L967" s="31"/>
      <c r="O967" s="31"/>
    </row>
    <row r="968" spans="3:15" ht="12.75">
      <c r="C968" s="31"/>
      <c r="F968" s="31"/>
      <c r="I968" s="31"/>
      <c r="L968" s="31"/>
      <c r="O968" s="31"/>
    </row>
    <row r="969" spans="3:15" ht="12.75">
      <c r="C969" s="31"/>
      <c r="F969" s="31"/>
      <c r="I969" s="31"/>
      <c r="L969" s="31"/>
      <c r="O969" s="31"/>
    </row>
    <row r="970" spans="3:15" ht="12.75">
      <c r="C970" s="31"/>
      <c r="F970" s="31"/>
      <c r="I970" s="31"/>
      <c r="L970" s="31"/>
      <c r="O970" s="31"/>
    </row>
    <row r="971" spans="3:15" ht="12.75">
      <c r="C971" s="31"/>
      <c r="F971" s="31"/>
      <c r="I971" s="31"/>
      <c r="L971" s="31"/>
      <c r="O971" s="31"/>
    </row>
    <row r="972" spans="3:15" ht="12.75">
      <c r="C972" s="31"/>
      <c r="F972" s="31"/>
      <c r="I972" s="31"/>
      <c r="L972" s="31"/>
      <c r="O972" s="31"/>
    </row>
    <row r="973" spans="3:15" ht="12.75">
      <c r="C973" s="31"/>
      <c r="F973" s="31"/>
      <c r="I973" s="31"/>
      <c r="L973" s="31"/>
      <c r="O973" s="31"/>
    </row>
    <row r="974" spans="3:15" ht="12.75">
      <c r="C974" s="31"/>
      <c r="F974" s="31"/>
      <c r="I974" s="31"/>
      <c r="L974" s="31"/>
      <c r="O974" s="31"/>
    </row>
    <row r="975" spans="3:15" ht="12.75">
      <c r="C975" s="31"/>
      <c r="F975" s="31"/>
      <c r="I975" s="31"/>
      <c r="L975" s="31"/>
      <c r="O975" s="31"/>
    </row>
    <row r="976" spans="3:15" ht="12.75">
      <c r="C976" s="31"/>
      <c r="F976" s="31"/>
      <c r="I976" s="31"/>
      <c r="L976" s="31"/>
      <c r="O976" s="31"/>
    </row>
    <row r="977" spans="3:15" ht="12.75">
      <c r="C977" s="31"/>
      <c r="F977" s="31"/>
      <c r="I977" s="31"/>
      <c r="L977" s="31"/>
      <c r="O977" s="31"/>
    </row>
    <row r="978" spans="3:15" ht="12.75">
      <c r="C978" s="31"/>
      <c r="F978" s="31"/>
      <c r="I978" s="31"/>
      <c r="L978" s="31"/>
      <c r="O978" s="31"/>
    </row>
    <row r="979" spans="3:15" ht="12.75">
      <c r="C979" s="31"/>
      <c r="F979" s="31"/>
      <c r="I979" s="31"/>
      <c r="L979" s="31"/>
      <c r="O979" s="31"/>
    </row>
    <row r="980" spans="3:15" ht="12.75">
      <c r="C980" s="31"/>
      <c r="F980" s="31"/>
      <c r="I980" s="31"/>
      <c r="L980" s="31"/>
      <c r="O980" s="31"/>
    </row>
    <row r="981" spans="3:15" ht="12.75">
      <c r="C981" s="31"/>
      <c r="F981" s="31"/>
      <c r="I981" s="31"/>
      <c r="L981" s="31"/>
      <c r="O981" s="31"/>
    </row>
    <row r="982" spans="3:15" ht="12.75">
      <c r="C982" s="31"/>
      <c r="F982" s="31"/>
      <c r="I982" s="31"/>
      <c r="L982" s="31"/>
      <c r="O982" s="31"/>
    </row>
    <row r="983" spans="3:15" ht="12.75">
      <c r="C983" s="31"/>
      <c r="F983" s="31"/>
      <c r="I983" s="31"/>
      <c r="L983" s="31"/>
      <c r="O983" s="31"/>
    </row>
    <row r="984" spans="3:15" ht="12.75">
      <c r="C984" s="31"/>
      <c r="F984" s="31"/>
      <c r="I984" s="31"/>
      <c r="L984" s="31"/>
      <c r="O984" s="31"/>
    </row>
    <row r="985" spans="3:15" ht="12.75">
      <c r="C985" s="31"/>
      <c r="F985" s="31"/>
      <c r="I985" s="31"/>
      <c r="L985" s="31"/>
      <c r="O985" s="31"/>
    </row>
    <row r="986" spans="3:15" ht="12.75">
      <c r="C986" s="31"/>
      <c r="F986" s="31"/>
      <c r="I986" s="31"/>
      <c r="L986" s="31"/>
      <c r="O986" s="31"/>
    </row>
    <row r="987" spans="3:15" ht="12.75">
      <c r="C987" s="31"/>
      <c r="F987" s="31"/>
      <c r="I987" s="31"/>
      <c r="L987" s="31"/>
      <c r="O987" s="31"/>
    </row>
    <row r="988" spans="3:15" ht="12.75">
      <c r="C988" s="31"/>
      <c r="F988" s="31"/>
      <c r="I988" s="31"/>
      <c r="L988" s="31"/>
      <c r="O988" s="31"/>
    </row>
    <row r="989" spans="3:15" ht="12.75">
      <c r="C989" s="31"/>
      <c r="F989" s="31"/>
      <c r="I989" s="31"/>
      <c r="L989" s="31"/>
      <c r="O989" s="31"/>
    </row>
    <row r="990" spans="3:15" ht="12.75">
      <c r="C990" s="31"/>
      <c r="F990" s="31"/>
      <c r="I990" s="31"/>
      <c r="L990" s="31"/>
      <c r="O990" s="31"/>
    </row>
    <row r="991" spans="3:15" ht="12.75">
      <c r="C991" s="31"/>
      <c r="F991" s="31"/>
      <c r="I991" s="31"/>
      <c r="L991" s="31"/>
      <c r="O991" s="31"/>
    </row>
    <row r="992" spans="3:15" ht="12.75">
      <c r="C992" s="31"/>
      <c r="F992" s="31"/>
      <c r="I992" s="31"/>
      <c r="L992" s="31"/>
      <c r="O992" s="31"/>
    </row>
  </sheetData>
  <mergeCells count="253">
    <mergeCell ref="G22:H22"/>
    <mergeCell ref="J22:K22"/>
    <mergeCell ref="M22:N22"/>
    <mergeCell ref="G23:H23"/>
    <mergeCell ref="J23:K23"/>
    <mergeCell ref="G24:H24"/>
    <mergeCell ref="M25:N25"/>
    <mergeCell ref="J12:K12"/>
    <mergeCell ref="M12:N12"/>
    <mergeCell ref="A9:B9"/>
    <mergeCell ref="D9:E9"/>
    <mergeCell ref="G9:H9"/>
    <mergeCell ref="A10:B10"/>
    <mergeCell ref="D10:E10"/>
    <mergeCell ref="A11:B11"/>
    <mergeCell ref="A12:B12"/>
    <mergeCell ref="M13:N13"/>
    <mergeCell ref="D14:E14"/>
    <mergeCell ref="G14:H14"/>
    <mergeCell ref="M14:N14"/>
    <mergeCell ref="A14:B14"/>
    <mergeCell ref="A15:B15"/>
    <mergeCell ref="D15:E15"/>
    <mergeCell ref="G15:H15"/>
    <mergeCell ref="M15:N15"/>
    <mergeCell ref="M16:N16"/>
    <mergeCell ref="M17:N17"/>
    <mergeCell ref="M18:N18"/>
    <mergeCell ref="J20:K20"/>
    <mergeCell ref="J21:K21"/>
    <mergeCell ref="G19:H19"/>
    <mergeCell ref="J19:K19"/>
    <mergeCell ref="M19:N19"/>
    <mergeCell ref="G20:H20"/>
    <mergeCell ref="M20:N20"/>
    <mergeCell ref="G21:H21"/>
    <mergeCell ref="M21:N21"/>
    <mergeCell ref="G30:H30"/>
    <mergeCell ref="J30:K30"/>
    <mergeCell ref="M23:N23"/>
    <mergeCell ref="M24:N24"/>
    <mergeCell ref="M26:N26"/>
    <mergeCell ref="M27:N27"/>
    <mergeCell ref="M28:N28"/>
    <mergeCell ref="M29:N29"/>
    <mergeCell ref="M30:N30"/>
    <mergeCell ref="J24:K24"/>
    <mergeCell ref="J25:K25"/>
    <mergeCell ref="A1:O1"/>
    <mergeCell ref="A3:C4"/>
    <mergeCell ref="D3:K4"/>
    <mergeCell ref="D5:E5"/>
    <mergeCell ref="G5:H5"/>
    <mergeCell ref="J5:K5"/>
    <mergeCell ref="M5:N5"/>
    <mergeCell ref="G6:H6"/>
    <mergeCell ref="G7:H7"/>
    <mergeCell ref="M6:N6"/>
    <mergeCell ref="M7:N7"/>
    <mergeCell ref="A5:B5"/>
    <mergeCell ref="A6:B6"/>
    <mergeCell ref="D6:E6"/>
    <mergeCell ref="J6:K6"/>
    <mergeCell ref="A7:B7"/>
    <mergeCell ref="M8:N8"/>
    <mergeCell ref="M9:N9"/>
    <mergeCell ref="M10:N10"/>
    <mergeCell ref="M11:N11"/>
    <mergeCell ref="D7:E7"/>
    <mergeCell ref="D8:E8"/>
    <mergeCell ref="J7:K7"/>
    <mergeCell ref="J8:K8"/>
    <mergeCell ref="J9:K9"/>
    <mergeCell ref="J10:K10"/>
    <mergeCell ref="J11:K11"/>
    <mergeCell ref="D11:E11"/>
    <mergeCell ref="A8:B8"/>
    <mergeCell ref="G8:H8"/>
    <mergeCell ref="G10:H10"/>
    <mergeCell ref="G11:H11"/>
    <mergeCell ref="J17:K17"/>
    <mergeCell ref="J18:K18"/>
    <mergeCell ref="J13:K13"/>
    <mergeCell ref="J14:K14"/>
    <mergeCell ref="J15:K15"/>
    <mergeCell ref="J16:K16"/>
    <mergeCell ref="G18:H18"/>
    <mergeCell ref="D16:E16"/>
    <mergeCell ref="D17:E17"/>
    <mergeCell ref="D18:E18"/>
    <mergeCell ref="A17:B17"/>
    <mergeCell ref="A18:B18"/>
    <mergeCell ref="A16:B16"/>
    <mergeCell ref="G16:H16"/>
    <mergeCell ref="G17:H17"/>
    <mergeCell ref="A13:B13"/>
    <mergeCell ref="D13:E13"/>
    <mergeCell ref="G13:H13"/>
    <mergeCell ref="D12:E12"/>
    <mergeCell ref="G12:H12"/>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44:E44"/>
    <mergeCell ref="D45:E45"/>
    <mergeCell ref="D46:E46"/>
    <mergeCell ref="D47:E47"/>
    <mergeCell ref="D48:E48"/>
    <mergeCell ref="D49:E49"/>
    <mergeCell ref="D50:E50"/>
    <mergeCell ref="D37:E37"/>
    <mergeCell ref="D38:E38"/>
    <mergeCell ref="D39:E39"/>
    <mergeCell ref="D40:E40"/>
    <mergeCell ref="D41:E41"/>
    <mergeCell ref="D42:E42"/>
    <mergeCell ref="D43:E43"/>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45:B45"/>
    <mergeCell ref="A46:B46"/>
    <mergeCell ref="A47:B47"/>
    <mergeCell ref="A48:B48"/>
    <mergeCell ref="A58:C59"/>
    <mergeCell ref="A38:B38"/>
    <mergeCell ref="A39:B39"/>
    <mergeCell ref="A40:B40"/>
    <mergeCell ref="A41:B41"/>
    <mergeCell ref="A42:B42"/>
    <mergeCell ref="A43:B43"/>
    <mergeCell ref="A44:B44"/>
    <mergeCell ref="M38:N38"/>
    <mergeCell ref="M39:N39"/>
    <mergeCell ref="M40:N40"/>
    <mergeCell ref="M41:N41"/>
    <mergeCell ref="M42:N42"/>
    <mergeCell ref="M31:N31"/>
    <mergeCell ref="M32:N32"/>
    <mergeCell ref="M33:N33"/>
    <mergeCell ref="M34:N34"/>
    <mergeCell ref="M35:N35"/>
    <mergeCell ref="M36:N36"/>
    <mergeCell ref="M37:N37"/>
    <mergeCell ref="J49:K49"/>
    <mergeCell ref="J50:K50"/>
    <mergeCell ref="J51:K51"/>
    <mergeCell ref="H58:J59"/>
    <mergeCell ref="K58:L59"/>
    <mergeCell ref="A76:O76"/>
    <mergeCell ref="A89:O89"/>
    <mergeCell ref="A90:C90"/>
    <mergeCell ref="A91:C91"/>
    <mergeCell ref="D53:E53"/>
    <mergeCell ref="D54:E54"/>
    <mergeCell ref="D55:E55"/>
    <mergeCell ref="D58:F59"/>
    <mergeCell ref="D51:E51"/>
    <mergeCell ref="D52:E52"/>
    <mergeCell ref="A92:C92"/>
    <mergeCell ref="A93:C93"/>
    <mergeCell ref="A94:C94"/>
    <mergeCell ref="D94:F94"/>
    <mergeCell ref="G94:I94"/>
    <mergeCell ref="J94:L94"/>
    <mergeCell ref="M94:O94"/>
    <mergeCell ref="A95:O95"/>
    <mergeCell ref="A96:C96"/>
    <mergeCell ref="A97:C97"/>
    <mergeCell ref="A98:C98"/>
    <mergeCell ref="B99:C99"/>
    <mergeCell ref="A107:C107"/>
    <mergeCell ref="A108:C108"/>
    <mergeCell ref="B100:C100"/>
    <mergeCell ref="B101:C101"/>
    <mergeCell ref="B102:C102"/>
    <mergeCell ref="B103:C103"/>
    <mergeCell ref="A104:O104"/>
    <mergeCell ref="A105:C105"/>
    <mergeCell ref="A106:C106"/>
    <mergeCell ref="J28:K28"/>
    <mergeCell ref="J29:K29"/>
    <mergeCell ref="G25:H25"/>
    <mergeCell ref="G26:H26"/>
    <mergeCell ref="J26:K26"/>
    <mergeCell ref="G27:H27"/>
    <mergeCell ref="J27:K27"/>
    <mergeCell ref="G28:H28"/>
    <mergeCell ref="G29:H29"/>
    <mergeCell ref="G41:H41"/>
    <mergeCell ref="G42:H42"/>
    <mergeCell ref="J35:K35"/>
    <mergeCell ref="J36:K36"/>
    <mergeCell ref="J37:K37"/>
    <mergeCell ref="J38:K38"/>
    <mergeCell ref="J39:K39"/>
    <mergeCell ref="J40:K40"/>
    <mergeCell ref="J41:K41"/>
    <mergeCell ref="J42:K42"/>
    <mergeCell ref="G34:H34"/>
    <mergeCell ref="G35:H35"/>
    <mergeCell ref="G36:H36"/>
    <mergeCell ref="G37:H37"/>
    <mergeCell ref="G38:H38"/>
    <mergeCell ref="G39:H39"/>
    <mergeCell ref="G40:H40"/>
    <mergeCell ref="G31:H31"/>
    <mergeCell ref="J31:K31"/>
    <mergeCell ref="G32:H32"/>
    <mergeCell ref="J32:K32"/>
    <mergeCell ref="G33:H33"/>
    <mergeCell ref="J33:K33"/>
    <mergeCell ref="J34:K34"/>
    <mergeCell ref="J43:K43"/>
    <mergeCell ref="J44:K44"/>
    <mergeCell ref="J45:K45"/>
    <mergeCell ref="J46:K46"/>
    <mergeCell ref="J47:K47"/>
    <mergeCell ref="J48:K48"/>
    <mergeCell ref="G43:H43"/>
    <mergeCell ref="G44:H44"/>
    <mergeCell ref="G45:H45"/>
  </mergeCells>
  <printOptions horizontalCentered="1" verticalCentered="1"/>
  <pageMargins left="0.25" right="0.25" top="0.75" bottom="0.75" header="0" footer="0"/>
  <pageSetup pageOrder="overThenDown" orientation="landscape"/>
  <rowBreaks count="2" manualBreakCount="2">
    <brk man="1"/>
    <brk id="56" man="1"/>
  </rowBreaks>
  <colBreaks count="2" manualBreakCount="2">
    <brk man="1"/>
    <brk id="15"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0"/>
  <sheetViews>
    <sheetView workbookViewId="0">
      <selection activeCell="C7" sqref="C7:D7"/>
    </sheetView>
  </sheetViews>
  <sheetFormatPr defaultColWidth="14.42578125" defaultRowHeight="15.75" customHeight="1"/>
  <sheetData>
    <row r="1" spans="1:9" ht="15.75" customHeight="1">
      <c r="A1" s="407" t="s">
        <v>455</v>
      </c>
      <c r="B1" s="357"/>
      <c r="C1" s="357"/>
      <c r="D1" s="357"/>
      <c r="E1" s="358"/>
    </row>
    <row r="2" spans="1:9" ht="15.75" customHeight="1">
      <c r="A2" s="359"/>
      <c r="B2" s="360"/>
      <c r="C2" s="360"/>
      <c r="D2" s="360"/>
      <c r="E2" s="361"/>
    </row>
    <row r="4" spans="1:9" ht="15.75" customHeight="1">
      <c r="F4" s="373" t="s">
        <v>15</v>
      </c>
      <c r="G4" s="354"/>
      <c r="H4" s="354"/>
      <c r="I4" s="355"/>
    </row>
    <row r="5" spans="1:9" ht="15.75" customHeight="1">
      <c r="A5" s="373" t="s">
        <v>456</v>
      </c>
      <c r="B5" s="354"/>
      <c r="C5" s="354"/>
      <c r="D5" s="355"/>
      <c r="F5" s="385" t="s">
        <v>16</v>
      </c>
      <c r="G5" s="357"/>
      <c r="H5" s="358"/>
      <c r="I5" s="3" t="b">
        <v>0</v>
      </c>
    </row>
    <row r="6" spans="1:9" ht="15.75" customHeight="1">
      <c r="A6" s="413" t="s">
        <v>130</v>
      </c>
      <c r="B6" s="354"/>
      <c r="C6" s="354"/>
      <c r="D6" s="355"/>
      <c r="F6" s="387" t="s">
        <v>18</v>
      </c>
      <c r="G6" s="358"/>
      <c r="H6" s="384" t="str">
        <f t="shared" ref="H6:H7" ca="1" si="0">IF(I$5=FALSE,"",RANDBETWEEN(1,100))</f>
        <v/>
      </c>
      <c r="I6" s="358"/>
    </row>
    <row r="7" spans="1:9" ht="15.75" customHeight="1">
      <c r="A7" s="397" t="s">
        <v>457</v>
      </c>
      <c r="B7" s="355"/>
      <c r="C7" s="415"/>
      <c r="D7" s="355"/>
      <c r="F7" s="386" t="s">
        <v>18</v>
      </c>
      <c r="G7" s="361"/>
      <c r="H7" s="375" t="str">
        <f t="shared" ca="1" si="0"/>
        <v/>
      </c>
      <c r="I7" s="361"/>
    </row>
    <row r="8" spans="1:9" ht="15.75" customHeight="1">
      <c r="A8" s="397" t="s">
        <v>458</v>
      </c>
      <c r="B8" s="355"/>
      <c r="C8" s="415"/>
      <c r="D8" s="355"/>
    </row>
    <row r="9" spans="1:9" ht="15.75" customHeight="1">
      <c r="A9" s="416" t="e">
        <f t="array" aca="1" ref="A9" ca="1">_xludf.ifs(
C7="","Roll first d100",
AND(C7&lt;=Ag!Z9,C8="",Ag!Z9&lt;&gt;1),"Roll second d100",
OR(C7&gt;Ag!Z9,Ag!Z9=1),INDEX(Ag!Y11:Y37,MATCH(C7,Ag!AB11:AB37)),
TRUE,INDEX(Ag!Y11:Y37,MATCH(C8,Ag!AG11:AG37))
)</f>
        <v>#NAME?</v>
      </c>
      <c r="B9" s="354"/>
      <c r="C9" s="354"/>
      <c r="D9" s="355"/>
    </row>
    <row r="10" spans="1:9" ht="15.75" customHeight="1">
      <c r="A10" s="413" t="s">
        <v>459</v>
      </c>
      <c r="B10" s="354"/>
      <c r="C10" s="354"/>
      <c r="D10" s="355"/>
    </row>
    <row r="11" spans="1:9" ht="15.75" customHeight="1">
      <c r="A11" s="414" t="s">
        <v>457</v>
      </c>
      <c r="B11" s="355"/>
      <c r="C11" s="415"/>
      <c r="D11" s="355"/>
    </row>
    <row r="12" spans="1:9" ht="15.75" customHeight="1">
      <c r="A12" s="414" t="s">
        <v>460</v>
      </c>
      <c r="B12" s="355"/>
      <c r="C12" s="415"/>
      <c r="D12" s="355"/>
    </row>
    <row r="13" spans="1:9" ht="15.75" customHeight="1">
      <c r="A13" s="412" t="e">
        <f t="array" aca="1" ref="A13" ca="1">_xludf.ifs(
OR(C11="",C12=""),"Roll d100s",
TRUE,INDEX(Ag!AL32:AL252,MATCH(((C11-1)*100)+C12,Ag!AR32:AR252)))</f>
        <v>#NAME?</v>
      </c>
      <c r="B13" s="354"/>
      <c r="C13" s="354"/>
      <c r="D13" s="355"/>
    </row>
    <row r="14" spans="1:9" ht="15.75" customHeight="1">
      <c r="A14" s="413" t="s">
        <v>461</v>
      </c>
      <c r="B14" s="354"/>
      <c r="C14" s="354"/>
      <c r="D14" s="355"/>
    </row>
    <row r="15" spans="1:9" ht="15.75" customHeight="1">
      <c r="A15" s="414" t="s">
        <v>457</v>
      </c>
      <c r="B15" s="355"/>
      <c r="C15" s="415"/>
      <c r="D15" s="355"/>
    </row>
    <row r="16" spans="1:9" ht="15.75" customHeight="1">
      <c r="A16" s="414" t="s">
        <v>460</v>
      </c>
      <c r="B16" s="355"/>
      <c r="C16" s="415"/>
      <c r="D16" s="355"/>
    </row>
    <row r="17" spans="1:9" ht="15.75" customHeight="1">
      <c r="A17" s="411" t="str">
        <f ca="1">IFERROR(__xludf.DUMMYFUNCTION("if(or(C11="""",C12="""",C15="""",C16=""""),""Roll d100s"",index(NPCs!F6:O6,,min(match(C15,NPCs!F10:O10),index(Professions!P32:P252,match(A13,Professions!B32:B252,0))))
&amp;"" ""&amp;
index(Professions!V30:AA30,,match(C16,filter(Professions!V32:AA252,Professions!"&amp;"B32:B252=A13))))"),"Roll d100s")</f>
        <v>Roll d100s</v>
      </c>
      <c r="B17" s="354"/>
      <c r="C17" s="354"/>
      <c r="D17" s="355"/>
    </row>
    <row r="19" spans="1:9" ht="15.75" customHeight="1">
      <c r="F19" s="373" t="s">
        <v>15</v>
      </c>
      <c r="G19" s="354"/>
      <c r="H19" s="354"/>
      <c r="I19" s="355"/>
    </row>
    <row r="20" spans="1:9" ht="15.75" customHeight="1">
      <c r="A20" s="373" t="s">
        <v>462</v>
      </c>
      <c r="B20" s="354"/>
      <c r="C20" s="354"/>
      <c r="D20" s="355"/>
      <c r="F20" s="385" t="s">
        <v>16</v>
      </c>
      <c r="G20" s="357"/>
      <c r="H20" s="358"/>
      <c r="I20" s="3" t="b">
        <v>0</v>
      </c>
    </row>
    <row r="21" spans="1:9" ht="15.75" customHeight="1">
      <c r="A21" s="390" t="s">
        <v>463</v>
      </c>
      <c r="B21" s="355"/>
      <c r="C21" s="378"/>
      <c r="D21" s="355"/>
      <c r="F21" s="387" t="s">
        <v>18</v>
      </c>
      <c r="G21" s="358"/>
      <c r="H21" s="384" t="str">
        <f t="shared" ref="H21:H22" ca="1" si="1">IF(I$20=FALSE,"",RANDBETWEEN(1,100))</f>
        <v/>
      </c>
      <c r="I21" s="358"/>
    </row>
    <row r="22" spans="1:9" ht="15.75" customHeight="1">
      <c r="A22" s="377" t="s">
        <v>464</v>
      </c>
      <c r="B22" s="355"/>
      <c r="C22" s="378"/>
      <c r="D22" s="355"/>
      <c r="F22" s="386" t="s">
        <v>18</v>
      </c>
      <c r="G22" s="361"/>
      <c r="H22" s="375" t="str">
        <f t="shared" ca="1" si="1"/>
        <v/>
      </c>
      <c r="I22" s="361"/>
    </row>
    <row r="23" spans="1:9" ht="15.75" customHeight="1">
      <c r="A23" s="377" t="s">
        <v>457</v>
      </c>
      <c r="B23" s="355"/>
      <c r="C23" s="379"/>
      <c r="D23" s="355"/>
    </row>
    <row r="24" spans="1:9" ht="15.75" customHeight="1">
      <c r="A24" s="385" t="s">
        <v>460</v>
      </c>
      <c r="B24" s="358"/>
      <c r="C24" s="382"/>
      <c r="D24" s="358"/>
    </row>
    <row r="25" spans="1:9" ht="15.75" customHeight="1">
      <c r="A25" s="385" t="s">
        <v>465</v>
      </c>
      <c r="B25" s="358"/>
      <c r="C25" s="419" t="e">
        <f ca="1">_xludf.ifs(C22="","",
C22='Dice Tables'!B99,40,
C22='Dice Tables'!B100,20,
C22='Dice Tables'!B101,0,
C22='Dice Tables'!B102,-20,
TRUE,-40)+C23</f>
        <v>#NAME?</v>
      </c>
      <c r="D25" s="355"/>
    </row>
    <row r="26" spans="1:9" ht="15.75" customHeight="1">
      <c r="A26" s="385" t="s">
        <v>466</v>
      </c>
      <c r="B26" s="358"/>
      <c r="C26" s="420" t="str">
        <f t="array" ref="C26">IFERROR(INDEX('Dice Tables'!D91:O91,MATCH(C21,'Dice Tables'!D90:O90,0)),"Choose/Roll")</f>
        <v>Choose/Roll</v>
      </c>
      <c r="D26" s="358"/>
    </row>
    <row r="27" spans="1:9" ht="15.75" customHeight="1">
      <c r="A27" s="423" t="s">
        <v>467</v>
      </c>
      <c r="B27" s="369"/>
      <c r="C27" s="421" t="str">
        <f t="array" ref="C27">IFERROR(INDEX('Dice Tables'!D92:O92,MATCH(C21,'Dice Tables'!D90:O90,0)),"Choose/Roll")</f>
        <v>Choose/Roll</v>
      </c>
      <c r="D27" s="369"/>
    </row>
    <row r="28" spans="1:9" ht="15.75" customHeight="1">
      <c r="A28" s="385" t="s">
        <v>468</v>
      </c>
      <c r="B28" s="358"/>
      <c r="C28" s="422" t="str">
        <f t="array" aca="1" ref="C28" ca="1">IFERROR(INDEX(Climate!B119:M119,,MATCH(C21,Climate!B112:M112,0))+INDEX('Dice Tables'!D99:O103,_xludf.ifs(
C25&gt;=91,1,
C25&gt;=71,2,
C25&gt;=31,3,
C25&gt;=11,4,
TRUE,5),MATCH(C21,'Dice Tables'!D96:O96,0))&amp;" High / "&amp;INDEX(Climate!B120:M120,MATCH(C21,Climate!B112:M112,0))+INDEX('Dice Tables'!D99:O103,_xludf.ifs(
C25&gt;=91,1,
C25&gt;=71,2,
C25&gt;=31,3,
C25&gt;=11,4,
TRUE,5),MATCH(C21,'Dice Tables'!D96:O96,0))&amp;" Low","Choose/Roll")</f>
        <v>Choose/Roll</v>
      </c>
      <c r="D28" s="358"/>
    </row>
    <row r="29" spans="1:9" ht="15.75" customHeight="1">
      <c r="A29" s="423" t="s">
        <v>469</v>
      </c>
      <c r="B29" s="369"/>
      <c r="C29" s="424" t="e">
        <f ca="1">(_xludf.ifs(C24="","Choose/Roll",
C24&gt;='Dice Tables'!D106,"Yes",TRUE,"No"))</f>
        <v>#NAME?</v>
      </c>
      <c r="D29" s="369"/>
    </row>
    <row r="30" spans="1:9" ht="15.75" customHeight="1">
      <c r="A30" s="417" t="s">
        <v>470</v>
      </c>
      <c r="B30" s="361"/>
      <c r="C30" s="418" t="str">
        <f t="array" aca="1" ref="C30" ca="1">IFERROR(IF(INDEX(Climate!B120:M120,MATCH(C21,Climate!B112:M112,0))+INDEX('Dice Tables'!D99:O103,_xludf.ifs(
C25&gt;=91,1,
C25&gt;=71,2,
C25&gt;=31,3,
C25&gt;=11,4,
TRUE,5),MATCH(C21,'Dice Tables'!D96:O96,0))&gt;32,"No Chance",IF(INDEX(Climate!B119:M119,MATCH(C21,Climate!B112:M112,0))+INDEX('Dice Tables'!D99:O103,_xludf.ifs(
C25&gt;=91,1,
C25&gt;=71,2,
C25&gt;=31,3,
C25&gt;=11,4,
TRUE,5),MATCH(C21,'Dice Tables'!D96:O96,0))&lt;32,"Snow","Possible")),"Choose/Roll")</f>
        <v>Choose/Roll</v>
      </c>
      <c r="D30" s="361"/>
    </row>
  </sheetData>
  <mergeCells count="53">
    <mergeCell ref="A30:B30"/>
    <mergeCell ref="C30:D30"/>
    <mergeCell ref="A23:B23"/>
    <mergeCell ref="C23:D23"/>
    <mergeCell ref="A24:B24"/>
    <mergeCell ref="C24:D24"/>
    <mergeCell ref="A25:B25"/>
    <mergeCell ref="C25:D25"/>
    <mergeCell ref="C26:D26"/>
    <mergeCell ref="C27:D27"/>
    <mergeCell ref="C28:D28"/>
    <mergeCell ref="A26:B26"/>
    <mergeCell ref="A27:B27"/>
    <mergeCell ref="A28:B28"/>
    <mergeCell ref="A29:B29"/>
    <mergeCell ref="C29:D29"/>
    <mergeCell ref="A1:E2"/>
    <mergeCell ref="F4:I4"/>
    <mergeCell ref="A5:D5"/>
    <mergeCell ref="F5:H5"/>
    <mergeCell ref="A6:D6"/>
    <mergeCell ref="F6:G6"/>
    <mergeCell ref="H6:I6"/>
    <mergeCell ref="A7:B7"/>
    <mergeCell ref="C7:D7"/>
    <mergeCell ref="F7:G7"/>
    <mergeCell ref="H7:I7"/>
    <mergeCell ref="A8:B8"/>
    <mergeCell ref="C8:D8"/>
    <mergeCell ref="A9:D9"/>
    <mergeCell ref="A10:D10"/>
    <mergeCell ref="A11:B11"/>
    <mergeCell ref="C11:D11"/>
    <mergeCell ref="A12:B12"/>
    <mergeCell ref="C12:D12"/>
    <mergeCell ref="A13:D13"/>
    <mergeCell ref="A14:D14"/>
    <mergeCell ref="A15:B15"/>
    <mergeCell ref="C15:D15"/>
    <mergeCell ref="A16:B16"/>
    <mergeCell ref="C16:D16"/>
    <mergeCell ref="A17:D17"/>
    <mergeCell ref="F19:I19"/>
    <mergeCell ref="F20:H20"/>
    <mergeCell ref="F22:G22"/>
    <mergeCell ref="H22:I22"/>
    <mergeCell ref="A20:D20"/>
    <mergeCell ref="A21:B21"/>
    <mergeCell ref="C21:D21"/>
    <mergeCell ref="F21:G21"/>
    <mergeCell ref="H21:I21"/>
    <mergeCell ref="A22:B22"/>
    <mergeCell ref="C22:D22"/>
  </mergeCells>
  <dataValidations count="2">
    <dataValidation type="decimal" allowBlank="1" showDropDown="1" showInputMessage="1" showErrorMessage="1" prompt="Enter a number between 1 and 100" sqref="C15:C16" xr:uid="{00000000-0002-0000-0500-000000000000}">
      <formula1>1</formula1>
      <formula2>100</formula2>
    </dataValidation>
    <dataValidation type="decimal" allowBlank="1" showDropDown="1" showErrorMessage="1" sqref="C7:C8 C11:C12 C23:C24" xr:uid="{00000000-0002-0000-0500-000001000000}">
      <formula1>1</formula1>
      <formula2>100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500-000002000000}">
          <x14:formula1>
            <xm:f>'Dice Tables'!$D$96:$O$96</xm:f>
          </x14:formula1>
          <xm:sqref>C21</xm:sqref>
        </x14:dataValidation>
        <x14:dataValidation type="list" allowBlank="1" showErrorMessage="1" xr:uid="{00000000-0002-0000-0500-000003000000}">
          <x14:formula1>
            <xm:f>'Dice Tables'!$B$99:$C$103</xm:f>
          </x14:formula1>
          <xm:sqref>C22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N126"/>
  <sheetViews>
    <sheetView topLeftCell="I1" workbookViewId="0">
      <selection activeCell="X1" sqref="A1:FR326"/>
    </sheetView>
  </sheetViews>
  <sheetFormatPr defaultColWidth="14.42578125" defaultRowHeight="15.75" customHeight="1"/>
  <cols>
    <col min="1" max="40" width="10.85546875" customWidth="1"/>
  </cols>
  <sheetData>
    <row r="1" spans="1:17" ht="15.75" customHeight="1" thickTop="1" thickBot="1">
      <c r="A1" s="394" t="s">
        <v>20</v>
      </c>
      <c r="B1" s="518"/>
      <c r="C1" s="518"/>
      <c r="D1" s="518"/>
      <c r="E1" s="519"/>
      <c r="F1" s="347"/>
      <c r="G1" s="347"/>
      <c r="H1" s="347"/>
      <c r="I1" s="347"/>
      <c r="J1" s="347"/>
      <c r="K1" s="347"/>
      <c r="L1" s="347"/>
      <c r="M1" s="347"/>
      <c r="N1" s="347"/>
      <c r="O1" s="347"/>
      <c r="P1" s="347"/>
      <c r="Q1" s="347"/>
    </row>
    <row r="3" spans="1:17" ht="15.75" customHeight="1" thickTop="1" thickBot="1">
      <c r="A3" s="397" t="s">
        <v>21</v>
      </c>
      <c r="B3" s="501"/>
      <c r="C3" s="501"/>
      <c r="D3" s="499"/>
      <c r="E3" s="349"/>
      <c r="F3" s="397" t="s">
        <v>482</v>
      </c>
      <c r="G3" s="499"/>
      <c r="H3" s="347"/>
      <c r="I3" s="347"/>
      <c r="J3" s="347"/>
      <c r="K3" s="347"/>
      <c r="L3" s="436" t="s">
        <v>483</v>
      </c>
      <c r="M3" s="516"/>
      <c r="N3" s="436" t="s">
        <v>484</v>
      </c>
      <c r="O3" s="516"/>
      <c r="P3" s="436" t="s">
        <v>485</v>
      </c>
      <c r="Q3" s="516"/>
    </row>
    <row r="4" spans="1:17" ht="15.75" customHeight="1" thickTop="1" thickBot="1">
      <c r="A4" s="169">
        <f>[1]Entry!E27</f>
        <v>0</v>
      </c>
      <c r="B4" s="169">
        <f>[1]Entry!F27</f>
        <v>0</v>
      </c>
      <c r="C4" s="427" t="e">
        <f t="array" aca="1" ref="C4" ca="1">_xludf.ifs(
AND(A4="",B4=""),"Roll or Choose",
B4="",INDEX(B15:B33,MATCH(A4,A15:A32,-1))*IF(ISODD(A4),-1,1),
TRUE,B4
)</f>
        <v>#NAME?</v>
      </c>
      <c r="D4" s="512"/>
      <c r="E4" s="348"/>
      <c r="F4" s="427">
        <v>23.44</v>
      </c>
      <c r="G4" s="512"/>
      <c r="H4" s="347"/>
      <c r="I4" s="398" t="s">
        <v>486</v>
      </c>
      <c r="J4" s="514"/>
      <c r="K4" s="515"/>
      <c r="L4" s="437" t="e">
        <f ca="1">ROUND(90-ABS(C4),0)</f>
        <v>#NAME?</v>
      </c>
      <c r="M4" s="517"/>
      <c r="N4" s="437" t="e">
        <f ca="1">ROUND(L4+F4,0)</f>
        <v>#NAME?</v>
      </c>
      <c r="O4" s="517"/>
      <c r="P4" s="437" t="e">
        <f ca="1">ROUND(L4-F4,0)</f>
        <v>#NAME?</v>
      </c>
      <c r="Q4" s="517"/>
    </row>
    <row r="5" spans="1:17" ht="15.75" customHeight="1" thickTop="1" thickBot="1">
      <c r="A5" s="397" t="s">
        <v>487</v>
      </c>
      <c r="B5" s="501"/>
      <c r="C5" s="501"/>
      <c r="D5" s="499"/>
      <c r="E5" s="349"/>
      <c r="F5" s="397" t="s">
        <v>488</v>
      </c>
      <c r="G5" s="499"/>
      <c r="H5" s="347"/>
      <c r="I5" s="398" t="s">
        <v>489</v>
      </c>
      <c r="J5" s="514"/>
      <c r="K5" s="515"/>
      <c r="L5" s="427">
        <v>12</v>
      </c>
      <c r="M5" s="512"/>
      <c r="N5" s="427" t="e">
        <f ca="1">IF(
    ABS(C4)&gt;F6,
    24,
    ROUND(DEGREES(ACOS(-TAN(RADIANS(ABS(C4)))*TAN(RADIANS(F4))))/15*2,1)
)</f>
        <v>#NAME?</v>
      </c>
      <c r="O5" s="512"/>
      <c r="P5" s="427" t="e">
        <f ca="1">IF(
    ABS(C4)&gt;F6,
    0,
    ROUND(DEGREES(ACOS(-TAN(RADIANS(ABS(C4)))*TAN(RADIANS(-F4))))/15*2,1))</f>
        <v>#NAME?</v>
      </c>
      <c r="Q5" s="512"/>
    </row>
    <row r="6" spans="1:17" ht="15.75" customHeight="1" thickTop="1" thickBot="1">
      <c r="A6" s="169">
        <f>[1]Entry!E28</f>
        <v>0</v>
      </c>
      <c r="B6" s="169">
        <f>[1]Entry!F28</f>
        <v>0</v>
      </c>
      <c r="C6" s="427" t="e">
        <f t="array" aca="1" ref="C6" ca="1">_xludf.ifs(
AND(A6="",B6=""),"Roll or Choose",
B6="",INDEX(D15:D26,MATCH(A6,C15:C26,-1)),
TRUE,B6)</f>
        <v>#NAME?</v>
      </c>
      <c r="D6" s="512"/>
      <c r="E6" s="348"/>
      <c r="F6" s="427">
        <f>DEGREES(ATAN(1/TAN(RADIANS(F4))))</f>
        <v>66.56</v>
      </c>
      <c r="G6" s="512"/>
      <c r="H6" s="347"/>
      <c r="I6" s="347"/>
      <c r="J6" s="347"/>
      <c r="K6" s="347"/>
      <c r="L6" s="347"/>
      <c r="M6" s="347"/>
      <c r="N6" s="347"/>
      <c r="O6" s="347"/>
      <c r="P6" s="347"/>
      <c r="Q6" s="347"/>
    </row>
    <row r="7" spans="1:17" ht="15.75" customHeight="1" thickTop="1" thickBot="1">
      <c r="A7" s="397" t="s">
        <v>22</v>
      </c>
      <c r="B7" s="501"/>
      <c r="C7" s="501"/>
      <c r="D7" s="499"/>
      <c r="E7" s="349"/>
      <c r="F7" s="436" t="s">
        <v>490</v>
      </c>
      <c r="G7" s="516"/>
      <c r="H7" s="79"/>
      <c r="I7" s="79"/>
      <c r="J7" s="79"/>
      <c r="K7" s="347"/>
      <c r="L7" s="347"/>
      <c r="M7" s="347"/>
      <c r="N7" s="347"/>
      <c r="O7" s="347"/>
      <c r="P7" s="347"/>
      <c r="Q7" s="347"/>
    </row>
    <row r="8" spans="1:17" ht="15.75" customHeight="1" thickTop="1" thickBot="1">
      <c r="A8" s="169">
        <f>[1]Entry!E29</f>
        <v>0</v>
      </c>
      <c r="B8" s="169">
        <f>[1]Entry!F29</f>
        <v>0</v>
      </c>
      <c r="C8" s="427" t="e">
        <f t="array" aca="1" ref="C8" ca="1">_xludf.ifs(
AND(A8="",B8=""),"Roll or Choose",
B8="",INDEX(H15:H16,MATCH(A8,G15:G16,-1)),
TRUE,B8)</f>
        <v>#NAME?</v>
      </c>
      <c r="D8" s="512"/>
      <c r="E8" s="347"/>
      <c r="F8" s="435" t="e">
        <f ca="1">DEGREES(ATAN(1/-TAN(RADIANS(C4))))</f>
        <v>#NAME?</v>
      </c>
      <c r="G8" s="513"/>
      <c r="H8" s="347"/>
      <c r="I8" s="347"/>
      <c r="J8" s="347"/>
      <c r="K8" s="347"/>
      <c r="L8" s="347"/>
      <c r="M8" s="347"/>
      <c r="N8" s="347"/>
      <c r="O8" s="347"/>
      <c r="P8" s="347"/>
      <c r="Q8" s="347"/>
    </row>
    <row r="9" spans="1:17" ht="15.75" customHeight="1" thickTop="1" thickBot="1">
      <c r="A9" s="397" t="s">
        <v>491</v>
      </c>
      <c r="B9" s="501"/>
      <c r="C9" s="501"/>
      <c r="D9" s="499"/>
      <c r="E9" s="347"/>
      <c r="F9" s="347"/>
      <c r="G9" s="347"/>
      <c r="H9" s="347"/>
      <c r="I9" s="347"/>
      <c r="J9" s="347"/>
      <c r="K9" s="347"/>
      <c r="L9" s="347"/>
      <c r="M9" s="347"/>
      <c r="N9" s="347"/>
      <c r="O9" s="347"/>
      <c r="P9" s="347"/>
      <c r="Q9" s="347"/>
    </row>
    <row r="10" spans="1:17" ht="15.75" customHeight="1" thickTop="1" thickBot="1">
      <c r="A10" s="427">
        <f>[1]Entry!E26</f>
        <v>0</v>
      </c>
      <c r="B10" s="512"/>
      <c r="C10" s="427" t="e">
        <f t="array" aca="1" ref="C10" ca="1">_xludf.ifs(
OR(C4="Roll or Choose",C6="Roll or Choose",C8="Roll or Choose"),"Roll or Choose",
A10="",
                    INDEX(IF(C8=H15,B57:M74,B36:M53),
                          MATCH(ABS(C4),A36:A53,-1),
                          MATCH(C6,D15:D26,0)
                          ),
TRUE,INDEX(A79:A107,MATCH(A10,B79:B107,0)))</f>
        <v>#NAME?</v>
      </c>
      <c r="D10" s="512"/>
      <c r="E10" s="347"/>
      <c r="F10" s="347"/>
      <c r="G10" s="347"/>
      <c r="H10" s="347"/>
      <c r="I10" s="347"/>
      <c r="J10" s="347"/>
      <c r="K10" s="347"/>
      <c r="L10" s="347"/>
      <c r="M10" s="347"/>
      <c r="N10" s="347"/>
      <c r="O10" s="347"/>
      <c r="P10" s="347"/>
      <c r="Q10" s="347"/>
    </row>
    <row r="12" spans="1:17" ht="15.75" customHeight="1" thickTop="1" thickBot="1">
      <c r="A12" s="400" t="s">
        <v>492</v>
      </c>
      <c r="B12" s="444"/>
      <c r="C12" s="444"/>
      <c r="D12" s="444"/>
      <c r="E12" s="444"/>
      <c r="F12" s="444"/>
      <c r="G12" s="444"/>
      <c r="H12" s="500"/>
      <c r="I12" s="347"/>
      <c r="J12" s="347"/>
      <c r="K12" s="347"/>
      <c r="L12" s="347"/>
      <c r="M12" s="347"/>
      <c r="N12" s="347"/>
      <c r="O12" s="347"/>
      <c r="P12" s="347"/>
      <c r="Q12" s="347"/>
    </row>
    <row r="13" spans="1:17" ht="15.75" customHeight="1" thickTop="1" thickBot="1">
      <c r="A13" s="397" t="s">
        <v>493</v>
      </c>
      <c r="B13" s="499"/>
      <c r="C13" s="397" t="s">
        <v>494</v>
      </c>
      <c r="D13" s="501"/>
      <c r="E13" s="501"/>
      <c r="F13" s="499"/>
      <c r="G13" s="397" t="s">
        <v>22</v>
      </c>
      <c r="H13" s="499"/>
      <c r="I13" s="347"/>
      <c r="J13" s="347"/>
      <c r="K13" s="347"/>
      <c r="L13" s="347"/>
      <c r="M13" s="347"/>
      <c r="N13" s="347"/>
      <c r="O13" s="347"/>
      <c r="P13" s="347"/>
      <c r="Q13" s="347"/>
    </row>
    <row r="14" spans="1:17" ht="15.75" customHeight="1" thickTop="1" thickBot="1">
      <c r="A14" s="332" t="s">
        <v>495</v>
      </c>
      <c r="B14" s="332" t="s">
        <v>472</v>
      </c>
      <c r="C14" s="332" t="s">
        <v>495</v>
      </c>
      <c r="D14" s="332" t="s">
        <v>496</v>
      </c>
      <c r="E14" s="397" t="s">
        <v>118</v>
      </c>
      <c r="F14" s="499"/>
      <c r="G14" s="332" t="s">
        <v>495</v>
      </c>
      <c r="H14" s="332" t="s">
        <v>118</v>
      </c>
      <c r="I14" s="347"/>
      <c r="J14" s="347"/>
      <c r="K14" s="347"/>
      <c r="L14" s="347"/>
      <c r="M14" s="347"/>
      <c r="N14" s="347"/>
      <c r="O14" s="347"/>
      <c r="P14" s="347"/>
      <c r="Q14" s="347"/>
    </row>
    <row r="15" spans="1:17" ht="15.75" customHeight="1" thickTop="1">
      <c r="A15" s="62">
        <v>100</v>
      </c>
      <c r="B15" s="49">
        <v>90</v>
      </c>
      <c r="C15" s="62">
        <v>100</v>
      </c>
      <c r="D15" s="49">
        <v>12</v>
      </c>
      <c r="E15" s="434" t="str">
        <f>B35</f>
        <v>West Coast</v>
      </c>
      <c r="F15" s="511"/>
      <c r="G15" s="62">
        <v>10</v>
      </c>
      <c r="H15" s="62" t="s">
        <v>497</v>
      </c>
      <c r="I15" s="347"/>
      <c r="J15" s="347"/>
      <c r="K15" s="347"/>
      <c r="L15" s="347"/>
      <c r="M15" s="347"/>
      <c r="N15" s="347"/>
      <c r="O15" s="347"/>
      <c r="P15" s="347"/>
      <c r="Q15" s="347"/>
    </row>
    <row r="16" spans="1:17" ht="15.75" customHeight="1" thickBot="1">
      <c r="A16" s="64">
        <v>99</v>
      </c>
      <c r="B16" s="40">
        <v>85</v>
      </c>
      <c r="C16" s="64">
        <v>80</v>
      </c>
      <c r="D16" s="40">
        <v>11</v>
      </c>
      <c r="E16" s="432" t="str">
        <f>B35</f>
        <v>West Coast</v>
      </c>
      <c r="F16" s="510"/>
      <c r="G16" s="66">
        <v>8</v>
      </c>
      <c r="H16" s="66" t="s">
        <v>498</v>
      </c>
      <c r="I16" s="347"/>
      <c r="J16" s="347"/>
      <c r="K16" s="347"/>
      <c r="L16" s="347"/>
      <c r="M16" s="347"/>
      <c r="N16" s="347"/>
      <c r="O16" s="347"/>
      <c r="P16" s="347"/>
      <c r="Q16" s="347"/>
    </row>
    <row r="17" spans="1:40" ht="15.75" customHeight="1" thickTop="1">
      <c r="A17" s="64">
        <v>98</v>
      </c>
      <c r="B17" s="40">
        <v>80</v>
      </c>
      <c r="C17" s="64">
        <v>70</v>
      </c>
      <c r="D17" s="40">
        <v>10</v>
      </c>
      <c r="E17" s="432" t="str">
        <f>D35</f>
        <v>Transitional (West Coast/Inland)</v>
      </c>
      <c r="F17" s="510"/>
      <c r="G17" s="347"/>
      <c r="H17" s="347"/>
      <c r="I17" s="347"/>
      <c r="J17" s="347"/>
      <c r="K17" s="347"/>
      <c r="L17" s="347"/>
      <c r="M17" s="347"/>
      <c r="N17" s="347"/>
      <c r="O17" s="347"/>
      <c r="P17" s="347"/>
      <c r="Q17" s="347"/>
      <c r="R17" s="347"/>
      <c r="S17" s="347"/>
      <c r="T17" s="347"/>
      <c r="U17" s="75"/>
      <c r="V17" s="75"/>
      <c r="W17" s="75"/>
      <c r="X17" s="75"/>
      <c r="Y17" s="75"/>
      <c r="Z17" s="75"/>
      <c r="AA17" s="75"/>
      <c r="AB17" s="75"/>
      <c r="AC17" s="75"/>
      <c r="AD17" s="75"/>
      <c r="AE17" s="75"/>
      <c r="AF17" s="75"/>
      <c r="AG17" s="75"/>
      <c r="AH17" s="75"/>
      <c r="AI17" s="75"/>
      <c r="AJ17" s="75"/>
      <c r="AK17" s="75"/>
      <c r="AL17" s="75"/>
      <c r="AM17" s="75"/>
      <c r="AN17" s="75"/>
    </row>
    <row r="18" spans="1:40" ht="15.75" customHeight="1">
      <c r="A18" s="64">
        <v>97</v>
      </c>
      <c r="B18" s="40">
        <v>75</v>
      </c>
      <c r="C18" s="64">
        <v>65</v>
      </c>
      <c r="D18" s="40">
        <v>9</v>
      </c>
      <c r="E18" s="432" t="str">
        <f>D35</f>
        <v>Transitional (West Coast/Inland)</v>
      </c>
      <c r="F18" s="510"/>
      <c r="G18" s="347"/>
      <c r="H18" s="347"/>
      <c r="I18" s="347"/>
      <c r="J18" s="347"/>
      <c r="K18" s="347"/>
      <c r="L18" s="347"/>
      <c r="M18" s="347"/>
      <c r="N18" s="347"/>
      <c r="O18" s="347"/>
      <c r="P18" s="347"/>
      <c r="Q18" s="347"/>
      <c r="R18" s="347"/>
      <c r="S18" s="347"/>
      <c r="T18" s="347"/>
      <c r="U18" s="75"/>
      <c r="V18" s="75"/>
      <c r="W18" s="75"/>
      <c r="X18" s="75"/>
      <c r="Y18" s="75"/>
      <c r="Z18" s="75"/>
      <c r="AA18" s="75"/>
      <c r="AB18" s="75"/>
      <c r="AC18" s="75"/>
      <c r="AD18" s="75"/>
      <c r="AE18" s="75"/>
      <c r="AF18" s="75"/>
      <c r="AG18" s="75"/>
      <c r="AH18" s="75"/>
      <c r="AI18" s="75"/>
      <c r="AJ18" s="75"/>
      <c r="AK18" s="75"/>
      <c r="AL18" s="75"/>
      <c r="AM18" s="75"/>
      <c r="AN18" s="75"/>
    </row>
    <row r="19" spans="1:40" ht="15.75" customHeight="1">
      <c r="A19" s="64">
        <v>96</v>
      </c>
      <c r="B19" s="40">
        <v>70</v>
      </c>
      <c r="C19" s="64">
        <v>60</v>
      </c>
      <c r="D19" s="40">
        <v>8</v>
      </c>
      <c r="E19" s="432" t="str">
        <f t="shared" ref="E19:E22" si="0">F$35</f>
        <v>Inland</v>
      </c>
      <c r="F19" s="510"/>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row>
    <row r="20" spans="1:40" ht="15.75" customHeight="1">
      <c r="A20" s="64">
        <v>95</v>
      </c>
      <c r="B20" s="40">
        <v>65</v>
      </c>
      <c r="C20" s="64">
        <v>55</v>
      </c>
      <c r="D20" s="40">
        <v>7</v>
      </c>
      <c r="E20" s="432" t="str">
        <f t="shared" si="0"/>
        <v>Inland</v>
      </c>
      <c r="F20" s="510"/>
      <c r="G20" s="347"/>
      <c r="H20" s="347"/>
      <c r="I20" s="347"/>
      <c r="J20" s="347"/>
      <c r="K20" s="347"/>
      <c r="L20" s="347"/>
      <c r="M20" s="347"/>
      <c r="N20" s="347"/>
      <c r="O20" s="347"/>
      <c r="P20" s="347"/>
      <c r="Q20" s="347"/>
      <c r="R20" s="347"/>
      <c r="S20" s="347"/>
      <c r="T20" s="347"/>
      <c r="U20" s="347"/>
      <c r="V20" s="347"/>
      <c r="W20" s="347"/>
      <c r="X20" s="347"/>
      <c r="Y20" s="347"/>
      <c r="Z20" s="347"/>
      <c r="AA20" s="347"/>
      <c r="AB20" s="347"/>
      <c r="AC20" s="347"/>
      <c r="AD20" s="347"/>
      <c r="AE20" s="347"/>
      <c r="AF20" s="347"/>
      <c r="AG20" s="347"/>
      <c r="AH20" s="347"/>
      <c r="AI20" s="347"/>
      <c r="AJ20" s="347"/>
      <c r="AK20" s="347"/>
      <c r="AL20" s="347"/>
      <c r="AM20" s="347"/>
      <c r="AN20" s="347"/>
    </row>
    <row r="21" spans="1:40" ht="15.75" customHeight="1">
      <c r="A21" s="64">
        <v>93</v>
      </c>
      <c r="B21" s="40">
        <v>60</v>
      </c>
      <c r="C21" s="64">
        <v>50</v>
      </c>
      <c r="D21" s="40">
        <v>6</v>
      </c>
      <c r="E21" s="432" t="str">
        <f t="shared" si="0"/>
        <v>Inland</v>
      </c>
      <c r="F21" s="510"/>
      <c r="G21" s="347"/>
      <c r="H21" s="347"/>
      <c r="I21" s="347"/>
      <c r="J21" s="347"/>
      <c r="K21" s="347"/>
      <c r="L21" s="347"/>
      <c r="M21" s="347"/>
      <c r="N21" s="347"/>
      <c r="O21" s="347"/>
      <c r="P21" s="347"/>
      <c r="Q21" s="347"/>
      <c r="R21" s="347"/>
      <c r="S21" s="347"/>
      <c r="T21" s="347"/>
      <c r="U21" s="347"/>
      <c r="V21" s="347"/>
      <c r="W21" s="347"/>
      <c r="X21" s="347"/>
      <c r="Y21" s="347"/>
      <c r="Z21" s="347"/>
      <c r="AA21" s="347"/>
      <c r="AB21" s="347"/>
      <c r="AC21" s="347"/>
      <c r="AD21" s="347"/>
      <c r="AE21" s="347"/>
      <c r="AF21" s="347"/>
      <c r="AG21" s="347"/>
      <c r="AH21" s="347"/>
      <c r="AI21" s="347"/>
      <c r="AJ21" s="347"/>
      <c r="AK21" s="347"/>
      <c r="AL21" s="347"/>
      <c r="AM21" s="347"/>
      <c r="AN21" s="347"/>
    </row>
    <row r="22" spans="1:40" ht="15.75" customHeight="1">
      <c r="A22" s="64">
        <v>90</v>
      </c>
      <c r="B22" s="40">
        <v>55</v>
      </c>
      <c r="C22" s="64">
        <v>45</v>
      </c>
      <c r="D22" s="40">
        <v>5</v>
      </c>
      <c r="E22" s="432" t="str">
        <f t="shared" si="0"/>
        <v>Inland</v>
      </c>
      <c r="F22" s="510"/>
      <c r="G22" s="347"/>
      <c r="H22" s="347"/>
      <c r="I22" s="347"/>
      <c r="J22" s="347"/>
      <c r="K22" s="347"/>
      <c r="L22" s="347"/>
      <c r="M22" s="347"/>
      <c r="N22" s="347"/>
      <c r="O22" s="347"/>
      <c r="P22" s="347"/>
      <c r="Q22" s="347"/>
      <c r="R22" s="347"/>
      <c r="S22" s="347"/>
      <c r="T22" s="347"/>
      <c r="U22" s="347"/>
      <c r="V22" s="347"/>
      <c r="W22" s="347"/>
      <c r="X22" s="347"/>
      <c r="Y22" s="347"/>
      <c r="Z22" s="347"/>
      <c r="AA22" s="347"/>
      <c r="AB22" s="347"/>
      <c r="AC22" s="347"/>
      <c r="AD22" s="347"/>
      <c r="AE22" s="347"/>
      <c r="AF22" s="347"/>
      <c r="AG22" s="347"/>
      <c r="AH22" s="347"/>
      <c r="AI22" s="347"/>
      <c r="AJ22" s="347"/>
      <c r="AK22" s="347"/>
      <c r="AL22" s="347"/>
      <c r="AM22" s="347"/>
      <c r="AN22" s="347"/>
    </row>
    <row r="23" spans="1:40" ht="15.75" customHeight="1">
      <c r="A23" s="64">
        <v>86</v>
      </c>
      <c r="B23" s="40">
        <v>50</v>
      </c>
      <c r="C23" s="64">
        <v>40</v>
      </c>
      <c r="D23" s="40">
        <v>4</v>
      </c>
      <c r="E23" s="432" t="str">
        <f>J35</f>
        <v>Transitional (Inland/West Coast)</v>
      </c>
      <c r="F23" s="510"/>
      <c r="G23" s="347"/>
      <c r="H23" s="347"/>
      <c r="I23" s="347"/>
      <c r="J23" s="347"/>
      <c r="K23" s="347"/>
      <c r="L23" s="347"/>
      <c r="M23" s="347"/>
      <c r="N23" s="347"/>
      <c r="O23" s="347"/>
      <c r="P23" s="347"/>
      <c r="Q23" s="347"/>
      <c r="R23" s="347"/>
      <c r="S23" s="347"/>
      <c r="T23" s="347"/>
      <c r="U23" s="347"/>
      <c r="V23" s="347"/>
      <c r="W23" s="347"/>
      <c r="X23" s="347"/>
      <c r="Y23" s="347"/>
      <c r="Z23" s="347"/>
      <c r="AA23" s="347"/>
      <c r="AB23" s="347"/>
      <c r="AC23" s="347"/>
      <c r="AD23" s="347"/>
      <c r="AE23" s="347"/>
      <c r="AF23" s="347"/>
      <c r="AG23" s="347"/>
      <c r="AH23" s="347"/>
      <c r="AI23" s="347"/>
      <c r="AJ23" s="347"/>
      <c r="AK23" s="347"/>
      <c r="AL23" s="347"/>
      <c r="AM23" s="347"/>
      <c r="AN23" s="347"/>
    </row>
    <row r="24" spans="1:40" ht="15.75" customHeight="1">
      <c r="A24" s="64">
        <v>81</v>
      </c>
      <c r="B24" s="40">
        <v>45</v>
      </c>
      <c r="C24" s="64">
        <v>35</v>
      </c>
      <c r="D24" s="40">
        <v>3</v>
      </c>
      <c r="E24" s="432" t="str">
        <f>J35</f>
        <v>Transitional (Inland/West Coast)</v>
      </c>
      <c r="F24" s="510"/>
      <c r="G24" s="347"/>
      <c r="H24" s="347"/>
      <c r="I24" s="347"/>
      <c r="J24" s="347"/>
      <c r="K24" s="347"/>
      <c r="L24" s="347"/>
      <c r="M24" s="347"/>
      <c r="N24" s="347"/>
      <c r="O24" s="347"/>
      <c r="P24" s="347"/>
      <c r="Q24" s="347"/>
      <c r="R24" s="347"/>
      <c r="S24" s="347"/>
      <c r="T24" s="347"/>
      <c r="U24" s="347"/>
      <c r="V24" s="347"/>
      <c r="W24" s="347"/>
      <c r="X24" s="347"/>
      <c r="Y24" s="347"/>
      <c r="Z24" s="347"/>
      <c r="AA24" s="347"/>
      <c r="AB24" s="347"/>
      <c r="AC24" s="347"/>
      <c r="AD24" s="347"/>
      <c r="AE24" s="347"/>
      <c r="AF24" s="347"/>
      <c r="AG24" s="347"/>
      <c r="AH24" s="347"/>
      <c r="AI24" s="347"/>
      <c r="AJ24" s="347"/>
      <c r="AK24" s="347"/>
      <c r="AL24" s="347"/>
      <c r="AM24" s="347"/>
      <c r="AN24" s="347"/>
    </row>
    <row r="25" spans="1:40" ht="15.75" customHeight="1">
      <c r="A25" s="64">
        <v>75</v>
      </c>
      <c r="B25" s="40">
        <v>40</v>
      </c>
      <c r="C25" s="64">
        <v>30</v>
      </c>
      <c r="D25" s="40">
        <v>2</v>
      </c>
      <c r="E25" s="432" t="str">
        <f>L35</f>
        <v>East Coast</v>
      </c>
      <c r="F25" s="510"/>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row>
    <row r="26" spans="1:40" ht="15.75" customHeight="1" thickBot="1">
      <c r="A26" s="64">
        <v>68</v>
      </c>
      <c r="B26" s="40">
        <v>35</v>
      </c>
      <c r="C26" s="66">
        <v>20</v>
      </c>
      <c r="D26" s="42">
        <v>1</v>
      </c>
      <c r="E26" s="433" t="str">
        <f>L35</f>
        <v>East Coast</v>
      </c>
      <c r="F26" s="509"/>
      <c r="G26" s="347"/>
      <c r="H26" s="347"/>
      <c r="I26" s="347"/>
      <c r="J26" s="347"/>
      <c r="K26" s="347"/>
      <c r="L26" s="347"/>
      <c r="M26" s="347"/>
      <c r="N26" s="347"/>
      <c r="O26" s="347"/>
      <c r="P26" s="347"/>
      <c r="Q26" s="347"/>
      <c r="R26" s="347"/>
      <c r="S26" s="347"/>
      <c r="T26" s="347"/>
      <c r="U26" s="347"/>
      <c r="V26" s="347"/>
      <c r="W26" s="347"/>
      <c r="X26" s="347"/>
      <c r="Y26" s="347"/>
      <c r="Z26" s="347"/>
      <c r="AA26" s="347"/>
      <c r="AB26" s="347"/>
      <c r="AC26" s="347"/>
      <c r="AD26" s="347"/>
      <c r="AE26" s="347"/>
      <c r="AF26" s="347"/>
      <c r="AG26" s="347"/>
      <c r="AH26" s="347"/>
      <c r="AI26" s="347"/>
      <c r="AJ26" s="347"/>
      <c r="AK26" s="347"/>
      <c r="AL26" s="347"/>
      <c r="AM26" s="347"/>
      <c r="AN26" s="347"/>
    </row>
    <row r="27" spans="1:40" ht="15.75" customHeight="1" thickTop="1">
      <c r="A27" s="64">
        <v>60</v>
      </c>
      <c r="B27" s="40">
        <v>30</v>
      </c>
      <c r="C27" s="347"/>
      <c r="D27" s="347"/>
      <c r="E27" s="347"/>
      <c r="F27" s="347"/>
      <c r="G27" s="347"/>
      <c r="H27" s="347"/>
      <c r="I27" s="347"/>
      <c r="J27" s="347"/>
      <c r="K27" s="347"/>
      <c r="L27" s="347"/>
      <c r="M27" s="347"/>
      <c r="N27" s="347"/>
      <c r="O27" s="347"/>
      <c r="P27" s="347"/>
      <c r="Q27" s="347"/>
      <c r="R27" s="347"/>
      <c r="S27" s="347"/>
      <c r="T27" s="347"/>
      <c r="U27" s="347"/>
      <c r="V27" s="347"/>
      <c r="W27" s="347"/>
      <c r="X27" s="347"/>
      <c r="Y27" s="347"/>
      <c r="Z27" s="347"/>
      <c r="AA27" s="347"/>
      <c r="AB27" s="347"/>
      <c r="AC27" s="347"/>
      <c r="AD27" s="347"/>
      <c r="AE27" s="347"/>
      <c r="AF27" s="347"/>
      <c r="AG27" s="347"/>
      <c r="AH27" s="347"/>
      <c r="AI27" s="347"/>
      <c r="AJ27" s="347"/>
      <c r="AK27" s="347"/>
      <c r="AL27" s="347"/>
      <c r="AM27" s="347"/>
      <c r="AN27" s="347"/>
    </row>
    <row r="28" spans="1:40" ht="15.75" customHeight="1">
      <c r="A28" s="64">
        <v>54</v>
      </c>
      <c r="B28" s="40">
        <v>25</v>
      </c>
      <c r="C28" s="347"/>
      <c r="D28" s="347"/>
      <c r="E28" s="347"/>
      <c r="F28" s="347"/>
      <c r="G28" s="347"/>
      <c r="H28" s="347"/>
      <c r="I28" s="347"/>
      <c r="J28" s="347"/>
      <c r="K28" s="347"/>
      <c r="L28" s="347"/>
      <c r="M28" s="347"/>
      <c r="N28" s="347"/>
      <c r="O28" s="347"/>
      <c r="P28" s="347"/>
      <c r="Q28" s="347"/>
      <c r="R28" s="347"/>
      <c r="S28" s="347"/>
      <c r="T28" s="347"/>
      <c r="U28" s="347"/>
      <c r="V28" s="347"/>
      <c r="W28" s="347"/>
      <c r="X28" s="347"/>
      <c r="Y28" s="347"/>
      <c r="Z28" s="347"/>
      <c r="AA28" s="347"/>
      <c r="AB28" s="347"/>
      <c r="AC28" s="347"/>
      <c r="AD28" s="347"/>
      <c r="AE28" s="347"/>
      <c r="AF28" s="347"/>
      <c r="AG28" s="347"/>
      <c r="AH28" s="347"/>
      <c r="AI28" s="347"/>
      <c r="AJ28" s="347"/>
      <c r="AK28" s="347"/>
      <c r="AL28" s="347"/>
      <c r="AM28" s="347"/>
      <c r="AN28" s="347"/>
    </row>
    <row r="29" spans="1:40" ht="15.75" customHeight="1">
      <c r="A29" s="64">
        <v>48</v>
      </c>
      <c r="B29" s="40">
        <v>20</v>
      </c>
      <c r="C29" s="347"/>
      <c r="D29" s="347"/>
      <c r="E29" s="347"/>
      <c r="F29" s="347"/>
      <c r="G29" s="347"/>
      <c r="H29" s="347"/>
      <c r="I29" s="347"/>
      <c r="J29" s="347"/>
      <c r="K29" s="347"/>
      <c r="L29" s="347"/>
      <c r="M29" s="347"/>
      <c r="N29" s="347"/>
      <c r="O29" s="347"/>
      <c r="P29" s="347"/>
      <c r="Q29" s="347"/>
      <c r="R29" s="347"/>
      <c r="S29" s="347"/>
      <c r="T29" s="347"/>
      <c r="U29" s="347"/>
      <c r="V29" s="347"/>
      <c r="W29" s="347"/>
      <c r="X29" s="347"/>
      <c r="Y29" s="347"/>
      <c r="Z29" s="347"/>
      <c r="AA29" s="347"/>
      <c r="AB29" s="347"/>
      <c r="AC29" s="347"/>
      <c r="AD29" s="347"/>
      <c r="AE29" s="347"/>
      <c r="AF29" s="347"/>
      <c r="AG29" s="347"/>
      <c r="AH29" s="347"/>
      <c r="AI29" s="347"/>
      <c r="AJ29" s="347"/>
      <c r="AK29" s="347"/>
      <c r="AL29" s="347"/>
      <c r="AM29" s="347"/>
      <c r="AN29" s="347"/>
    </row>
    <row r="30" spans="1:40" ht="15.75" customHeight="1">
      <c r="A30" s="64">
        <v>40</v>
      </c>
      <c r="B30" s="40">
        <v>15</v>
      </c>
      <c r="C30" s="347"/>
      <c r="D30" s="347"/>
      <c r="E30" s="347"/>
      <c r="F30" s="347"/>
      <c r="G30" s="347"/>
      <c r="H30" s="347"/>
      <c r="I30" s="347"/>
      <c r="J30" s="347"/>
      <c r="K30" s="347"/>
      <c r="L30" s="347"/>
      <c r="M30" s="347"/>
      <c r="N30" s="347"/>
      <c r="O30" s="347"/>
      <c r="P30" s="347"/>
      <c r="Q30" s="347"/>
      <c r="R30" s="347"/>
      <c r="S30" s="347"/>
      <c r="T30" s="347"/>
      <c r="U30" s="347"/>
      <c r="V30" s="347"/>
      <c r="W30" s="347"/>
      <c r="X30" s="347"/>
      <c r="Y30" s="347"/>
      <c r="Z30" s="347"/>
      <c r="AA30" s="347"/>
      <c r="AB30" s="347"/>
      <c r="AC30" s="347"/>
      <c r="AD30" s="347"/>
      <c r="AE30" s="347"/>
      <c r="AF30" s="347"/>
      <c r="AG30" s="347"/>
      <c r="AH30" s="347"/>
      <c r="AI30" s="347"/>
      <c r="AJ30" s="347"/>
      <c r="AK30" s="347"/>
      <c r="AL30" s="347"/>
      <c r="AM30" s="347"/>
      <c r="AN30" s="347"/>
    </row>
    <row r="31" spans="1:40" ht="15.75" customHeight="1">
      <c r="A31" s="64">
        <v>30</v>
      </c>
      <c r="B31" s="40">
        <v>10</v>
      </c>
      <c r="C31" s="347"/>
      <c r="D31" s="347"/>
      <c r="E31" s="347"/>
      <c r="F31" s="347"/>
      <c r="G31" s="347"/>
      <c r="H31" s="347"/>
      <c r="I31" s="347"/>
      <c r="J31" s="347"/>
      <c r="K31" s="347"/>
      <c r="L31" s="347"/>
      <c r="M31" s="347"/>
      <c r="N31" s="347"/>
      <c r="O31" s="347"/>
      <c r="P31" s="347"/>
      <c r="Q31" s="347"/>
      <c r="R31" s="347"/>
      <c r="S31" s="347"/>
      <c r="T31" s="347"/>
      <c r="U31" s="347"/>
      <c r="V31" s="347"/>
      <c r="W31" s="347"/>
      <c r="X31" s="347"/>
      <c r="Y31" s="347"/>
      <c r="Z31" s="347"/>
      <c r="AA31" s="347"/>
      <c r="AB31" s="347"/>
      <c r="AC31" s="347"/>
      <c r="AD31" s="347"/>
      <c r="AE31" s="347"/>
      <c r="AF31" s="347"/>
      <c r="AG31" s="347"/>
      <c r="AH31" s="347"/>
      <c r="AI31" s="347"/>
      <c r="AJ31" s="347"/>
      <c r="AK31" s="347"/>
      <c r="AL31" s="347"/>
      <c r="AM31" s="347"/>
      <c r="AN31" s="347"/>
    </row>
    <row r="32" spans="1:40" ht="15.75" customHeight="1" thickBot="1">
      <c r="A32" s="66">
        <v>18</v>
      </c>
      <c r="B32" s="42">
        <v>5</v>
      </c>
      <c r="C32" s="347"/>
      <c r="D32" s="347"/>
      <c r="E32" s="347"/>
      <c r="F32" s="347"/>
      <c r="G32" s="347"/>
      <c r="H32" s="347"/>
      <c r="I32" s="347"/>
      <c r="J32" s="347"/>
      <c r="K32" s="347"/>
      <c r="L32" s="347"/>
      <c r="M32" s="347"/>
      <c r="N32" s="347"/>
      <c r="O32" s="347"/>
      <c r="P32" s="347"/>
      <c r="Q32" s="347"/>
      <c r="R32" s="347"/>
      <c r="S32" s="347"/>
      <c r="T32" s="347"/>
      <c r="U32" s="347"/>
      <c r="V32" s="347"/>
      <c r="W32" s="347"/>
      <c r="X32" s="347"/>
      <c r="Y32" s="347"/>
      <c r="Z32" s="347"/>
      <c r="AA32" s="347"/>
      <c r="AB32" s="347"/>
      <c r="AC32" s="347"/>
      <c r="AD32" s="347"/>
      <c r="AE32" s="347"/>
      <c r="AF32" s="347"/>
      <c r="AG32" s="347"/>
      <c r="AH32" s="347"/>
      <c r="AI32" s="347"/>
      <c r="AJ32" s="347"/>
      <c r="AK32" s="347"/>
      <c r="AL32" s="347"/>
      <c r="AM32" s="347"/>
      <c r="AN32" s="347"/>
    </row>
    <row r="34" spans="1:40" ht="15.75" customHeight="1" thickTop="1" thickBot="1">
      <c r="A34" s="400" t="s">
        <v>499</v>
      </c>
      <c r="B34" s="444"/>
      <c r="C34" s="444"/>
      <c r="D34" s="444"/>
      <c r="E34" s="444"/>
      <c r="F34" s="444"/>
      <c r="G34" s="444"/>
      <c r="H34" s="444"/>
      <c r="I34" s="444"/>
      <c r="J34" s="444"/>
      <c r="K34" s="444"/>
      <c r="L34" s="444"/>
      <c r="M34" s="500"/>
      <c r="N34" s="347"/>
      <c r="O34" s="396" t="s">
        <v>500</v>
      </c>
      <c r="P34" s="387" t="s">
        <v>123</v>
      </c>
      <c r="Q34" s="504"/>
      <c r="R34" s="505"/>
      <c r="S34" s="387" t="s">
        <v>501</v>
      </c>
      <c r="T34" s="504"/>
      <c r="U34" s="504"/>
      <c r="V34" s="504"/>
      <c r="W34" s="504"/>
      <c r="X34" s="504"/>
      <c r="Y34" s="504"/>
      <c r="Z34" s="505"/>
      <c r="AA34" s="347"/>
      <c r="AB34" s="347"/>
      <c r="AC34" s="347"/>
      <c r="AD34" s="347"/>
      <c r="AE34" s="347"/>
      <c r="AF34" s="347"/>
      <c r="AG34" s="347"/>
      <c r="AH34" s="347"/>
      <c r="AI34" s="347"/>
      <c r="AJ34" s="347"/>
      <c r="AK34" s="347"/>
      <c r="AL34" s="347"/>
      <c r="AM34" s="347"/>
      <c r="AN34" s="347"/>
    </row>
    <row r="35" spans="1:40" ht="14.25" thickTop="1" thickBot="1">
      <c r="A35" s="332" t="s">
        <v>21</v>
      </c>
      <c r="B35" s="397" t="s">
        <v>502</v>
      </c>
      <c r="C35" s="499"/>
      <c r="D35" s="397" t="s">
        <v>503</v>
      </c>
      <c r="E35" s="499"/>
      <c r="F35" s="397" t="s">
        <v>504</v>
      </c>
      <c r="G35" s="501"/>
      <c r="H35" s="501"/>
      <c r="I35" s="499"/>
      <c r="J35" s="397" t="s">
        <v>505</v>
      </c>
      <c r="K35" s="499"/>
      <c r="L35" s="397" t="s">
        <v>506</v>
      </c>
      <c r="M35" s="499"/>
      <c r="N35" s="347"/>
      <c r="O35" s="508"/>
      <c r="P35" s="386"/>
      <c r="Q35" s="506"/>
      <c r="R35" s="507"/>
      <c r="S35" s="386"/>
      <c r="T35" s="506"/>
      <c r="U35" s="506"/>
      <c r="V35" s="506"/>
      <c r="W35" s="506"/>
      <c r="X35" s="506"/>
      <c r="Y35" s="506"/>
      <c r="Z35" s="507"/>
      <c r="AA35" s="347"/>
      <c r="AB35" s="347"/>
      <c r="AC35" s="347"/>
      <c r="AD35" s="347"/>
      <c r="AE35" s="347"/>
      <c r="AF35" s="347"/>
      <c r="AG35" s="347"/>
      <c r="AH35" s="347"/>
      <c r="AI35" s="347"/>
      <c r="AJ35" s="347"/>
      <c r="AK35" s="347"/>
      <c r="AL35" s="347"/>
      <c r="AM35" s="347"/>
      <c r="AN35" s="347"/>
    </row>
    <row r="36" spans="1:40" ht="13.5" thickTop="1">
      <c r="A36" s="49">
        <v>90</v>
      </c>
      <c r="B36" s="62" t="s">
        <v>507</v>
      </c>
      <c r="C36" s="62" t="s">
        <v>508</v>
      </c>
      <c r="D36" s="62" t="s">
        <v>508</v>
      </c>
      <c r="E36" s="62" t="s">
        <v>508</v>
      </c>
      <c r="F36" s="62" t="s">
        <v>508</v>
      </c>
      <c r="G36" s="62" t="s">
        <v>508</v>
      </c>
      <c r="H36" s="62" t="s">
        <v>508</v>
      </c>
      <c r="I36" s="62" t="s">
        <v>508</v>
      </c>
      <c r="J36" s="62" t="s">
        <v>508</v>
      </c>
      <c r="K36" s="62" t="s">
        <v>508</v>
      </c>
      <c r="L36" s="62" t="s">
        <v>508</v>
      </c>
      <c r="M36" s="62" t="s">
        <v>507</v>
      </c>
      <c r="N36" s="347"/>
      <c r="O36" s="80" t="str">
        <f t="array" ref="O36:R64">A79:D107</f>
        <v>Af</v>
      </c>
      <c r="P36" s="350" t="str">
        <v>Tropical Rainforest</v>
      </c>
      <c r="Q36" s="342">
        <v>0</v>
      </c>
      <c r="R36" s="343">
        <v>0</v>
      </c>
      <c r="S36" s="431" t="s">
        <v>510</v>
      </c>
      <c r="T36" s="447"/>
      <c r="U36" s="447"/>
      <c r="V36" s="447"/>
      <c r="W36" s="447"/>
      <c r="X36" s="447"/>
      <c r="Y36" s="447"/>
      <c r="Z36" s="503"/>
      <c r="AA36" s="347"/>
      <c r="AB36" s="347"/>
      <c r="AC36" s="347"/>
      <c r="AD36" s="347"/>
      <c r="AE36" s="347"/>
      <c r="AF36" s="347"/>
      <c r="AG36" s="347"/>
      <c r="AH36" s="347"/>
      <c r="AI36" s="347"/>
      <c r="AJ36" s="347"/>
      <c r="AK36" s="347"/>
      <c r="AL36" s="347"/>
      <c r="AM36" s="347"/>
      <c r="AN36" s="347"/>
    </row>
    <row r="37" spans="1:40" ht="12.75">
      <c r="A37" s="40">
        <v>85</v>
      </c>
      <c r="B37" s="64" t="s">
        <v>507</v>
      </c>
      <c r="C37" s="64" t="s">
        <v>508</v>
      </c>
      <c r="D37" s="64" t="s">
        <v>508</v>
      </c>
      <c r="E37" s="64" t="s">
        <v>508</v>
      </c>
      <c r="F37" s="64" t="s">
        <v>508</v>
      </c>
      <c r="G37" s="64" t="s">
        <v>508</v>
      </c>
      <c r="H37" s="64" t="s">
        <v>508</v>
      </c>
      <c r="I37" s="64" t="s">
        <v>508</v>
      </c>
      <c r="J37" s="64" t="s">
        <v>508</v>
      </c>
      <c r="K37" s="64" t="s">
        <v>508</v>
      </c>
      <c r="L37" s="64" t="s">
        <v>508</v>
      </c>
      <c r="M37" s="64" t="s">
        <v>507</v>
      </c>
      <c r="N37" s="347"/>
      <c r="O37" s="82" t="str">
        <v>Am</v>
      </c>
      <c r="P37" s="351" t="str">
        <v>Tropical Monsoon</v>
      </c>
      <c r="Q37" s="347">
        <v>0</v>
      </c>
      <c r="R37" s="346">
        <v>0</v>
      </c>
      <c r="S37" s="428" t="s">
        <v>513</v>
      </c>
      <c r="T37" s="497"/>
      <c r="U37" s="497"/>
      <c r="V37" s="497"/>
      <c r="W37" s="497"/>
      <c r="X37" s="497"/>
      <c r="Y37" s="497"/>
      <c r="Z37" s="498"/>
      <c r="AA37" s="347"/>
      <c r="AB37" s="347"/>
      <c r="AC37" s="347"/>
      <c r="AD37" s="347"/>
      <c r="AE37" s="347"/>
      <c r="AF37" s="347"/>
      <c r="AG37" s="347"/>
      <c r="AH37" s="347"/>
      <c r="AI37" s="347"/>
      <c r="AJ37" s="347"/>
      <c r="AK37" s="347"/>
      <c r="AL37" s="347"/>
      <c r="AM37" s="347"/>
      <c r="AN37" s="347"/>
    </row>
    <row r="38" spans="1:40" ht="12.75">
      <c r="A38" s="40">
        <v>80</v>
      </c>
      <c r="B38" s="64" t="s">
        <v>507</v>
      </c>
      <c r="C38" s="64" t="s">
        <v>508</v>
      </c>
      <c r="D38" s="64" t="s">
        <v>508</v>
      </c>
      <c r="E38" s="64" t="s">
        <v>508</v>
      </c>
      <c r="F38" s="64" t="s">
        <v>508</v>
      </c>
      <c r="G38" s="64" t="s">
        <v>508</v>
      </c>
      <c r="H38" s="64" t="s">
        <v>508</v>
      </c>
      <c r="I38" s="64" t="s">
        <v>508</v>
      </c>
      <c r="J38" s="64" t="s">
        <v>508</v>
      </c>
      <c r="K38" s="64" t="s">
        <v>508</v>
      </c>
      <c r="L38" s="64" t="s">
        <v>508</v>
      </c>
      <c r="M38" s="64" t="s">
        <v>507</v>
      </c>
      <c r="N38" s="347"/>
      <c r="O38" s="82" t="str">
        <v>Aw</v>
      </c>
      <c r="P38" s="351" t="str">
        <v>Savannah</v>
      </c>
      <c r="Q38" s="347">
        <v>0</v>
      </c>
      <c r="R38" s="346">
        <v>0</v>
      </c>
      <c r="S38" s="428" t="s">
        <v>516</v>
      </c>
      <c r="T38" s="497"/>
      <c r="U38" s="497"/>
      <c r="V38" s="497"/>
      <c r="W38" s="497"/>
      <c r="X38" s="497"/>
      <c r="Y38" s="497"/>
      <c r="Z38" s="498"/>
      <c r="AA38" s="347"/>
      <c r="AB38" s="347"/>
      <c r="AC38" s="347"/>
      <c r="AD38" s="347"/>
      <c r="AE38" s="347"/>
      <c r="AF38" s="347"/>
      <c r="AG38" s="347"/>
      <c r="AH38" s="347"/>
      <c r="AI38" s="347"/>
      <c r="AJ38" s="347"/>
      <c r="AK38" s="347"/>
      <c r="AL38" s="347"/>
      <c r="AM38" s="347"/>
      <c r="AN38" s="347"/>
    </row>
    <row r="39" spans="1:40" ht="12.75">
      <c r="A39" s="40">
        <v>75</v>
      </c>
      <c r="B39" s="64" t="s">
        <v>507</v>
      </c>
      <c r="C39" s="64" t="s">
        <v>507</v>
      </c>
      <c r="D39" s="64" t="s">
        <v>507</v>
      </c>
      <c r="E39" s="64" t="s">
        <v>507</v>
      </c>
      <c r="F39" s="64" t="s">
        <v>507</v>
      </c>
      <c r="G39" s="64" t="s">
        <v>507</v>
      </c>
      <c r="H39" s="64" t="s">
        <v>507</v>
      </c>
      <c r="I39" s="64" t="s">
        <v>507</v>
      </c>
      <c r="J39" s="64" t="s">
        <v>507</v>
      </c>
      <c r="K39" s="64" t="s">
        <v>507</v>
      </c>
      <c r="L39" s="64" t="s">
        <v>507</v>
      </c>
      <c r="M39" s="64" t="s">
        <v>507</v>
      </c>
      <c r="N39" s="347"/>
      <c r="O39" s="82" t="str">
        <v>BWh</v>
      </c>
      <c r="P39" s="351" t="str">
        <v>Hot Desert</v>
      </c>
      <c r="Q39" s="347">
        <v>0</v>
      </c>
      <c r="R39" s="346">
        <v>0</v>
      </c>
      <c r="S39" s="428" t="s">
        <v>519</v>
      </c>
      <c r="T39" s="497"/>
      <c r="U39" s="497"/>
      <c r="V39" s="497"/>
      <c r="W39" s="497"/>
      <c r="X39" s="497"/>
      <c r="Y39" s="497"/>
      <c r="Z39" s="498"/>
      <c r="AA39" s="75"/>
      <c r="AB39" s="75"/>
      <c r="AC39" s="75"/>
      <c r="AD39" s="75"/>
      <c r="AE39" s="75"/>
      <c r="AF39" s="75"/>
      <c r="AG39" s="75"/>
      <c r="AH39" s="75"/>
      <c r="AI39" s="75"/>
      <c r="AJ39" s="75"/>
      <c r="AK39" s="75"/>
      <c r="AL39" s="75"/>
      <c r="AM39" s="75"/>
      <c r="AN39" s="75"/>
    </row>
    <row r="40" spans="1:40" ht="12.75">
      <c r="A40" s="40">
        <v>70</v>
      </c>
      <c r="B40" s="64" t="s">
        <v>520</v>
      </c>
      <c r="C40" s="64" t="s">
        <v>520</v>
      </c>
      <c r="D40" s="64" t="s">
        <v>520</v>
      </c>
      <c r="E40" s="64" t="s">
        <v>520</v>
      </c>
      <c r="F40" s="64" t="s">
        <v>520</v>
      </c>
      <c r="G40" s="64" t="s">
        <v>520</v>
      </c>
      <c r="H40" s="64" t="s">
        <v>520</v>
      </c>
      <c r="I40" s="64" t="s">
        <v>520</v>
      </c>
      <c r="J40" s="64" t="s">
        <v>520</v>
      </c>
      <c r="K40" s="64" t="s">
        <v>520</v>
      </c>
      <c r="L40" s="64" t="s">
        <v>520</v>
      </c>
      <c r="M40" s="64" t="s">
        <v>507</v>
      </c>
      <c r="N40" s="347"/>
      <c r="O40" s="82" t="str">
        <v>BWk</v>
      </c>
      <c r="P40" s="351" t="str">
        <v>Cold Desert</v>
      </c>
      <c r="Q40" s="347">
        <v>0</v>
      </c>
      <c r="R40" s="346">
        <v>0</v>
      </c>
      <c r="S40" s="428" t="s">
        <v>523</v>
      </c>
      <c r="T40" s="497"/>
      <c r="U40" s="497"/>
      <c r="V40" s="497"/>
      <c r="W40" s="497"/>
      <c r="X40" s="497"/>
      <c r="Y40" s="497"/>
      <c r="Z40" s="498"/>
      <c r="AA40" s="347"/>
      <c r="AB40" s="347"/>
      <c r="AC40" s="347"/>
      <c r="AD40" s="347"/>
      <c r="AE40" s="347"/>
      <c r="AF40" s="347"/>
      <c r="AG40" s="347"/>
      <c r="AH40" s="347"/>
      <c r="AI40" s="347"/>
      <c r="AJ40" s="347"/>
      <c r="AK40" s="347"/>
      <c r="AL40" s="347"/>
      <c r="AM40" s="347"/>
      <c r="AN40" s="347"/>
    </row>
    <row r="41" spans="1:40" ht="12.75">
      <c r="A41" s="40">
        <v>65</v>
      </c>
      <c r="B41" s="64" t="s">
        <v>520</v>
      </c>
      <c r="C41" s="64" t="s">
        <v>520</v>
      </c>
      <c r="D41" s="64" t="s">
        <v>520</v>
      </c>
      <c r="E41" s="64" t="s">
        <v>520</v>
      </c>
      <c r="F41" s="64" t="s">
        <v>520</v>
      </c>
      <c r="G41" s="64" t="s">
        <v>520</v>
      </c>
      <c r="H41" s="64" t="s">
        <v>520</v>
      </c>
      <c r="I41" s="64" t="s">
        <v>520</v>
      </c>
      <c r="J41" s="64" t="s">
        <v>520</v>
      </c>
      <c r="K41" s="64" t="s">
        <v>520</v>
      </c>
      <c r="L41" s="64" t="s">
        <v>520</v>
      </c>
      <c r="M41" s="64" t="s">
        <v>507</v>
      </c>
      <c r="N41" s="347"/>
      <c r="O41" s="82" t="str">
        <v>BSh</v>
      </c>
      <c r="P41" s="351" t="str">
        <v>Hot Semi-Arid</v>
      </c>
      <c r="Q41" s="347">
        <v>0</v>
      </c>
      <c r="R41" s="346">
        <v>0</v>
      </c>
      <c r="S41" s="428" t="s">
        <v>526</v>
      </c>
      <c r="T41" s="497"/>
      <c r="U41" s="497"/>
      <c r="V41" s="497"/>
      <c r="W41" s="497"/>
      <c r="X41" s="497"/>
      <c r="Y41" s="497"/>
      <c r="Z41" s="498"/>
      <c r="AA41" s="347"/>
      <c r="AB41" s="347"/>
      <c r="AC41" s="347"/>
      <c r="AD41" s="347"/>
      <c r="AE41" s="347"/>
      <c r="AF41" s="347"/>
      <c r="AG41" s="347"/>
      <c r="AH41" s="347"/>
      <c r="AI41" s="347"/>
      <c r="AJ41" s="347"/>
      <c r="AK41" s="347"/>
      <c r="AL41" s="347"/>
      <c r="AM41" s="347"/>
      <c r="AN41" s="347"/>
    </row>
    <row r="42" spans="1:40" ht="12.75">
      <c r="A42" s="40">
        <v>60</v>
      </c>
      <c r="B42" s="64" t="s">
        <v>527</v>
      </c>
      <c r="C42" s="64" t="s">
        <v>527</v>
      </c>
      <c r="D42" s="64" t="s">
        <v>528</v>
      </c>
      <c r="E42" s="64" t="s">
        <v>528</v>
      </c>
      <c r="F42" s="64" t="s">
        <v>520</v>
      </c>
      <c r="G42" s="64" t="s">
        <v>520</v>
      </c>
      <c r="H42" s="64" t="s">
        <v>520</v>
      </c>
      <c r="I42" s="64" t="s">
        <v>520</v>
      </c>
      <c r="J42" s="64" t="s">
        <v>520</v>
      </c>
      <c r="K42" s="64" t="s">
        <v>520</v>
      </c>
      <c r="L42" s="64" t="s">
        <v>520</v>
      </c>
      <c r="M42" s="64" t="s">
        <v>520</v>
      </c>
      <c r="N42" s="347"/>
      <c r="O42" s="82" t="str">
        <v>BSk</v>
      </c>
      <c r="P42" s="351" t="str">
        <v>Cold Semi-Arid</v>
      </c>
      <c r="Q42" s="347">
        <v>0</v>
      </c>
      <c r="R42" s="346">
        <v>0</v>
      </c>
      <c r="S42" s="428" t="s">
        <v>531</v>
      </c>
      <c r="T42" s="497"/>
      <c r="U42" s="497"/>
      <c r="V42" s="497"/>
      <c r="W42" s="497"/>
      <c r="X42" s="497"/>
      <c r="Y42" s="497"/>
      <c r="Z42" s="498"/>
      <c r="AA42" s="347"/>
      <c r="AB42" s="347"/>
      <c r="AC42" s="347"/>
      <c r="AD42" s="347"/>
      <c r="AE42" s="347"/>
      <c r="AF42" s="347"/>
      <c r="AG42" s="347"/>
      <c r="AH42" s="347"/>
      <c r="AI42" s="347"/>
      <c r="AJ42" s="347"/>
      <c r="AK42" s="347"/>
      <c r="AL42" s="347"/>
      <c r="AM42" s="347"/>
      <c r="AN42" s="347"/>
    </row>
    <row r="43" spans="1:40" ht="12.75">
      <c r="A43" s="40">
        <v>55</v>
      </c>
      <c r="B43" s="64" t="s">
        <v>527</v>
      </c>
      <c r="C43" s="64" t="s">
        <v>527</v>
      </c>
      <c r="D43" s="64" t="s">
        <v>528</v>
      </c>
      <c r="E43" s="64" t="s">
        <v>528</v>
      </c>
      <c r="F43" s="64" t="s">
        <v>528</v>
      </c>
      <c r="G43" s="64" t="s">
        <v>528</v>
      </c>
      <c r="H43" s="64" t="s">
        <v>528</v>
      </c>
      <c r="I43" s="64" t="s">
        <v>528</v>
      </c>
      <c r="J43" s="64" t="s">
        <v>520</v>
      </c>
      <c r="K43" s="64" t="s">
        <v>520</v>
      </c>
      <c r="L43" s="64" t="s">
        <v>520</v>
      </c>
      <c r="M43" s="64" t="s">
        <v>520</v>
      </c>
      <c r="N43" s="347"/>
      <c r="O43" s="82" t="str">
        <v>Cfa</v>
      </c>
      <c r="P43" s="351" t="str">
        <v>Humid Subtropical</v>
      </c>
      <c r="Q43" s="347">
        <v>0</v>
      </c>
      <c r="R43" s="346">
        <v>0</v>
      </c>
      <c r="S43" s="428" t="s">
        <v>534</v>
      </c>
      <c r="T43" s="497"/>
      <c r="U43" s="497"/>
      <c r="V43" s="497"/>
      <c r="W43" s="497"/>
      <c r="X43" s="497"/>
      <c r="Y43" s="497"/>
      <c r="Z43" s="498"/>
      <c r="AA43" s="347"/>
      <c r="AB43" s="347"/>
      <c r="AC43" s="347"/>
      <c r="AD43" s="347"/>
      <c r="AE43" s="347"/>
      <c r="AF43" s="347"/>
      <c r="AG43" s="347"/>
      <c r="AH43" s="347"/>
      <c r="AI43" s="347"/>
      <c r="AJ43" s="347"/>
      <c r="AK43" s="347"/>
      <c r="AL43" s="347"/>
      <c r="AM43" s="347"/>
      <c r="AN43" s="347"/>
    </row>
    <row r="44" spans="1:40" ht="12.75">
      <c r="A44" s="40">
        <v>50</v>
      </c>
      <c r="B44" s="64" t="s">
        <v>527</v>
      </c>
      <c r="C44" s="64" t="s">
        <v>527</v>
      </c>
      <c r="D44" s="64" t="s">
        <v>528</v>
      </c>
      <c r="E44" s="64" t="s">
        <v>528</v>
      </c>
      <c r="F44" s="64" t="s">
        <v>528</v>
      </c>
      <c r="G44" s="64" t="s">
        <v>528</v>
      </c>
      <c r="H44" s="64" t="s">
        <v>528</v>
      </c>
      <c r="I44" s="64" t="s">
        <v>528</v>
      </c>
      <c r="J44" s="64" t="s">
        <v>528</v>
      </c>
      <c r="K44" s="64" t="s">
        <v>528</v>
      </c>
      <c r="L44" s="64" t="s">
        <v>528</v>
      </c>
      <c r="M44" s="64" t="s">
        <v>528</v>
      </c>
      <c r="N44" s="347"/>
      <c r="O44" s="82" t="str">
        <v>Cfb</v>
      </c>
      <c r="P44" s="351" t="str">
        <v>Temperate Oceanic</v>
      </c>
      <c r="Q44" s="347">
        <v>0</v>
      </c>
      <c r="R44" s="346">
        <v>0</v>
      </c>
      <c r="S44" s="428" t="s">
        <v>536</v>
      </c>
      <c r="T44" s="497"/>
      <c r="U44" s="497"/>
      <c r="V44" s="497"/>
      <c r="W44" s="497"/>
      <c r="X44" s="497"/>
      <c r="Y44" s="497"/>
      <c r="Z44" s="498"/>
      <c r="AA44" s="347"/>
      <c r="AB44" s="347"/>
      <c r="AC44" s="347"/>
      <c r="AD44" s="347"/>
      <c r="AE44" s="347"/>
      <c r="AF44" s="347"/>
      <c r="AG44" s="347"/>
      <c r="AH44" s="347"/>
      <c r="AI44" s="347"/>
      <c r="AJ44" s="347"/>
      <c r="AK44" s="347"/>
      <c r="AL44" s="347"/>
      <c r="AM44" s="347"/>
      <c r="AN44" s="347"/>
    </row>
    <row r="45" spans="1:40" ht="12.75">
      <c r="A45" s="40">
        <v>45</v>
      </c>
      <c r="B45" s="64" t="s">
        <v>537</v>
      </c>
      <c r="C45" s="64" t="s">
        <v>527</v>
      </c>
      <c r="D45" s="64" t="s">
        <v>529</v>
      </c>
      <c r="E45" s="64" t="s">
        <v>529</v>
      </c>
      <c r="F45" s="64" t="s">
        <v>538</v>
      </c>
      <c r="G45" s="64" t="s">
        <v>538</v>
      </c>
      <c r="H45" s="64" t="s">
        <v>538</v>
      </c>
      <c r="I45" s="64" t="s">
        <v>538</v>
      </c>
      <c r="J45" s="64" t="s">
        <v>528</v>
      </c>
      <c r="K45" s="64" t="s">
        <v>528</v>
      </c>
      <c r="L45" s="64" t="s">
        <v>528</v>
      </c>
      <c r="M45" s="64" t="s">
        <v>528</v>
      </c>
      <c r="N45" s="347"/>
      <c r="O45" s="82" t="str">
        <v>Cfc</v>
      </c>
      <c r="P45" s="351" t="str">
        <v>Subpolar Oceanic</v>
      </c>
      <c r="Q45" s="347">
        <v>0</v>
      </c>
      <c r="R45" s="346">
        <v>0</v>
      </c>
      <c r="S45" s="428" t="s">
        <v>541</v>
      </c>
      <c r="T45" s="497"/>
      <c r="U45" s="497"/>
      <c r="V45" s="497"/>
      <c r="W45" s="497"/>
      <c r="X45" s="497"/>
      <c r="Y45" s="497"/>
      <c r="Z45" s="498"/>
      <c r="AA45" s="347"/>
      <c r="AB45" s="347"/>
      <c r="AC45" s="347"/>
      <c r="AD45" s="347"/>
      <c r="AE45" s="347"/>
      <c r="AF45" s="347"/>
      <c r="AG45" s="347"/>
      <c r="AH45" s="347"/>
      <c r="AI45" s="347"/>
      <c r="AJ45" s="347"/>
      <c r="AK45" s="347"/>
      <c r="AL45" s="347"/>
      <c r="AM45" s="347"/>
      <c r="AN45" s="347"/>
    </row>
    <row r="46" spans="1:40" ht="12.75">
      <c r="A46" s="40">
        <v>40</v>
      </c>
      <c r="B46" s="64" t="s">
        <v>537</v>
      </c>
      <c r="C46" s="64" t="s">
        <v>537</v>
      </c>
      <c r="D46" s="64" t="s">
        <v>529</v>
      </c>
      <c r="E46" s="64" t="s">
        <v>521</v>
      </c>
      <c r="F46" s="64" t="s">
        <v>529</v>
      </c>
      <c r="G46" s="64" t="s">
        <v>538</v>
      </c>
      <c r="H46" s="64" t="s">
        <v>538</v>
      </c>
      <c r="I46" s="64" t="s">
        <v>538</v>
      </c>
      <c r="J46" s="64" t="s">
        <v>538</v>
      </c>
      <c r="K46" s="64" t="s">
        <v>538</v>
      </c>
      <c r="L46" s="64" t="s">
        <v>538</v>
      </c>
      <c r="M46" s="64" t="s">
        <v>538</v>
      </c>
      <c r="N46" s="347"/>
      <c r="O46" s="82" t="str">
        <v>Cwa</v>
      </c>
      <c r="P46" s="351" t="str">
        <v>Subtropical Humid Monsoon</v>
      </c>
      <c r="Q46" s="347">
        <v>0</v>
      </c>
      <c r="R46" s="346">
        <v>0</v>
      </c>
      <c r="S46" s="428" t="s">
        <v>544</v>
      </c>
      <c r="T46" s="497"/>
      <c r="U46" s="497"/>
      <c r="V46" s="497"/>
      <c r="W46" s="497"/>
      <c r="X46" s="497"/>
      <c r="Y46" s="497"/>
      <c r="Z46" s="498"/>
      <c r="AA46" s="347"/>
      <c r="AB46" s="347"/>
      <c r="AC46" s="347"/>
      <c r="AD46" s="347"/>
      <c r="AE46" s="347"/>
      <c r="AF46" s="347"/>
      <c r="AG46" s="347"/>
      <c r="AH46" s="347"/>
      <c r="AI46" s="347"/>
      <c r="AJ46" s="347"/>
      <c r="AK46" s="347"/>
      <c r="AL46" s="347"/>
      <c r="AM46" s="347"/>
      <c r="AN46" s="347"/>
    </row>
    <row r="47" spans="1:40" ht="12.75">
      <c r="A47" s="40">
        <v>35</v>
      </c>
      <c r="B47" s="64" t="s">
        <v>537</v>
      </c>
      <c r="C47" s="64" t="s">
        <v>517</v>
      </c>
      <c r="D47" s="64" t="s">
        <v>521</v>
      </c>
      <c r="E47" s="64" t="s">
        <v>521</v>
      </c>
      <c r="F47" s="64" t="s">
        <v>529</v>
      </c>
      <c r="G47" s="64" t="s">
        <v>542</v>
      </c>
      <c r="H47" s="64" t="s">
        <v>542</v>
      </c>
      <c r="I47" s="64" t="s">
        <v>542</v>
      </c>
      <c r="J47" s="64" t="s">
        <v>542</v>
      </c>
      <c r="K47" s="64" t="s">
        <v>532</v>
      </c>
      <c r="L47" s="64" t="s">
        <v>532</v>
      </c>
      <c r="M47" s="64" t="s">
        <v>532</v>
      </c>
      <c r="N47" s="347"/>
      <c r="O47" s="82" t="str">
        <v>Cwb</v>
      </c>
      <c r="P47" s="351" t="str">
        <v>Subtropical Highland</v>
      </c>
      <c r="Q47" s="347">
        <v>0</v>
      </c>
      <c r="R47" s="346">
        <v>0</v>
      </c>
      <c r="S47" s="428" t="s">
        <v>547</v>
      </c>
      <c r="T47" s="497"/>
      <c r="U47" s="497"/>
      <c r="V47" s="497"/>
      <c r="W47" s="497"/>
      <c r="X47" s="497"/>
      <c r="Y47" s="497"/>
      <c r="Z47" s="498"/>
      <c r="AA47" s="347"/>
      <c r="AB47" s="347"/>
      <c r="AC47" s="347"/>
      <c r="AD47" s="347"/>
      <c r="AE47" s="347"/>
      <c r="AF47" s="347"/>
      <c r="AG47" s="347"/>
      <c r="AH47" s="347"/>
      <c r="AI47" s="347"/>
      <c r="AJ47" s="347"/>
      <c r="AK47" s="347"/>
      <c r="AL47" s="347"/>
      <c r="AM47" s="347"/>
      <c r="AN47" s="347"/>
    </row>
    <row r="48" spans="1:40" ht="12.75">
      <c r="A48" s="40">
        <v>30</v>
      </c>
      <c r="B48" s="64" t="s">
        <v>517</v>
      </c>
      <c r="C48" s="64" t="s">
        <v>517</v>
      </c>
      <c r="D48" s="64" t="s">
        <v>521</v>
      </c>
      <c r="E48" s="64" t="s">
        <v>521</v>
      </c>
      <c r="F48" s="64" t="s">
        <v>529</v>
      </c>
      <c r="G48" s="64" t="s">
        <v>542</v>
      </c>
      <c r="H48" s="64" t="s">
        <v>532</v>
      </c>
      <c r="I48" s="64" t="s">
        <v>532</v>
      </c>
      <c r="J48" s="64" t="s">
        <v>532</v>
      </c>
      <c r="K48" s="64" t="s">
        <v>532</v>
      </c>
      <c r="L48" s="64" t="s">
        <v>532</v>
      </c>
      <c r="M48" s="64" t="s">
        <v>532</v>
      </c>
      <c r="N48" s="347"/>
      <c r="O48" s="82" t="str">
        <v>Cwc</v>
      </c>
      <c r="P48" s="351" t="str">
        <v>Cold Subtropical Highland</v>
      </c>
      <c r="Q48" s="347">
        <v>0</v>
      </c>
      <c r="R48" s="346">
        <v>0</v>
      </c>
      <c r="S48" s="428" t="s">
        <v>550</v>
      </c>
      <c r="T48" s="497"/>
      <c r="U48" s="497"/>
      <c r="V48" s="497"/>
      <c r="W48" s="497"/>
      <c r="X48" s="497"/>
      <c r="Y48" s="497"/>
      <c r="Z48" s="498"/>
      <c r="AA48" s="347"/>
      <c r="AB48" s="347"/>
      <c r="AC48" s="347"/>
      <c r="AD48" s="347"/>
      <c r="AE48" s="347"/>
      <c r="AF48" s="347"/>
      <c r="AG48" s="347"/>
      <c r="AH48" s="347"/>
      <c r="AI48" s="347"/>
      <c r="AJ48" s="347"/>
      <c r="AK48" s="347"/>
      <c r="AL48" s="347"/>
      <c r="AM48" s="347"/>
      <c r="AN48" s="347"/>
    </row>
    <row r="49" spans="1:26" ht="12.75">
      <c r="A49" s="40">
        <v>25</v>
      </c>
      <c r="B49" s="64" t="s">
        <v>517</v>
      </c>
      <c r="C49" s="64" t="s">
        <v>517</v>
      </c>
      <c r="D49" s="64" t="s">
        <v>524</v>
      </c>
      <c r="E49" s="64" t="s">
        <v>524</v>
      </c>
      <c r="F49" s="64" t="s">
        <v>524</v>
      </c>
      <c r="G49" s="64" t="s">
        <v>514</v>
      </c>
      <c r="H49" s="64" t="s">
        <v>514</v>
      </c>
      <c r="I49" s="64" t="s">
        <v>514</v>
      </c>
      <c r="J49" s="64" t="s">
        <v>514</v>
      </c>
      <c r="K49" s="64" t="s">
        <v>514</v>
      </c>
      <c r="L49" s="64" t="s">
        <v>514</v>
      </c>
      <c r="M49" s="64" t="s">
        <v>514</v>
      </c>
      <c r="N49" s="347"/>
      <c r="O49" s="82" t="str">
        <v>Csa</v>
      </c>
      <c r="P49" s="351" t="str">
        <v>Hot Mediterranean</v>
      </c>
      <c r="Q49" s="347">
        <v>0</v>
      </c>
      <c r="R49" s="346">
        <v>0</v>
      </c>
      <c r="S49" s="428" t="s">
        <v>552</v>
      </c>
      <c r="T49" s="497"/>
      <c r="U49" s="497"/>
      <c r="V49" s="497"/>
      <c r="W49" s="497"/>
      <c r="X49" s="497"/>
      <c r="Y49" s="497"/>
      <c r="Z49" s="498"/>
    </row>
    <row r="50" spans="1:26" ht="12.75">
      <c r="A50" s="40">
        <v>20</v>
      </c>
      <c r="B50" s="64" t="s">
        <v>514</v>
      </c>
      <c r="C50" s="64" t="s">
        <v>514</v>
      </c>
      <c r="D50" s="64" t="s">
        <v>514</v>
      </c>
      <c r="E50" s="64" t="s">
        <v>514</v>
      </c>
      <c r="F50" s="64" t="s">
        <v>514</v>
      </c>
      <c r="G50" s="64" t="s">
        <v>514</v>
      </c>
      <c r="H50" s="64" t="s">
        <v>511</v>
      </c>
      <c r="I50" s="64" t="s">
        <v>511</v>
      </c>
      <c r="J50" s="64" t="s">
        <v>511</v>
      </c>
      <c r="K50" s="64" t="s">
        <v>511</v>
      </c>
      <c r="L50" s="64" t="s">
        <v>511</v>
      </c>
      <c r="M50" s="64" t="s">
        <v>511</v>
      </c>
      <c r="N50" s="347"/>
      <c r="O50" s="82" t="str">
        <v>Csb</v>
      </c>
      <c r="P50" s="351" t="str">
        <v>Warm Mediterranean</v>
      </c>
      <c r="Q50" s="347">
        <v>0</v>
      </c>
      <c r="R50" s="346">
        <v>0</v>
      </c>
      <c r="S50" s="428" t="s">
        <v>555</v>
      </c>
      <c r="T50" s="497"/>
      <c r="U50" s="497"/>
      <c r="V50" s="497"/>
      <c r="W50" s="497"/>
      <c r="X50" s="497"/>
      <c r="Y50" s="497"/>
      <c r="Z50" s="498"/>
    </row>
    <row r="51" spans="1:26" ht="12.75">
      <c r="A51" s="40">
        <v>15</v>
      </c>
      <c r="B51" s="64" t="s">
        <v>511</v>
      </c>
      <c r="C51" s="64" t="s">
        <v>511</v>
      </c>
      <c r="D51" s="64" t="s">
        <v>511</v>
      </c>
      <c r="E51" s="64" t="s">
        <v>511</v>
      </c>
      <c r="F51" s="64" t="s">
        <v>511</v>
      </c>
      <c r="G51" s="64" t="s">
        <v>511</v>
      </c>
      <c r="H51" s="64" t="s">
        <v>511</v>
      </c>
      <c r="I51" s="64" t="s">
        <v>511</v>
      </c>
      <c r="J51" s="64" t="s">
        <v>511</v>
      </c>
      <c r="K51" s="64" t="s">
        <v>511</v>
      </c>
      <c r="L51" s="64" t="s">
        <v>511</v>
      </c>
      <c r="M51" s="64" t="s">
        <v>511</v>
      </c>
      <c r="N51" s="347"/>
      <c r="O51" s="82" t="str">
        <v>Csc</v>
      </c>
      <c r="P51" s="351" t="str">
        <v>Cold Mediterranean</v>
      </c>
      <c r="Q51" s="347">
        <v>0</v>
      </c>
      <c r="R51" s="346">
        <v>0</v>
      </c>
      <c r="S51" s="428" t="s">
        <v>558</v>
      </c>
      <c r="T51" s="497"/>
      <c r="U51" s="497"/>
      <c r="V51" s="497"/>
      <c r="W51" s="497"/>
      <c r="X51" s="497"/>
      <c r="Y51" s="497"/>
      <c r="Z51" s="498"/>
    </row>
    <row r="52" spans="1:26" ht="12.75">
      <c r="A52" s="40">
        <v>10</v>
      </c>
      <c r="B52" s="64" t="s">
        <v>559</v>
      </c>
      <c r="C52" s="64" t="s">
        <v>559</v>
      </c>
      <c r="D52" s="64" t="s">
        <v>559</v>
      </c>
      <c r="E52" s="64" t="s">
        <v>559</v>
      </c>
      <c r="F52" s="64" t="s">
        <v>559</v>
      </c>
      <c r="G52" s="64" t="s">
        <v>559</v>
      </c>
      <c r="H52" s="64" t="s">
        <v>559</v>
      </c>
      <c r="I52" s="64" t="s">
        <v>559</v>
      </c>
      <c r="J52" s="64" t="s">
        <v>559</v>
      </c>
      <c r="K52" s="64" t="s">
        <v>559</v>
      </c>
      <c r="L52" s="64" t="s">
        <v>559</v>
      </c>
      <c r="M52" s="64" t="s">
        <v>559</v>
      </c>
      <c r="N52" s="347"/>
      <c r="O52" s="82" t="str">
        <v>Dfa</v>
      </c>
      <c r="P52" s="351" t="str">
        <v>Hot Humid Continental</v>
      </c>
      <c r="Q52" s="347">
        <v>0</v>
      </c>
      <c r="R52" s="346">
        <v>0</v>
      </c>
      <c r="S52" s="428" t="s">
        <v>561</v>
      </c>
      <c r="T52" s="497"/>
      <c r="U52" s="497"/>
      <c r="V52" s="497"/>
      <c r="W52" s="497"/>
      <c r="X52" s="497"/>
      <c r="Y52" s="497"/>
      <c r="Z52" s="498"/>
    </row>
    <row r="53" spans="1:26" ht="13.5" thickBot="1">
      <c r="A53" s="42">
        <v>5</v>
      </c>
      <c r="B53" s="66" t="s">
        <v>559</v>
      </c>
      <c r="C53" s="66" t="s">
        <v>559</v>
      </c>
      <c r="D53" s="66" t="s">
        <v>559</v>
      </c>
      <c r="E53" s="66" t="s">
        <v>559</v>
      </c>
      <c r="F53" s="66" t="s">
        <v>559</v>
      </c>
      <c r="G53" s="66" t="s">
        <v>559</v>
      </c>
      <c r="H53" s="66" t="s">
        <v>559</v>
      </c>
      <c r="I53" s="66" t="s">
        <v>559</v>
      </c>
      <c r="J53" s="66" t="s">
        <v>559</v>
      </c>
      <c r="K53" s="66" t="s">
        <v>559</v>
      </c>
      <c r="L53" s="66" t="s">
        <v>559</v>
      </c>
      <c r="M53" s="66" t="s">
        <v>559</v>
      </c>
      <c r="N53" s="347"/>
      <c r="O53" s="82" t="str">
        <v>Dfb</v>
      </c>
      <c r="P53" s="351" t="str">
        <v>Warm Humid Continental</v>
      </c>
      <c r="Q53" s="347">
        <v>0</v>
      </c>
      <c r="R53" s="346">
        <v>0</v>
      </c>
      <c r="S53" s="428" t="s">
        <v>563</v>
      </c>
      <c r="T53" s="497"/>
      <c r="U53" s="497"/>
      <c r="V53" s="497"/>
      <c r="W53" s="497"/>
      <c r="X53" s="497"/>
      <c r="Y53" s="497"/>
      <c r="Z53" s="498"/>
    </row>
    <row r="54" spans="1:26" ht="14.25" thickTop="1" thickBot="1">
      <c r="A54" s="347"/>
      <c r="B54" s="347"/>
      <c r="C54" s="347"/>
      <c r="D54" s="347"/>
      <c r="E54" s="347"/>
      <c r="F54" s="347"/>
      <c r="G54" s="347"/>
      <c r="H54" s="347"/>
      <c r="I54" s="347"/>
      <c r="J54" s="347"/>
      <c r="K54" s="347"/>
      <c r="L54" s="347"/>
      <c r="M54" s="347"/>
      <c r="N54" s="347"/>
      <c r="O54" s="82" t="str">
        <v>Dfc</v>
      </c>
      <c r="P54" s="351" t="str">
        <v>Subarctic</v>
      </c>
      <c r="Q54" s="347">
        <v>0</v>
      </c>
      <c r="R54" s="346">
        <v>0</v>
      </c>
      <c r="S54" s="428" t="s">
        <v>565</v>
      </c>
      <c r="T54" s="497"/>
      <c r="U54" s="497"/>
      <c r="V54" s="497"/>
      <c r="W54" s="497"/>
      <c r="X54" s="497"/>
      <c r="Y54" s="497"/>
      <c r="Z54" s="498"/>
    </row>
    <row r="55" spans="1:26" ht="14.25" thickTop="1" thickBot="1">
      <c r="A55" s="400" t="s">
        <v>566</v>
      </c>
      <c r="B55" s="444"/>
      <c r="C55" s="444"/>
      <c r="D55" s="444"/>
      <c r="E55" s="444"/>
      <c r="F55" s="444"/>
      <c r="G55" s="444"/>
      <c r="H55" s="444"/>
      <c r="I55" s="444"/>
      <c r="J55" s="444"/>
      <c r="K55" s="444"/>
      <c r="L55" s="444"/>
      <c r="M55" s="500"/>
      <c r="N55" s="347"/>
      <c r="O55" s="82" t="str">
        <v>Dfd</v>
      </c>
      <c r="P55" s="351" t="str">
        <v>Extremely Cold Subarctic</v>
      </c>
      <c r="Q55" s="347">
        <v>0</v>
      </c>
      <c r="R55" s="346">
        <v>0</v>
      </c>
      <c r="S55" s="428" t="s">
        <v>569</v>
      </c>
      <c r="T55" s="497"/>
      <c r="U55" s="497"/>
      <c r="V55" s="497"/>
      <c r="W55" s="497"/>
      <c r="X55" s="497"/>
      <c r="Y55" s="497"/>
      <c r="Z55" s="498"/>
    </row>
    <row r="56" spans="1:26" ht="14.25" thickTop="1" thickBot="1">
      <c r="A56" s="332" t="s">
        <v>21</v>
      </c>
      <c r="B56" s="397" t="s">
        <v>502</v>
      </c>
      <c r="C56" s="499"/>
      <c r="D56" s="397" t="s">
        <v>503</v>
      </c>
      <c r="E56" s="499"/>
      <c r="F56" s="397" t="s">
        <v>504</v>
      </c>
      <c r="G56" s="501"/>
      <c r="H56" s="501"/>
      <c r="I56" s="499"/>
      <c r="J56" s="397" t="s">
        <v>505</v>
      </c>
      <c r="K56" s="499"/>
      <c r="L56" s="397" t="s">
        <v>506</v>
      </c>
      <c r="M56" s="499"/>
      <c r="N56" s="347"/>
      <c r="O56" s="82" t="str">
        <v>Dwa</v>
      </c>
      <c r="P56" s="351" t="str">
        <v>Hot Humid Continental Monsoon</v>
      </c>
      <c r="Q56" s="347">
        <v>0</v>
      </c>
      <c r="R56" s="346">
        <v>0</v>
      </c>
      <c r="S56" s="428" t="s">
        <v>572</v>
      </c>
      <c r="T56" s="497"/>
      <c r="U56" s="497"/>
      <c r="V56" s="497"/>
      <c r="W56" s="497"/>
      <c r="X56" s="497"/>
      <c r="Y56" s="497"/>
      <c r="Z56" s="498"/>
    </row>
    <row r="57" spans="1:26" ht="13.5" thickTop="1">
      <c r="A57" s="49">
        <v>90</v>
      </c>
      <c r="B57" s="62" t="s">
        <v>508</v>
      </c>
      <c r="C57" s="62" t="s">
        <v>508</v>
      </c>
      <c r="D57" s="62" t="s">
        <v>508</v>
      </c>
      <c r="E57" s="62" t="s">
        <v>508</v>
      </c>
      <c r="F57" s="62" t="s">
        <v>508</v>
      </c>
      <c r="G57" s="62" t="s">
        <v>508</v>
      </c>
      <c r="H57" s="62" t="s">
        <v>508</v>
      </c>
      <c r="I57" s="62" t="s">
        <v>508</v>
      </c>
      <c r="J57" s="62" t="s">
        <v>508</v>
      </c>
      <c r="K57" s="62" t="s">
        <v>508</v>
      </c>
      <c r="L57" s="62" t="s">
        <v>508</v>
      </c>
      <c r="M57" s="62" t="s">
        <v>508</v>
      </c>
      <c r="N57" s="347"/>
      <c r="O57" s="82" t="str">
        <v>Dwb</v>
      </c>
      <c r="P57" s="430" t="str">
        <v>Warm Humid Continental Monsoon</v>
      </c>
      <c r="Q57" s="495">
        <v>0</v>
      </c>
      <c r="R57" s="496">
        <v>0</v>
      </c>
      <c r="S57" s="428" t="s">
        <v>575</v>
      </c>
      <c r="T57" s="497"/>
      <c r="U57" s="497"/>
      <c r="V57" s="497"/>
      <c r="W57" s="497"/>
      <c r="X57" s="497"/>
      <c r="Y57" s="497"/>
      <c r="Z57" s="498"/>
    </row>
    <row r="58" spans="1:26" ht="12.75">
      <c r="A58" s="40">
        <v>85</v>
      </c>
      <c r="B58" s="64" t="s">
        <v>508</v>
      </c>
      <c r="C58" s="64" t="s">
        <v>508</v>
      </c>
      <c r="D58" s="64" t="s">
        <v>508</v>
      </c>
      <c r="E58" s="64" t="s">
        <v>508</v>
      </c>
      <c r="F58" s="64" t="s">
        <v>508</v>
      </c>
      <c r="G58" s="64" t="s">
        <v>508</v>
      </c>
      <c r="H58" s="64" t="s">
        <v>508</v>
      </c>
      <c r="I58" s="64" t="s">
        <v>508</v>
      </c>
      <c r="J58" s="64" t="s">
        <v>508</v>
      </c>
      <c r="K58" s="64" t="s">
        <v>508</v>
      </c>
      <c r="L58" s="64" t="s">
        <v>508</v>
      </c>
      <c r="M58" s="64" t="s">
        <v>508</v>
      </c>
      <c r="N58" s="347"/>
      <c r="O58" s="82" t="str">
        <v>Dwc</v>
      </c>
      <c r="P58" s="430" t="str">
        <v>Subarctic Monsoon</v>
      </c>
      <c r="Q58" s="495">
        <v>0</v>
      </c>
      <c r="R58" s="496">
        <v>0</v>
      </c>
      <c r="S58" s="428" t="s">
        <v>578</v>
      </c>
      <c r="T58" s="497"/>
      <c r="U58" s="497"/>
      <c r="V58" s="497"/>
      <c r="W58" s="497"/>
      <c r="X58" s="497"/>
      <c r="Y58" s="497"/>
      <c r="Z58" s="498"/>
    </row>
    <row r="59" spans="1:26" ht="12.75">
      <c r="A59" s="40">
        <v>80</v>
      </c>
      <c r="B59" s="64" t="s">
        <v>508</v>
      </c>
      <c r="C59" s="64" t="s">
        <v>508</v>
      </c>
      <c r="D59" s="64" t="s">
        <v>508</v>
      </c>
      <c r="E59" s="64" t="s">
        <v>508</v>
      </c>
      <c r="F59" s="64" t="s">
        <v>508</v>
      </c>
      <c r="G59" s="64" t="s">
        <v>508</v>
      </c>
      <c r="H59" s="64" t="s">
        <v>508</v>
      </c>
      <c r="I59" s="64" t="s">
        <v>508</v>
      </c>
      <c r="J59" s="64" t="s">
        <v>508</v>
      </c>
      <c r="K59" s="64" t="s">
        <v>508</v>
      </c>
      <c r="L59" s="64" t="s">
        <v>508</v>
      </c>
      <c r="M59" s="64" t="s">
        <v>508</v>
      </c>
      <c r="N59" s="347"/>
      <c r="O59" s="82" t="str">
        <v>Dwd</v>
      </c>
      <c r="P59" s="351" t="str">
        <v>Extremely Cold Subarctic Monsoon</v>
      </c>
      <c r="Q59" s="347">
        <v>0</v>
      </c>
      <c r="R59" s="346">
        <v>0</v>
      </c>
      <c r="S59" s="428" t="s">
        <v>581</v>
      </c>
      <c r="T59" s="497"/>
      <c r="U59" s="497"/>
      <c r="V59" s="497"/>
      <c r="W59" s="497"/>
      <c r="X59" s="497"/>
      <c r="Y59" s="497"/>
      <c r="Z59" s="498"/>
    </row>
    <row r="60" spans="1:26" ht="12.75">
      <c r="A60" s="40">
        <v>75</v>
      </c>
      <c r="B60" s="64" t="s">
        <v>508</v>
      </c>
      <c r="C60" s="64" t="s">
        <v>508</v>
      </c>
      <c r="D60" s="64" t="s">
        <v>508</v>
      </c>
      <c r="E60" s="64" t="s">
        <v>508</v>
      </c>
      <c r="F60" s="64" t="s">
        <v>508</v>
      </c>
      <c r="G60" s="64" t="s">
        <v>508</v>
      </c>
      <c r="H60" s="64" t="s">
        <v>508</v>
      </c>
      <c r="I60" s="64" t="s">
        <v>508</v>
      </c>
      <c r="J60" s="64" t="s">
        <v>508</v>
      </c>
      <c r="K60" s="64" t="s">
        <v>508</v>
      </c>
      <c r="L60" s="64" t="s">
        <v>508</v>
      </c>
      <c r="M60" s="64" t="s">
        <v>508</v>
      </c>
      <c r="N60" s="347"/>
      <c r="O60" s="82" t="str">
        <v>Dsa</v>
      </c>
      <c r="P60" s="351" t="str">
        <v>Hot Humid Continental Mediterranean</v>
      </c>
      <c r="Q60" s="347">
        <v>0</v>
      </c>
      <c r="R60" s="346">
        <v>0</v>
      </c>
      <c r="S60" s="428" t="s">
        <v>584</v>
      </c>
      <c r="T60" s="497"/>
      <c r="U60" s="497"/>
      <c r="V60" s="497"/>
      <c r="W60" s="497"/>
      <c r="X60" s="497"/>
      <c r="Y60" s="497"/>
      <c r="Z60" s="498"/>
    </row>
    <row r="61" spans="1:26" ht="12.75">
      <c r="A61" s="40">
        <v>70</v>
      </c>
      <c r="B61" s="64" t="s">
        <v>585</v>
      </c>
      <c r="C61" s="64" t="s">
        <v>585</v>
      </c>
      <c r="D61" s="64" t="s">
        <v>585</v>
      </c>
      <c r="E61" s="64" t="s">
        <v>585</v>
      </c>
      <c r="F61" s="64" t="s">
        <v>507</v>
      </c>
      <c r="G61" s="64" t="s">
        <v>507</v>
      </c>
      <c r="H61" s="64" t="s">
        <v>507</v>
      </c>
      <c r="I61" s="64" t="s">
        <v>507</v>
      </c>
      <c r="J61" s="64" t="s">
        <v>576</v>
      </c>
      <c r="K61" s="64" t="s">
        <v>576</v>
      </c>
      <c r="L61" s="64" t="s">
        <v>508</v>
      </c>
      <c r="M61" s="64" t="s">
        <v>508</v>
      </c>
      <c r="N61" s="347"/>
      <c r="O61" s="82" t="str">
        <v>Dsb</v>
      </c>
      <c r="P61" s="351" t="str">
        <v>Warm Humid Continental Mediterranean</v>
      </c>
      <c r="Q61" s="347">
        <v>0</v>
      </c>
      <c r="R61" s="346">
        <v>0</v>
      </c>
      <c r="S61" s="428" t="s">
        <v>588</v>
      </c>
      <c r="T61" s="497"/>
      <c r="U61" s="497"/>
      <c r="V61" s="497"/>
      <c r="W61" s="497"/>
      <c r="X61" s="497"/>
      <c r="Y61" s="497"/>
      <c r="Z61" s="498"/>
    </row>
    <row r="62" spans="1:26" ht="12.75">
      <c r="A62" s="40">
        <v>65</v>
      </c>
      <c r="B62" s="64" t="s">
        <v>585</v>
      </c>
      <c r="C62" s="64" t="s">
        <v>585</v>
      </c>
      <c r="D62" s="64" t="s">
        <v>585</v>
      </c>
      <c r="E62" s="64" t="s">
        <v>585</v>
      </c>
      <c r="F62" s="64" t="s">
        <v>507</v>
      </c>
      <c r="G62" s="64" t="s">
        <v>507</v>
      </c>
      <c r="H62" s="64" t="s">
        <v>507</v>
      </c>
      <c r="I62" s="64" t="s">
        <v>507</v>
      </c>
      <c r="J62" s="64" t="s">
        <v>576</v>
      </c>
      <c r="K62" s="64" t="s">
        <v>576</v>
      </c>
      <c r="L62" s="64" t="s">
        <v>508</v>
      </c>
      <c r="M62" s="64" t="s">
        <v>508</v>
      </c>
      <c r="N62" s="347"/>
      <c r="O62" s="82" t="str">
        <v>Dsc</v>
      </c>
      <c r="P62" s="351" t="str">
        <v>Subarctic Continental Mediterranean</v>
      </c>
      <c r="Q62" s="347">
        <v>0</v>
      </c>
      <c r="R62" s="346">
        <v>0</v>
      </c>
      <c r="S62" s="428" t="s">
        <v>590</v>
      </c>
      <c r="T62" s="497"/>
      <c r="U62" s="497"/>
      <c r="V62" s="497"/>
      <c r="W62" s="497"/>
      <c r="X62" s="497"/>
      <c r="Y62" s="497"/>
      <c r="Z62" s="498"/>
    </row>
    <row r="63" spans="1:26" ht="12.75">
      <c r="A63" s="40">
        <v>60</v>
      </c>
      <c r="B63" s="64" t="s">
        <v>585</v>
      </c>
      <c r="C63" s="64" t="s">
        <v>585</v>
      </c>
      <c r="D63" s="64" t="s">
        <v>520</v>
      </c>
      <c r="E63" s="64" t="s">
        <v>520</v>
      </c>
      <c r="F63" s="64" t="s">
        <v>507</v>
      </c>
      <c r="G63" s="64" t="s">
        <v>507</v>
      </c>
      <c r="H63" s="64" t="s">
        <v>507</v>
      </c>
      <c r="I63" s="64" t="s">
        <v>507</v>
      </c>
      <c r="J63" s="64" t="s">
        <v>576</v>
      </c>
      <c r="K63" s="64" t="s">
        <v>576</v>
      </c>
      <c r="L63" s="64" t="s">
        <v>576</v>
      </c>
      <c r="M63" s="64" t="s">
        <v>576</v>
      </c>
      <c r="N63" s="347"/>
      <c r="O63" s="82" t="str">
        <v>ET</v>
      </c>
      <c r="P63" s="351" t="str">
        <v>Tundra</v>
      </c>
      <c r="Q63" s="347">
        <v>0</v>
      </c>
      <c r="R63" s="346">
        <v>0</v>
      </c>
      <c r="S63" s="428" t="s">
        <v>592</v>
      </c>
      <c r="T63" s="497"/>
      <c r="U63" s="497"/>
      <c r="V63" s="497"/>
      <c r="W63" s="497"/>
      <c r="X63" s="497"/>
      <c r="Y63" s="497"/>
      <c r="Z63" s="498"/>
    </row>
    <row r="64" spans="1:26" ht="13.5" thickBot="1">
      <c r="A64" s="40">
        <v>55</v>
      </c>
      <c r="B64" s="64" t="s">
        <v>586</v>
      </c>
      <c r="C64" s="64" t="s">
        <v>586</v>
      </c>
      <c r="D64" s="64" t="s">
        <v>520</v>
      </c>
      <c r="E64" s="64" t="s">
        <v>520</v>
      </c>
      <c r="F64" s="64" t="s">
        <v>520</v>
      </c>
      <c r="G64" s="64" t="s">
        <v>520</v>
      </c>
      <c r="H64" s="64" t="s">
        <v>520</v>
      </c>
      <c r="I64" s="64" t="s">
        <v>520</v>
      </c>
      <c r="J64" s="64" t="s">
        <v>576</v>
      </c>
      <c r="K64" s="64" t="s">
        <v>576</v>
      </c>
      <c r="L64" s="64" t="s">
        <v>576</v>
      </c>
      <c r="M64" s="64" t="s">
        <v>576</v>
      </c>
      <c r="N64" s="347"/>
      <c r="O64" s="83" t="str">
        <v>EF</v>
      </c>
      <c r="P64" s="352" t="str">
        <v>Ice Cap</v>
      </c>
      <c r="Q64" s="344">
        <v>0</v>
      </c>
      <c r="R64" s="345">
        <v>0</v>
      </c>
      <c r="S64" s="429" t="s">
        <v>594</v>
      </c>
      <c r="T64" s="446"/>
      <c r="U64" s="446"/>
      <c r="V64" s="446"/>
      <c r="W64" s="446"/>
      <c r="X64" s="446"/>
      <c r="Y64" s="446"/>
      <c r="Z64" s="502"/>
    </row>
    <row r="65" spans="1:40" ht="13.5" thickTop="1">
      <c r="A65" s="40">
        <v>50</v>
      </c>
      <c r="B65" s="64" t="s">
        <v>586</v>
      </c>
      <c r="C65" s="64" t="s">
        <v>586</v>
      </c>
      <c r="D65" s="64" t="s">
        <v>520</v>
      </c>
      <c r="E65" s="64" t="s">
        <v>520</v>
      </c>
      <c r="F65" s="64" t="s">
        <v>520</v>
      </c>
      <c r="G65" s="64" t="s">
        <v>520</v>
      </c>
      <c r="H65" s="64" t="s">
        <v>520</v>
      </c>
      <c r="I65" s="64" t="s">
        <v>520</v>
      </c>
      <c r="J65" s="64" t="s">
        <v>520</v>
      </c>
      <c r="K65" s="64" t="s">
        <v>520</v>
      </c>
      <c r="L65" s="64" t="s">
        <v>520</v>
      </c>
      <c r="M65" s="64" t="s">
        <v>520</v>
      </c>
      <c r="N65" s="347"/>
      <c r="O65" s="347"/>
      <c r="P65" s="347"/>
      <c r="Q65" s="347"/>
      <c r="R65" s="347"/>
      <c r="S65" s="347"/>
      <c r="T65" s="347"/>
      <c r="U65" s="347"/>
      <c r="V65" s="347"/>
      <c r="W65" s="347"/>
      <c r="X65" s="347"/>
      <c r="Y65" s="347"/>
      <c r="Z65" s="347"/>
      <c r="AA65" s="347"/>
      <c r="AB65" s="347"/>
      <c r="AC65" s="347"/>
      <c r="AD65" s="347"/>
      <c r="AE65" s="347"/>
      <c r="AF65" s="347"/>
      <c r="AG65" s="347"/>
      <c r="AH65" s="347"/>
      <c r="AI65" s="347"/>
      <c r="AJ65" s="347"/>
      <c r="AK65" s="347"/>
      <c r="AL65" s="347"/>
      <c r="AM65" s="347"/>
      <c r="AN65" s="347"/>
    </row>
    <row r="66" spans="1:40" ht="12.75">
      <c r="A66" s="40">
        <v>45</v>
      </c>
      <c r="B66" s="64" t="s">
        <v>553</v>
      </c>
      <c r="C66" s="64" t="s">
        <v>586</v>
      </c>
      <c r="D66" s="64" t="s">
        <v>582</v>
      </c>
      <c r="E66" s="64" t="s">
        <v>528</v>
      </c>
      <c r="F66" s="64" t="s">
        <v>528</v>
      </c>
      <c r="G66" s="64" t="s">
        <v>528</v>
      </c>
      <c r="H66" s="64" t="s">
        <v>528</v>
      </c>
      <c r="I66" s="64" t="s">
        <v>528</v>
      </c>
      <c r="J66" s="64" t="s">
        <v>520</v>
      </c>
      <c r="K66" s="64" t="s">
        <v>520</v>
      </c>
      <c r="L66" s="64" t="s">
        <v>520</v>
      </c>
      <c r="M66" s="64" t="s">
        <v>520</v>
      </c>
      <c r="N66" s="347"/>
      <c r="O66" s="347"/>
      <c r="P66" s="347"/>
      <c r="Q66" s="347"/>
      <c r="R66" s="347"/>
      <c r="S66" s="347"/>
      <c r="T66" s="347"/>
      <c r="U66" s="347"/>
      <c r="V66" s="347"/>
      <c r="W66" s="347"/>
      <c r="X66" s="347"/>
      <c r="Y66" s="347"/>
      <c r="Z66" s="347"/>
      <c r="AA66" s="347"/>
      <c r="AB66" s="347"/>
      <c r="AC66" s="347"/>
      <c r="AD66" s="347"/>
      <c r="AE66" s="347"/>
      <c r="AF66" s="347"/>
      <c r="AG66" s="347"/>
      <c r="AH66" s="347"/>
      <c r="AI66" s="347"/>
      <c r="AJ66" s="347"/>
      <c r="AK66" s="347"/>
      <c r="AL66" s="347"/>
      <c r="AM66" s="347"/>
      <c r="AN66" s="347"/>
    </row>
    <row r="67" spans="1:40" ht="12.75">
      <c r="A67" s="40">
        <v>40</v>
      </c>
      <c r="B67" s="64" t="s">
        <v>553</v>
      </c>
      <c r="C67" s="64" t="s">
        <v>553</v>
      </c>
      <c r="D67" s="64" t="s">
        <v>582</v>
      </c>
      <c r="E67" s="64" t="s">
        <v>582</v>
      </c>
      <c r="F67" s="64" t="s">
        <v>521</v>
      </c>
      <c r="G67" s="64" t="s">
        <v>528</v>
      </c>
      <c r="H67" s="64" t="s">
        <v>528</v>
      </c>
      <c r="I67" s="64" t="s">
        <v>528</v>
      </c>
      <c r="J67" s="64" t="s">
        <v>528</v>
      </c>
      <c r="K67" s="64" t="s">
        <v>528</v>
      </c>
      <c r="L67" s="64" t="s">
        <v>528</v>
      </c>
      <c r="M67" s="64" t="s">
        <v>528</v>
      </c>
      <c r="N67" s="347"/>
      <c r="O67" s="347"/>
      <c r="P67" s="347"/>
      <c r="Q67" s="347"/>
      <c r="R67" s="347"/>
      <c r="S67" s="347"/>
      <c r="T67" s="347"/>
      <c r="U67" s="347"/>
      <c r="V67" s="347"/>
      <c r="W67" s="347"/>
      <c r="X67" s="347"/>
      <c r="Y67" s="347"/>
      <c r="Z67" s="347"/>
      <c r="AA67" s="347"/>
      <c r="AB67" s="347"/>
      <c r="AC67" s="347"/>
      <c r="AD67" s="347"/>
      <c r="AE67" s="347"/>
      <c r="AF67" s="347"/>
      <c r="AG67" s="347"/>
      <c r="AH67" s="347"/>
      <c r="AI67" s="347"/>
      <c r="AJ67" s="347"/>
      <c r="AK67" s="347"/>
      <c r="AL67" s="347"/>
      <c r="AM67" s="347"/>
      <c r="AN67" s="347"/>
    </row>
    <row r="68" spans="1:40" ht="12.75">
      <c r="A68" s="40">
        <v>35</v>
      </c>
      <c r="B68" s="64" t="s">
        <v>553</v>
      </c>
      <c r="C68" s="64" t="s">
        <v>521</v>
      </c>
      <c r="D68" s="64" t="s">
        <v>521</v>
      </c>
      <c r="E68" s="64" t="s">
        <v>521</v>
      </c>
      <c r="F68" s="64" t="s">
        <v>521</v>
      </c>
      <c r="G68" s="64" t="s">
        <v>545</v>
      </c>
      <c r="H68" s="64" t="s">
        <v>545</v>
      </c>
      <c r="I68" s="64" t="s">
        <v>545</v>
      </c>
      <c r="J68" s="64" t="s">
        <v>545</v>
      </c>
      <c r="K68" s="64" t="s">
        <v>528</v>
      </c>
      <c r="L68" s="64" t="s">
        <v>528</v>
      </c>
      <c r="M68" s="64" t="s">
        <v>528</v>
      </c>
      <c r="N68" s="347"/>
      <c r="O68" s="347"/>
      <c r="P68" s="347"/>
      <c r="Q68" s="347"/>
      <c r="R68" s="347"/>
      <c r="S68" s="347"/>
      <c r="T68" s="347"/>
      <c r="U68" s="347"/>
      <c r="V68" s="347"/>
      <c r="W68" s="347"/>
      <c r="X68" s="347"/>
      <c r="Y68" s="347"/>
      <c r="Z68" s="347"/>
      <c r="AA68" s="347"/>
      <c r="AB68" s="347"/>
      <c r="AC68" s="347"/>
      <c r="AD68" s="347"/>
      <c r="AE68" s="347"/>
      <c r="AF68" s="347"/>
      <c r="AG68" s="347"/>
      <c r="AH68" s="347"/>
      <c r="AI68" s="347"/>
      <c r="AJ68" s="347"/>
      <c r="AK68" s="347"/>
      <c r="AL68" s="347"/>
      <c r="AM68" s="347"/>
      <c r="AN68" s="347"/>
    </row>
    <row r="69" spans="1:40" ht="12.75">
      <c r="A69" s="40">
        <v>30</v>
      </c>
      <c r="B69" s="64" t="s">
        <v>553</v>
      </c>
      <c r="C69" s="64" t="s">
        <v>521</v>
      </c>
      <c r="D69" s="64" t="s">
        <v>521</v>
      </c>
      <c r="E69" s="64" t="s">
        <v>521</v>
      </c>
      <c r="F69" s="64" t="s">
        <v>521</v>
      </c>
      <c r="G69" s="64" t="s">
        <v>545</v>
      </c>
      <c r="H69" s="64" t="s">
        <v>527</v>
      </c>
      <c r="I69" s="64" t="s">
        <v>527</v>
      </c>
      <c r="J69" s="64" t="s">
        <v>527</v>
      </c>
      <c r="K69" s="64" t="s">
        <v>527</v>
      </c>
      <c r="L69" s="64" t="s">
        <v>527</v>
      </c>
      <c r="M69" s="64" t="s">
        <v>527</v>
      </c>
      <c r="N69" s="347"/>
      <c r="O69" s="347"/>
      <c r="P69" s="347"/>
      <c r="Q69" s="347"/>
      <c r="R69" s="347"/>
      <c r="S69" s="347"/>
      <c r="T69" s="347"/>
      <c r="U69" s="347"/>
      <c r="V69" s="347"/>
      <c r="W69" s="347"/>
      <c r="X69" s="347"/>
      <c r="Y69" s="347"/>
      <c r="Z69" s="347"/>
      <c r="AA69" s="347"/>
      <c r="AB69" s="347"/>
      <c r="AC69" s="347"/>
      <c r="AD69" s="347"/>
      <c r="AE69" s="347"/>
      <c r="AF69" s="347"/>
      <c r="AG69" s="347"/>
      <c r="AH69" s="347"/>
      <c r="AI69" s="347"/>
      <c r="AJ69" s="347"/>
      <c r="AK69" s="347"/>
      <c r="AL69" s="347"/>
      <c r="AM69" s="347"/>
      <c r="AN69" s="347"/>
    </row>
    <row r="70" spans="1:40" ht="12.75">
      <c r="A70" s="40">
        <v>25</v>
      </c>
      <c r="B70" s="64" t="s">
        <v>524</v>
      </c>
      <c r="C70" s="64" t="s">
        <v>524</v>
      </c>
      <c r="D70" s="64" t="s">
        <v>529</v>
      </c>
      <c r="E70" s="64" t="s">
        <v>529</v>
      </c>
      <c r="F70" s="64" t="s">
        <v>529</v>
      </c>
      <c r="G70" s="64" t="s">
        <v>542</v>
      </c>
      <c r="H70" s="64" t="s">
        <v>542</v>
      </c>
      <c r="I70" s="64" t="s">
        <v>542</v>
      </c>
      <c r="J70" s="64" t="s">
        <v>542</v>
      </c>
      <c r="K70" s="64" t="s">
        <v>542</v>
      </c>
      <c r="L70" s="64" t="s">
        <v>542</v>
      </c>
      <c r="M70" s="64" t="s">
        <v>542</v>
      </c>
      <c r="N70" s="347"/>
      <c r="O70" s="347"/>
      <c r="P70" s="347"/>
      <c r="Q70" s="347"/>
      <c r="R70" s="347"/>
      <c r="S70" s="347"/>
      <c r="T70" s="347"/>
      <c r="U70" s="347"/>
      <c r="V70" s="347"/>
      <c r="W70" s="347"/>
      <c r="X70" s="347"/>
      <c r="Y70" s="347"/>
      <c r="Z70" s="347"/>
      <c r="AA70" s="347"/>
      <c r="AB70" s="347"/>
      <c r="AC70" s="347"/>
      <c r="AD70" s="347"/>
      <c r="AE70" s="347"/>
      <c r="AF70" s="347"/>
      <c r="AG70" s="347"/>
      <c r="AH70" s="347"/>
      <c r="AI70" s="347"/>
      <c r="AJ70" s="347"/>
      <c r="AK70" s="347"/>
      <c r="AL70" s="347"/>
      <c r="AM70" s="347"/>
      <c r="AN70" s="347"/>
    </row>
    <row r="71" spans="1:40" ht="12.75">
      <c r="A71" s="40">
        <v>20</v>
      </c>
      <c r="B71" s="64" t="s">
        <v>524</v>
      </c>
      <c r="C71" s="64" t="s">
        <v>524</v>
      </c>
      <c r="D71" s="64" t="s">
        <v>524</v>
      </c>
      <c r="E71" s="64" t="s">
        <v>524</v>
      </c>
      <c r="F71" s="64" t="s">
        <v>524</v>
      </c>
      <c r="G71" s="64" t="s">
        <v>524</v>
      </c>
      <c r="H71" s="64" t="s">
        <v>527</v>
      </c>
      <c r="I71" s="64" t="s">
        <v>527</v>
      </c>
      <c r="J71" s="64" t="s">
        <v>527</v>
      </c>
      <c r="K71" s="64" t="s">
        <v>527</v>
      </c>
      <c r="L71" s="64" t="s">
        <v>527</v>
      </c>
      <c r="M71" s="64" t="s">
        <v>527</v>
      </c>
      <c r="N71" s="347"/>
      <c r="O71" s="347"/>
      <c r="P71" s="347"/>
      <c r="Q71" s="347"/>
      <c r="R71" s="347"/>
      <c r="S71" s="347"/>
      <c r="T71" s="347"/>
      <c r="U71" s="347"/>
      <c r="V71" s="347"/>
      <c r="W71" s="347"/>
      <c r="X71" s="347"/>
      <c r="Y71" s="347"/>
      <c r="Z71" s="347"/>
      <c r="AA71" s="347"/>
      <c r="AB71" s="347"/>
      <c r="AC71" s="347"/>
      <c r="AD71" s="347"/>
      <c r="AE71" s="347"/>
      <c r="AF71" s="347"/>
      <c r="AG71" s="347"/>
      <c r="AH71" s="347"/>
      <c r="AI71" s="347"/>
      <c r="AJ71" s="347"/>
      <c r="AK71" s="347"/>
      <c r="AL71" s="347"/>
      <c r="AM71" s="347"/>
      <c r="AN71" s="347"/>
    </row>
    <row r="72" spans="1:40" ht="12.75">
      <c r="A72" s="40">
        <v>15</v>
      </c>
      <c r="B72" s="64" t="s">
        <v>527</v>
      </c>
      <c r="C72" s="64" t="s">
        <v>527</v>
      </c>
      <c r="D72" s="64" t="s">
        <v>527</v>
      </c>
      <c r="E72" s="64" t="s">
        <v>527</v>
      </c>
      <c r="F72" s="64" t="s">
        <v>527</v>
      </c>
      <c r="G72" s="64" t="s">
        <v>527</v>
      </c>
      <c r="H72" s="64" t="s">
        <v>527</v>
      </c>
      <c r="I72" s="64" t="s">
        <v>527</v>
      </c>
      <c r="J72" s="64" t="s">
        <v>527</v>
      </c>
      <c r="K72" s="64" t="s">
        <v>527</v>
      </c>
      <c r="L72" s="64" t="s">
        <v>527</v>
      </c>
      <c r="M72" s="64" t="s">
        <v>527</v>
      </c>
      <c r="N72" s="347"/>
      <c r="O72" s="347"/>
      <c r="P72" s="347"/>
      <c r="Q72" s="347"/>
      <c r="R72" s="347"/>
      <c r="S72" s="347"/>
      <c r="T72" s="347"/>
      <c r="U72" s="347"/>
      <c r="V72" s="347"/>
      <c r="W72" s="347"/>
      <c r="X72" s="347"/>
      <c r="Y72" s="347"/>
      <c r="Z72" s="347"/>
      <c r="AA72" s="347"/>
      <c r="AB72" s="347"/>
      <c r="AC72" s="347"/>
      <c r="AD72" s="347"/>
      <c r="AE72" s="347"/>
      <c r="AF72" s="347"/>
      <c r="AG72" s="347"/>
      <c r="AH72" s="347"/>
      <c r="AI72" s="347"/>
      <c r="AJ72" s="347"/>
      <c r="AK72" s="347"/>
      <c r="AL72" s="347"/>
      <c r="AM72" s="347"/>
      <c r="AN72" s="347"/>
    </row>
    <row r="73" spans="1:40" ht="12.75">
      <c r="A73" s="40">
        <v>10</v>
      </c>
      <c r="B73" s="64" t="s">
        <v>527</v>
      </c>
      <c r="C73" s="64" t="s">
        <v>527</v>
      </c>
      <c r="D73" s="64" t="s">
        <v>527</v>
      </c>
      <c r="E73" s="64" t="s">
        <v>527</v>
      </c>
      <c r="F73" s="64" t="s">
        <v>527</v>
      </c>
      <c r="G73" s="64" t="s">
        <v>527</v>
      </c>
      <c r="H73" s="64" t="s">
        <v>527</v>
      </c>
      <c r="I73" s="64" t="s">
        <v>527</v>
      </c>
      <c r="J73" s="64" t="s">
        <v>527</v>
      </c>
      <c r="K73" s="64" t="s">
        <v>527</v>
      </c>
      <c r="L73" s="64" t="s">
        <v>527</v>
      </c>
      <c r="M73" s="64" t="s">
        <v>527</v>
      </c>
      <c r="N73" s="347"/>
      <c r="O73" s="347"/>
      <c r="P73" s="347"/>
      <c r="Q73" s="347"/>
      <c r="R73" s="347"/>
      <c r="S73" s="347"/>
      <c r="T73" s="347"/>
      <c r="U73" s="347"/>
      <c r="V73" s="347"/>
      <c r="W73" s="347"/>
      <c r="X73" s="347"/>
      <c r="Y73" s="347"/>
      <c r="Z73" s="347"/>
      <c r="AA73" s="347"/>
      <c r="AB73" s="347"/>
      <c r="AC73" s="347"/>
      <c r="AD73" s="347"/>
      <c r="AE73" s="347"/>
      <c r="AF73" s="347"/>
      <c r="AG73" s="347"/>
      <c r="AH73" s="347"/>
      <c r="AI73" s="347"/>
      <c r="AJ73" s="347"/>
      <c r="AK73" s="347"/>
      <c r="AL73" s="347"/>
      <c r="AM73" s="347"/>
      <c r="AN73" s="347"/>
    </row>
    <row r="74" spans="1:40" ht="13.5" thickBot="1">
      <c r="A74" s="42">
        <v>5</v>
      </c>
      <c r="B74" s="66" t="s">
        <v>527</v>
      </c>
      <c r="C74" s="66" t="s">
        <v>527</v>
      </c>
      <c r="D74" s="66" t="s">
        <v>527</v>
      </c>
      <c r="E74" s="66" t="s">
        <v>527</v>
      </c>
      <c r="F74" s="66" t="s">
        <v>527</v>
      </c>
      <c r="G74" s="66" t="s">
        <v>527</v>
      </c>
      <c r="H74" s="66" t="s">
        <v>527</v>
      </c>
      <c r="I74" s="66" t="s">
        <v>527</v>
      </c>
      <c r="J74" s="66" t="s">
        <v>527</v>
      </c>
      <c r="K74" s="66" t="s">
        <v>527</v>
      </c>
      <c r="L74" s="66" t="s">
        <v>527</v>
      </c>
      <c r="M74" s="66" t="s">
        <v>527</v>
      </c>
      <c r="N74" s="347"/>
      <c r="O74" s="347"/>
      <c r="P74" s="347"/>
      <c r="Q74" s="347"/>
      <c r="R74" s="347"/>
      <c r="S74" s="347"/>
      <c r="T74" s="347"/>
      <c r="U74" s="347"/>
      <c r="V74" s="347"/>
      <c r="W74" s="347"/>
      <c r="X74" s="347"/>
      <c r="Y74" s="347"/>
      <c r="Z74" s="347"/>
      <c r="AA74" s="347"/>
      <c r="AB74" s="347"/>
      <c r="AC74" s="347"/>
      <c r="AD74" s="347"/>
      <c r="AE74" s="347"/>
      <c r="AF74" s="347"/>
      <c r="AG74" s="347"/>
      <c r="AH74" s="347"/>
      <c r="AI74" s="347"/>
      <c r="AJ74" s="347"/>
      <c r="AK74" s="347"/>
      <c r="AL74" s="347"/>
      <c r="AM74" s="347"/>
      <c r="AN74" s="347"/>
    </row>
    <row r="76" spans="1:40" ht="14.25" thickTop="1" thickBot="1">
      <c r="A76" s="400" t="s">
        <v>595</v>
      </c>
      <c r="B76" s="444"/>
      <c r="C76" s="444"/>
      <c r="D76" s="444"/>
      <c r="E76" s="444"/>
      <c r="F76" s="444"/>
      <c r="G76" s="444"/>
      <c r="H76" s="444"/>
      <c r="I76" s="444"/>
      <c r="J76" s="444"/>
      <c r="K76" s="444"/>
      <c r="L76" s="444"/>
      <c r="M76" s="444"/>
      <c r="N76" s="444"/>
      <c r="O76" s="444"/>
      <c r="P76" s="444"/>
      <c r="Q76" s="444"/>
      <c r="R76" s="444"/>
      <c r="S76" s="444"/>
      <c r="T76" s="444"/>
      <c r="U76" s="444"/>
      <c r="V76" s="444"/>
      <c r="W76" s="444"/>
      <c r="X76" s="444"/>
      <c r="Y76" s="444"/>
      <c r="Z76" s="444"/>
      <c r="AA76" s="444"/>
      <c r="AB76" s="444"/>
      <c r="AC76" s="444"/>
      <c r="AD76" s="444"/>
      <c r="AE76" s="444"/>
      <c r="AF76" s="444"/>
      <c r="AG76" s="444"/>
      <c r="AH76" s="444"/>
      <c r="AI76" s="444"/>
      <c r="AJ76" s="444"/>
      <c r="AK76" s="444"/>
      <c r="AL76" s="444"/>
      <c r="AM76" s="444"/>
      <c r="AN76" s="500"/>
    </row>
    <row r="77" spans="1:40" ht="14.25" thickTop="1" thickBot="1">
      <c r="A77" s="396" t="s">
        <v>500</v>
      </c>
      <c r="B77" s="387" t="s">
        <v>123</v>
      </c>
      <c r="C77" s="504"/>
      <c r="D77" s="505"/>
      <c r="E77" s="397" t="s">
        <v>145</v>
      </c>
      <c r="F77" s="501"/>
      <c r="G77" s="499"/>
      <c r="H77" s="397" t="s">
        <v>428</v>
      </c>
      <c r="I77" s="501"/>
      <c r="J77" s="499"/>
      <c r="K77" s="397" t="s">
        <v>429</v>
      </c>
      <c r="L77" s="501"/>
      <c r="M77" s="499"/>
      <c r="N77" s="397" t="s">
        <v>146</v>
      </c>
      <c r="O77" s="501"/>
      <c r="P77" s="499"/>
      <c r="Q77" s="397" t="s">
        <v>430</v>
      </c>
      <c r="R77" s="501"/>
      <c r="S77" s="499"/>
      <c r="T77" s="397" t="s">
        <v>431</v>
      </c>
      <c r="U77" s="501"/>
      <c r="V77" s="499"/>
      <c r="W77" s="397" t="s">
        <v>147</v>
      </c>
      <c r="X77" s="501"/>
      <c r="Y77" s="499"/>
      <c r="Z77" s="397" t="s">
        <v>432</v>
      </c>
      <c r="AA77" s="501"/>
      <c r="AB77" s="499"/>
      <c r="AC77" s="397" t="s">
        <v>433</v>
      </c>
      <c r="AD77" s="501"/>
      <c r="AE77" s="499"/>
      <c r="AF77" s="397" t="s">
        <v>148</v>
      </c>
      <c r="AG77" s="501"/>
      <c r="AH77" s="499"/>
      <c r="AI77" s="397" t="s">
        <v>434</v>
      </c>
      <c r="AJ77" s="501"/>
      <c r="AK77" s="499"/>
      <c r="AL77" s="397" t="s">
        <v>435</v>
      </c>
      <c r="AM77" s="501"/>
      <c r="AN77" s="499"/>
    </row>
    <row r="78" spans="1:40" ht="14.25" thickTop="1" thickBot="1">
      <c r="A78" s="508"/>
      <c r="B78" s="386"/>
      <c r="C78" s="506"/>
      <c r="D78" s="507"/>
      <c r="E78" s="49" t="s">
        <v>596</v>
      </c>
      <c r="F78" s="49" t="s">
        <v>597</v>
      </c>
      <c r="G78" s="49" t="s">
        <v>598</v>
      </c>
      <c r="H78" s="49" t="s">
        <v>596</v>
      </c>
      <c r="I78" s="49" t="s">
        <v>597</v>
      </c>
      <c r="J78" s="332" t="s">
        <v>598</v>
      </c>
      <c r="K78" s="49" t="s">
        <v>596</v>
      </c>
      <c r="L78" s="49" t="s">
        <v>597</v>
      </c>
      <c r="M78" s="332" t="s">
        <v>598</v>
      </c>
      <c r="N78" s="49" t="s">
        <v>596</v>
      </c>
      <c r="O78" s="49" t="s">
        <v>597</v>
      </c>
      <c r="P78" s="332" t="s">
        <v>598</v>
      </c>
      <c r="Q78" s="49" t="s">
        <v>596</v>
      </c>
      <c r="R78" s="49" t="s">
        <v>597</v>
      </c>
      <c r="S78" s="332" t="s">
        <v>598</v>
      </c>
      <c r="T78" s="49" t="s">
        <v>596</v>
      </c>
      <c r="U78" s="49" t="s">
        <v>597</v>
      </c>
      <c r="V78" s="332" t="s">
        <v>598</v>
      </c>
      <c r="W78" s="49" t="s">
        <v>596</v>
      </c>
      <c r="X78" s="49" t="s">
        <v>597</v>
      </c>
      <c r="Y78" s="332" t="s">
        <v>598</v>
      </c>
      <c r="Z78" s="49" t="s">
        <v>596</v>
      </c>
      <c r="AA78" s="49" t="s">
        <v>597</v>
      </c>
      <c r="AB78" s="332" t="s">
        <v>598</v>
      </c>
      <c r="AC78" s="49" t="s">
        <v>596</v>
      </c>
      <c r="AD78" s="49" t="s">
        <v>597</v>
      </c>
      <c r="AE78" s="332" t="s">
        <v>598</v>
      </c>
      <c r="AF78" s="49" t="s">
        <v>596</v>
      </c>
      <c r="AG78" s="49" t="s">
        <v>597</v>
      </c>
      <c r="AH78" s="332" t="s">
        <v>598</v>
      </c>
      <c r="AI78" s="49" t="s">
        <v>596</v>
      </c>
      <c r="AJ78" s="49" t="s">
        <v>597</v>
      </c>
      <c r="AK78" s="332" t="s">
        <v>598</v>
      </c>
      <c r="AL78" s="49" t="s">
        <v>596</v>
      </c>
      <c r="AM78" s="49" t="s">
        <v>597</v>
      </c>
      <c r="AN78" s="332" t="s">
        <v>598</v>
      </c>
    </row>
    <row r="79" spans="1:40" ht="13.5" thickTop="1">
      <c r="A79" s="62" t="s">
        <v>559</v>
      </c>
      <c r="B79" s="431" t="s">
        <v>509</v>
      </c>
      <c r="C79" s="447"/>
      <c r="D79" s="503"/>
      <c r="E79" s="84">
        <v>23</v>
      </c>
      <c r="F79" s="85">
        <v>30</v>
      </c>
      <c r="G79" s="86">
        <v>466</v>
      </c>
      <c r="H79" s="84">
        <v>23</v>
      </c>
      <c r="I79" s="85">
        <v>29</v>
      </c>
      <c r="J79" s="86">
        <v>445</v>
      </c>
      <c r="K79" s="84">
        <v>23</v>
      </c>
      <c r="L79" s="85">
        <v>30</v>
      </c>
      <c r="M79" s="86">
        <v>465</v>
      </c>
      <c r="N79" s="84">
        <v>23</v>
      </c>
      <c r="O79" s="85">
        <v>32</v>
      </c>
      <c r="P79" s="86">
        <v>251</v>
      </c>
      <c r="Q79" s="84">
        <v>24</v>
      </c>
      <c r="R79" s="85">
        <v>33</v>
      </c>
      <c r="S79" s="86">
        <v>347</v>
      </c>
      <c r="T79" s="84">
        <v>23</v>
      </c>
      <c r="U79" s="85">
        <v>32</v>
      </c>
      <c r="V79" s="86">
        <v>310</v>
      </c>
      <c r="W79" s="84">
        <v>23</v>
      </c>
      <c r="X79" s="85">
        <v>31</v>
      </c>
      <c r="Y79" s="86">
        <v>184</v>
      </c>
      <c r="Z79" s="84">
        <v>23</v>
      </c>
      <c r="AA79" s="85">
        <v>32</v>
      </c>
      <c r="AB79" s="86">
        <v>326</v>
      </c>
      <c r="AC79" s="84">
        <v>23</v>
      </c>
      <c r="AD79" s="85">
        <v>32</v>
      </c>
      <c r="AE79" s="86">
        <v>208</v>
      </c>
      <c r="AF79" s="84">
        <v>23</v>
      </c>
      <c r="AG79" s="85">
        <v>32</v>
      </c>
      <c r="AH79" s="86">
        <v>307</v>
      </c>
      <c r="AI79" s="84">
        <v>24</v>
      </c>
      <c r="AJ79" s="85">
        <v>32</v>
      </c>
      <c r="AK79" s="86">
        <v>482</v>
      </c>
      <c r="AL79" s="84">
        <v>23</v>
      </c>
      <c r="AM79" s="85">
        <v>30</v>
      </c>
      <c r="AN79" s="86">
        <v>516</v>
      </c>
    </row>
    <row r="80" spans="1:40" ht="12.75">
      <c r="A80" s="64" t="s">
        <v>511</v>
      </c>
      <c r="B80" s="428" t="s">
        <v>512</v>
      </c>
      <c r="C80" s="497"/>
      <c r="D80" s="498"/>
      <c r="E80" s="87">
        <v>15</v>
      </c>
      <c r="F80" s="88">
        <v>27</v>
      </c>
      <c r="G80" s="89">
        <v>5</v>
      </c>
      <c r="H80" s="87">
        <v>19</v>
      </c>
      <c r="I80" s="88">
        <v>30</v>
      </c>
      <c r="J80" s="89">
        <v>28</v>
      </c>
      <c r="K80" s="87">
        <v>24</v>
      </c>
      <c r="L80" s="88">
        <v>35</v>
      </c>
      <c r="M80" s="89">
        <v>64</v>
      </c>
      <c r="N80" s="87">
        <v>26</v>
      </c>
      <c r="O80" s="88">
        <v>39</v>
      </c>
      <c r="P80" s="89">
        <v>150</v>
      </c>
      <c r="Q80" s="87">
        <v>24</v>
      </c>
      <c r="R80" s="88">
        <v>35</v>
      </c>
      <c r="S80" s="89">
        <v>264</v>
      </c>
      <c r="T80" s="87">
        <v>25</v>
      </c>
      <c r="U80" s="88">
        <v>34</v>
      </c>
      <c r="V80" s="89">
        <v>533</v>
      </c>
      <c r="W80" s="87">
        <v>26</v>
      </c>
      <c r="X80" s="88">
        <v>38</v>
      </c>
      <c r="Y80" s="89">
        <v>597</v>
      </c>
      <c r="Z80" s="87">
        <v>24</v>
      </c>
      <c r="AA80" s="88">
        <v>33</v>
      </c>
      <c r="AB80" s="89">
        <v>518</v>
      </c>
      <c r="AC80" s="87">
        <v>24</v>
      </c>
      <c r="AD80" s="88">
        <v>33</v>
      </c>
      <c r="AE80" s="89">
        <v>320</v>
      </c>
      <c r="AF80" s="87">
        <v>23</v>
      </c>
      <c r="AG80" s="88">
        <v>32</v>
      </c>
      <c r="AH80" s="89">
        <v>180</v>
      </c>
      <c r="AI80" s="87">
        <v>17</v>
      </c>
      <c r="AJ80" s="88">
        <v>32</v>
      </c>
      <c r="AK80" s="89">
        <v>56</v>
      </c>
      <c r="AL80" s="87">
        <v>14</v>
      </c>
      <c r="AM80" s="88">
        <v>24</v>
      </c>
      <c r="AN80" s="89">
        <v>15</v>
      </c>
    </row>
    <row r="81" spans="1:40" ht="12.75">
      <c r="A81" s="64" t="s">
        <v>514</v>
      </c>
      <c r="B81" s="428" t="s">
        <v>515</v>
      </c>
      <c r="C81" s="497"/>
      <c r="D81" s="498"/>
      <c r="E81" s="87">
        <v>17</v>
      </c>
      <c r="F81" s="88">
        <v>27</v>
      </c>
      <c r="G81" s="89">
        <v>241</v>
      </c>
      <c r="H81" s="87">
        <v>17</v>
      </c>
      <c r="I81" s="88">
        <v>27</v>
      </c>
      <c r="J81" s="89">
        <v>215</v>
      </c>
      <c r="K81" s="87">
        <v>18</v>
      </c>
      <c r="L81" s="88">
        <v>27</v>
      </c>
      <c r="M81" s="89">
        <v>189</v>
      </c>
      <c r="N81" s="87">
        <v>17</v>
      </c>
      <c r="O81" s="88">
        <v>27</v>
      </c>
      <c r="P81" s="89">
        <v>124</v>
      </c>
      <c r="Q81" s="87">
        <v>15</v>
      </c>
      <c r="R81" s="88">
        <v>26</v>
      </c>
      <c r="S81" s="89">
        <v>39</v>
      </c>
      <c r="T81" s="87">
        <v>13</v>
      </c>
      <c r="U81" s="88">
        <v>25</v>
      </c>
      <c r="V81" s="89">
        <v>9</v>
      </c>
      <c r="W81" s="87">
        <v>13</v>
      </c>
      <c r="X81" s="88">
        <v>26</v>
      </c>
      <c r="Y81" s="89">
        <v>12</v>
      </c>
      <c r="Z81" s="87">
        <v>15</v>
      </c>
      <c r="AA81" s="88">
        <v>27</v>
      </c>
      <c r="AB81" s="89">
        <v>13</v>
      </c>
      <c r="AC81" s="87">
        <v>16</v>
      </c>
      <c r="AD81" s="88">
        <v>28</v>
      </c>
      <c r="AE81" s="89">
        <v>52</v>
      </c>
      <c r="AF81" s="87">
        <v>17</v>
      </c>
      <c r="AG81" s="88">
        <v>28</v>
      </c>
      <c r="AH81" s="89">
        <v>172</v>
      </c>
      <c r="AI81" s="87">
        <v>18</v>
      </c>
      <c r="AJ81" s="88">
        <v>27</v>
      </c>
      <c r="AK81" s="89">
        <v>238</v>
      </c>
      <c r="AL81" s="87">
        <v>18</v>
      </c>
      <c r="AM81" s="88">
        <v>26</v>
      </c>
      <c r="AN81" s="89">
        <v>249</v>
      </c>
    </row>
    <row r="82" spans="1:40" ht="12.75">
      <c r="A82" s="64" t="s">
        <v>517</v>
      </c>
      <c r="B82" s="428" t="s">
        <v>518</v>
      </c>
      <c r="C82" s="497"/>
      <c r="D82" s="498"/>
      <c r="E82" s="87">
        <v>6</v>
      </c>
      <c r="F82" s="88">
        <v>19</v>
      </c>
      <c r="G82" s="89">
        <v>7</v>
      </c>
      <c r="H82" s="87">
        <v>8</v>
      </c>
      <c r="I82" s="88">
        <v>21</v>
      </c>
      <c r="J82" s="89">
        <v>0</v>
      </c>
      <c r="K82" s="87">
        <v>12</v>
      </c>
      <c r="L82" s="88">
        <v>26</v>
      </c>
      <c r="M82" s="89">
        <v>10</v>
      </c>
      <c r="N82" s="87">
        <v>17</v>
      </c>
      <c r="O82" s="88">
        <v>32</v>
      </c>
      <c r="P82" s="89">
        <v>7</v>
      </c>
      <c r="Q82" s="87">
        <v>22</v>
      </c>
      <c r="R82" s="88">
        <v>36</v>
      </c>
      <c r="S82" s="89">
        <v>1</v>
      </c>
      <c r="T82" s="87">
        <v>25</v>
      </c>
      <c r="U82" s="88">
        <v>39</v>
      </c>
      <c r="V82" s="89">
        <v>0</v>
      </c>
      <c r="W82" s="87">
        <v>25</v>
      </c>
      <c r="X82" s="88">
        <v>39</v>
      </c>
      <c r="Y82" s="89">
        <v>0</v>
      </c>
      <c r="Z82" s="87">
        <v>25</v>
      </c>
      <c r="AA82" s="88">
        <v>39</v>
      </c>
      <c r="AB82" s="89">
        <v>0</v>
      </c>
      <c r="AC82" s="87">
        <v>24</v>
      </c>
      <c r="AD82" s="88">
        <v>38</v>
      </c>
      <c r="AE82" s="89">
        <v>0</v>
      </c>
      <c r="AF82" s="87">
        <v>19</v>
      </c>
      <c r="AG82" s="88">
        <v>29</v>
      </c>
      <c r="AH82" s="89">
        <v>0</v>
      </c>
      <c r="AI82" s="87">
        <v>12</v>
      </c>
      <c r="AJ82" s="88">
        <v>26</v>
      </c>
      <c r="AK82" s="89">
        <v>1</v>
      </c>
      <c r="AL82" s="87">
        <v>7</v>
      </c>
      <c r="AM82" s="88">
        <v>20</v>
      </c>
      <c r="AN82" s="89">
        <v>1</v>
      </c>
    </row>
    <row r="83" spans="1:40" ht="12.75">
      <c r="A83" s="64" t="s">
        <v>521</v>
      </c>
      <c r="B83" s="428" t="s">
        <v>522</v>
      </c>
      <c r="C83" s="497"/>
      <c r="D83" s="498"/>
      <c r="E83" s="87">
        <v>-14</v>
      </c>
      <c r="F83" s="88">
        <v>-2</v>
      </c>
      <c r="G83" s="89">
        <v>9</v>
      </c>
      <c r="H83" s="87">
        <v>-11</v>
      </c>
      <c r="I83" s="88">
        <v>2</v>
      </c>
      <c r="J83" s="89">
        <v>8</v>
      </c>
      <c r="K83" s="87">
        <v>-6</v>
      </c>
      <c r="L83" s="88">
        <v>7</v>
      </c>
      <c r="M83" s="89">
        <v>11</v>
      </c>
      <c r="N83" s="87">
        <v>-1</v>
      </c>
      <c r="O83" s="88">
        <v>12</v>
      </c>
      <c r="P83" s="89">
        <v>9</v>
      </c>
      <c r="Q83" s="87">
        <v>3</v>
      </c>
      <c r="R83" s="88">
        <v>16</v>
      </c>
      <c r="S83" s="89">
        <v>9</v>
      </c>
      <c r="T83" s="87">
        <v>7</v>
      </c>
      <c r="U83" s="88">
        <v>22</v>
      </c>
      <c r="V83" s="89">
        <v>4</v>
      </c>
      <c r="W83" s="87">
        <v>11</v>
      </c>
      <c r="X83" s="88">
        <v>25</v>
      </c>
      <c r="Y83" s="89">
        <v>15</v>
      </c>
      <c r="Z83" s="87">
        <v>10</v>
      </c>
      <c r="AA83" s="88">
        <v>25</v>
      </c>
      <c r="AB83" s="89">
        <v>15</v>
      </c>
      <c r="AC83" s="87">
        <v>6</v>
      </c>
      <c r="AD83" s="88">
        <v>22</v>
      </c>
      <c r="AE83" s="89">
        <v>9</v>
      </c>
      <c r="AF83" s="87">
        <v>-1</v>
      </c>
      <c r="AG83" s="88">
        <v>15</v>
      </c>
      <c r="AH83" s="89">
        <v>8</v>
      </c>
      <c r="AI83" s="87">
        <v>-7</v>
      </c>
      <c r="AJ83" s="88">
        <v>8</v>
      </c>
      <c r="AK83" s="89">
        <v>7</v>
      </c>
      <c r="AL83" s="87">
        <v>-12</v>
      </c>
      <c r="AM83" s="88">
        <v>2</v>
      </c>
      <c r="AN83" s="89">
        <v>7</v>
      </c>
    </row>
    <row r="84" spans="1:40" ht="12.75">
      <c r="A84" s="64" t="s">
        <v>524</v>
      </c>
      <c r="B84" s="428" t="s">
        <v>525</v>
      </c>
      <c r="C84" s="497"/>
      <c r="D84" s="498"/>
      <c r="E84" s="87">
        <v>4</v>
      </c>
      <c r="F84" s="88">
        <v>19</v>
      </c>
      <c r="G84" s="89">
        <v>8</v>
      </c>
      <c r="H84" s="87">
        <v>12</v>
      </c>
      <c r="I84" s="88">
        <v>22</v>
      </c>
      <c r="J84" s="89">
        <v>12</v>
      </c>
      <c r="K84" s="87">
        <v>12</v>
      </c>
      <c r="L84" s="88">
        <v>29</v>
      </c>
      <c r="M84" s="89">
        <v>6</v>
      </c>
      <c r="N84" s="87">
        <v>17</v>
      </c>
      <c r="O84" s="88">
        <v>34</v>
      </c>
      <c r="P84" s="89">
        <v>4</v>
      </c>
      <c r="Q84" s="87">
        <v>21</v>
      </c>
      <c r="R84" s="88">
        <v>38</v>
      </c>
      <c r="S84" s="89">
        <v>16</v>
      </c>
      <c r="T84" s="87">
        <v>23</v>
      </c>
      <c r="U84" s="88">
        <v>38</v>
      </c>
      <c r="V84" s="89">
        <v>66</v>
      </c>
      <c r="W84" s="87">
        <v>22</v>
      </c>
      <c r="X84" s="88">
        <v>31</v>
      </c>
      <c r="Y84" s="89">
        <v>216</v>
      </c>
      <c r="Z84" s="87">
        <v>20</v>
      </c>
      <c r="AA84" s="88">
        <v>29</v>
      </c>
      <c r="AB84" s="89">
        <v>231</v>
      </c>
      <c r="AC84" s="87">
        <v>19</v>
      </c>
      <c r="AD84" s="88">
        <v>30</v>
      </c>
      <c r="AE84" s="89">
        <v>80</v>
      </c>
      <c r="AF84" s="87">
        <v>15</v>
      </c>
      <c r="AG84" s="88">
        <v>30</v>
      </c>
      <c r="AH84" s="89">
        <v>23</v>
      </c>
      <c r="AI84" s="87">
        <v>9</v>
      </c>
      <c r="AJ84" s="88">
        <v>25</v>
      </c>
      <c r="AK84" s="89">
        <v>3</v>
      </c>
      <c r="AL84" s="87">
        <v>5</v>
      </c>
      <c r="AM84" s="88">
        <v>20</v>
      </c>
      <c r="AN84" s="89">
        <v>3</v>
      </c>
    </row>
    <row r="85" spans="1:40" ht="12.75">
      <c r="A85" s="64" t="s">
        <v>529</v>
      </c>
      <c r="B85" s="428" t="s">
        <v>530</v>
      </c>
      <c r="C85" s="497"/>
      <c r="D85" s="498"/>
      <c r="E85" s="87">
        <v>-3</v>
      </c>
      <c r="F85" s="88">
        <v>2</v>
      </c>
      <c r="G85" s="89">
        <v>27</v>
      </c>
      <c r="H85" s="87">
        <v>-3</v>
      </c>
      <c r="I85" s="88">
        <v>5</v>
      </c>
      <c r="J85" s="89">
        <v>20</v>
      </c>
      <c r="K85" s="87">
        <v>-1</v>
      </c>
      <c r="L85" s="88">
        <v>10</v>
      </c>
      <c r="M85" s="89">
        <v>24</v>
      </c>
      <c r="N85" s="87">
        <v>3</v>
      </c>
      <c r="O85" s="88">
        <v>16</v>
      </c>
      <c r="P85" s="89">
        <v>26</v>
      </c>
      <c r="Q85" s="87">
        <v>7</v>
      </c>
      <c r="R85" s="88">
        <v>21</v>
      </c>
      <c r="S85" s="89">
        <v>39</v>
      </c>
      <c r="T85" s="87">
        <v>11</v>
      </c>
      <c r="U85" s="88">
        <v>25</v>
      </c>
      <c r="V85" s="89">
        <v>46</v>
      </c>
      <c r="W85" s="87">
        <v>13</v>
      </c>
      <c r="X85" s="88">
        <v>29</v>
      </c>
      <c r="Y85" s="89">
        <v>29</v>
      </c>
      <c r="Z85" s="87">
        <v>13</v>
      </c>
      <c r="AA85" s="88">
        <v>28</v>
      </c>
      <c r="AB85" s="89">
        <v>28</v>
      </c>
      <c r="AC85" s="87">
        <v>8</v>
      </c>
      <c r="AD85" s="88">
        <v>22</v>
      </c>
      <c r="AE85" s="89">
        <v>25</v>
      </c>
      <c r="AF85" s="87">
        <v>3</v>
      </c>
      <c r="AG85" s="88">
        <v>14</v>
      </c>
      <c r="AH85" s="89">
        <v>26</v>
      </c>
      <c r="AI85" s="87">
        <v>0</v>
      </c>
      <c r="AJ85" s="88">
        <v>7</v>
      </c>
      <c r="AK85" s="89">
        <v>28</v>
      </c>
      <c r="AL85" s="87">
        <v>-4</v>
      </c>
      <c r="AM85" s="88">
        <v>1</v>
      </c>
      <c r="AN85" s="89">
        <v>29</v>
      </c>
    </row>
    <row r="86" spans="1:40" ht="12.75">
      <c r="A86" s="64" t="s">
        <v>532</v>
      </c>
      <c r="B86" s="428" t="s">
        <v>533</v>
      </c>
      <c r="C86" s="497"/>
      <c r="D86" s="498"/>
      <c r="E86" s="87">
        <v>1</v>
      </c>
      <c r="F86" s="88">
        <v>10</v>
      </c>
      <c r="G86" s="89">
        <v>52</v>
      </c>
      <c r="H86" s="87">
        <v>2</v>
      </c>
      <c r="I86" s="88">
        <v>10</v>
      </c>
      <c r="J86" s="89">
        <v>56</v>
      </c>
      <c r="K86" s="87">
        <v>4</v>
      </c>
      <c r="L86" s="88">
        <v>14</v>
      </c>
      <c r="M86" s="89">
        <v>118</v>
      </c>
      <c r="N86" s="87">
        <v>9</v>
      </c>
      <c r="O86" s="88">
        <v>19</v>
      </c>
      <c r="P86" s="89">
        <v>125</v>
      </c>
      <c r="Q86" s="87">
        <v>14</v>
      </c>
      <c r="R86" s="88">
        <v>23</v>
      </c>
      <c r="S86" s="89">
        <v>138</v>
      </c>
      <c r="T86" s="87">
        <v>18</v>
      </c>
      <c r="U86" s="88">
        <v>26</v>
      </c>
      <c r="V86" s="89">
        <v>168</v>
      </c>
      <c r="W86" s="87">
        <v>22</v>
      </c>
      <c r="X86" s="88">
        <v>29</v>
      </c>
      <c r="Y86" s="89">
        <v>154</v>
      </c>
      <c r="Z86" s="87">
        <v>23</v>
      </c>
      <c r="AA86" s="88">
        <v>31</v>
      </c>
      <c r="AB86" s="89">
        <v>168</v>
      </c>
      <c r="AC86" s="87">
        <v>20</v>
      </c>
      <c r="AD86" s="88">
        <v>27</v>
      </c>
      <c r="AE86" s="89">
        <v>210</v>
      </c>
      <c r="AF86" s="87">
        <v>14</v>
      </c>
      <c r="AG86" s="88">
        <v>22</v>
      </c>
      <c r="AH86" s="89">
        <v>198</v>
      </c>
      <c r="AI86" s="87">
        <v>8</v>
      </c>
      <c r="AJ86" s="88">
        <v>16</v>
      </c>
      <c r="AK86" s="89">
        <v>93</v>
      </c>
      <c r="AL86" s="87">
        <v>4</v>
      </c>
      <c r="AM86" s="88">
        <v>12</v>
      </c>
      <c r="AN86" s="89">
        <v>51</v>
      </c>
    </row>
    <row r="87" spans="1:40" ht="12.75">
      <c r="A87" s="64" t="s">
        <v>527</v>
      </c>
      <c r="B87" s="428" t="s">
        <v>535</v>
      </c>
      <c r="C87" s="497"/>
      <c r="D87" s="498"/>
      <c r="E87" s="87">
        <v>4</v>
      </c>
      <c r="F87" s="88">
        <v>9</v>
      </c>
      <c r="G87" s="89">
        <v>108</v>
      </c>
      <c r="H87" s="87">
        <v>4</v>
      </c>
      <c r="I87" s="88">
        <v>9</v>
      </c>
      <c r="J87" s="89">
        <v>84</v>
      </c>
      <c r="K87" s="87">
        <v>5</v>
      </c>
      <c r="L87" s="88">
        <v>11</v>
      </c>
      <c r="M87" s="89">
        <v>78</v>
      </c>
      <c r="N87" s="87">
        <v>6</v>
      </c>
      <c r="O87" s="88">
        <v>13</v>
      </c>
      <c r="P87" s="89">
        <v>67</v>
      </c>
      <c r="Q87" s="87">
        <v>9</v>
      </c>
      <c r="R87" s="88">
        <v>16</v>
      </c>
      <c r="S87" s="89">
        <v>64</v>
      </c>
      <c r="T87" s="87">
        <v>11</v>
      </c>
      <c r="U87" s="88">
        <v>18</v>
      </c>
      <c r="V87" s="89">
        <v>57</v>
      </c>
      <c r="W87" s="87">
        <v>13</v>
      </c>
      <c r="X87" s="88">
        <v>20</v>
      </c>
      <c r="Y87" s="89">
        <v>62</v>
      </c>
      <c r="Z87" s="87">
        <v>14</v>
      </c>
      <c r="AA87" s="88">
        <v>20</v>
      </c>
      <c r="AB87" s="89">
        <v>67</v>
      </c>
      <c r="AC87" s="87">
        <v>12</v>
      </c>
      <c r="AD87" s="88">
        <v>18</v>
      </c>
      <c r="AE87" s="89">
        <v>74</v>
      </c>
      <c r="AF87" s="87">
        <v>9</v>
      </c>
      <c r="AG87" s="88">
        <v>15</v>
      </c>
      <c r="AH87" s="89">
        <v>113</v>
      </c>
      <c r="AI87" s="87">
        <v>6</v>
      </c>
      <c r="AJ87" s="88">
        <v>12</v>
      </c>
      <c r="AK87" s="89">
        <v>113</v>
      </c>
      <c r="AL87" s="87">
        <v>5</v>
      </c>
      <c r="AM87" s="88">
        <v>10</v>
      </c>
      <c r="AN87" s="89">
        <v>119</v>
      </c>
    </row>
    <row r="88" spans="1:40" ht="12.75">
      <c r="A88" s="64" t="s">
        <v>539</v>
      </c>
      <c r="B88" s="428" t="s">
        <v>540</v>
      </c>
      <c r="C88" s="497"/>
      <c r="D88" s="498"/>
      <c r="E88" s="87">
        <v>2</v>
      </c>
      <c r="F88" s="88">
        <v>6</v>
      </c>
      <c r="G88" s="89">
        <v>158</v>
      </c>
      <c r="H88" s="87">
        <v>1</v>
      </c>
      <c r="I88" s="88">
        <v>6</v>
      </c>
      <c r="J88" s="89">
        <v>115</v>
      </c>
      <c r="K88" s="87">
        <v>2</v>
      </c>
      <c r="L88" s="88">
        <v>6</v>
      </c>
      <c r="M88" s="89">
        <v>132</v>
      </c>
      <c r="N88" s="87">
        <v>3</v>
      </c>
      <c r="O88" s="88">
        <v>7</v>
      </c>
      <c r="P88" s="89">
        <v>90</v>
      </c>
      <c r="Q88" s="87">
        <v>5</v>
      </c>
      <c r="R88" s="88">
        <v>9</v>
      </c>
      <c r="S88" s="89">
        <v>63</v>
      </c>
      <c r="T88" s="87">
        <v>7</v>
      </c>
      <c r="U88" s="88">
        <v>11</v>
      </c>
      <c r="V88" s="89">
        <v>58</v>
      </c>
      <c r="W88" s="87">
        <v>9</v>
      </c>
      <c r="X88" s="88">
        <v>13</v>
      </c>
      <c r="Y88" s="89">
        <v>74</v>
      </c>
      <c r="Z88" s="87">
        <v>9</v>
      </c>
      <c r="AA88" s="88">
        <v>13</v>
      </c>
      <c r="AB88" s="89">
        <v>96</v>
      </c>
      <c r="AC88" s="87">
        <v>8</v>
      </c>
      <c r="AD88" s="88">
        <v>12</v>
      </c>
      <c r="AE88" s="89">
        <v>120</v>
      </c>
      <c r="AF88" s="87">
        <v>5</v>
      </c>
      <c r="AG88" s="88">
        <v>9</v>
      </c>
      <c r="AH88" s="89">
        <v>170</v>
      </c>
      <c r="AI88" s="87">
        <v>3</v>
      </c>
      <c r="AJ88" s="88">
        <v>7</v>
      </c>
      <c r="AK88" s="89">
        <v>139</v>
      </c>
      <c r="AL88" s="87">
        <v>2</v>
      </c>
      <c r="AM88" s="88">
        <v>6</v>
      </c>
      <c r="AN88" s="89">
        <v>135</v>
      </c>
    </row>
    <row r="89" spans="1:40" ht="12.75">
      <c r="A89" s="64" t="s">
        <v>542</v>
      </c>
      <c r="B89" s="428" t="s">
        <v>543</v>
      </c>
      <c r="C89" s="497"/>
      <c r="D89" s="498"/>
      <c r="E89" s="87">
        <v>1</v>
      </c>
      <c r="F89" s="88">
        <v>8</v>
      </c>
      <c r="G89" s="89">
        <v>106</v>
      </c>
      <c r="H89" s="87">
        <v>2</v>
      </c>
      <c r="I89" s="88">
        <v>9</v>
      </c>
      <c r="J89" s="89">
        <v>129</v>
      </c>
      <c r="K89" s="87">
        <v>5</v>
      </c>
      <c r="L89" s="88">
        <v>13</v>
      </c>
      <c r="M89" s="89">
        <v>100</v>
      </c>
      <c r="N89" s="87">
        <v>8</v>
      </c>
      <c r="O89" s="88">
        <v>18</v>
      </c>
      <c r="P89" s="89">
        <v>112</v>
      </c>
      <c r="Q89" s="87">
        <v>12</v>
      </c>
      <c r="R89" s="88">
        <v>23</v>
      </c>
      <c r="S89" s="89">
        <v>85</v>
      </c>
      <c r="T89" s="87">
        <v>16</v>
      </c>
      <c r="U89" s="88">
        <v>26</v>
      </c>
      <c r="V89" s="89">
        <v>105</v>
      </c>
      <c r="W89" s="87">
        <v>19</v>
      </c>
      <c r="X89" s="88">
        <v>28</v>
      </c>
      <c r="Y89" s="89">
        <v>106</v>
      </c>
      <c r="Z89" s="87">
        <v>20</v>
      </c>
      <c r="AA89" s="88">
        <v>29</v>
      </c>
      <c r="AB89" s="89">
        <v>86</v>
      </c>
      <c r="AC89" s="87">
        <v>16</v>
      </c>
      <c r="AD89" s="88">
        <v>26</v>
      </c>
      <c r="AE89" s="89">
        <v>116</v>
      </c>
      <c r="AF89" s="87">
        <v>12</v>
      </c>
      <c r="AG89" s="88">
        <v>21</v>
      </c>
      <c r="AH89" s="89">
        <v>108</v>
      </c>
      <c r="AI89" s="87">
        <v>8</v>
      </c>
      <c r="AJ89" s="88">
        <v>15</v>
      </c>
      <c r="AK89" s="89">
        <v>141</v>
      </c>
      <c r="AL89" s="87">
        <v>4</v>
      </c>
      <c r="AM89" s="88">
        <v>10</v>
      </c>
      <c r="AN89" s="89">
        <v>139</v>
      </c>
    </row>
    <row r="90" spans="1:40" ht="12.75">
      <c r="A90" s="64" t="s">
        <v>545</v>
      </c>
      <c r="B90" s="428" t="s">
        <v>546</v>
      </c>
      <c r="C90" s="497"/>
      <c r="D90" s="498"/>
      <c r="E90" s="87">
        <v>6</v>
      </c>
      <c r="F90" s="88">
        <v>21</v>
      </c>
      <c r="G90" s="89">
        <v>11</v>
      </c>
      <c r="H90" s="87">
        <v>7</v>
      </c>
      <c r="I90" s="88">
        <v>23</v>
      </c>
      <c r="J90" s="89">
        <v>4</v>
      </c>
      <c r="K90" s="87">
        <v>9</v>
      </c>
      <c r="L90" s="88">
        <v>26</v>
      </c>
      <c r="M90" s="89">
        <v>10</v>
      </c>
      <c r="N90" s="87">
        <v>11</v>
      </c>
      <c r="O90" s="88">
        <v>27</v>
      </c>
      <c r="P90" s="89">
        <v>26</v>
      </c>
      <c r="Q90" s="87">
        <v>12</v>
      </c>
      <c r="R90" s="88">
        <v>27</v>
      </c>
      <c r="S90" s="89">
        <v>56</v>
      </c>
      <c r="T90" s="87">
        <v>12</v>
      </c>
      <c r="U90" s="88">
        <v>25</v>
      </c>
      <c r="V90" s="89">
        <v>135</v>
      </c>
      <c r="W90" s="87">
        <v>12</v>
      </c>
      <c r="X90" s="88">
        <v>23</v>
      </c>
      <c r="Y90" s="89">
        <v>175</v>
      </c>
      <c r="Z90" s="87">
        <v>12</v>
      </c>
      <c r="AA90" s="88">
        <v>23</v>
      </c>
      <c r="AB90" s="89">
        <v>169</v>
      </c>
      <c r="AC90" s="87">
        <v>12</v>
      </c>
      <c r="AD90" s="88">
        <v>22</v>
      </c>
      <c r="AE90" s="89">
        <v>145</v>
      </c>
      <c r="AF90" s="87">
        <v>10</v>
      </c>
      <c r="AG90" s="88">
        <v>22</v>
      </c>
      <c r="AH90" s="89">
        <v>67</v>
      </c>
      <c r="AI90" s="87">
        <v>8</v>
      </c>
      <c r="AJ90" s="88">
        <v>22</v>
      </c>
      <c r="AK90" s="89">
        <v>12</v>
      </c>
      <c r="AL90" s="87">
        <v>7</v>
      </c>
      <c r="AM90" s="88">
        <v>21</v>
      </c>
      <c r="AN90" s="89">
        <v>6</v>
      </c>
    </row>
    <row r="91" spans="1:40" ht="12.75">
      <c r="A91" s="64" t="s">
        <v>548</v>
      </c>
      <c r="B91" s="428" t="s">
        <v>549</v>
      </c>
      <c r="C91" s="497"/>
      <c r="D91" s="498"/>
      <c r="E91" s="87">
        <v>-4</v>
      </c>
      <c r="F91" s="88">
        <v>7</v>
      </c>
      <c r="G91" s="89">
        <v>134</v>
      </c>
      <c r="H91" s="87">
        <v>-3</v>
      </c>
      <c r="I91" s="88">
        <v>8</v>
      </c>
      <c r="J91" s="89">
        <v>105</v>
      </c>
      <c r="K91" s="87">
        <v>-1</v>
      </c>
      <c r="L91" s="88">
        <v>9</v>
      </c>
      <c r="M91" s="89">
        <v>72</v>
      </c>
      <c r="N91" s="87">
        <v>1</v>
      </c>
      <c r="O91" s="88">
        <v>10</v>
      </c>
      <c r="P91" s="89">
        <v>32</v>
      </c>
      <c r="Q91" s="87">
        <v>2</v>
      </c>
      <c r="R91" s="88">
        <v>11</v>
      </c>
      <c r="S91" s="89">
        <v>14</v>
      </c>
      <c r="T91" s="87">
        <v>4</v>
      </c>
      <c r="U91" s="88">
        <v>10</v>
      </c>
      <c r="V91" s="89">
        <v>5</v>
      </c>
      <c r="W91" s="87">
        <v>4</v>
      </c>
      <c r="X91" s="88">
        <v>9</v>
      </c>
      <c r="Y91" s="89">
        <v>7</v>
      </c>
      <c r="Z91" s="87">
        <v>4</v>
      </c>
      <c r="AA91" s="88">
        <v>9</v>
      </c>
      <c r="AB91" s="89">
        <v>15</v>
      </c>
      <c r="AC91" s="87">
        <v>3</v>
      </c>
      <c r="AD91" s="88">
        <v>9</v>
      </c>
      <c r="AE91" s="89">
        <v>36</v>
      </c>
      <c r="AF91" s="87">
        <v>1</v>
      </c>
      <c r="AG91" s="88">
        <v>9</v>
      </c>
      <c r="AH91" s="89">
        <v>38</v>
      </c>
      <c r="AI91" s="87">
        <v>-2</v>
      </c>
      <c r="AJ91" s="88">
        <v>8</v>
      </c>
      <c r="AK91" s="89">
        <v>50</v>
      </c>
      <c r="AL91" s="87">
        <v>-4</v>
      </c>
      <c r="AM91" s="88">
        <v>7</v>
      </c>
      <c r="AN91" s="89">
        <v>95</v>
      </c>
    </row>
    <row r="92" spans="1:40" ht="12.75">
      <c r="A92" s="64" t="s">
        <v>537</v>
      </c>
      <c r="B92" s="428" t="s">
        <v>551</v>
      </c>
      <c r="C92" s="497"/>
      <c r="D92" s="498"/>
      <c r="E92" s="87">
        <v>9</v>
      </c>
      <c r="F92" s="88">
        <v>20</v>
      </c>
      <c r="G92" s="89">
        <v>97</v>
      </c>
      <c r="H92" s="87">
        <v>10</v>
      </c>
      <c r="I92" s="88">
        <v>20</v>
      </c>
      <c r="J92" s="89">
        <v>79</v>
      </c>
      <c r="K92" s="87">
        <v>11</v>
      </c>
      <c r="L92" s="88">
        <v>21</v>
      </c>
      <c r="M92" s="89">
        <v>62</v>
      </c>
      <c r="N92" s="87">
        <v>12</v>
      </c>
      <c r="O92" s="88">
        <v>23</v>
      </c>
      <c r="P92" s="89">
        <v>23</v>
      </c>
      <c r="Q92" s="87">
        <v>14</v>
      </c>
      <c r="R92" s="88">
        <v>24</v>
      </c>
      <c r="S92" s="89">
        <v>7</v>
      </c>
      <c r="T92" s="87">
        <v>16</v>
      </c>
      <c r="U92" s="88">
        <v>26</v>
      </c>
      <c r="V92" s="89">
        <v>3</v>
      </c>
      <c r="W92" s="87">
        <v>17</v>
      </c>
      <c r="X92" s="88">
        <v>28</v>
      </c>
      <c r="Y92" s="89">
        <v>0</v>
      </c>
      <c r="Z92" s="87">
        <v>18</v>
      </c>
      <c r="AA92" s="88">
        <v>29</v>
      </c>
      <c r="AB92" s="89">
        <v>1</v>
      </c>
      <c r="AC92" s="87">
        <v>17</v>
      </c>
      <c r="AD92" s="88">
        <v>28</v>
      </c>
      <c r="AE92" s="89">
        <v>6</v>
      </c>
      <c r="AF92" s="87">
        <v>15</v>
      </c>
      <c r="AG92" s="88">
        <v>26</v>
      </c>
      <c r="AH92" s="89">
        <v>17</v>
      </c>
      <c r="AI92" s="87">
        <v>11</v>
      </c>
      <c r="AJ92" s="88">
        <v>23</v>
      </c>
      <c r="AK92" s="89">
        <v>26</v>
      </c>
      <c r="AL92" s="87">
        <v>9</v>
      </c>
      <c r="AM92" s="88">
        <v>20</v>
      </c>
      <c r="AN92" s="89">
        <v>59</v>
      </c>
    </row>
    <row r="93" spans="1:40" ht="12.75">
      <c r="A93" s="64" t="s">
        <v>553</v>
      </c>
      <c r="B93" s="428" t="s">
        <v>554</v>
      </c>
      <c r="C93" s="497"/>
      <c r="D93" s="498"/>
      <c r="E93" s="87">
        <v>5</v>
      </c>
      <c r="F93" s="88">
        <v>14</v>
      </c>
      <c r="G93" s="89">
        <v>158</v>
      </c>
      <c r="H93" s="87">
        <v>6</v>
      </c>
      <c r="I93" s="88">
        <v>15</v>
      </c>
      <c r="J93" s="89">
        <v>140</v>
      </c>
      <c r="K93" s="87">
        <v>7</v>
      </c>
      <c r="L93" s="88">
        <v>17</v>
      </c>
      <c r="M93" s="89">
        <v>116</v>
      </c>
      <c r="N93" s="87">
        <v>9</v>
      </c>
      <c r="O93" s="88">
        <v>18</v>
      </c>
      <c r="P93" s="89">
        <v>98</v>
      </c>
      <c r="Q93" s="87">
        <v>11</v>
      </c>
      <c r="R93" s="88">
        <v>20</v>
      </c>
      <c r="S93" s="89">
        <v>90</v>
      </c>
      <c r="T93" s="87">
        <v>14</v>
      </c>
      <c r="U93" s="88">
        <v>23</v>
      </c>
      <c r="V93" s="89">
        <v>46</v>
      </c>
      <c r="W93" s="87">
        <v>16</v>
      </c>
      <c r="X93" s="88">
        <v>25</v>
      </c>
      <c r="Y93" s="89">
        <v>18</v>
      </c>
      <c r="Z93" s="87">
        <v>16</v>
      </c>
      <c r="AA93" s="88">
        <v>25</v>
      </c>
      <c r="AB93" s="89">
        <v>27</v>
      </c>
      <c r="AC93" s="87">
        <v>15</v>
      </c>
      <c r="AD93" s="88">
        <v>24</v>
      </c>
      <c r="AE93" s="89">
        <v>71</v>
      </c>
      <c r="AF93" s="87">
        <v>12</v>
      </c>
      <c r="AG93" s="88">
        <v>20</v>
      </c>
      <c r="AH93" s="89">
        <v>138</v>
      </c>
      <c r="AI93" s="87">
        <v>8</v>
      </c>
      <c r="AJ93" s="88">
        <v>17</v>
      </c>
      <c r="AK93" s="89">
        <v>158</v>
      </c>
      <c r="AL93" s="87">
        <v>7</v>
      </c>
      <c r="AM93" s="88">
        <v>15</v>
      </c>
      <c r="AN93" s="89">
        <v>195</v>
      </c>
    </row>
    <row r="94" spans="1:40" ht="12.75">
      <c r="A94" s="64" t="s">
        <v>556</v>
      </c>
      <c r="B94" s="428" t="s">
        <v>557</v>
      </c>
      <c r="C94" s="497"/>
      <c r="D94" s="498"/>
      <c r="E94" s="87">
        <v>-3</v>
      </c>
      <c r="F94" s="88">
        <v>4</v>
      </c>
      <c r="G94" s="89">
        <v>84</v>
      </c>
      <c r="H94" s="87">
        <v>-1</v>
      </c>
      <c r="I94" s="88">
        <v>6</v>
      </c>
      <c r="J94" s="89">
        <v>72</v>
      </c>
      <c r="K94" s="87">
        <v>0</v>
      </c>
      <c r="L94" s="88">
        <v>9</v>
      </c>
      <c r="M94" s="89">
        <v>49</v>
      </c>
      <c r="N94" s="87">
        <v>2</v>
      </c>
      <c r="O94" s="88">
        <v>13</v>
      </c>
      <c r="P94" s="89">
        <v>30</v>
      </c>
      <c r="Q94" s="87">
        <v>4</v>
      </c>
      <c r="R94" s="88">
        <v>15</v>
      </c>
      <c r="S94" s="89">
        <v>28</v>
      </c>
      <c r="T94" s="87">
        <v>6</v>
      </c>
      <c r="U94" s="88">
        <v>16</v>
      </c>
      <c r="V94" s="89">
        <v>32</v>
      </c>
      <c r="W94" s="87">
        <v>7</v>
      </c>
      <c r="X94" s="88">
        <v>18</v>
      </c>
      <c r="Y94" s="89">
        <v>28</v>
      </c>
      <c r="Z94" s="87">
        <v>6</v>
      </c>
      <c r="AA94" s="88">
        <v>18</v>
      </c>
      <c r="AB94" s="89">
        <v>20</v>
      </c>
      <c r="AC94" s="87">
        <v>5</v>
      </c>
      <c r="AD94" s="88">
        <v>16</v>
      </c>
      <c r="AE94" s="89">
        <v>38</v>
      </c>
      <c r="AF94" s="87">
        <v>3</v>
      </c>
      <c r="AG94" s="88">
        <v>12</v>
      </c>
      <c r="AH94" s="89">
        <v>54</v>
      </c>
      <c r="AI94" s="87">
        <v>1</v>
      </c>
      <c r="AJ94" s="88">
        <v>8</v>
      </c>
      <c r="AK94" s="89">
        <v>93</v>
      </c>
      <c r="AL94" s="87">
        <v>-2</v>
      </c>
      <c r="AM94" s="88">
        <v>4</v>
      </c>
      <c r="AN94" s="89">
        <v>85</v>
      </c>
    </row>
    <row r="95" spans="1:40" ht="12.75">
      <c r="A95" s="64" t="s">
        <v>538</v>
      </c>
      <c r="B95" s="428" t="s">
        <v>560</v>
      </c>
      <c r="C95" s="497"/>
      <c r="D95" s="498"/>
      <c r="E95" s="87">
        <v>-7</v>
      </c>
      <c r="F95" s="88">
        <v>0</v>
      </c>
      <c r="G95" s="89">
        <v>62</v>
      </c>
      <c r="H95" s="87">
        <v>-6</v>
      </c>
      <c r="I95" s="88">
        <v>1</v>
      </c>
      <c r="J95" s="89">
        <v>62</v>
      </c>
      <c r="K95" s="87">
        <v>-2</v>
      </c>
      <c r="L95" s="88">
        <v>7</v>
      </c>
      <c r="M95" s="89">
        <v>70</v>
      </c>
      <c r="N95" s="87">
        <v>4</v>
      </c>
      <c r="O95" s="88">
        <v>14</v>
      </c>
      <c r="P95" s="89">
        <v>83</v>
      </c>
      <c r="Q95" s="87">
        <v>10</v>
      </c>
      <c r="R95" s="88">
        <v>20</v>
      </c>
      <c r="S95" s="89">
        <v>89</v>
      </c>
      <c r="T95" s="87">
        <v>15</v>
      </c>
      <c r="U95" s="88">
        <v>26</v>
      </c>
      <c r="V95" s="89">
        <v>86</v>
      </c>
      <c r="W95" s="87">
        <v>18</v>
      </c>
      <c r="X95" s="88">
        <v>28</v>
      </c>
      <c r="Y95" s="89">
        <v>89</v>
      </c>
      <c r="Z95" s="87">
        <v>17</v>
      </c>
      <c r="AA95" s="88">
        <v>27</v>
      </c>
      <c r="AB95" s="89">
        <v>73</v>
      </c>
      <c r="AC95" s="87">
        <v>13</v>
      </c>
      <c r="AD95" s="88">
        <v>23</v>
      </c>
      <c r="AE95" s="89">
        <v>94</v>
      </c>
      <c r="AF95" s="87">
        <v>7</v>
      </c>
      <c r="AG95" s="88">
        <v>16</v>
      </c>
      <c r="AH95" s="89">
        <v>73</v>
      </c>
      <c r="AI95" s="87">
        <v>1</v>
      </c>
      <c r="AJ95" s="88">
        <v>9</v>
      </c>
      <c r="AK95" s="89">
        <v>80</v>
      </c>
      <c r="AL95" s="87">
        <v>-4</v>
      </c>
      <c r="AM95" s="88">
        <v>2</v>
      </c>
      <c r="AN95" s="89">
        <v>74</v>
      </c>
    </row>
    <row r="96" spans="1:40" ht="12.75">
      <c r="A96" s="64" t="s">
        <v>528</v>
      </c>
      <c r="B96" s="428" t="s">
        <v>562</v>
      </c>
      <c r="C96" s="497"/>
      <c r="D96" s="498"/>
      <c r="E96" s="87">
        <v>-9</v>
      </c>
      <c r="F96" s="88">
        <v>-4</v>
      </c>
      <c r="G96" s="89">
        <v>52</v>
      </c>
      <c r="H96" s="87">
        <v>-10</v>
      </c>
      <c r="I96" s="88">
        <v>-4</v>
      </c>
      <c r="J96" s="89">
        <v>41</v>
      </c>
      <c r="K96" s="87">
        <v>-4</v>
      </c>
      <c r="L96" s="88">
        <v>3</v>
      </c>
      <c r="M96" s="89">
        <v>35</v>
      </c>
      <c r="N96" s="87">
        <v>2</v>
      </c>
      <c r="O96" s="88">
        <v>11</v>
      </c>
      <c r="P96" s="89">
        <v>37</v>
      </c>
      <c r="Q96" s="87">
        <v>8</v>
      </c>
      <c r="R96" s="88">
        <v>19</v>
      </c>
      <c r="S96" s="89">
        <v>49</v>
      </c>
      <c r="T96" s="87">
        <v>12</v>
      </c>
      <c r="U96" s="88">
        <v>22</v>
      </c>
      <c r="V96" s="89">
        <v>80</v>
      </c>
      <c r="W96" s="87">
        <v>14</v>
      </c>
      <c r="X96" s="88">
        <v>24</v>
      </c>
      <c r="Y96" s="89">
        <v>85</v>
      </c>
      <c r="Z96" s="87">
        <v>13</v>
      </c>
      <c r="AA96" s="88">
        <v>22</v>
      </c>
      <c r="AB96" s="89">
        <v>82</v>
      </c>
      <c r="AC96" s="87">
        <v>7</v>
      </c>
      <c r="AD96" s="88">
        <v>16</v>
      </c>
      <c r="AE96" s="89">
        <v>68</v>
      </c>
      <c r="AF96" s="87">
        <v>3</v>
      </c>
      <c r="AG96" s="88">
        <v>9</v>
      </c>
      <c r="AH96" s="89">
        <v>71</v>
      </c>
      <c r="AI96" s="87">
        <v>-3</v>
      </c>
      <c r="AJ96" s="88">
        <v>1</v>
      </c>
      <c r="AK96" s="89">
        <v>55</v>
      </c>
      <c r="AL96" s="87">
        <v>-8</v>
      </c>
      <c r="AM96" s="88">
        <v>-3</v>
      </c>
      <c r="AN96" s="89">
        <v>52</v>
      </c>
    </row>
    <row r="97" spans="1:40" ht="12.75">
      <c r="A97" s="64" t="s">
        <v>520</v>
      </c>
      <c r="B97" s="428" t="s">
        <v>564</v>
      </c>
      <c r="C97" s="497"/>
      <c r="D97" s="498"/>
      <c r="E97" s="87">
        <v>-8</v>
      </c>
      <c r="F97" s="88">
        <v>-3</v>
      </c>
      <c r="G97" s="89">
        <v>44</v>
      </c>
      <c r="H97" s="87">
        <v>-9</v>
      </c>
      <c r="I97" s="88">
        <v>-3</v>
      </c>
      <c r="J97" s="89">
        <v>33</v>
      </c>
      <c r="K97" s="87">
        <v>-4</v>
      </c>
      <c r="L97" s="88">
        <v>-2</v>
      </c>
      <c r="M97" s="89">
        <v>37</v>
      </c>
      <c r="N97" s="87">
        <v>2</v>
      </c>
      <c r="O97" s="88">
        <v>9</v>
      </c>
      <c r="P97" s="89">
        <v>31</v>
      </c>
      <c r="Q97" s="87">
        <v>7</v>
      </c>
      <c r="R97" s="88">
        <v>16</v>
      </c>
      <c r="S97" s="89">
        <v>46</v>
      </c>
      <c r="T97" s="87">
        <v>12</v>
      </c>
      <c r="U97" s="88">
        <v>20</v>
      </c>
      <c r="V97" s="89">
        <v>71</v>
      </c>
      <c r="W97" s="87">
        <v>15</v>
      </c>
      <c r="X97" s="88">
        <v>23</v>
      </c>
      <c r="Y97" s="89">
        <v>79</v>
      </c>
      <c r="Z97" s="87">
        <v>13</v>
      </c>
      <c r="AA97" s="88">
        <v>21</v>
      </c>
      <c r="AB97" s="89">
        <v>83</v>
      </c>
      <c r="AC97" s="87">
        <v>9</v>
      </c>
      <c r="AD97" s="88">
        <v>15</v>
      </c>
      <c r="AE97" s="89">
        <v>64</v>
      </c>
      <c r="AF97" s="87">
        <v>4</v>
      </c>
      <c r="AG97" s="88">
        <v>9</v>
      </c>
      <c r="AH97" s="89">
        <v>68</v>
      </c>
      <c r="AI97" s="87">
        <v>-2</v>
      </c>
      <c r="AJ97" s="88">
        <v>2</v>
      </c>
      <c r="AK97" s="89">
        <v>55</v>
      </c>
      <c r="AL97" s="87">
        <v>-6</v>
      </c>
      <c r="AM97" s="88">
        <v>-2</v>
      </c>
      <c r="AN97" s="89">
        <v>51</v>
      </c>
    </row>
    <row r="98" spans="1:40" ht="12.75">
      <c r="A98" s="64" t="s">
        <v>567</v>
      </c>
      <c r="B98" s="428" t="s">
        <v>568</v>
      </c>
      <c r="C98" s="497"/>
      <c r="D98" s="498"/>
      <c r="E98" s="87">
        <v>-45</v>
      </c>
      <c r="F98" s="88">
        <v>-36</v>
      </c>
      <c r="G98" s="89">
        <v>10</v>
      </c>
      <c r="H98" s="87">
        <v>-41</v>
      </c>
      <c r="I98" s="88">
        <v>-31</v>
      </c>
      <c r="J98" s="89">
        <v>8</v>
      </c>
      <c r="K98" s="87">
        <v>-33</v>
      </c>
      <c r="L98" s="88">
        <v>-20</v>
      </c>
      <c r="M98" s="89">
        <v>9</v>
      </c>
      <c r="N98" s="87">
        <v>-22</v>
      </c>
      <c r="O98" s="88">
        <v>-9</v>
      </c>
      <c r="P98" s="89">
        <v>12</v>
      </c>
      <c r="Q98" s="87">
        <v>-8</v>
      </c>
      <c r="R98" s="88">
        <v>2</v>
      </c>
      <c r="S98" s="89">
        <v>19</v>
      </c>
      <c r="T98" s="87">
        <v>0</v>
      </c>
      <c r="U98" s="88">
        <v>12</v>
      </c>
      <c r="V98" s="89">
        <v>34</v>
      </c>
      <c r="W98" s="87">
        <v>3</v>
      </c>
      <c r="X98" s="88">
        <v>18</v>
      </c>
      <c r="Y98" s="89">
        <v>45</v>
      </c>
      <c r="Z98" s="87">
        <v>0</v>
      </c>
      <c r="AA98" s="88">
        <v>12</v>
      </c>
      <c r="AB98" s="89">
        <v>43</v>
      </c>
      <c r="AC98" s="87">
        <v>-5</v>
      </c>
      <c r="AD98" s="88">
        <v>5</v>
      </c>
      <c r="AE98" s="89">
        <v>30</v>
      </c>
      <c r="AF98" s="87">
        <v>-20</v>
      </c>
      <c r="AG98" s="88">
        <v>-10</v>
      </c>
      <c r="AH98" s="89">
        <v>23</v>
      </c>
      <c r="AI98" s="87">
        <v>-36</v>
      </c>
      <c r="AJ98" s="88">
        <v>-28</v>
      </c>
      <c r="AK98" s="89">
        <v>14</v>
      </c>
      <c r="AL98" s="87">
        <v>-42</v>
      </c>
      <c r="AM98" s="88">
        <v>-35</v>
      </c>
      <c r="AN98" s="89">
        <v>12</v>
      </c>
    </row>
    <row r="99" spans="1:40" ht="12.75">
      <c r="A99" s="64" t="s">
        <v>570</v>
      </c>
      <c r="B99" s="428" t="s">
        <v>571</v>
      </c>
      <c r="C99" s="497"/>
      <c r="D99" s="498"/>
      <c r="E99" s="87">
        <v>-17</v>
      </c>
      <c r="F99" s="88">
        <v>-5</v>
      </c>
      <c r="G99" s="89">
        <v>8</v>
      </c>
      <c r="H99" s="87">
        <v>-15</v>
      </c>
      <c r="I99" s="88">
        <v>-2</v>
      </c>
      <c r="J99" s="89">
        <v>10</v>
      </c>
      <c r="K99" s="87">
        <v>-6</v>
      </c>
      <c r="L99" s="88">
        <v>6</v>
      </c>
      <c r="M99" s="89">
        <v>16</v>
      </c>
      <c r="N99" s="87">
        <v>2</v>
      </c>
      <c r="O99" s="88">
        <v>15</v>
      </c>
      <c r="P99" s="89">
        <v>35</v>
      </c>
      <c r="Q99" s="87">
        <v>8</v>
      </c>
      <c r="R99" s="88">
        <v>22</v>
      </c>
      <c r="S99" s="89">
        <v>46</v>
      </c>
      <c r="T99" s="87">
        <v>14</v>
      </c>
      <c r="U99" s="88">
        <v>25</v>
      </c>
      <c r="V99" s="89">
        <v>82</v>
      </c>
      <c r="W99" s="87">
        <v>18</v>
      </c>
      <c r="X99" s="88">
        <v>27</v>
      </c>
      <c r="Y99" s="89">
        <v>178</v>
      </c>
      <c r="Z99" s="87">
        <v>17</v>
      </c>
      <c r="AA99" s="88">
        <v>26</v>
      </c>
      <c r="AB99" s="89">
        <v>142</v>
      </c>
      <c r="AC99" s="87">
        <v>10</v>
      </c>
      <c r="AD99" s="88">
        <v>23</v>
      </c>
      <c r="AE99" s="89">
        <v>68</v>
      </c>
      <c r="AF99" s="87">
        <v>2</v>
      </c>
      <c r="AG99" s="88">
        <v>15</v>
      </c>
      <c r="AH99" s="89">
        <v>30</v>
      </c>
      <c r="AI99" s="87">
        <v>-6</v>
      </c>
      <c r="AJ99" s="88">
        <v>4</v>
      </c>
      <c r="AK99" s="89">
        <v>18</v>
      </c>
      <c r="AL99" s="87">
        <v>-15</v>
      </c>
      <c r="AM99" s="88">
        <v>-4</v>
      </c>
      <c r="AN99" s="89">
        <v>8</v>
      </c>
    </row>
    <row r="100" spans="1:40" ht="12.75">
      <c r="A100" s="64" t="s">
        <v>573</v>
      </c>
      <c r="B100" s="428" t="s">
        <v>574</v>
      </c>
      <c r="C100" s="497"/>
      <c r="D100" s="498"/>
      <c r="E100" s="87">
        <v>-24</v>
      </c>
      <c r="F100" s="88">
        <v>-12</v>
      </c>
      <c r="G100" s="89">
        <v>7</v>
      </c>
      <c r="H100" s="87">
        <v>-22</v>
      </c>
      <c r="I100" s="88">
        <v>-9</v>
      </c>
      <c r="J100" s="89">
        <v>8</v>
      </c>
      <c r="K100" s="87">
        <v>-12</v>
      </c>
      <c r="L100" s="88">
        <v>0</v>
      </c>
      <c r="M100" s="89">
        <v>11</v>
      </c>
      <c r="N100" s="87">
        <v>-2</v>
      </c>
      <c r="O100" s="88">
        <v>11</v>
      </c>
      <c r="P100" s="89">
        <v>31</v>
      </c>
      <c r="Q100" s="87">
        <v>3</v>
      </c>
      <c r="R100" s="88">
        <v>19</v>
      </c>
      <c r="S100" s="89">
        <v>50</v>
      </c>
      <c r="T100" s="87">
        <v>10</v>
      </c>
      <c r="U100" s="88">
        <v>22</v>
      </c>
      <c r="V100" s="89">
        <v>80</v>
      </c>
      <c r="W100" s="87">
        <v>13</v>
      </c>
      <c r="X100" s="88">
        <v>25</v>
      </c>
      <c r="Y100" s="89">
        <v>135</v>
      </c>
      <c r="Z100" s="87">
        <v>12</v>
      </c>
      <c r="AA100" s="88">
        <v>23</v>
      </c>
      <c r="AB100" s="89">
        <v>122</v>
      </c>
      <c r="AC100" s="87">
        <v>8</v>
      </c>
      <c r="AD100" s="88">
        <v>18</v>
      </c>
      <c r="AE100" s="89">
        <v>70</v>
      </c>
      <c r="AF100" s="87">
        <v>-3</v>
      </c>
      <c r="AG100" s="88">
        <v>10</v>
      </c>
      <c r="AH100" s="89">
        <v>30</v>
      </c>
      <c r="AI100" s="87">
        <v>-12</v>
      </c>
      <c r="AJ100" s="88">
        <v>0</v>
      </c>
      <c r="AK100" s="89">
        <v>16</v>
      </c>
      <c r="AL100" s="87">
        <v>-22</v>
      </c>
      <c r="AM100" s="88">
        <v>-10</v>
      </c>
      <c r="AN100" s="89">
        <v>8</v>
      </c>
    </row>
    <row r="101" spans="1:40" ht="12.75">
      <c r="A101" s="64" t="s">
        <v>576</v>
      </c>
      <c r="B101" s="428" t="s">
        <v>577</v>
      </c>
      <c r="C101" s="497"/>
      <c r="D101" s="498"/>
      <c r="E101" s="87">
        <v>-32</v>
      </c>
      <c r="F101" s="88">
        <v>-19</v>
      </c>
      <c r="G101" s="89">
        <v>8</v>
      </c>
      <c r="H101" s="87">
        <v>-30</v>
      </c>
      <c r="I101" s="88">
        <v>-15</v>
      </c>
      <c r="J101" s="89">
        <v>6</v>
      </c>
      <c r="K101" s="87">
        <v>-21</v>
      </c>
      <c r="L101" s="88">
        <v>-5</v>
      </c>
      <c r="M101" s="89">
        <v>10</v>
      </c>
      <c r="N101" s="87">
        <v>-10</v>
      </c>
      <c r="O101" s="88">
        <v>4</v>
      </c>
      <c r="P101" s="89">
        <v>22</v>
      </c>
      <c r="Q101" s="87">
        <v>-3</v>
      </c>
      <c r="R101" s="88">
        <v>12</v>
      </c>
      <c r="S101" s="89">
        <v>37</v>
      </c>
      <c r="T101" s="87">
        <v>4</v>
      </c>
      <c r="U101" s="88">
        <v>19</v>
      </c>
      <c r="V101" s="89">
        <v>71</v>
      </c>
      <c r="W101" s="87">
        <v>6</v>
      </c>
      <c r="X101" s="88">
        <v>20</v>
      </c>
      <c r="Y101" s="89">
        <v>110</v>
      </c>
      <c r="Z101" s="87">
        <v>5</v>
      </c>
      <c r="AA101" s="88">
        <v>19</v>
      </c>
      <c r="AB101" s="89">
        <v>96</v>
      </c>
      <c r="AC101" s="87">
        <v>0</v>
      </c>
      <c r="AD101" s="88">
        <v>11</v>
      </c>
      <c r="AE101" s="89">
        <v>58</v>
      </c>
      <c r="AF101" s="87">
        <v>-10</v>
      </c>
      <c r="AG101" s="88">
        <v>4</v>
      </c>
      <c r="AH101" s="89">
        <v>20</v>
      </c>
      <c r="AI101" s="87">
        <v>-23</v>
      </c>
      <c r="AJ101" s="88">
        <v>-10</v>
      </c>
      <c r="AK101" s="89">
        <v>12</v>
      </c>
      <c r="AL101" s="87">
        <v>-30</v>
      </c>
      <c r="AM101" s="88">
        <v>-20</v>
      </c>
      <c r="AN101" s="89">
        <v>9</v>
      </c>
    </row>
    <row r="102" spans="1:40" ht="12.75">
      <c r="A102" s="64" t="s">
        <v>579</v>
      </c>
      <c r="B102" s="428" t="s">
        <v>580</v>
      </c>
      <c r="C102" s="497"/>
      <c r="D102" s="498"/>
      <c r="E102" s="87">
        <v>-51</v>
      </c>
      <c r="F102" s="88">
        <v>-43</v>
      </c>
      <c r="G102" s="89">
        <v>9</v>
      </c>
      <c r="H102" s="87">
        <v>-48</v>
      </c>
      <c r="I102" s="88">
        <v>-38</v>
      </c>
      <c r="J102" s="89">
        <v>8</v>
      </c>
      <c r="K102" s="87">
        <v>-39</v>
      </c>
      <c r="L102" s="88">
        <v>-21</v>
      </c>
      <c r="M102" s="89">
        <v>7</v>
      </c>
      <c r="N102" s="87">
        <v>-22</v>
      </c>
      <c r="O102" s="88">
        <v>-8</v>
      </c>
      <c r="P102" s="89">
        <v>12</v>
      </c>
      <c r="Q102" s="87">
        <v>-8</v>
      </c>
      <c r="R102" s="88">
        <v>5</v>
      </c>
      <c r="S102" s="89">
        <v>30</v>
      </c>
      <c r="T102" s="87">
        <v>2</v>
      </c>
      <c r="U102" s="88">
        <v>15</v>
      </c>
      <c r="V102" s="89">
        <v>55</v>
      </c>
      <c r="W102" s="87">
        <v>3</v>
      </c>
      <c r="X102" s="88">
        <v>18</v>
      </c>
      <c r="Y102" s="89">
        <v>64</v>
      </c>
      <c r="Z102" s="87">
        <v>1</v>
      </c>
      <c r="AA102" s="88">
        <v>14</v>
      </c>
      <c r="AB102" s="89">
        <v>63</v>
      </c>
      <c r="AC102" s="87">
        <v>-7</v>
      </c>
      <c r="AD102" s="88">
        <v>7</v>
      </c>
      <c r="AE102" s="89">
        <v>31</v>
      </c>
      <c r="AF102" s="87">
        <v>-20</v>
      </c>
      <c r="AG102" s="88">
        <v>-13</v>
      </c>
      <c r="AH102" s="89">
        <v>20</v>
      </c>
      <c r="AI102" s="87">
        <v>-42</v>
      </c>
      <c r="AJ102" s="88">
        <v>-35</v>
      </c>
      <c r="AK102" s="89">
        <v>12</v>
      </c>
      <c r="AL102" s="87">
        <v>-50</v>
      </c>
      <c r="AM102" s="88">
        <v>-43</v>
      </c>
      <c r="AN102" s="89">
        <v>9</v>
      </c>
    </row>
    <row r="103" spans="1:40" ht="12.75">
      <c r="A103" s="64" t="s">
        <v>582</v>
      </c>
      <c r="B103" s="428" t="s">
        <v>583</v>
      </c>
      <c r="C103" s="497"/>
      <c r="D103" s="498"/>
      <c r="E103" s="87">
        <v>-9</v>
      </c>
      <c r="F103" s="88">
        <v>1</v>
      </c>
      <c r="G103" s="89">
        <v>48</v>
      </c>
      <c r="H103" s="87">
        <v>-7</v>
      </c>
      <c r="I103" s="88">
        <v>2</v>
      </c>
      <c r="J103" s="89">
        <v>47</v>
      </c>
      <c r="K103" s="87">
        <v>-4</v>
      </c>
      <c r="L103" s="88">
        <v>8</v>
      </c>
      <c r="M103" s="89">
        <v>60</v>
      </c>
      <c r="N103" s="87">
        <v>3</v>
      </c>
      <c r="O103" s="88">
        <v>15</v>
      </c>
      <c r="P103" s="89">
        <v>70</v>
      </c>
      <c r="Q103" s="87">
        <v>6</v>
      </c>
      <c r="R103" s="88">
        <v>21</v>
      </c>
      <c r="S103" s="89">
        <v>46</v>
      </c>
      <c r="T103" s="87">
        <v>10</v>
      </c>
      <c r="U103" s="88">
        <v>26</v>
      </c>
      <c r="V103" s="89">
        <v>12</v>
      </c>
      <c r="W103" s="87">
        <v>14</v>
      </c>
      <c r="X103" s="88">
        <v>30</v>
      </c>
      <c r="Y103" s="89">
        <v>7</v>
      </c>
      <c r="Z103" s="87">
        <v>13</v>
      </c>
      <c r="AA103" s="88">
        <v>29</v>
      </c>
      <c r="AB103" s="89">
        <v>5</v>
      </c>
      <c r="AC103" s="87">
        <v>9</v>
      </c>
      <c r="AD103" s="88">
        <v>25</v>
      </c>
      <c r="AE103" s="89">
        <v>6</v>
      </c>
      <c r="AF103" s="87">
        <v>4</v>
      </c>
      <c r="AG103" s="88">
        <v>18</v>
      </c>
      <c r="AH103" s="89">
        <v>25</v>
      </c>
      <c r="AI103" s="87">
        <v>-3</v>
      </c>
      <c r="AJ103" s="88">
        <v>10</v>
      </c>
      <c r="AK103" s="89">
        <v>39</v>
      </c>
      <c r="AL103" s="87">
        <v>-7</v>
      </c>
      <c r="AM103" s="88">
        <v>3</v>
      </c>
      <c r="AN103" s="89">
        <v>45</v>
      </c>
    </row>
    <row r="104" spans="1:40" ht="12.75">
      <c r="A104" s="64" t="s">
        <v>586</v>
      </c>
      <c r="B104" s="428" t="s">
        <v>587</v>
      </c>
      <c r="C104" s="497"/>
      <c r="D104" s="498"/>
      <c r="E104" s="87">
        <v>-13</v>
      </c>
      <c r="F104" s="88">
        <v>-2</v>
      </c>
      <c r="G104" s="89">
        <v>60</v>
      </c>
      <c r="H104" s="87">
        <v>-11</v>
      </c>
      <c r="I104" s="88">
        <v>-1</v>
      </c>
      <c r="J104" s="89">
        <v>59</v>
      </c>
      <c r="K104" s="87">
        <v>-6</v>
      </c>
      <c r="L104" s="88">
        <v>4</v>
      </c>
      <c r="M104" s="89">
        <v>71</v>
      </c>
      <c r="N104" s="87">
        <v>-2</v>
      </c>
      <c r="O104" s="88">
        <v>11</v>
      </c>
      <c r="P104" s="89">
        <v>73</v>
      </c>
      <c r="Q104" s="87">
        <v>3</v>
      </c>
      <c r="R104" s="88">
        <v>16</v>
      </c>
      <c r="S104" s="89">
        <v>59</v>
      </c>
      <c r="T104" s="87">
        <v>5</v>
      </c>
      <c r="U104" s="88">
        <v>22</v>
      </c>
      <c r="V104" s="89">
        <v>29</v>
      </c>
      <c r="W104" s="87">
        <v>7</v>
      </c>
      <c r="X104" s="88">
        <v>25</v>
      </c>
      <c r="Y104" s="89">
        <v>15</v>
      </c>
      <c r="Z104" s="87">
        <v>6</v>
      </c>
      <c r="AA104" s="88">
        <v>24</v>
      </c>
      <c r="AB104" s="89">
        <v>14</v>
      </c>
      <c r="AC104" s="87">
        <v>4</v>
      </c>
      <c r="AD104" s="88">
        <v>21</v>
      </c>
      <c r="AE104" s="89">
        <v>16</v>
      </c>
      <c r="AF104" s="87">
        <v>0</v>
      </c>
      <c r="AG104" s="88">
        <v>13</v>
      </c>
      <c r="AH104" s="89">
        <v>38</v>
      </c>
      <c r="AI104" s="87">
        <v>-5</v>
      </c>
      <c r="AJ104" s="88">
        <v>5</v>
      </c>
      <c r="AK104" s="89">
        <v>49</v>
      </c>
      <c r="AL104" s="87">
        <v>-10</v>
      </c>
      <c r="AM104" s="88">
        <v>0</v>
      </c>
      <c r="AN104" s="89">
        <v>60</v>
      </c>
    </row>
    <row r="105" spans="1:40" ht="12.75">
      <c r="A105" s="64" t="s">
        <v>585</v>
      </c>
      <c r="B105" s="428" t="s">
        <v>589</v>
      </c>
      <c r="C105" s="497"/>
      <c r="D105" s="498"/>
      <c r="E105" s="87">
        <v>-26</v>
      </c>
      <c r="F105" s="88">
        <v>-16</v>
      </c>
      <c r="G105" s="89">
        <v>36</v>
      </c>
      <c r="H105" s="87">
        <v>-24</v>
      </c>
      <c r="I105" s="88">
        <v>-13</v>
      </c>
      <c r="J105" s="89">
        <v>33</v>
      </c>
      <c r="K105" s="87">
        <v>-19</v>
      </c>
      <c r="L105" s="88">
        <v>-7</v>
      </c>
      <c r="M105" s="89">
        <v>35</v>
      </c>
      <c r="N105" s="87">
        <v>-12</v>
      </c>
      <c r="O105" s="88">
        <v>0</v>
      </c>
      <c r="P105" s="89">
        <v>33</v>
      </c>
      <c r="Q105" s="87">
        <v>-4</v>
      </c>
      <c r="R105" s="88">
        <v>8</v>
      </c>
      <c r="S105" s="89">
        <v>34</v>
      </c>
      <c r="T105" s="87">
        <v>1</v>
      </c>
      <c r="U105" s="88">
        <v>14</v>
      </c>
      <c r="V105" s="89">
        <v>36</v>
      </c>
      <c r="W105" s="87">
        <v>4</v>
      </c>
      <c r="X105" s="88">
        <v>17</v>
      </c>
      <c r="Y105" s="89">
        <v>45</v>
      </c>
      <c r="Z105" s="87">
        <v>3</v>
      </c>
      <c r="AA105" s="88">
        <v>15</v>
      </c>
      <c r="AB105" s="89">
        <v>41</v>
      </c>
      <c r="AC105" s="87">
        <v>-2</v>
      </c>
      <c r="AD105" s="88">
        <v>10</v>
      </c>
      <c r="AE105" s="89">
        <v>34</v>
      </c>
      <c r="AF105" s="87">
        <v>-8</v>
      </c>
      <c r="AG105" s="88">
        <v>0</v>
      </c>
      <c r="AH105" s="89">
        <v>37</v>
      </c>
      <c r="AI105" s="87">
        <v>-19</v>
      </c>
      <c r="AJ105" s="88">
        <v>-10</v>
      </c>
      <c r="AK105" s="89">
        <v>35</v>
      </c>
      <c r="AL105" s="87">
        <v>-24</v>
      </c>
      <c r="AM105" s="88">
        <v>-15</v>
      </c>
      <c r="AN105" s="89">
        <v>38</v>
      </c>
    </row>
    <row r="106" spans="1:40" ht="12.75">
      <c r="A106" s="64" t="s">
        <v>507</v>
      </c>
      <c r="B106" s="428" t="s">
        <v>591</v>
      </c>
      <c r="C106" s="497"/>
      <c r="D106" s="498"/>
      <c r="E106" s="87">
        <v>-30</v>
      </c>
      <c r="F106" s="88">
        <v>-21</v>
      </c>
      <c r="G106" s="89">
        <v>19</v>
      </c>
      <c r="H106" s="87">
        <v>-31</v>
      </c>
      <c r="I106" s="88">
        <v>-22</v>
      </c>
      <c r="J106" s="89">
        <v>16</v>
      </c>
      <c r="K106" s="87">
        <v>-29</v>
      </c>
      <c r="L106" s="88">
        <v>-19</v>
      </c>
      <c r="M106" s="89">
        <v>17</v>
      </c>
      <c r="N106" s="87">
        <v>-21</v>
      </c>
      <c r="O106" s="88">
        <v>-11</v>
      </c>
      <c r="P106" s="89">
        <v>18</v>
      </c>
      <c r="Q106" s="87">
        <v>-10</v>
      </c>
      <c r="R106" s="88">
        <v>-2</v>
      </c>
      <c r="S106" s="89">
        <v>21</v>
      </c>
      <c r="T106" s="87">
        <v>-3</v>
      </c>
      <c r="U106" s="88">
        <v>5</v>
      </c>
      <c r="V106" s="89">
        <v>30</v>
      </c>
      <c r="W106" s="87">
        <v>1</v>
      </c>
      <c r="X106" s="88">
        <v>10</v>
      </c>
      <c r="Y106" s="89">
        <v>44</v>
      </c>
      <c r="Z106" s="87">
        <v>0</v>
      </c>
      <c r="AA106" s="88">
        <v>8</v>
      </c>
      <c r="AB106" s="89">
        <v>46</v>
      </c>
      <c r="AC106" s="87">
        <v>-5</v>
      </c>
      <c r="AD106" s="88">
        <v>3</v>
      </c>
      <c r="AE106" s="89">
        <v>37</v>
      </c>
      <c r="AF106" s="87">
        <v>-14</v>
      </c>
      <c r="AG106" s="88">
        <v>-7</v>
      </c>
      <c r="AH106" s="89">
        <v>30</v>
      </c>
      <c r="AI106" s="87">
        <v>-24</v>
      </c>
      <c r="AJ106" s="88">
        <v>-16</v>
      </c>
      <c r="AK106" s="89">
        <v>23</v>
      </c>
      <c r="AL106" s="87">
        <v>-29</v>
      </c>
      <c r="AM106" s="88">
        <v>-19</v>
      </c>
      <c r="AN106" s="89">
        <v>20</v>
      </c>
    </row>
    <row r="107" spans="1:40" ht="13.5" thickBot="1">
      <c r="A107" s="66" t="s">
        <v>508</v>
      </c>
      <c r="B107" s="429" t="s">
        <v>593</v>
      </c>
      <c r="C107" s="446"/>
      <c r="D107" s="502"/>
      <c r="E107" s="90">
        <v>-33</v>
      </c>
      <c r="F107" s="91">
        <v>-26</v>
      </c>
      <c r="G107" s="92">
        <v>55</v>
      </c>
      <c r="H107" s="90">
        <v>-34</v>
      </c>
      <c r="I107" s="91">
        <v>-27</v>
      </c>
      <c r="J107" s="92">
        <v>57</v>
      </c>
      <c r="K107" s="90">
        <v>-35</v>
      </c>
      <c r="L107" s="91">
        <v>-28</v>
      </c>
      <c r="M107" s="92">
        <v>60</v>
      </c>
      <c r="N107" s="90">
        <v>-28</v>
      </c>
      <c r="O107" s="91">
        <v>-22</v>
      </c>
      <c r="P107" s="92">
        <v>52</v>
      </c>
      <c r="Q107" s="90">
        <v>-16</v>
      </c>
      <c r="R107" s="91">
        <v>-11</v>
      </c>
      <c r="S107" s="92">
        <v>54</v>
      </c>
      <c r="T107" s="90">
        <v>-9</v>
      </c>
      <c r="U107" s="91">
        <v>-5</v>
      </c>
      <c r="V107" s="92">
        <v>57</v>
      </c>
      <c r="W107" s="90">
        <v>-6</v>
      </c>
      <c r="X107" s="91">
        <v>-1</v>
      </c>
      <c r="Y107" s="92">
        <v>56</v>
      </c>
      <c r="Z107" s="90">
        <v>-7</v>
      </c>
      <c r="AA107" s="91">
        <v>-3</v>
      </c>
      <c r="AB107" s="92">
        <v>69</v>
      </c>
      <c r="AC107" s="90">
        <v>-16</v>
      </c>
      <c r="AD107" s="91">
        <v>-10</v>
      </c>
      <c r="AE107" s="92">
        <v>80</v>
      </c>
      <c r="AF107" s="90">
        <v>-21</v>
      </c>
      <c r="AG107" s="91">
        <v>-19</v>
      </c>
      <c r="AH107" s="92">
        <v>73</v>
      </c>
      <c r="AI107" s="90">
        <v>-26</v>
      </c>
      <c r="AJ107" s="91">
        <v>-24</v>
      </c>
      <c r="AK107" s="92">
        <v>75</v>
      </c>
      <c r="AL107" s="90">
        <v>-32</v>
      </c>
      <c r="AM107" s="91">
        <v>-25</v>
      </c>
      <c r="AN107" s="92">
        <v>59</v>
      </c>
    </row>
    <row r="112" spans="1:40" ht="14.25" thickTop="1" thickBot="1">
      <c r="A112" s="347"/>
      <c r="B112" s="332" t="s">
        <v>145</v>
      </c>
      <c r="C112" s="332" t="s">
        <v>428</v>
      </c>
      <c r="D112" s="332" t="s">
        <v>429</v>
      </c>
      <c r="E112" s="332" t="s">
        <v>146</v>
      </c>
      <c r="F112" s="332" t="s">
        <v>430</v>
      </c>
      <c r="G112" s="332" t="s">
        <v>431</v>
      </c>
      <c r="H112" s="332" t="s">
        <v>147</v>
      </c>
      <c r="I112" s="332" t="s">
        <v>432</v>
      </c>
      <c r="J112" s="332" t="s">
        <v>433</v>
      </c>
      <c r="K112" s="332" t="s">
        <v>148</v>
      </c>
      <c r="L112" s="332" t="s">
        <v>434</v>
      </c>
      <c r="M112" s="332" t="s">
        <v>435</v>
      </c>
      <c r="N112" s="347"/>
      <c r="O112" s="347"/>
      <c r="P112" s="347"/>
      <c r="Q112" s="347"/>
      <c r="R112" s="347"/>
      <c r="S112" s="347"/>
      <c r="T112" s="347"/>
      <c r="U112" s="347"/>
      <c r="V112" s="347"/>
      <c r="W112" s="347"/>
      <c r="X112" s="347"/>
      <c r="Y112" s="347"/>
      <c r="Z112" s="347"/>
      <c r="AA112" s="347"/>
      <c r="AB112" s="347"/>
      <c r="AC112" s="347"/>
      <c r="AD112" s="347"/>
      <c r="AE112" s="347"/>
      <c r="AF112" s="347"/>
      <c r="AG112" s="347"/>
      <c r="AH112" s="347"/>
      <c r="AI112" s="347"/>
      <c r="AJ112" s="347"/>
      <c r="AK112" s="347"/>
      <c r="AL112" s="347"/>
      <c r="AM112" s="347"/>
      <c r="AN112" s="347"/>
    </row>
    <row r="113" spans="1:19" ht="13.5" thickTop="1">
      <c r="A113" s="69" t="s">
        <v>597</v>
      </c>
      <c r="B113" s="80" t="str">
        <f ca="1">IFERROR(__xludf.DUMMYFUNCTION("if(C$4&gt;0,filter(filter(E$79:AN$107,A$79:A$107=C$10),E$78:AN$78=A113),
filter(filter({W$79:AN$107,E$79:V$107},A$79:A$107=C$10),E$78:AN$78=A113))"),"#N/A")</f>
        <v>#N/A</v>
      </c>
      <c r="C113" s="80"/>
      <c r="D113" s="80"/>
      <c r="E113" s="80"/>
      <c r="F113" s="80"/>
      <c r="G113" s="80"/>
      <c r="H113" s="80"/>
      <c r="I113" s="80"/>
      <c r="J113" s="80"/>
      <c r="K113" s="80"/>
      <c r="L113" s="80"/>
      <c r="M113" s="80"/>
      <c r="N113" s="347"/>
      <c r="O113" s="347"/>
      <c r="P113" s="347"/>
      <c r="Q113" s="347"/>
      <c r="R113" s="93"/>
      <c r="S113" s="94"/>
    </row>
    <row r="114" spans="1:19" ht="12.75">
      <c r="A114" s="95" t="s">
        <v>596</v>
      </c>
      <c r="B114" s="82" t="str">
        <f ca="1">IFERROR(__xludf.DUMMYFUNCTION("if(C$4&gt;0,filter(filter(E$79:AN$107,A$79:A$107=C$10),E$78:AN$78=A114),
filter(filter({W$79:AN$107,E$79:V$107},A$79:A$107=C$10),E$78:AN$78=A114))"),"#N/A")</f>
        <v>#N/A</v>
      </c>
      <c r="C114" s="82"/>
      <c r="D114" s="82"/>
      <c r="E114" s="82"/>
      <c r="F114" s="82"/>
      <c r="G114" s="82"/>
      <c r="H114" s="82"/>
      <c r="I114" s="82"/>
      <c r="J114" s="82"/>
      <c r="K114" s="82"/>
      <c r="L114" s="82"/>
      <c r="M114" s="82"/>
      <c r="N114" s="347"/>
      <c r="O114" s="347"/>
      <c r="P114" s="347"/>
      <c r="Q114" s="347"/>
      <c r="R114" s="93"/>
      <c r="S114" s="347"/>
    </row>
    <row r="115" spans="1:19" ht="13.5" thickBot="1">
      <c r="A115" s="95" t="s">
        <v>598</v>
      </c>
      <c r="B115" s="83" t="str">
        <f ca="1">IFERROR(__xludf.DUMMYFUNCTION("if(C$4&gt;0,filter(filter(E$79:AN$107,A$79:A$107=C$10),E$78:AN$78=A115),
filter(filter({W$79:AN$107,E$79:V$107},A$79:A$107=C$10),E$78:AN$78=A115))"),"#N/A")</f>
        <v>#N/A</v>
      </c>
      <c r="C115" s="83"/>
      <c r="D115" s="83"/>
      <c r="E115" s="83"/>
      <c r="F115" s="83"/>
      <c r="G115" s="83"/>
      <c r="H115" s="83"/>
      <c r="I115" s="83"/>
      <c r="J115" s="83"/>
      <c r="K115" s="83"/>
      <c r="L115" s="83"/>
      <c r="M115" s="83"/>
      <c r="N115" s="347"/>
      <c r="O115" s="347"/>
      <c r="P115" s="347"/>
      <c r="Q115" s="94"/>
      <c r="R115" s="93"/>
      <c r="S115" s="347"/>
    </row>
    <row r="116" spans="1:19" ht="14.25" thickTop="1" thickBot="1">
      <c r="A116" s="95" t="s">
        <v>599</v>
      </c>
      <c r="B116" s="96">
        <f ca="1">4.5/LOG(2,MAX((SUM(B115:M115)/250),1.46))</f>
        <v>2.4568576609738164</v>
      </c>
      <c r="C116" s="100"/>
      <c r="D116" s="100"/>
      <c r="E116" s="100"/>
      <c r="F116" s="100"/>
      <c r="G116" s="100"/>
      <c r="H116" s="100"/>
      <c r="I116" s="100"/>
      <c r="J116" s="100"/>
      <c r="K116" s="100"/>
      <c r="L116" s="100"/>
      <c r="M116" s="100"/>
      <c r="N116" s="347"/>
      <c r="O116" s="347"/>
      <c r="P116" s="347"/>
      <c r="Q116" s="94"/>
      <c r="R116" s="93"/>
      <c r="S116" s="347"/>
    </row>
    <row r="117" spans="1:19" ht="13.5" thickTop="1">
      <c r="A117" s="95" t="s">
        <v>598</v>
      </c>
      <c r="B117" s="97" t="e">
        <f t="shared" ref="B117:M117" ca="1" si="1">ROUND(B115*0.0393701,1)</f>
        <v>#VALUE!</v>
      </c>
      <c r="C117" s="97">
        <f t="shared" si="1"/>
        <v>0</v>
      </c>
      <c r="D117" s="97">
        <f t="shared" si="1"/>
        <v>0</v>
      </c>
      <c r="E117" s="97">
        <f t="shared" si="1"/>
        <v>0</v>
      </c>
      <c r="F117" s="97">
        <f t="shared" si="1"/>
        <v>0</v>
      </c>
      <c r="G117" s="97">
        <f t="shared" si="1"/>
        <v>0</v>
      </c>
      <c r="H117" s="97">
        <f t="shared" si="1"/>
        <v>0</v>
      </c>
      <c r="I117" s="97">
        <f t="shared" si="1"/>
        <v>0</v>
      </c>
      <c r="J117" s="97">
        <f t="shared" si="1"/>
        <v>0</v>
      </c>
      <c r="K117" s="97">
        <f t="shared" si="1"/>
        <v>0</v>
      </c>
      <c r="L117" s="97">
        <f t="shared" si="1"/>
        <v>0</v>
      </c>
      <c r="M117" s="97">
        <f t="shared" si="1"/>
        <v>0</v>
      </c>
      <c r="N117" s="347"/>
      <c r="O117" s="347"/>
      <c r="P117" s="347"/>
      <c r="Q117" s="94"/>
      <c r="R117" s="93"/>
      <c r="S117" s="347"/>
    </row>
    <row r="118" spans="1:19" ht="12.75">
      <c r="A118" s="95" t="s">
        <v>600</v>
      </c>
      <c r="B118" s="109" t="e">
        <f ca="1">ROUND(MAX(MIN(B115/$B116,28)/30,0.01),2)</f>
        <v>#VALUE!</v>
      </c>
      <c r="C118" s="109">
        <f t="shared" ref="C118:M118" ca="1" si="2">MAX(MIN(C115/$B116,28)/30,0.01)</f>
        <v>0.01</v>
      </c>
      <c r="D118" s="109">
        <f t="shared" ca="1" si="2"/>
        <v>0.01</v>
      </c>
      <c r="E118" s="109">
        <f t="shared" ca="1" si="2"/>
        <v>0.01</v>
      </c>
      <c r="F118" s="109">
        <f t="shared" ca="1" si="2"/>
        <v>0.01</v>
      </c>
      <c r="G118" s="109">
        <f t="shared" ca="1" si="2"/>
        <v>0.01</v>
      </c>
      <c r="H118" s="109">
        <f t="shared" ca="1" si="2"/>
        <v>0.01</v>
      </c>
      <c r="I118" s="109">
        <f t="shared" ca="1" si="2"/>
        <v>0.01</v>
      </c>
      <c r="J118" s="109">
        <f t="shared" ca="1" si="2"/>
        <v>0.01</v>
      </c>
      <c r="K118" s="109">
        <f t="shared" ca="1" si="2"/>
        <v>0.01</v>
      </c>
      <c r="L118" s="109">
        <f t="shared" ca="1" si="2"/>
        <v>0.01</v>
      </c>
      <c r="M118" s="109">
        <f t="shared" ca="1" si="2"/>
        <v>0.01</v>
      </c>
      <c r="N118" s="347"/>
      <c r="O118" s="347"/>
      <c r="P118" s="347"/>
      <c r="Q118" s="94"/>
      <c r="R118" s="93"/>
      <c r="S118" s="347"/>
    </row>
    <row r="119" spans="1:19" ht="12.75">
      <c r="A119" s="95" t="s">
        <v>597</v>
      </c>
      <c r="B119" s="82" t="e">
        <f t="shared" ref="B119:M119" ca="1" si="3">ROUND((B113*(9/5))+32,0)</f>
        <v>#VALUE!</v>
      </c>
      <c r="C119" s="82">
        <f t="shared" si="3"/>
        <v>32</v>
      </c>
      <c r="D119" s="82">
        <f t="shared" si="3"/>
        <v>32</v>
      </c>
      <c r="E119" s="82">
        <f t="shared" si="3"/>
        <v>32</v>
      </c>
      <c r="F119" s="82">
        <f t="shared" si="3"/>
        <v>32</v>
      </c>
      <c r="G119" s="82">
        <f t="shared" si="3"/>
        <v>32</v>
      </c>
      <c r="H119" s="82">
        <f t="shared" si="3"/>
        <v>32</v>
      </c>
      <c r="I119" s="82">
        <f t="shared" si="3"/>
        <v>32</v>
      </c>
      <c r="J119" s="82">
        <f t="shared" si="3"/>
        <v>32</v>
      </c>
      <c r="K119" s="82">
        <f t="shared" si="3"/>
        <v>32</v>
      </c>
      <c r="L119" s="82">
        <f t="shared" si="3"/>
        <v>32</v>
      </c>
      <c r="M119" s="82">
        <f t="shared" si="3"/>
        <v>32</v>
      </c>
      <c r="N119" s="347"/>
      <c r="O119" s="347"/>
      <c r="P119" s="347"/>
      <c r="Q119" s="94"/>
      <c r="R119" s="93"/>
      <c r="S119" s="347"/>
    </row>
    <row r="120" spans="1:19" ht="12.75">
      <c r="A120" s="95" t="s">
        <v>596</v>
      </c>
      <c r="B120" s="82" t="e">
        <f t="shared" ref="B120:M120" ca="1" si="4">ROUND((B114*(9/5))+32,0)</f>
        <v>#VALUE!</v>
      </c>
      <c r="C120" s="82">
        <f t="shared" si="4"/>
        <v>32</v>
      </c>
      <c r="D120" s="82">
        <f t="shared" si="4"/>
        <v>32</v>
      </c>
      <c r="E120" s="82">
        <f t="shared" si="4"/>
        <v>32</v>
      </c>
      <c r="F120" s="82">
        <f t="shared" si="4"/>
        <v>32</v>
      </c>
      <c r="G120" s="82">
        <f t="shared" si="4"/>
        <v>32</v>
      </c>
      <c r="H120" s="82">
        <f t="shared" si="4"/>
        <v>32</v>
      </c>
      <c r="I120" s="82">
        <f t="shared" si="4"/>
        <v>32</v>
      </c>
      <c r="J120" s="82">
        <f t="shared" si="4"/>
        <v>32</v>
      </c>
      <c r="K120" s="82">
        <f t="shared" si="4"/>
        <v>32</v>
      </c>
      <c r="L120" s="82">
        <f t="shared" si="4"/>
        <v>32</v>
      </c>
      <c r="M120" s="82">
        <f t="shared" si="4"/>
        <v>32</v>
      </c>
      <c r="N120" s="347"/>
      <c r="O120" s="347"/>
      <c r="P120" s="347"/>
      <c r="Q120" s="94"/>
      <c r="R120" s="93"/>
      <c r="S120" s="347"/>
    </row>
    <row r="121" spans="1:19" ht="12.75">
      <c r="A121" s="95" t="s">
        <v>601</v>
      </c>
      <c r="B121" s="82" t="e">
        <f t="shared" ref="B121:M121" ca="1" si="5">ROUND(((B119-B120)/2)/3,0)</f>
        <v>#VALUE!</v>
      </c>
      <c r="C121" s="82">
        <f t="shared" si="5"/>
        <v>0</v>
      </c>
      <c r="D121" s="82">
        <f t="shared" si="5"/>
        <v>0</v>
      </c>
      <c r="E121" s="82">
        <f t="shared" si="5"/>
        <v>0</v>
      </c>
      <c r="F121" s="82">
        <f t="shared" si="5"/>
        <v>0</v>
      </c>
      <c r="G121" s="82">
        <f t="shared" si="5"/>
        <v>0</v>
      </c>
      <c r="H121" s="82">
        <f t="shared" si="5"/>
        <v>0</v>
      </c>
      <c r="I121" s="82">
        <f t="shared" si="5"/>
        <v>0</v>
      </c>
      <c r="J121" s="82">
        <f t="shared" si="5"/>
        <v>0</v>
      </c>
      <c r="K121" s="82">
        <f t="shared" si="5"/>
        <v>0</v>
      </c>
      <c r="L121" s="82">
        <f t="shared" si="5"/>
        <v>0</v>
      </c>
      <c r="M121" s="82">
        <f t="shared" si="5"/>
        <v>0</v>
      </c>
      <c r="N121" s="347"/>
      <c r="O121" s="347"/>
      <c r="P121" s="347"/>
      <c r="Q121" s="94"/>
      <c r="R121" s="347"/>
      <c r="S121" s="347"/>
    </row>
    <row r="122" spans="1:19" ht="13.5" thickBot="1">
      <c r="A122" s="72" t="s">
        <v>602</v>
      </c>
      <c r="B122" s="99" t="e">
        <f t="shared" ref="B122:M122" ca="1" si="6">(COS(RADIANS((((COLUMN()-2)*30)-IF($C$4&lt;0,-167,15))*0.9863))*$F4)</f>
        <v>#NAME?</v>
      </c>
      <c r="C122" s="99" t="e">
        <f t="shared" ca="1" si="6"/>
        <v>#NAME?</v>
      </c>
      <c r="D122" s="99" t="e">
        <f t="shared" ca="1" si="6"/>
        <v>#NAME?</v>
      </c>
      <c r="E122" s="99" t="e">
        <f t="shared" ca="1" si="6"/>
        <v>#NAME?</v>
      </c>
      <c r="F122" s="99" t="e">
        <f t="shared" ca="1" si="6"/>
        <v>#NAME?</v>
      </c>
      <c r="G122" s="99" t="e">
        <f t="shared" ca="1" si="6"/>
        <v>#NAME?</v>
      </c>
      <c r="H122" s="99" t="e">
        <f t="shared" ca="1" si="6"/>
        <v>#NAME?</v>
      </c>
      <c r="I122" s="99" t="e">
        <f t="shared" ca="1" si="6"/>
        <v>#NAME?</v>
      </c>
      <c r="J122" s="99" t="e">
        <f t="shared" ca="1" si="6"/>
        <v>#NAME?</v>
      </c>
      <c r="K122" s="99" t="e">
        <f t="shared" ca="1" si="6"/>
        <v>#NAME?</v>
      </c>
      <c r="L122" s="99" t="e">
        <f t="shared" ca="1" si="6"/>
        <v>#NAME?</v>
      </c>
      <c r="M122" s="99" t="e">
        <f t="shared" ca="1" si="6"/>
        <v>#NAME?</v>
      </c>
      <c r="N122" s="347"/>
      <c r="O122" s="347"/>
      <c r="P122" s="347"/>
      <c r="Q122" s="94"/>
      <c r="R122" s="347"/>
      <c r="S122" s="347"/>
    </row>
    <row r="123" spans="1:19" ht="14.25" thickTop="1" thickBot="1">
      <c r="A123" s="75"/>
      <c r="B123" s="100"/>
      <c r="C123" s="101"/>
      <c r="D123" s="101"/>
      <c r="E123" s="101"/>
      <c r="F123" s="101"/>
      <c r="G123" s="101"/>
      <c r="H123" s="101"/>
      <c r="I123" s="101"/>
      <c r="J123" s="101"/>
      <c r="K123" s="101"/>
      <c r="L123" s="101"/>
      <c r="M123" s="101"/>
      <c r="N123" s="347"/>
      <c r="O123" s="347"/>
      <c r="P123" s="347"/>
      <c r="Q123" s="94"/>
      <c r="R123" s="347"/>
      <c r="S123" s="347"/>
    </row>
    <row r="124" spans="1:19" ht="13.5" thickTop="1">
      <c r="A124" s="69" t="s">
        <v>466</v>
      </c>
      <c r="B124" s="102" t="str">
        <f t="shared" ref="B124:M124" ca="1" si="7">IFERROR(
TIME(12,0,0)-TIME(,ROUND((DEGREES(ACOS(-TAN(RADIANS($C$4))*TAN(RADIANS(B122))))/15)*60,0),),"None")</f>
        <v>None</v>
      </c>
      <c r="C124" s="102" t="str">
        <f t="shared" ca="1" si="7"/>
        <v>None</v>
      </c>
      <c r="D124" s="102" t="str">
        <f t="shared" ca="1" si="7"/>
        <v>None</v>
      </c>
      <c r="E124" s="102" t="str">
        <f t="shared" ca="1" si="7"/>
        <v>None</v>
      </c>
      <c r="F124" s="102" t="str">
        <f t="shared" ca="1" si="7"/>
        <v>None</v>
      </c>
      <c r="G124" s="102" t="str">
        <f t="shared" ca="1" si="7"/>
        <v>None</v>
      </c>
      <c r="H124" s="102" t="str">
        <f t="shared" ca="1" si="7"/>
        <v>None</v>
      </c>
      <c r="I124" s="102" t="str">
        <f t="shared" ca="1" si="7"/>
        <v>None</v>
      </c>
      <c r="J124" s="102" t="str">
        <f t="shared" ca="1" si="7"/>
        <v>None</v>
      </c>
      <c r="K124" s="102" t="str">
        <f t="shared" ca="1" si="7"/>
        <v>None</v>
      </c>
      <c r="L124" s="102" t="str">
        <f t="shared" ca="1" si="7"/>
        <v>None</v>
      </c>
      <c r="M124" s="102" t="str">
        <f t="shared" ca="1" si="7"/>
        <v>None</v>
      </c>
      <c r="N124" s="347"/>
      <c r="O124" s="347"/>
      <c r="P124" s="347"/>
      <c r="Q124" s="94"/>
      <c r="R124" s="347"/>
      <c r="S124" s="347"/>
    </row>
    <row r="125" spans="1:19" ht="12.75">
      <c r="A125" s="95" t="s">
        <v>467</v>
      </c>
      <c r="B125" s="103" t="str">
        <f t="shared" ref="B125:M125" ca="1" si="8">IFERROR(TIME(12,0,0)+TIME(,ROUND((DEGREES(ACOS(-TAN(RADIANS($C$4))*TAN(RADIANS(B122))))/15)*60,0),),"None")</f>
        <v>None</v>
      </c>
      <c r="C125" s="103" t="str">
        <f t="shared" ca="1" si="8"/>
        <v>None</v>
      </c>
      <c r="D125" s="103" t="str">
        <f t="shared" ca="1" si="8"/>
        <v>None</v>
      </c>
      <c r="E125" s="103" t="str">
        <f t="shared" ca="1" si="8"/>
        <v>None</v>
      </c>
      <c r="F125" s="103" t="str">
        <f t="shared" ca="1" si="8"/>
        <v>None</v>
      </c>
      <c r="G125" s="103" t="str">
        <f t="shared" ca="1" si="8"/>
        <v>None</v>
      </c>
      <c r="H125" s="103" t="str">
        <f t="shared" ca="1" si="8"/>
        <v>None</v>
      </c>
      <c r="I125" s="103" t="str">
        <f t="shared" ca="1" si="8"/>
        <v>None</v>
      </c>
      <c r="J125" s="103" t="str">
        <f t="shared" ca="1" si="8"/>
        <v>None</v>
      </c>
      <c r="K125" s="103" t="str">
        <f t="shared" ca="1" si="8"/>
        <v>None</v>
      </c>
      <c r="L125" s="103" t="str">
        <f t="shared" ca="1" si="8"/>
        <v>None</v>
      </c>
      <c r="M125" s="103" t="str">
        <f t="shared" ca="1" si="8"/>
        <v>None</v>
      </c>
      <c r="N125" s="347"/>
      <c r="O125" s="347"/>
      <c r="P125" s="347"/>
      <c r="Q125" s="347"/>
      <c r="R125" s="347"/>
      <c r="S125" s="347"/>
    </row>
    <row r="126" spans="1:19" ht="13.5" thickBot="1">
      <c r="A126" s="72" t="s">
        <v>603</v>
      </c>
      <c r="B126" s="104" t="e">
        <f t="shared" ref="B126:M126" ca="1" si="9">IFERROR(B125-B124,IF(B122&gt;0,"None","24:00"))</f>
        <v>#NAME?</v>
      </c>
      <c r="C126" s="104" t="e">
        <f t="shared" ca="1" si="9"/>
        <v>#NAME?</v>
      </c>
      <c r="D126" s="104" t="e">
        <f t="shared" ca="1" si="9"/>
        <v>#NAME?</v>
      </c>
      <c r="E126" s="104" t="e">
        <f t="shared" ca="1" si="9"/>
        <v>#NAME?</v>
      </c>
      <c r="F126" s="104" t="e">
        <f t="shared" ca="1" si="9"/>
        <v>#NAME?</v>
      </c>
      <c r="G126" s="104" t="e">
        <f t="shared" ca="1" si="9"/>
        <v>#NAME?</v>
      </c>
      <c r="H126" s="104" t="e">
        <f t="shared" ca="1" si="9"/>
        <v>#NAME?</v>
      </c>
      <c r="I126" s="104" t="e">
        <f t="shared" ca="1" si="9"/>
        <v>#NAME?</v>
      </c>
      <c r="J126" s="104" t="e">
        <f t="shared" ca="1" si="9"/>
        <v>#NAME?</v>
      </c>
      <c r="K126" s="104" t="e">
        <f t="shared" ca="1" si="9"/>
        <v>#NAME?</v>
      </c>
      <c r="L126" s="104" t="e">
        <f t="shared" ca="1" si="9"/>
        <v>#NAME?</v>
      </c>
      <c r="M126" s="104" t="e">
        <f t="shared" ca="1" si="9"/>
        <v>#NAME?</v>
      </c>
      <c r="N126" s="347"/>
      <c r="O126" s="347"/>
      <c r="P126" s="347"/>
      <c r="Q126" s="347"/>
      <c r="R126" s="347"/>
      <c r="S126" s="347"/>
    </row>
  </sheetData>
  <mergeCells count="134">
    <mergeCell ref="L4:M4"/>
    <mergeCell ref="N4:O4"/>
    <mergeCell ref="L5:M5"/>
    <mergeCell ref="N5:O5"/>
    <mergeCell ref="P5:Q5"/>
    <mergeCell ref="A1:E1"/>
    <mergeCell ref="A3:D3"/>
    <mergeCell ref="F3:G3"/>
    <mergeCell ref="L3:M3"/>
    <mergeCell ref="N3:O3"/>
    <mergeCell ref="P3:Q3"/>
    <mergeCell ref="C4:D4"/>
    <mergeCell ref="P4:Q4"/>
    <mergeCell ref="F6:G6"/>
    <mergeCell ref="F7:G7"/>
    <mergeCell ref="F4:G4"/>
    <mergeCell ref="I4:K4"/>
    <mergeCell ref="A5:D5"/>
    <mergeCell ref="F5:G5"/>
    <mergeCell ref="I5:K5"/>
    <mergeCell ref="C6:D6"/>
    <mergeCell ref="A7:D7"/>
    <mergeCell ref="C8:D8"/>
    <mergeCell ref="F8:G8"/>
    <mergeCell ref="A9:D9"/>
    <mergeCell ref="A10:B10"/>
    <mergeCell ref="C10:D10"/>
    <mergeCell ref="A12:H12"/>
    <mergeCell ref="A13:B13"/>
    <mergeCell ref="C13:F13"/>
    <mergeCell ref="G13:H13"/>
    <mergeCell ref="E14:F14"/>
    <mergeCell ref="E15:F15"/>
    <mergeCell ref="E16:F16"/>
    <mergeCell ref="E17:F17"/>
    <mergeCell ref="E18:F18"/>
    <mergeCell ref="E19:F19"/>
    <mergeCell ref="E20:F20"/>
    <mergeCell ref="E21:F21"/>
    <mergeCell ref="E22:F22"/>
    <mergeCell ref="E23:F23"/>
    <mergeCell ref="E24:F24"/>
    <mergeCell ref="E25:F25"/>
    <mergeCell ref="E26:F26"/>
    <mergeCell ref="A34:M34"/>
    <mergeCell ref="O34:O35"/>
    <mergeCell ref="P34:R35"/>
    <mergeCell ref="S34:Z35"/>
    <mergeCell ref="B35:C35"/>
    <mergeCell ref="D35:E35"/>
    <mergeCell ref="L35:M35"/>
    <mergeCell ref="F35:I35"/>
    <mergeCell ref="J35:K35"/>
    <mergeCell ref="S36:Z36"/>
    <mergeCell ref="S37:Z37"/>
    <mergeCell ref="S38:Z38"/>
    <mergeCell ref="S39:Z39"/>
    <mergeCell ref="S40:Z40"/>
    <mergeCell ref="S41:Z41"/>
    <mergeCell ref="S42:Z42"/>
    <mergeCell ref="S43:Z43"/>
    <mergeCell ref="S44:Z44"/>
    <mergeCell ref="S45:Z45"/>
    <mergeCell ref="S46:Z46"/>
    <mergeCell ref="S47:Z47"/>
    <mergeCell ref="S48:Z48"/>
    <mergeCell ref="S49:Z49"/>
    <mergeCell ref="S50:Z50"/>
    <mergeCell ref="S51:Z51"/>
    <mergeCell ref="S52:Z52"/>
    <mergeCell ref="Z77:AB77"/>
    <mergeCell ref="AC77:AE77"/>
    <mergeCell ref="S57:Z57"/>
    <mergeCell ref="S58:Z58"/>
    <mergeCell ref="S59:Z59"/>
    <mergeCell ref="AF77:AH77"/>
    <mergeCell ref="AI77:AK77"/>
    <mergeCell ref="S60:Z60"/>
    <mergeCell ref="S61:Z61"/>
    <mergeCell ref="S62:Z62"/>
    <mergeCell ref="S63:Z63"/>
    <mergeCell ref="S64:Z64"/>
    <mergeCell ref="A76:AN76"/>
    <mergeCell ref="A77:A78"/>
    <mergeCell ref="AL77:AN77"/>
    <mergeCell ref="B77:D78"/>
    <mergeCell ref="E77:G77"/>
    <mergeCell ref="H77:J77"/>
    <mergeCell ref="K77:M77"/>
    <mergeCell ref="N77:P77"/>
    <mergeCell ref="Q77:S77"/>
    <mergeCell ref="T77:V77"/>
    <mergeCell ref="W77:Y77"/>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105:D105"/>
    <mergeCell ref="B106:D106"/>
    <mergeCell ref="B107:D107"/>
    <mergeCell ref="B98:D98"/>
    <mergeCell ref="B99:D99"/>
    <mergeCell ref="B100:D100"/>
    <mergeCell ref="B101:D101"/>
    <mergeCell ref="B102:D102"/>
    <mergeCell ref="B103:D103"/>
    <mergeCell ref="B104:D104"/>
    <mergeCell ref="F56:I56"/>
    <mergeCell ref="J56:K56"/>
    <mergeCell ref="S53:Z53"/>
    <mergeCell ref="S54:Z54"/>
    <mergeCell ref="A55:M55"/>
    <mergeCell ref="S55:Z55"/>
    <mergeCell ref="B56:C56"/>
    <mergeCell ref="D56:E56"/>
    <mergeCell ref="L56:M56"/>
    <mergeCell ref="S56:Z56"/>
    <mergeCell ref="P57:R57"/>
    <mergeCell ref="P58:R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M325"/>
  <sheetViews>
    <sheetView zoomScale="10" zoomScaleNormal="10" workbookViewId="0">
      <selection activeCell="EU326" sqref="A1:EU326"/>
    </sheetView>
  </sheetViews>
  <sheetFormatPr defaultColWidth="14.42578125" defaultRowHeight="15.75" customHeight="1"/>
  <sheetData>
    <row r="1" spans="1:135" ht="15.75" customHeight="1" thickTop="1" thickBot="1">
      <c r="A1" s="394" t="s">
        <v>604</v>
      </c>
      <c r="B1" s="354"/>
      <c r="C1" s="354"/>
      <c r="D1" s="354"/>
      <c r="E1" s="355"/>
      <c r="T1" s="394" t="s">
        <v>731</v>
      </c>
      <c r="U1" s="354"/>
      <c r="V1" s="354"/>
      <c r="W1" s="354"/>
      <c r="X1" s="355"/>
      <c r="Z1" s="31"/>
      <c r="AA1" s="31"/>
      <c r="AB1" s="31"/>
      <c r="AC1" s="31"/>
      <c r="AD1" s="31"/>
      <c r="AE1" s="31"/>
      <c r="AF1" s="31"/>
      <c r="AG1" s="31"/>
      <c r="AH1" s="31"/>
      <c r="AI1" s="31"/>
      <c r="AK1" s="455" t="s">
        <v>748</v>
      </c>
      <c r="AL1" s="357"/>
      <c r="AM1" s="456">
        <f>[1]Basic!D9</f>
        <v>834</v>
      </c>
      <c r="AN1" s="52"/>
      <c r="AQ1" s="2"/>
      <c r="AR1" s="2"/>
      <c r="AS1" s="2"/>
      <c r="AT1" s="52"/>
      <c r="AU1" s="2"/>
      <c r="AV1" s="2"/>
      <c r="AW1" s="2"/>
      <c r="AX1" s="2"/>
      <c r="AY1" s="52"/>
      <c r="AZ1" s="52"/>
      <c r="BA1" s="52"/>
      <c r="BB1" s="52"/>
      <c r="BC1" s="52"/>
      <c r="BD1" s="52"/>
      <c r="BE1" s="52"/>
      <c r="BF1" s="52"/>
      <c r="BG1" s="52"/>
      <c r="BH1" s="52"/>
      <c r="BI1" s="52"/>
      <c r="BJ1" s="52"/>
      <c r="BK1" s="52"/>
      <c r="BL1" s="52"/>
      <c r="BM1" s="52"/>
      <c r="BS1" s="394" t="s">
        <v>863</v>
      </c>
      <c r="BT1" s="354"/>
      <c r="BU1" s="354"/>
      <c r="BV1" s="354"/>
      <c r="BW1" s="355"/>
      <c r="CP1" s="407" t="s">
        <v>940</v>
      </c>
      <c r="CQ1" s="357"/>
      <c r="CR1" s="357"/>
      <c r="CS1" s="357"/>
      <c r="CT1" s="358"/>
      <c r="DE1" s="407" t="s">
        <v>979</v>
      </c>
      <c r="DF1" s="357"/>
      <c r="DG1" s="357"/>
      <c r="DH1" s="357"/>
      <c r="DI1" s="358"/>
    </row>
    <row r="2" spans="1:135" ht="15.75" customHeight="1" thickTop="1" thickBot="1">
      <c r="Z2" s="31"/>
      <c r="AA2" s="31"/>
      <c r="AB2" s="31"/>
      <c r="AC2" s="31"/>
      <c r="AD2" s="31"/>
      <c r="AE2" s="31"/>
      <c r="AF2" s="31"/>
      <c r="AG2" s="31"/>
      <c r="AH2" s="31"/>
      <c r="AI2" s="31"/>
      <c r="AK2" s="359"/>
      <c r="AL2" s="360"/>
      <c r="AM2" s="392"/>
      <c r="AN2" s="52"/>
      <c r="AQ2" s="2"/>
      <c r="AR2" s="2"/>
      <c r="AS2" s="2"/>
      <c r="AT2" s="52"/>
      <c r="AU2" s="2"/>
      <c r="AV2" s="2"/>
      <c r="AW2" s="2"/>
      <c r="AX2" s="2"/>
      <c r="AY2" s="52"/>
      <c r="AZ2" s="52"/>
      <c r="BA2" s="52"/>
      <c r="BB2" s="52"/>
      <c r="BC2" s="52"/>
      <c r="BD2" s="52"/>
      <c r="BE2" s="52"/>
      <c r="BF2" s="52"/>
      <c r="BG2" s="52"/>
      <c r="BH2" s="52"/>
      <c r="BI2" s="52"/>
      <c r="BJ2" s="52"/>
      <c r="BK2" s="52"/>
      <c r="BL2" s="52"/>
      <c r="BM2" s="52"/>
      <c r="BS2" s="75"/>
      <c r="CP2" s="359"/>
      <c r="CQ2" s="360"/>
      <c r="CR2" s="360"/>
      <c r="CS2" s="360"/>
      <c r="CT2" s="361"/>
      <c r="DE2" s="359"/>
      <c r="DF2" s="360"/>
      <c r="DG2" s="360"/>
      <c r="DH2" s="360"/>
      <c r="DI2" s="361"/>
    </row>
    <row r="3" spans="1:135" ht="15.75" customHeight="1" thickTop="1" thickBot="1">
      <c r="A3" s="402" t="s">
        <v>605</v>
      </c>
      <c r="B3" s="354"/>
      <c r="C3" s="354"/>
      <c r="D3" s="354"/>
      <c r="E3" s="354"/>
      <c r="F3" s="354"/>
      <c r="G3" s="105"/>
      <c r="Z3" s="31"/>
      <c r="AA3" s="31"/>
      <c r="AB3" s="31"/>
      <c r="AC3" s="31"/>
      <c r="AD3" s="31"/>
      <c r="AE3" s="31"/>
      <c r="AF3" s="31"/>
      <c r="AG3" s="31"/>
      <c r="AH3" s="31"/>
      <c r="AI3" s="31"/>
      <c r="AK3" s="455" t="s">
        <v>749</v>
      </c>
      <c r="AL3" s="357"/>
      <c r="AM3" s="456" t="e">
        <f ca="1">SUM(AY32:AY252)</f>
        <v>#NAME?</v>
      </c>
      <c r="AN3" s="52"/>
      <c r="AO3" s="52"/>
      <c r="AP3" s="2"/>
      <c r="AQ3" s="2"/>
      <c r="AR3" s="2"/>
      <c r="AS3" s="10"/>
      <c r="AT3" s="52"/>
      <c r="AU3" s="2"/>
      <c r="AV3" s="2"/>
      <c r="AW3" s="2"/>
      <c r="AX3" s="2"/>
      <c r="AY3" s="52"/>
      <c r="AZ3" s="52"/>
      <c r="BA3" s="52"/>
      <c r="BB3" s="52"/>
      <c r="BC3" s="52"/>
      <c r="BD3" s="52"/>
      <c r="BE3" s="52"/>
      <c r="BF3" s="52"/>
      <c r="BG3" s="52"/>
      <c r="BH3" s="52"/>
      <c r="BI3" s="52"/>
      <c r="BJ3" s="52"/>
      <c r="BK3" s="52"/>
      <c r="BL3" s="52"/>
      <c r="BM3" s="52"/>
      <c r="BS3" s="68" t="s">
        <v>473</v>
      </c>
      <c r="BT3" s="132" t="e">
        <f ca="1">Ag!AM3</f>
        <v>#NAME?</v>
      </c>
      <c r="DT3" s="394" t="s">
        <v>1002</v>
      </c>
      <c r="DU3" s="354"/>
      <c r="DV3" s="354"/>
      <c r="DW3" s="354"/>
      <c r="DX3" s="355"/>
    </row>
    <row r="4" spans="1:135" ht="15.75" customHeight="1" thickTop="1" thickBot="1">
      <c r="A4" s="368" t="s">
        <v>491</v>
      </c>
      <c r="B4" s="369"/>
      <c r="C4" s="5" t="e">
        <f ca="1">Climate!C10</f>
        <v>#NAME?</v>
      </c>
      <c r="D4" s="371" t="s">
        <v>606</v>
      </c>
      <c r="E4" s="369"/>
      <c r="F4" s="56" t="e">
        <f ca="1">ROUND(SUM(F6*F8*C10,F6*F9*C10*0.25),0)</f>
        <v>#NAME?</v>
      </c>
      <c r="Z4" s="31"/>
      <c r="AA4" s="31"/>
      <c r="AB4" s="31"/>
      <c r="AC4" s="31"/>
      <c r="AD4" s="31"/>
      <c r="AE4" s="31"/>
      <c r="AF4" s="31"/>
      <c r="AG4" s="31"/>
      <c r="AH4" s="31"/>
      <c r="AI4" s="31"/>
      <c r="AK4" s="359"/>
      <c r="AL4" s="360"/>
      <c r="AM4" s="392"/>
      <c r="AN4" s="52"/>
      <c r="AO4" s="52"/>
      <c r="AP4" s="2"/>
      <c r="AQ4" s="2"/>
      <c r="AR4" s="2"/>
      <c r="AS4" s="2"/>
      <c r="AT4" s="52"/>
      <c r="AU4" s="2"/>
      <c r="AV4" s="2"/>
      <c r="AW4" s="2"/>
      <c r="AX4" s="2"/>
      <c r="AY4" s="52"/>
      <c r="AZ4" s="52"/>
      <c r="BA4" s="52"/>
      <c r="BB4" s="52"/>
      <c r="BC4" s="52"/>
      <c r="BD4" s="52"/>
      <c r="BE4" s="52"/>
      <c r="BF4" s="52"/>
      <c r="BG4" s="52"/>
      <c r="BH4" s="52"/>
      <c r="BI4" s="52"/>
      <c r="BJ4" s="52"/>
      <c r="BK4" s="52"/>
      <c r="BL4" s="52"/>
      <c r="BM4" s="52"/>
      <c r="CF4" s="75"/>
      <c r="CJ4" s="400" t="s">
        <v>864</v>
      </c>
      <c r="CK4" s="355"/>
      <c r="CP4" s="388" t="s">
        <v>471</v>
      </c>
      <c r="CQ4" s="358"/>
      <c r="CR4" s="441" t="str">
        <f>[1]Basic!D5</f>
        <v>Village</v>
      </c>
      <c r="CS4" s="358"/>
      <c r="DE4" s="388" t="s">
        <v>78</v>
      </c>
      <c r="DF4" s="358"/>
      <c r="DG4" s="173">
        <f>[1]Entry!M66</f>
        <v>0.1</v>
      </c>
      <c r="DT4" s="75"/>
    </row>
    <row r="5" spans="1:135" ht="15.75" customHeight="1" thickTop="1" thickBot="1">
      <c r="A5" s="370" t="s">
        <v>607</v>
      </c>
      <c r="B5" s="361"/>
      <c r="C5" s="106">
        <f>[1]Entry!M66</f>
        <v>0.1</v>
      </c>
      <c r="D5" s="371" t="s">
        <v>608</v>
      </c>
      <c r="E5" s="369"/>
      <c r="F5" s="107" t="e">
        <f ca="1">ROUND((F4/(1-C7))*C7,0)</f>
        <v>#NAME?</v>
      </c>
      <c r="Z5" s="31"/>
      <c r="AA5" s="31"/>
      <c r="AB5" s="31"/>
      <c r="AC5" s="31"/>
      <c r="AD5" s="31"/>
      <c r="AE5" s="31"/>
      <c r="AF5" s="31"/>
      <c r="AG5" s="31"/>
      <c r="AH5" s="31"/>
      <c r="AI5" s="31"/>
      <c r="AK5" s="197"/>
      <c r="AL5" s="2"/>
      <c r="AM5" s="52"/>
      <c r="AN5" s="52"/>
      <c r="AO5" s="52"/>
      <c r="AP5" s="2"/>
      <c r="AQ5" s="2"/>
      <c r="AR5" s="2"/>
      <c r="AS5" s="2"/>
      <c r="AT5" s="52"/>
      <c r="AU5" s="2"/>
      <c r="AV5" s="2"/>
      <c r="AW5" s="2"/>
      <c r="AX5" s="2"/>
      <c r="AY5" s="52"/>
      <c r="AZ5" s="52"/>
      <c r="BA5" s="52"/>
      <c r="BB5" s="52"/>
      <c r="BC5" s="52"/>
      <c r="BD5" s="52"/>
      <c r="BE5" s="52"/>
      <c r="BF5" s="52"/>
      <c r="BG5" s="52"/>
      <c r="BH5" s="52"/>
      <c r="BI5" s="52"/>
      <c r="BJ5" s="52"/>
      <c r="BK5" s="52"/>
      <c r="BL5" s="52"/>
      <c r="BM5" s="52"/>
      <c r="BS5" s="400" t="s">
        <v>865</v>
      </c>
      <c r="BT5" s="354"/>
      <c r="BU5" s="355"/>
      <c r="BW5" s="400" t="s">
        <v>866</v>
      </c>
      <c r="BX5" s="354"/>
      <c r="BY5" s="354"/>
      <c r="BZ5" s="354"/>
      <c r="CA5" s="354"/>
      <c r="CB5" s="354"/>
      <c r="CC5" s="354"/>
      <c r="CD5" s="354"/>
      <c r="CE5" s="354"/>
      <c r="CF5" s="354"/>
      <c r="CG5" s="354"/>
      <c r="CH5" s="355"/>
      <c r="CJ5" s="397" t="s">
        <v>867</v>
      </c>
      <c r="CK5" s="355"/>
      <c r="CP5" s="371" t="s">
        <v>615</v>
      </c>
      <c r="CQ5" s="369"/>
      <c r="CR5" s="480" t="e">
        <f ca="1">Ag!AM3</f>
        <v>#NAME?</v>
      </c>
      <c r="CS5" s="369"/>
      <c r="DE5" s="405" t="s">
        <v>980</v>
      </c>
      <c r="DF5" s="361"/>
      <c r="DG5" s="322" t="e">
        <f t="array" aca="1" ref="DG5" ca="1">_xludf.ifs(AND([1]Basic!B16:C17=""),1,
NOT([1]Basic!B17=""),ROUND(INDEX([1]Basic!B44:B46,MATCH([1]Basic!B17,[1]Basic!A44:A46,0))/77.5,2),
TRUE,((([1]Basic!B16-50)/50)*0.3)+1)+Ag!EE10</f>
        <v>#NAME?</v>
      </c>
      <c r="DT5" s="400" t="s">
        <v>9</v>
      </c>
      <c r="DU5" s="354"/>
      <c r="DV5" s="354"/>
      <c r="DW5" s="354"/>
      <c r="DX5" s="354"/>
      <c r="DY5" s="354"/>
      <c r="DZ5" s="354"/>
      <c r="EA5" s="354"/>
      <c r="EB5" s="354"/>
      <c r="EC5" s="354"/>
      <c r="ED5" s="354"/>
      <c r="EE5" s="355"/>
    </row>
    <row r="6" spans="1:135" ht="15.75" customHeight="1" thickTop="1" thickBot="1">
      <c r="A6" s="388" t="s">
        <v>609</v>
      </c>
      <c r="B6" s="358"/>
      <c r="C6" s="108" t="e">
        <f ca="1">Ag!AM3</f>
        <v>#NAME?</v>
      </c>
      <c r="D6" s="371" t="s">
        <v>610</v>
      </c>
      <c r="E6" s="369"/>
      <c r="F6" s="56" t="e">
        <f ca="1">ROUND(PI()*POWER(F7,2)*100,0)-[1]Basic!F6</f>
        <v>#NAME?</v>
      </c>
      <c r="T6" s="443" t="s">
        <v>129</v>
      </c>
      <c r="U6" s="357"/>
      <c r="V6" s="357"/>
      <c r="W6" s="358"/>
      <c r="Z6" s="31"/>
      <c r="AA6" s="31"/>
      <c r="AB6" s="31"/>
      <c r="AC6" s="31"/>
      <c r="AD6" s="31"/>
      <c r="AE6" s="31"/>
      <c r="AF6" s="31"/>
      <c r="AG6" s="31"/>
      <c r="AH6" s="31"/>
      <c r="AI6" s="31"/>
      <c r="AK6" s="470" t="s">
        <v>58</v>
      </c>
      <c r="AL6" s="354"/>
      <c r="AM6" s="355"/>
      <c r="AO6" s="470" t="s">
        <v>59</v>
      </c>
      <c r="AP6" s="354"/>
      <c r="AQ6" s="355"/>
      <c r="AR6" s="13"/>
      <c r="AS6" s="470" t="s">
        <v>750</v>
      </c>
      <c r="AT6" s="354"/>
      <c r="AU6" s="355"/>
      <c r="AZ6" s="31"/>
      <c r="BA6" s="8"/>
      <c r="BB6" s="52"/>
      <c r="BC6" s="52"/>
      <c r="BD6" s="52"/>
      <c r="BE6" s="52"/>
      <c r="BF6" s="52"/>
      <c r="BG6" s="52"/>
      <c r="BH6" s="52"/>
      <c r="BI6" s="52"/>
      <c r="BJ6" s="52"/>
      <c r="BK6" s="52"/>
      <c r="BL6" s="52"/>
      <c r="BM6" s="52"/>
      <c r="BS6" s="25" t="s">
        <v>868</v>
      </c>
      <c r="BT6" s="397" t="s">
        <v>472</v>
      </c>
      <c r="BU6" s="355"/>
      <c r="BW6" s="26" t="s">
        <v>869</v>
      </c>
      <c r="BX6" s="26" t="s">
        <v>132</v>
      </c>
      <c r="BY6" s="26" t="s">
        <v>134</v>
      </c>
      <c r="BZ6" s="26" t="s">
        <v>136</v>
      </c>
      <c r="CA6" s="26" t="s">
        <v>138</v>
      </c>
      <c r="CB6" s="26" t="s">
        <v>140</v>
      </c>
      <c r="CC6" s="26" t="s">
        <v>142</v>
      </c>
      <c r="CD6" s="26" t="s">
        <v>144</v>
      </c>
      <c r="CE6" s="26" t="s">
        <v>412</v>
      </c>
      <c r="CF6" s="26" t="s">
        <v>415</v>
      </c>
      <c r="CG6" s="397" t="s">
        <v>417</v>
      </c>
      <c r="CH6" s="355"/>
      <c r="CJ6" s="95" t="s">
        <v>36</v>
      </c>
      <c r="CK6" s="293">
        <v>0.01</v>
      </c>
      <c r="CP6" s="371" t="s">
        <v>941</v>
      </c>
      <c r="CQ6" s="369"/>
      <c r="CR6" s="480" t="e">
        <f ca="1">SUM(Ag!CD13,Ag!CD20,Ag!CD27)</f>
        <v>#NAME?</v>
      </c>
      <c r="CS6" s="369"/>
      <c r="DT6" s="332"/>
      <c r="DU6" s="397" t="s">
        <v>23</v>
      </c>
      <c r="DV6" s="355"/>
      <c r="DW6" s="397" t="s">
        <v>18</v>
      </c>
      <c r="DX6" s="355"/>
      <c r="DY6" s="397" t="s">
        <v>477</v>
      </c>
      <c r="DZ6" s="355"/>
      <c r="EA6" s="49" t="s">
        <v>1003</v>
      </c>
      <c r="EB6" s="49" t="s">
        <v>1004</v>
      </c>
      <c r="EC6" s="401" t="s">
        <v>472</v>
      </c>
      <c r="ED6" s="358"/>
      <c r="EE6" s="49" t="s">
        <v>1005</v>
      </c>
    </row>
    <row r="7" spans="1:135" ht="15.75" customHeight="1" thickTop="1" thickBot="1">
      <c r="A7" s="371" t="s">
        <v>611</v>
      </c>
      <c r="B7" s="369"/>
      <c r="C7" s="109">
        <f>[1]Entry!J55</f>
        <v>0.25</v>
      </c>
      <c r="D7" s="371" t="s">
        <v>612</v>
      </c>
      <c r="E7" s="369"/>
      <c r="F7" s="110" t="e">
        <f ca="1">ROUND(SQRT(((C6/7)/100)/PI()),1)*1.5</f>
        <v>#NAME?</v>
      </c>
      <c r="T7" s="359"/>
      <c r="U7" s="360"/>
      <c r="V7" s="360"/>
      <c r="W7" s="361"/>
      <c r="Y7" s="168" t="s">
        <v>732</v>
      </c>
      <c r="Z7" s="60">
        <f ca="1">COUNTIF(W11:W37,"&gt;.01")</f>
        <v>0</v>
      </c>
      <c r="AA7" s="31"/>
      <c r="AB7" s="31"/>
      <c r="AC7" s="31"/>
      <c r="AD7" s="31"/>
      <c r="AE7" s="31"/>
      <c r="AF7" s="31"/>
      <c r="AG7" s="31"/>
      <c r="AH7" s="31"/>
      <c r="AI7" s="31"/>
      <c r="AK7" s="391" t="s">
        <v>751</v>
      </c>
      <c r="AL7" s="369"/>
      <c r="AM7" s="198" t="b">
        <f t="array" ref="AM7:AM23">[1]Entry!C60:C76</f>
        <v>0</v>
      </c>
      <c r="AO7" s="387" t="s">
        <v>752</v>
      </c>
      <c r="AP7" s="358"/>
      <c r="AQ7" s="17" t="b">
        <f t="array" ref="AQ7:AQ25">[1]Entry!F60:F78</f>
        <v>0</v>
      </c>
      <c r="AR7" s="10"/>
      <c r="AS7" s="387" t="s">
        <v>753</v>
      </c>
      <c r="AT7" s="358"/>
      <c r="AU7" s="199" t="b">
        <f t="array" ref="AU7:AU25">[1]Entry!I60:I78</f>
        <v>0</v>
      </c>
      <c r="AZ7" s="31"/>
      <c r="BC7" s="52"/>
      <c r="BD7" s="52"/>
      <c r="BE7" s="52"/>
      <c r="BF7" s="52"/>
      <c r="BG7" s="52"/>
      <c r="BH7" s="52"/>
      <c r="BI7" s="52"/>
      <c r="BJ7" s="52"/>
      <c r="BK7" s="52"/>
      <c r="BL7" s="52"/>
      <c r="BM7" s="52"/>
      <c r="BS7" s="69" t="s">
        <v>870</v>
      </c>
      <c r="BT7" s="71" t="str">
        <f>[1]Entry!J49</f>
        <v>Average</v>
      </c>
      <c r="BU7" s="294">
        <f>VLOOKUP(BT7,CJ6:CK10,2,FALSE)</f>
        <v>0.05</v>
      </c>
      <c r="BW7" s="49" t="s">
        <v>871</v>
      </c>
      <c r="BX7" s="295">
        <v>0.5</v>
      </c>
      <c r="BY7" s="296">
        <v>0.45</v>
      </c>
      <c r="BZ7" s="296">
        <v>0.4</v>
      </c>
      <c r="CA7" s="296">
        <v>0.35</v>
      </c>
      <c r="CB7" s="296">
        <v>0.3</v>
      </c>
      <c r="CC7" s="296">
        <v>0.25</v>
      </c>
      <c r="CD7" s="296">
        <v>0.2</v>
      </c>
      <c r="CE7" s="296">
        <v>0.15</v>
      </c>
      <c r="CF7" s="297">
        <v>0.1</v>
      </c>
      <c r="CG7" s="485">
        <v>0</v>
      </c>
      <c r="CH7" s="355"/>
      <c r="CJ7" s="95" t="s">
        <v>29</v>
      </c>
      <c r="CK7" s="298">
        <v>0.02</v>
      </c>
      <c r="CP7" s="371" t="s">
        <v>942</v>
      </c>
      <c r="CQ7" s="369"/>
      <c r="CR7" s="425">
        <f>VLOOKUP(CR4,CP21:CQ29,2,0)</f>
        <v>1</v>
      </c>
      <c r="CS7" s="369"/>
      <c r="DT7" s="69" t="s">
        <v>1006</v>
      </c>
      <c r="DU7" s="441" t="s">
        <v>153</v>
      </c>
      <c r="DV7" s="358"/>
      <c r="DW7" s="441"/>
      <c r="DX7" s="358"/>
      <c r="DY7" s="441"/>
      <c r="DZ7" s="358"/>
      <c r="EA7" s="70" t="e">
        <f t="array" ref="EA7">DU7+INDEX([1]Basic!J$26:J$34,MATCH([1]Basic!D$5,[1]Basic!B$26:B$34,0))+4</f>
        <v>#VALUE!</v>
      </c>
      <c r="EB7" s="216" t="e">
        <f ca="1">_xludf.ifs(DU7&lt;=5,0,
DU7=6,1,
DU7&lt;=8,2,
DU7&lt;=11,3,
DU7&lt;=15,4,
TRUE,5)</f>
        <v>#NAME?</v>
      </c>
      <c r="EC7" s="441" t="str">
        <f ca="1">IFERROR(__xludf.DUMMYFUNCTION("ifs({B5:G5}="""",""None"",
not(F5=""""),F5,
TRUE,index(filter(A$13:A$84,B$13:B$84,C$13:C$84=I5),mod(D5,countif(filter(A$13:A$84,B$13:B$84,C$13:C$84=I5),""*""))))"),"None")</f>
        <v>None</v>
      </c>
      <c r="ED7" s="358"/>
      <c r="EE7" s="112">
        <f ca="1">INDEX(DW$15:DW$86,MATCH(EC7,DT$15:DT$86,0))</f>
        <v>-0.05</v>
      </c>
    </row>
    <row r="8" spans="1:135" ht="15.75" customHeight="1" thickTop="1" thickBot="1">
      <c r="A8" s="371" t="s">
        <v>613</v>
      </c>
      <c r="B8" s="369"/>
      <c r="C8" s="111" t="e">
        <f ca="1">ROUND((C6/(1-C7))-C6,0)</f>
        <v>#NAME?</v>
      </c>
      <c r="D8" s="388" t="s">
        <v>614</v>
      </c>
      <c r="E8" s="358"/>
      <c r="F8" s="112" t="e">
        <f t="array" ref="F8:F13" ca="1">[1]Entry!E33:E38</f>
        <v>#NAME?</v>
      </c>
      <c r="T8" s="397" t="s">
        <v>733</v>
      </c>
      <c r="U8" s="355"/>
      <c r="V8" s="427">
        <f>[1]Entry!E46</f>
        <v>0</v>
      </c>
      <c r="W8" s="355"/>
      <c r="Y8" s="168" t="s">
        <v>734</v>
      </c>
      <c r="Z8" s="60">
        <f ca="1">COUNTIF(W11:W37,"&lt;=.01")-COUNTIF(W11:W37,"=0")</f>
        <v>0</v>
      </c>
      <c r="AA8" s="38"/>
      <c r="AB8" s="100"/>
      <c r="AC8" s="31"/>
      <c r="AD8" s="31"/>
      <c r="AE8" s="31"/>
      <c r="AF8" s="31"/>
      <c r="AG8" s="31"/>
      <c r="AH8" s="31"/>
      <c r="AI8" s="31"/>
      <c r="AK8" s="391" t="s">
        <v>60</v>
      </c>
      <c r="AL8" s="369"/>
      <c r="AM8" s="198" t="b">
        <v>0</v>
      </c>
      <c r="AO8" s="372" t="s">
        <v>61</v>
      </c>
      <c r="AP8" s="369"/>
      <c r="AQ8" s="200" t="b">
        <v>0</v>
      </c>
      <c r="AR8" s="10"/>
      <c r="AS8" s="372" t="s">
        <v>62</v>
      </c>
      <c r="AT8" s="369"/>
      <c r="AU8" s="200" t="b">
        <v>0</v>
      </c>
      <c r="AZ8" s="31"/>
      <c r="BC8" s="52"/>
      <c r="BD8" s="52"/>
      <c r="BE8" s="52"/>
      <c r="BF8" s="52"/>
      <c r="BG8" s="52"/>
      <c r="BH8" s="52"/>
      <c r="BI8" s="52"/>
      <c r="BJ8" s="52"/>
      <c r="BK8" s="52"/>
      <c r="BL8" s="52"/>
      <c r="BM8" s="52"/>
      <c r="BS8" s="95" t="s">
        <v>872</v>
      </c>
      <c r="BT8" s="167" t="str">
        <f>[1]Entry!J50</f>
        <v>Average</v>
      </c>
      <c r="BU8" s="183">
        <f>VLOOKUP(BT8,CJ16:CK21,2,FALSE)</f>
        <v>0.02</v>
      </c>
      <c r="BW8" s="40" t="s">
        <v>873</v>
      </c>
      <c r="BX8" s="299">
        <f>1-BX7</f>
        <v>0.5</v>
      </c>
      <c r="BY8" s="300">
        <f>(1-SUM(BX8:$BX8))*(1-BY7)</f>
        <v>0.27500000000000002</v>
      </c>
      <c r="BZ8" s="300">
        <f>(1-SUM($BX8:BY8))*(1-BZ7)</f>
        <v>0.13499999999999998</v>
      </c>
      <c r="CA8" s="300">
        <f>(1-SUM($BX8:BZ8))*(1-CA7)</f>
        <v>5.8499999999999983E-2</v>
      </c>
      <c r="CB8" s="300">
        <f>(1-SUM($BX8:CA8))*(1-CB7)</f>
        <v>2.2049999999999979E-2</v>
      </c>
      <c r="CC8" s="300">
        <f>(1-SUM($BX8:CB8))*(1-CC7)</f>
        <v>7.0874999999999688E-3</v>
      </c>
      <c r="CD8" s="300">
        <f>(1-SUM($BX8:CC8))*(1-CD7)</f>
        <v>1.8900000000000362E-3</v>
      </c>
      <c r="CE8" s="300">
        <f>(1-SUM($BX8:CD8))*(1-CE7)</f>
        <v>4.016249999999888E-4</v>
      </c>
      <c r="CF8" s="300">
        <f>(1-SUM($BX8:CE8))*(1-CF7)</f>
        <v>6.3787500000023201E-5</v>
      </c>
      <c r="CG8" s="486">
        <f>(1-SUM($BX8:CF8))*(1-CH7)</f>
        <v>7.0875000000025778E-6</v>
      </c>
      <c r="CH8" s="355"/>
      <c r="CJ8" s="95" t="s">
        <v>31</v>
      </c>
      <c r="CK8" s="298">
        <v>0.05</v>
      </c>
      <c r="CP8" s="371" t="s">
        <v>114</v>
      </c>
      <c r="CQ8" s="369"/>
      <c r="CR8" s="425" t="str">
        <f ca="1">IFERROR(__xludf.DUMMYFUNCTION("ifs(
and(Entry!E108="""",Entry!F108=""""),""Roll or Choose"",
Entry!F108="""",index(C20:H20,,match(Entry!E108,filter(C21:H29,A21:A29=C4),1)),
TRUE,Entry!F108)"),"Roll or Choose")</f>
        <v>Roll or Choose</v>
      </c>
      <c r="CS8" s="369"/>
      <c r="DT8" s="95" t="s">
        <v>1007</v>
      </c>
      <c r="DU8" s="425"/>
      <c r="DV8" s="369"/>
      <c r="DW8" s="425"/>
      <c r="DX8" s="369"/>
      <c r="DY8" s="425"/>
      <c r="DZ8" s="369"/>
      <c r="EA8" s="56">
        <f t="array" ref="EA8">DU8+INDEX([1]Basic!J$26:J$34,MATCH([1]Basic!D$5,[1]Basic!B$26:B$34,0))</f>
        <v>-1</v>
      </c>
      <c r="EB8" s="225" t="e">
        <f ca="1">_xludf.ifs(DU8&lt;=5,0,
DU8=6,1,
DU8&lt;=8,2,
DU8&lt;=11,3,
DU8&lt;=15,4,
TRUE,5)</f>
        <v>#NAME?</v>
      </c>
      <c r="EC8" s="425" t="str">
        <f ca="1">IFERROR(__xludf.DUMMYFUNCTION("ifs({B6:G6}="""",""None"",
not(F6=""""),F6,
TRUE,index(filter(A$13:A$84,B$13:B$84,C$13:C$84=I6),mod(D6,countif(filter(A$13:A$84,B$13:B$84,C$13:C$84=I6),""*""))))"),"None")</f>
        <v>None</v>
      </c>
      <c r="ED8" s="369"/>
      <c r="EE8" s="98">
        <f ca="1">INDEX(DW$15:DW$86,MATCH(EC8,DT$15:DT$86,0))</f>
        <v>-0.05</v>
      </c>
    </row>
    <row r="9" spans="1:135" ht="15.75" customHeight="1" thickTop="1" thickBot="1">
      <c r="A9" s="371" t="s">
        <v>615</v>
      </c>
      <c r="B9" s="369"/>
      <c r="C9" s="111" t="e">
        <f ca="1">C6+C8</f>
        <v>#NAME?</v>
      </c>
      <c r="D9" s="371" t="s">
        <v>616</v>
      </c>
      <c r="E9" s="369"/>
      <c r="F9" s="98" t="e">
        <f ca="1"/>
        <v>#NAME?</v>
      </c>
      <c r="T9" s="397" t="s">
        <v>735</v>
      </c>
      <c r="U9" s="355"/>
      <c r="V9" s="427" t="str">
        <f>[1]Entry!E45</f>
        <v>Fully Integrated</v>
      </c>
      <c r="W9" s="355"/>
      <c r="Y9" s="168" t="s">
        <v>736</v>
      </c>
      <c r="Z9" s="169">
        <v>0</v>
      </c>
      <c r="AA9" s="31"/>
      <c r="AB9" s="400" t="s">
        <v>388</v>
      </c>
      <c r="AC9" s="354"/>
      <c r="AD9" s="355"/>
      <c r="AF9" s="170"/>
      <c r="AG9" s="444" t="s">
        <v>389</v>
      </c>
      <c r="AH9" s="354"/>
      <c r="AI9" s="355"/>
      <c r="AK9" s="391" t="s">
        <v>63</v>
      </c>
      <c r="AL9" s="369"/>
      <c r="AM9" s="198" t="b">
        <v>0</v>
      </c>
      <c r="AO9" s="372" t="s">
        <v>64</v>
      </c>
      <c r="AP9" s="369"/>
      <c r="AQ9" s="200" t="b">
        <v>0</v>
      </c>
      <c r="AR9" s="8"/>
      <c r="AS9" s="386" t="s">
        <v>65</v>
      </c>
      <c r="AT9" s="361"/>
      <c r="AU9" s="201" t="b">
        <v>0</v>
      </c>
      <c r="AZ9" s="31"/>
      <c r="BC9" s="52"/>
      <c r="BD9" s="52"/>
      <c r="BE9" s="52"/>
      <c r="BF9" s="52"/>
      <c r="BG9" s="52"/>
      <c r="BH9" s="52"/>
      <c r="BI9" s="52"/>
      <c r="BJ9" s="52"/>
      <c r="BK9" s="52"/>
      <c r="BL9" s="52"/>
      <c r="BM9" s="52"/>
      <c r="BS9" s="72" t="s">
        <v>39</v>
      </c>
      <c r="BT9" s="73" t="str">
        <f>[1]Entry!J51</f>
        <v>Average</v>
      </c>
      <c r="BU9" s="301">
        <f>VLOOKUP(BT9,CJ12:CK14,2,FALSE)</f>
        <v>5</v>
      </c>
      <c r="BW9" s="40" t="s">
        <v>874</v>
      </c>
      <c r="BX9" s="53">
        <f>ROUND(100000*BX8,0)</f>
        <v>50000</v>
      </c>
      <c r="BY9" s="275">
        <f>ROUND(100000*BY8,0)</f>
        <v>27500</v>
      </c>
      <c r="BZ9" s="275">
        <f>ROUND(100000*BZ8,0)</f>
        <v>13500</v>
      </c>
      <c r="CA9" s="275">
        <f>ROUND(100000*CA8,0)</f>
        <v>5850</v>
      </c>
      <c r="CB9" s="275">
        <f>ROUND(100000*CB8,0)</f>
        <v>2205</v>
      </c>
      <c r="CC9" s="275">
        <f>ROUND(100000*CC8,0)</f>
        <v>709</v>
      </c>
      <c r="CD9" s="275">
        <f>ROUND(100000*CD8,0)</f>
        <v>189</v>
      </c>
      <c r="CE9" s="275">
        <f>ROUND(100000*CE8,0)</f>
        <v>40</v>
      </c>
      <c r="CF9" s="275">
        <f>ROUND(100000*CF8,0)</f>
        <v>6</v>
      </c>
      <c r="CG9" s="484">
        <f>ROUND(100000*CG8,0)</f>
        <v>1</v>
      </c>
      <c r="CH9" s="355"/>
      <c r="CJ9" s="95" t="s">
        <v>43</v>
      </c>
      <c r="CK9" s="298">
        <v>0.1</v>
      </c>
      <c r="CP9" s="371" t="s">
        <v>943</v>
      </c>
      <c r="CQ9" s="369"/>
      <c r="CR9" s="425" t="e">
        <f ca="1">ROUND(CR6*(1-VLOOKUP(CR4,CP21:CX29,9,0)),0)</f>
        <v>#NAME?</v>
      </c>
      <c r="CS9" s="369"/>
      <c r="DF9" s="397" t="s">
        <v>981</v>
      </c>
      <c r="DG9" s="355"/>
      <c r="DH9" s="26" t="s">
        <v>982</v>
      </c>
      <c r="DI9" s="26" t="s">
        <v>983</v>
      </c>
      <c r="DJ9" s="26" t="s">
        <v>984</v>
      </c>
      <c r="DK9" s="26" t="s">
        <v>985</v>
      </c>
      <c r="DL9" s="26" t="s">
        <v>986</v>
      </c>
      <c r="DM9" s="26" t="s">
        <v>987</v>
      </c>
      <c r="DN9" s="26" t="s">
        <v>121</v>
      </c>
      <c r="DO9" s="26" t="s">
        <v>988</v>
      </c>
      <c r="DP9" s="26" t="s">
        <v>989</v>
      </c>
      <c r="DQ9" s="26" t="s">
        <v>990</v>
      </c>
      <c r="DR9" s="26" t="s">
        <v>987</v>
      </c>
      <c r="DT9" s="72" t="s">
        <v>1008</v>
      </c>
      <c r="DU9" s="426"/>
      <c r="DV9" s="361"/>
      <c r="DW9" s="426"/>
      <c r="DX9" s="361"/>
      <c r="DY9" s="426"/>
      <c r="DZ9" s="361"/>
      <c r="EA9" s="58">
        <f t="array" ref="EA9">DU9+INDEX([1]Basic!J$26:J$34,MATCH([1]Basic!D$5,[1]Basic!B$26:B$34,0))-4</f>
        <v>-5</v>
      </c>
      <c r="EB9" s="240" t="e">
        <f ca="1">_xludf.ifs(DU9&lt;=5,0,
DU9=6,1,
DU9&lt;=8,2,
DU9&lt;=11,3,
DU9&lt;=15,4,
TRUE,5)</f>
        <v>#NAME?</v>
      </c>
      <c r="EC9" s="426" t="str">
        <f ca="1">IFERROR(__xludf.DUMMYFUNCTION("ifs({B7:G7}="""",""None"",
not(F7=""""),F7,
TRUE,index(filter(A$13:A$84,B$13:B$84,C$13:C$84=I7),mod(D7,countif(filter(A$13:A$84,B$13:B$84,C$13:C$84=I7),""*""))))"),"None")</f>
        <v>None</v>
      </c>
      <c r="ED9" s="361"/>
      <c r="EE9" s="117">
        <f ca="1">INDEX(DW$15:DW$86,MATCH(EC9,DT$15:DT$86,0))</f>
        <v>-0.05</v>
      </c>
    </row>
    <row r="10" spans="1:135" ht="15.75" customHeight="1" thickTop="1" thickBot="1">
      <c r="A10" s="371" t="s">
        <v>617</v>
      </c>
      <c r="B10" s="369"/>
      <c r="C10" s="113">
        <f>1/([1]Entry!J56*0.404686)</f>
        <v>0.49421032603055209</v>
      </c>
      <c r="D10" s="371" t="s">
        <v>618</v>
      </c>
      <c r="E10" s="369"/>
      <c r="F10" s="98" t="e">
        <f ca="1"/>
        <v>#NAME?</v>
      </c>
      <c r="T10" s="168" t="s">
        <v>130</v>
      </c>
      <c r="U10" s="168" t="s">
        <v>737</v>
      </c>
      <c r="V10" s="168" t="s">
        <v>738</v>
      </c>
      <c r="W10" s="121" t="s">
        <v>739</v>
      </c>
      <c r="Y10" s="168" t="s">
        <v>130</v>
      </c>
      <c r="Z10" s="168" t="s">
        <v>740</v>
      </c>
      <c r="AA10" s="168" t="s">
        <v>741</v>
      </c>
      <c r="AB10" s="438" t="s">
        <v>742</v>
      </c>
      <c r="AC10" s="357"/>
      <c r="AD10" s="358"/>
      <c r="AE10" s="168" t="s">
        <v>743</v>
      </c>
      <c r="AF10" s="119" t="s">
        <v>741</v>
      </c>
      <c r="AG10" s="438" t="s">
        <v>742</v>
      </c>
      <c r="AH10" s="357"/>
      <c r="AI10" s="358"/>
      <c r="AK10" s="391" t="s">
        <v>66</v>
      </c>
      <c r="AL10" s="369"/>
      <c r="AM10" s="198" t="b">
        <v>0</v>
      </c>
      <c r="AO10" s="372" t="s">
        <v>67</v>
      </c>
      <c r="AP10" s="369"/>
      <c r="AQ10" s="200" t="b">
        <v>0</v>
      </c>
      <c r="AR10" s="8"/>
      <c r="AS10" s="387" t="s">
        <v>68</v>
      </c>
      <c r="AT10" s="358"/>
      <c r="AU10" s="17" t="b">
        <v>0</v>
      </c>
      <c r="AZ10" s="31"/>
      <c r="BA10" s="52"/>
      <c r="BB10" s="52"/>
      <c r="BC10" s="52"/>
      <c r="BD10" s="52"/>
      <c r="BE10" s="52"/>
      <c r="BF10" s="52"/>
      <c r="BG10" s="52"/>
      <c r="BH10" s="52"/>
      <c r="BI10" s="52"/>
      <c r="BJ10" s="52"/>
      <c r="BK10" s="52"/>
      <c r="BL10" s="52"/>
      <c r="BM10" s="52"/>
      <c r="BW10" s="42" t="s">
        <v>18</v>
      </c>
      <c r="BX10" s="55">
        <v>1</v>
      </c>
      <c r="BY10" s="302">
        <f>BZ10-MAX(1,ROUND(BY8*100,0))</f>
        <v>46</v>
      </c>
      <c r="BZ10" s="302">
        <f>CA10-MAX(1,ROUND(BZ8*100,0))</f>
        <v>74</v>
      </c>
      <c r="CA10" s="302">
        <f>CB10-MAX(1,ROUND(CA8*100,0))</f>
        <v>88</v>
      </c>
      <c r="CB10" s="302">
        <f>CC10-MAX(1,ROUND(CB8*100,0))</f>
        <v>94</v>
      </c>
      <c r="CC10" s="302">
        <f>CD10-MAX(1,ROUND(CC8*100,0))</f>
        <v>96</v>
      </c>
      <c r="CD10" s="302">
        <f>CE10-MAX(1,ROUND(CD8*100,0))</f>
        <v>97</v>
      </c>
      <c r="CE10" s="302">
        <f>CF10-MAX(1,ROUND(CE8*100,0))</f>
        <v>98</v>
      </c>
      <c r="CF10" s="302">
        <f>CG10-MAX(1,ROUND(CF8*100,0))</f>
        <v>99</v>
      </c>
      <c r="CG10" s="303">
        <f>CH10-MAX(1,ROUND(CG8*100,0))</f>
        <v>100</v>
      </c>
      <c r="CH10" s="77">
        <v>101</v>
      </c>
      <c r="CJ10" s="72" t="s">
        <v>41</v>
      </c>
      <c r="CK10" s="304">
        <v>0.2</v>
      </c>
      <c r="CP10" s="405" t="s">
        <v>944</v>
      </c>
      <c r="CQ10" s="361"/>
      <c r="CR10" s="490" t="e">
        <f ca="1">CR6-CR9</f>
        <v>#NAME?</v>
      </c>
      <c r="CS10" s="361"/>
      <c r="DE10" s="29">
        <v>0</v>
      </c>
      <c r="DF10" s="196" t="s">
        <v>991</v>
      </c>
      <c r="DG10" s="158"/>
      <c r="DH10" s="80">
        <v>0</v>
      </c>
      <c r="DI10" s="61">
        <v>0</v>
      </c>
      <c r="DJ10" s="80">
        <v>0</v>
      </c>
      <c r="DK10" s="80">
        <v>0</v>
      </c>
      <c r="DL10" s="80">
        <v>0</v>
      </c>
      <c r="DM10" s="80">
        <v>0</v>
      </c>
      <c r="DN10" s="71" t="e">
        <f ca="1">SUMIF(Ag!BM32:BM252,"=0",Ag!AY32:AY252)</f>
        <v>#NAME?</v>
      </c>
      <c r="DO10" s="71" t="e">
        <f ca="1">DN10*DH10</f>
        <v>#NAME?</v>
      </c>
      <c r="DP10" s="71" t="e">
        <f ca="1">DO10*SUM(DJ10:DK10)</f>
        <v>#NAME?</v>
      </c>
      <c r="DQ10" s="71" t="e">
        <f ca="1">DN10*DL10</f>
        <v>#NAME?</v>
      </c>
      <c r="DR10" s="71" t="e">
        <f ca="1">DN10*DM10</f>
        <v>#NAME?</v>
      </c>
      <c r="DT10" s="75"/>
      <c r="ED10" s="42" t="s">
        <v>122</v>
      </c>
      <c r="EE10" s="333">
        <f ca="1">SUM(EE7:EE9)</f>
        <v>-0.15000000000000002</v>
      </c>
    </row>
    <row r="11" spans="1:135" ht="15.75" customHeight="1" thickTop="1" thickBot="1">
      <c r="A11" s="371" t="s">
        <v>619</v>
      </c>
      <c r="B11" s="393"/>
      <c r="C11" s="56" t="e">
        <f ca="1">ROUND(F6*SUM(F8:F9),0)</f>
        <v>#NAME?</v>
      </c>
      <c r="D11" s="405" t="s">
        <v>620</v>
      </c>
      <c r="E11" s="361"/>
      <c r="F11" s="114" t="e">
        <f ca="1"/>
        <v>#NAME?</v>
      </c>
      <c r="T11" s="67" t="s">
        <v>421</v>
      </c>
      <c r="U11" s="171" t="str">
        <f t="array" ref="U11:U19">[1]Entry!B48:B56</f>
        <v>Very Rare</v>
      </c>
      <c r="V11" s="172">
        <v>1</v>
      </c>
      <c r="W11" s="173" t="e">
        <f ca="1">V11/SUM(V$11:V$37)*
_xludf.ifs(
U11="Major",1,
ISODD(ROW(V11)),1+(0.2*V$8/11),
ISEVEN(ROW(V11)),1-(0.2*V$8/11))</f>
        <v>#NAME?</v>
      </c>
      <c r="X11" s="174"/>
      <c r="Y11" s="171" t="s">
        <v>27</v>
      </c>
      <c r="Z11" s="175">
        <v>0</v>
      </c>
      <c r="AA11" s="57">
        <v>0</v>
      </c>
      <c r="AB11" s="118">
        <f>IF(Z11=0,0,1)</f>
        <v>0</v>
      </c>
      <c r="AC11" s="176" t="s">
        <v>744</v>
      </c>
      <c r="AD11" s="177" t="e">
        <f ca="1">_xludf.ifs(
AB11=0,0,
Z$9=0,AB11+AA11-1,
AB11=1,Z$9,
TRUE,AB11+AA11-1)</f>
        <v>#NAME?</v>
      </c>
      <c r="AE11" s="178" t="e">
        <f ca="1">_xludf.ifs(
Z11=0,0,
COUNTIF(Z$11:Z$37,"=1"),0,
Z11&lt;0.01,Z11/SUMIF(Z$11:Z$37,"&lt;=.01"),
TRUE,0
)</f>
        <v>#NAME?</v>
      </c>
      <c r="AF11" s="179" t="e">
        <f ca="1">ROUND(AE11*100,0)</f>
        <v>#NAME?</v>
      </c>
      <c r="AG11" s="180" t="e">
        <f ca="1">_xludf.ifs(
AE11=0,0,
AND(AE11&gt;0,AE10=0),1,
TRUE,AI10+1)</f>
        <v>#NAME?</v>
      </c>
      <c r="AH11" s="176" t="s">
        <v>744</v>
      </c>
      <c r="AI11" s="177" t="e">
        <f ca="1">_xludf.ifs(
AG11=0,0,
AF12=0,100,
TRUE,AG11+AF11-1)</f>
        <v>#NAME?</v>
      </c>
      <c r="AK11" s="391" t="s">
        <v>69</v>
      </c>
      <c r="AL11" s="369"/>
      <c r="AM11" s="198" t="b">
        <v>0</v>
      </c>
      <c r="AO11" s="372" t="s">
        <v>70</v>
      </c>
      <c r="AP11" s="369"/>
      <c r="AQ11" s="200" t="b">
        <v>0</v>
      </c>
      <c r="AR11" s="8"/>
      <c r="AS11" s="372" t="s">
        <v>71</v>
      </c>
      <c r="AT11" s="369"/>
      <c r="AU11" s="20" t="b">
        <v>0</v>
      </c>
      <c r="AZ11" s="31"/>
      <c r="BC11" s="52"/>
      <c r="BD11" s="52"/>
      <c r="BE11" s="52"/>
      <c r="BF11" s="52"/>
      <c r="BG11" s="52"/>
      <c r="BH11" s="52"/>
      <c r="BI11" s="52"/>
      <c r="BJ11" s="52"/>
      <c r="BK11" s="52"/>
      <c r="BL11" s="52"/>
      <c r="BM11" s="52"/>
      <c r="CJ11" s="397" t="s">
        <v>875</v>
      </c>
      <c r="CK11" s="355"/>
      <c r="DE11" s="323">
        <v>1</v>
      </c>
      <c r="DF11" s="428" t="s">
        <v>992</v>
      </c>
      <c r="DG11" s="369"/>
      <c r="DH11" s="82" t="e">
        <f t="array" ref="DH11">IF(
AND([1]Basic!B$16:B$17=""),DI11,
ROUND(
           IF([1]Basic!B$17="",((([1]Basic!B$16-50)/50)*0.3*DI11)+DI11,
           (INDEX([1]Basic!B$44:B$46,MATCH([1]Basic!B$17,[1]Basic!A$44:A$46,0))/77.5)*DI11),1))</f>
        <v>#N/A</v>
      </c>
      <c r="DI11" s="63">
        <v>6</v>
      </c>
      <c r="DJ11" s="82" t="e">
        <f>ROUND(DH11*0.5,1)</f>
        <v>#N/A</v>
      </c>
      <c r="DK11" s="82" t="e">
        <f>ROUND(DH11*(1/3),1)</f>
        <v>#N/A</v>
      </c>
      <c r="DL11" s="82" t="e">
        <f>DH11*DG$4</f>
        <v>#N/A</v>
      </c>
      <c r="DM11" s="82" t="e">
        <f>DH11-SUM(DJ11:DL11)</f>
        <v>#N/A</v>
      </c>
      <c r="DN11" s="324" t="e">
        <f ca="1">SUMIF(Ag!BM32:BM252,"=1",Ag!AY32:AY252)</f>
        <v>#NAME?</v>
      </c>
      <c r="DO11" s="167" t="e">
        <f ca="1">DN11*DH11</f>
        <v>#NAME?</v>
      </c>
      <c r="DP11" s="167" t="e">
        <f ca="1">DO11*SUM(DJ11:DK11)</f>
        <v>#NAME?</v>
      </c>
      <c r="DQ11" s="167" t="e">
        <f ca="1">DN11*DL11</f>
        <v>#NAME?</v>
      </c>
      <c r="DR11" s="167" t="e">
        <f ca="1">DN11*DM11</f>
        <v>#NAME?</v>
      </c>
      <c r="DT11" s="75"/>
    </row>
    <row r="12" spans="1:135" ht="15.75" customHeight="1" thickTop="1" thickBot="1">
      <c r="A12" s="371" t="s">
        <v>621</v>
      </c>
      <c r="B12" s="369"/>
      <c r="C12" s="111" t="e">
        <f ca="1">(C6*2000)+(C8*1500)+(F4*2000)+(F5*1500)</f>
        <v>#NAME?</v>
      </c>
      <c r="D12" s="388" t="s">
        <v>622</v>
      </c>
      <c r="E12" s="358"/>
      <c r="F12" s="112" t="str">
        <v>Roll or Choose</v>
      </c>
      <c r="T12" s="67" t="s">
        <v>27</v>
      </c>
      <c r="U12" s="171" t="str">
        <v>None</v>
      </c>
      <c r="V12" s="181">
        <v>0</v>
      </c>
      <c r="W12" s="182" t="e">
        <f ca="1">V12/SUM(V$11:V$37)*
_xludf.ifs(
U12="Major",1,
ISODD(ROW(V12)),1+(0.2*V$8/11),
ISEVEN(ROW(V12)),1-(0.2*V$8/11))</f>
        <v>#NAME?</v>
      </c>
      <c r="X12" s="174"/>
      <c r="Y12" s="167" t="s">
        <v>32</v>
      </c>
      <c r="Z12" s="183">
        <v>0</v>
      </c>
      <c r="AA12" s="57">
        <v>0</v>
      </c>
      <c r="AB12" s="57" t="e">
        <f ca="1">_xludf.ifs(
Z12=0,0,
Z12&lt;0.01,1,
TRUE,AD11+1
)</f>
        <v>#NAME?</v>
      </c>
      <c r="AC12" s="184" t="s">
        <v>744</v>
      </c>
      <c r="AD12" s="107" t="e">
        <f ca="1">_xludf.ifs(
AB12=0,0,
Z$9=0,AB12+AA12-1,
AB12=1,Z$9,
TRUE,AB12+AA12-1)</f>
        <v>#NAME?</v>
      </c>
      <c r="AE12" s="178" t="e">
        <f ca="1">_xludf.ifs(
Z12=0,0,
COUNTIF(Z$11:Z$37,"=1"),0,
Z12&lt;0.01,Z12/SUMIF(Z$11:Z$37,"&lt;=.01"),
TRUE,0
)</f>
        <v>#NAME?</v>
      </c>
      <c r="AF12" s="179" t="e">
        <f ca="1">ROUND(AE12*100,0)</f>
        <v>#NAME?</v>
      </c>
      <c r="AG12" s="179" t="e">
        <f ca="1">_xludf.ifs(
AE12=0,0,
AND(AE12&gt;0,AE11=0),1,
TRUE,AI11+1)</f>
        <v>#NAME?</v>
      </c>
      <c r="AH12" s="184" t="s">
        <v>744</v>
      </c>
      <c r="AI12" s="107" t="e">
        <f ca="1">_xludf.ifs(
AG12=0,0,
AF13=0,100,
TRUE,AG12+AF12-1)</f>
        <v>#NAME?</v>
      </c>
      <c r="AK12" s="391" t="s">
        <v>72</v>
      </c>
      <c r="AL12" s="369"/>
      <c r="AM12" s="198" t="b">
        <v>0</v>
      </c>
      <c r="AO12" s="372" t="s">
        <v>73</v>
      </c>
      <c r="AP12" s="369"/>
      <c r="AQ12" s="201" t="b">
        <v>0</v>
      </c>
      <c r="AR12" s="8"/>
      <c r="AS12" s="387" t="s">
        <v>74</v>
      </c>
      <c r="AT12" s="357"/>
      <c r="AU12" s="17" t="b">
        <v>0</v>
      </c>
      <c r="AZ12" s="31"/>
      <c r="BC12" s="52"/>
      <c r="BD12" s="52"/>
      <c r="BE12" s="52"/>
      <c r="BF12" s="52"/>
      <c r="BG12" s="52"/>
      <c r="BH12" s="52"/>
      <c r="BI12" s="52"/>
      <c r="BJ12" s="52"/>
      <c r="BK12" s="52"/>
      <c r="BL12" s="52"/>
      <c r="BM12" s="52"/>
      <c r="BS12" s="400" t="s">
        <v>876</v>
      </c>
      <c r="BT12" s="354"/>
      <c r="BU12" s="354"/>
      <c r="BV12" s="354"/>
      <c r="BW12" s="354"/>
      <c r="BX12" s="354"/>
      <c r="BY12" s="354"/>
      <c r="BZ12" s="354"/>
      <c r="CA12" s="354"/>
      <c r="CB12" s="355"/>
      <c r="CD12" s="390" t="s">
        <v>877</v>
      </c>
      <c r="CE12" s="354"/>
      <c r="CF12" s="355"/>
      <c r="CJ12" s="69" t="s">
        <v>878</v>
      </c>
      <c r="CK12" s="305">
        <v>15</v>
      </c>
      <c r="CQ12" s="26" t="s">
        <v>945</v>
      </c>
      <c r="CR12" s="397" t="s">
        <v>479</v>
      </c>
      <c r="CS12" s="355"/>
      <c r="CT12" s="26" t="s">
        <v>946</v>
      </c>
      <c r="CU12" s="26" t="s">
        <v>947</v>
      </c>
      <c r="CV12" s="68" t="s">
        <v>941</v>
      </c>
      <c r="CW12" s="397" t="s">
        <v>475</v>
      </c>
      <c r="CX12" s="354"/>
      <c r="CY12" s="354"/>
      <c r="CZ12" s="354"/>
      <c r="DA12" s="354"/>
      <c r="DB12" s="354"/>
      <c r="DC12" s="355"/>
      <c r="DE12" s="323">
        <v>2</v>
      </c>
      <c r="DF12" s="428" t="s">
        <v>993</v>
      </c>
      <c r="DG12" s="369"/>
      <c r="DH12" s="82" t="e">
        <f t="array" ref="DH12">IF(
AND([1]Basic!B$16:B$17=""),DI12,
ROUND(
           IF([1]Basic!B$17="",((([1]Basic!B$16-50)/50)*0.3*DI12)+DI12,
           (INDEX([1]Basic!B$44:B$46,MATCH([1]Basic!B$17,[1]Basic!A$44:A$46,0))/77.5)*DI12),1))</f>
        <v>#N/A</v>
      </c>
      <c r="DI12" s="63">
        <v>30</v>
      </c>
      <c r="DJ12" s="82" t="e">
        <f>ROUND(DH12*0.5,1)</f>
        <v>#N/A</v>
      </c>
      <c r="DK12" s="82" t="e">
        <f>ROUND(DH12*(1/3),1)</f>
        <v>#N/A</v>
      </c>
      <c r="DL12" s="82" t="e">
        <f>DH12*DG$4</f>
        <v>#N/A</v>
      </c>
      <c r="DM12" s="82" t="e">
        <f>DH12-SUM(DJ12:DL12)</f>
        <v>#N/A</v>
      </c>
      <c r="DN12" s="324" t="e">
        <f ca="1">SUMIF(Ag!BM32:BM252,"=2",Ag!AY32:AY252)</f>
        <v>#NAME?</v>
      </c>
      <c r="DO12" s="167" t="e">
        <f ca="1">DN12*DH12</f>
        <v>#NAME?</v>
      </c>
      <c r="DP12" s="167" t="e">
        <f ca="1">DO12*SUM(DJ12:DK12)</f>
        <v>#NAME?</v>
      </c>
      <c r="DQ12" s="167" t="e">
        <f ca="1">DN12*DL12</f>
        <v>#NAME?</v>
      </c>
      <c r="DR12" s="167" t="e">
        <f ca="1">DN12*DM12</f>
        <v>#NAME?</v>
      </c>
      <c r="DT12" s="75"/>
    </row>
    <row r="13" spans="1:135" ht="15.75" customHeight="1" thickTop="1" thickBot="1">
      <c r="A13" s="371" t="s">
        <v>623</v>
      </c>
      <c r="B13" s="369"/>
      <c r="C13" s="115" t="e">
        <f ca="1">C12*365</f>
        <v>#NAME?</v>
      </c>
      <c r="D13" s="371" t="s">
        <v>624</v>
      </c>
      <c r="E13" s="369"/>
      <c r="F13" s="98" t="str">
        <v>Roll or Choose</v>
      </c>
      <c r="T13" s="67" t="s">
        <v>32</v>
      </c>
      <c r="U13" s="171" t="str">
        <v>None</v>
      </c>
      <c r="V13" s="181">
        <v>0</v>
      </c>
      <c r="W13" s="182" t="e">
        <f ca="1">V13/SUM(V$11:V$37)*
_xludf.ifs(
U13="Major",1,
ISODD(ROW(V13)),1+(0.2*V$8/11),
ISEVEN(ROW(V13)),1-(0.2*V$8/11))</f>
        <v>#NAME?</v>
      </c>
      <c r="X13" s="174"/>
      <c r="Y13" s="167" t="s">
        <v>51</v>
      </c>
      <c r="Z13" s="183">
        <v>0</v>
      </c>
      <c r="AA13" s="57">
        <v>0</v>
      </c>
      <c r="AB13" s="57" t="e">
        <f ca="1">_xludf.ifs(
Z13=0,0,
Z13&lt;0.01,1,
TRUE,AD12+1
)</f>
        <v>#NAME?</v>
      </c>
      <c r="AC13" s="184" t="s">
        <v>744</v>
      </c>
      <c r="AD13" s="107" t="e">
        <f ca="1">_xludf.ifs(
AB13=0,0,
Z$9=0,AB13+AA13-1,
AB13=1,Z$9,
TRUE,AB13+AA13-1)</f>
        <v>#NAME?</v>
      </c>
      <c r="AE13" s="178" t="e">
        <f ca="1">_xludf.ifs(
Z13=0,0,
COUNTIF(Z$11:Z$37,"=1"),0,
Z13&lt;0.01,Z13/SUMIF(Z$11:Z$37,"&lt;=.01"),
TRUE,0
)</f>
        <v>#NAME?</v>
      </c>
      <c r="AF13" s="179" t="e">
        <f ca="1">ROUND(AE13*100,0)</f>
        <v>#NAME?</v>
      </c>
      <c r="AG13" s="179" t="e">
        <f ca="1">_xludf.ifs(
AE13=0,0,
AND(AE13&gt;0,AE12=0),1,
TRUE,AI12+1)</f>
        <v>#NAME?</v>
      </c>
      <c r="AH13" s="184" t="s">
        <v>744</v>
      </c>
      <c r="AI13" s="107" t="e">
        <f ca="1">_xludf.ifs(
AG13=0,0,
AF14=0,100,
TRUE,AG13+AF13-1)</f>
        <v>#NAME?</v>
      </c>
      <c r="AK13" s="391" t="s">
        <v>75</v>
      </c>
      <c r="AL13" s="369"/>
      <c r="AM13" s="198" t="b">
        <v>0</v>
      </c>
      <c r="AO13" s="387" t="s">
        <v>76</v>
      </c>
      <c r="AP13" s="358"/>
      <c r="AQ13" s="202" t="b">
        <v>0</v>
      </c>
      <c r="AR13" s="8"/>
      <c r="AS13" s="469" t="s">
        <v>77</v>
      </c>
      <c r="AT13" s="369"/>
      <c r="AU13" s="198" t="b">
        <v>0</v>
      </c>
      <c r="AZ13" s="31"/>
      <c r="BA13" s="52"/>
      <c r="BB13" s="52"/>
      <c r="BC13" s="52"/>
      <c r="BD13" s="52"/>
      <c r="BE13" s="52"/>
      <c r="BF13" s="52"/>
      <c r="BG13" s="52"/>
      <c r="BH13" s="52"/>
      <c r="BI13" s="52"/>
      <c r="BJ13" s="52"/>
      <c r="BK13" s="52"/>
      <c r="BL13" s="52"/>
      <c r="BM13" s="52"/>
      <c r="BS13" s="26" t="s">
        <v>132</v>
      </c>
      <c r="BT13" s="26" t="s">
        <v>134</v>
      </c>
      <c r="BU13" s="26" t="s">
        <v>136</v>
      </c>
      <c r="BV13" s="26" t="s">
        <v>138</v>
      </c>
      <c r="BW13" s="26" t="s">
        <v>140</v>
      </c>
      <c r="BX13" s="26" t="s">
        <v>142</v>
      </c>
      <c r="BY13" s="26" t="s">
        <v>144</v>
      </c>
      <c r="BZ13" s="26" t="s">
        <v>412</v>
      </c>
      <c r="CA13" s="26" t="s">
        <v>415</v>
      </c>
      <c r="CB13" s="26" t="s">
        <v>417</v>
      </c>
      <c r="CD13" s="427" t="e">
        <f t="array" aca="1" ref="CD13" ca="1">SUM(BT14:CB14*(COLUMN(BT14:CB14)-1))</f>
        <v>#NAME?</v>
      </c>
      <c r="CE13" s="354"/>
      <c r="CF13" s="355"/>
      <c r="CJ13" s="95" t="s">
        <v>31</v>
      </c>
      <c r="CK13" s="306">
        <v>5</v>
      </c>
      <c r="CP13" s="69" t="s">
        <v>948</v>
      </c>
      <c r="CQ13" s="71" t="b">
        <f ca="1">IF(CR$8&gt;=ROW(CP13)-ROW(CP$12),TRUE,FALSE)</f>
        <v>1</v>
      </c>
      <c r="CR13" s="441" t="e">
        <f t="array" aca="1" ref="CR13" ca="1">_xludf.ifs(
AND([1]Entry!E115:F115=""),"Roll or Choose",
[1]Entry!F115="",INDEX(CT$33:CT$36,MATCH([1]Entry!E115,CS$33:CS$36,1)),
TRUE, [1]Entry!F115)</f>
        <v>#NAME?</v>
      </c>
      <c r="CS13" s="358"/>
      <c r="CT13" s="70" t="e">
        <f t="array" aca="1" ref="CT13" ca="1">_xludf.ifs(
AND([1]Entry!E109:F109=""),"Roll or Choose",
[1]Entry!F109="",INDEX(CQ$32:CQ$40,MATCH([1]Entry!E109,CP$32:CP$40,1)),
TRUE, [1]Entry!F109)</f>
        <v>#NAME?</v>
      </c>
      <c r="CU13" s="70" t="e">
        <f t="array" aca="1" ref="CU13" ca="1">_xludf.ifs(
AND([1]Entry!E121:F121=""),"Roll or Choose",
CQ13=FALSE,0,
[1]Entry!F121="",[1]Entry!E121,
TRUE,INDEX(CT$43:CT$46,MATCH([1]Entry!F121,CS$43:CS$46,0)))</f>
        <v>#NAME?</v>
      </c>
      <c r="CV13" s="70" t="e">
        <f ca="1">ROUND((CU13/SUM(CU$13:CU$18))*CR$9,0)</f>
        <v>#NAME?</v>
      </c>
      <c r="CW13" s="476" t="e">
        <f ca="1">INDEX(CV$33:CV$36,MATCH(CR13,CT$33:CT$36,0))&amp;" ("&amp;CT13&amp;")"</f>
        <v>#NAME?</v>
      </c>
      <c r="CX13" s="357"/>
      <c r="CY13" s="357"/>
      <c r="CZ13" s="357"/>
      <c r="DA13" s="357"/>
      <c r="DB13" s="357"/>
      <c r="DC13" s="358"/>
      <c r="DE13" s="323">
        <v>3</v>
      </c>
      <c r="DF13" s="428" t="s">
        <v>994</v>
      </c>
      <c r="DG13" s="369"/>
      <c r="DH13" s="82" t="e">
        <f t="array" ref="DH13">IF(
AND([1]Basic!B$16:B$17=""),DI13,
ROUND(
           IF([1]Basic!B$17="",((([1]Basic!B$16-50)/50)*0.3*DI13)+DI13,
           (INDEX([1]Basic!B$44:B$46,MATCH([1]Basic!B$17,[1]Basic!A$44:A$46,0))/77.5)*DI13),1))</f>
        <v>#N/A</v>
      </c>
      <c r="DI13" s="63">
        <v>60</v>
      </c>
      <c r="DJ13" s="82" t="e">
        <f>ROUND(DH13*0.5,1)</f>
        <v>#N/A</v>
      </c>
      <c r="DK13" s="82" t="e">
        <f>ROUND(DH13*(1/3),1)</f>
        <v>#N/A</v>
      </c>
      <c r="DL13" s="82" t="e">
        <f>DH13*DG$4</f>
        <v>#N/A</v>
      </c>
      <c r="DM13" s="82" t="e">
        <f>DH13-SUM(DJ13:DL13)</f>
        <v>#N/A</v>
      </c>
      <c r="DN13" s="324" t="e">
        <f ca="1">SUMIF(Ag!BM32:BM252,"=3",Ag!AY32:AY252)</f>
        <v>#NAME?</v>
      </c>
      <c r="DO13" s="167" t="e">
        <f ca="1">DN13*DH13</f>
        <v>#NAME?</v>
      </c>
      <c r="DP13" s="167" t="e">
        <f ca="1">DO13*SUM(DJ13:DK13)</f>
        <v>#NAME?</v>
      </c>
      <c r="DQ13" s="167" t="e">
        <f ca="1">DN13*DL13</f>
        <v>#NAME?</v>
      </c>
      <c r="DR13" s="167" t="e">
        <f ca="1">DN13*DM13</f>
        <v>#NAME?</v>
      </c>
      <c r="DT13" s="400" t="s">
        <v>1009</v>
      </c>
      <c r="DU13" s="354"/>
      <c r="DV13" s="354"/>
      <c r="DW13" s="355"/>
    </row>
    <row r="14" spans="1:135" ht="15.75" customHeight="1" thickTop="1" thickBot="1">
      <c r="A14" s="398" t="s">
        <v>625</v>
      </c>
      <c r="B14" s="355"/>
      <c r="C14" s="116">
        <f t="array" ref="C14">IF(Ag!AM14,Ag!CL16,INDEX(Ag!CL16:CL21,MATCH(Ag!BT8,Ag!CJ16:CJ21,0)))</f>
        <v>1</v>
      </c>
      <c r="D14" s="405" t="s">
        <v>626</v>
      </c>
      <c r="E14" s="361"/>
      <c r="F14" s="117">
        <f>IF([1]Entry!F39=FALSE,([1]Entry!C39-2)/(SUM([1]Entry!C37:C39)-3))</f>
        <v>0.66666666666666663</v>
      </c>
      <c r="T14" s="67" t="s">
        <v>35</v>
      </c>
      <c r="U14" s="171" t="str">
        <v>Rare</v>
      </c>
      <c r="V14" s="181">
        <v>2</v>
      </c>
      <c r="W14" s="182" t="e">
        <f ca="1">V14/SUM(V$11:V$37)*
_xludf.ifs(
U14="Major",1,
ISODD(ROW(V14)),1+(0.2*V$8/11),
ISEVEN(ROW(V14)),1-(0.2*V$8/11))</f>
        <v>#NAME?</v>
      </c>
      <c r="X14" s="174"/>
      <c r="Y14" s="167" t="s">
        <v>54</v>
      </c>
      <c r="Z14" s="183">
        <v>0</v>
      </c>
      <c r="AA14" s="57">
        <v>0</v>
      </c>
      <c r="AB14" s="57" t="e">
        <f ca="1">_xludf.ifs(
Z14=0,0,
Z14&lt;0.01,1,
TRUE,AD13+1
)</f>
        <v>#NAME?</v>
      </c>
      <c r="AC14" s="184" t="s">
        <v>744</v>
      </c>
      <c r="AD14" s="107" t="e">
        <f ca="1">_xludf.ifs(
AB14=0,0,
Z$9=0,AB14+AA14-1,
AB14=1,Z$9,
TRUE,AB14+AA14-1)</f>
        <v>#NAME?</v>
      </c>
      <c r="AE14" s="178" t="e">
        <f ca="1">_xludf.ifs(
Z14=0,0,
COUNTIF(Z$11:Z$37,"=1"),0,
Z14&lt;0.01,Z14/SUMIF(Z$11:Z$37,"&lt;=.01"),
TRUE,0
)</f>
        <v>#NAME?</v>
      </c>
      <c r="AF14" s="179" t="e">
        <f ca="1">ROUND(AE14*100,0)</f>
        <v>#NAME?</v>
      </c>
      <c r="AG14" s="179" t="e">
        <f ca="1">_xludf.ifs(
AE14=0,0,
AND(AE14&gt;0,AE13=0),1,
TRUE,AI13+1)</f>
        <v>#NAME?</v>
      </c>
      <c r="AH14" s="184" t="s">
        <v>744</v>
      </c>
      <c r="AI14" s="107" t="e">
        <f ca="1">_xludf.ifs(
AG14=0,0,
AF15=0,100,
TRUE,AG14+AF14-1)</f>
        <v>#NAME?</v>
      </c>
      <c r="AK14" s="391" t="s">
        <v>79</v>
      </c>
      <c r="AL14" s="369"/>
      <c r="AM14" s="198" t="b">
        <v>0</v>
      </c>
      <c r="AO14" s="386" t="s">
        <v>80</v>
      </c>
      <c r="AP14" s="361"/>
      <c r="AQ14" s="203" t="b">
        <v>0</v>
      </c>
      <c r="AR14" s="8"/>
      <c r="AS14" s="469" t="s">
        <v>81</v>
      </c>
      <c r="AT14" s="393"/>
      <c r="AU14" s="198" t="b">
        <v>0</v>
      </c>
      <c r="AZ14" s="31"/>
      <c r="BC14" s="52"/>
      <c r="BD14" s="52"/>
      <c r="BE14" s="52"/>
      <c r="BF14" s="52"/>
      <c r="BG14" s="52"/>
      <c r="BH14" s="52"/>
      <c r="BI14" s="52"/>
      <c r="BJ14" s="52"/>
      <c r="BK14" s="52"/>
      <c r="BL14" s="52"/>
      <c r="BM14" s="52"/>
      <c r="BS14" s="60" t="e">
        <f ca="1">ROUND(BS16*(1-BX7),0)</f>
        <v>#NAME?</v>
      </c>
      <c r="BT14" s="60" t="e">
        <f ca="1">ROUND(($BS16-SUM($BS14:BS14))*(1-BY7),0)</f>
        <v>#NAME?</v>
      </c>
      <c r="BU14" s="60" t="e">
        <f ca="1">ROUND(($BS16-SUM($BS14:BT14))*(1-BZ7),0)</f>
        <v>#NAME?</v>
      </c>
      <c r="BV14" s="60" t="e">
        <f ca="1">ROUND(($BS16-SUM($BS14:BU14))*(1-CA7),0)</f>
        <v>#NAME?</v>
      </c>
      <c r="BW14" s="60" t="e">
        <f ca="1">ROUND(($BS16-SUM($BS14:BV14))*(1-CB7),0)</f>
        <v>#NAME?</v>
      </c>
      <c r="BX14" s="60" t="e">
        <f ca="1">ROUND(($BS16-SUM($BS14:BW14))*(1-CC7),0)</f>
        <v>#NAME?</v>
      </c>
      <c r="BY14" s="60" t="e">
        <f ca="1">ROUND(($BS16-SUM($BS14:BX14))*(1-CD7),0)</f>
        <v>#NAME?</v>
      </c>
      <c r="BZ14" s="60" t="e">
        <f ca="1">ROUND(($BS16-SUM($BS14:BY14))*(1-CE7),0)</f>
        <v>#NAME?</v>
      </c>
      <c r="CA14" s="60" t="e">
        <f ca="1">ROUND(($BS16-SUM($BS14:BZ14))*(1-CF7),0)</f>
        <v>#NAME?</v>
      </c>
      <c r="CB14" s="60" t="e">
        <f ca="1">BS16-SUM($BS14:CA14)</f>
        <v>#NAME?</v>
      </c>
      <c r="CJ14" s="72" t="s">
        <v>879</v>
      </c>
      <c r="CK14" s="307">
        <v>1</v>
      </c>
      <c r="CP14" s="95" t="s">
        <v>949</v>
      </c>
      <c r="CQ14" s="167" t="b">
        <f ca="1">IF(CR$8&gt;=ROW(CP14)-ROW(CP$12),TRUE,FALSE)</f>
        <v>1</v>
      </c>
      <c r="CR14" s="425" t="e">
        <f t="array" aca="1" ref="CR14" ca="1">_xludf.ifs(
AND([1]Entry!E116:F116=""),"Roll or Choose",
[1]Entry!F116="",INDEX(CT$33:CT$36,MATCH([1]Entry!E116,CS$33:CS$36,1)),
TRUE, [1]Entry!F116)</f>
        <v>#NAME?</v>
      </c>
      <c r="CS14" s="369"/>
      <c r="CT14" s="56" t="e">
        <f t="array" aca="1" ref="CT14" ca="1">_xludf.ifs(
AND([1]Entry!E110:F110=""),"Roll or Choose",
[1]Entry!F110="",INDEX(CQ$32:CQ$40,MATCH([1]Entry!E110,CP$32:CP$40,1)),
TRUE, [1]Entry!F110)</f>
        <v>#NAME?</v>
      </c>
      <c r="CU14" s="56" t="e">
        <f t="array" aca="1" ref="CU14" ca="1">_xludf.ifs(
AND([1]Entry!E122:F122=""),"Roll or Choose",
CQ14=FALSE,0,
[1]Entry!F122="",[1]Entry!E122,
TRUE,INDEX(CT$43:CT$46,MATCH([1]Entry!F122,CS$43:CS$46,0)))</f>
        <v>#NAME?</v>
      </c>
      <c r="CV14" s="56" t="e">
        <f ca="1">ROUND((CU14/SUM(CU$13:CU$18))*CR$9,0)</f>
        <v>#NAME?</v>
      </c>
      <c r="CW14" s="472" t="e">
        <f ca="1">INDEX(CV$33:CV$36,MATCH(CR14,CT$33:CT$36,0))&amp;" ("&amp;CT14&amp;")"</f>
        <v>#NAME?</v>
      </c>
      <c r="CX14" s="393"/>
      <c r="CY14" s="393"/>
      <c r="CZ14" s="393"/>
      <c r="DA14" s="393"/>
      <c r="DB14" s="393"/>
      <c r="DC14" s="369"/>
      <c r="DE14" s="323">
        <v>4</v>
      </c>
      <c r="DF14" s="428" t="s">
        <v>995</v>
      </c>
      <c r="DG14" s="369"/>
      <c r="DH14" s="82" t="e">
        <f t="array" ref="DH14">IF(
AND([1]Basic!B$16:B$17=""),DI14,
ROUND(
           IF([1]Basic!B$17="",((([1]Basic!B$16-50)/50)*0.3*DI14)+DI14,
           (INDEX([1]Basic!B$44:B$46,MATCH([1]Basic!B$17,[1]Basic!A$44:A$46,0))/77.5)*DI14),1))</f>
        <v>#N/A</v>
      </c>
      <c r="DI14" s="63">
        <v>120</v>
      </c>
      <c r="DJ14" s="82" t="e">
        <f>ROUND(DH14*0.5,1)</f>
        <v>#N/A</v>
      </c>
      <c r="DK14" s="82" t="e">
        <f>ROUND(DH14*(1/3),1)</f>
        <v>#N/A</v>
      </c>
      <c r="DL14" s="82" t="e">
        <f>DH14*DG$4</f>
        <v>#N/A</v>
      </c>
      <c r="DM14" s="82" t="e">
        <f>DH14-SUM(DJ14:DL14)</f>
        <v>#N/A</v>
      </c>
      <c r="DN14" s="324">
        <f>SUMIF(Ag!BM32:BM252,"=4",Ag!AY32:AY252)</f>
        <v>0</v>
      </c>
      <c r="DO14" s="167" t="e">
        <f>DN14*DH14</f>
        <v>#N/A</v>
      </c>
      <c r="DP14" s="167" t="e">
        <f>DO14*SUM(DJ14:DK14)</f>
        <v>#N/A</v>
      </c>
      <c r="DQ14" s="167" t="e">
        <f>DN14*DL14</f>
        <v>#N/A</v>
      </c>
      <c r="DR14" s="167" t="e">
        <f>DN14*DM14</f>
        <v>#N/A</v>
      </c>
      <c r="DT14" s="26" t="s">
        <v>1010</v>
      </c>
      <c r="DU14" s="26" t="s">
        <v>1011</v>
      </c>
      <c r="DV14" s="26" t="s">
        <v>1012</v>
      </c>
      <c r="DW14" s="26" t="s">
        <v>1005</v>
      </c>
      <c r="DZ14" s="400" t="s">
        <v>1013</v>
      </c>
      <c r="EA14" s="354"/>
      <c r="EB14" s="354"/>
      <c r="EC14" s="354"/>
      <c r="ED14" s="355"/>
    </row>
    <row r="15" spans="1:135" ht="15.75" customHeight="1" thickTop="1" thickBot="1">
      <c r="T15" s="67" t="s">
        <v>40</v>
      </c>
      <c r="U15" s="171" t="str">
        <v>Very Common</v>
      </c>
      <c r="V15" s="181">
        <v>5</v>
      </c>
      <c r="W15" s="182" t="e">
        <f ca="1">V15/SUM(V$11:V$37)*
_xludf.ifs(
U15="Major",1,
ISODD(ROW(V15)),1+(0.2*V$8/11),
ISEVEN(ROW(V15)),1-(0.2*V$8/11))</f>
        <v>#NAME?</v>
      </c>
      <c r="X15" s="174"/>
      <c r="Y15" s="167" t="s">
        <v>403</v>
      </c>
      <c r="Z15" s="183">
        <v>0</v>
      </c>
      <c r="AA15" s="57">
        <v>0</v>
      </c>
      <c r="AB15" s="57" t="e">
        <f ca="1">_xludf.ifs(
Z15=0,0,
Z15&lt;0.01,1,
TRUE,AD14+1
)</f>
        <v>#NAME?</v>
      </c>
      <c r="AC15" s="184" t="s">
        <v>744</v>
      </c>
      <c r="AD15" s="107" t="e">
        <f ca="1">_xludf.ifs(
AB15=0,0,
Z$9=0,AB15+AA15-1,
AB15=1,Z$9,
TRUE,AB15+AA15-1)</f>
        <v>#NAME?</v>
      </c>
      <c r="AE15" s="178" t="e">
        <f ca="1">_xludf.ifs(
Z15=0,0,
COUNTIF(Z$11:Z$37,"=1"),0,
Z15&lt;0.01,Z15/SUMIF(Z$11:Z$37,"&lt;=.01"),
TRUE,0
)</f>
        <v>#NAME?</v>
      </c>
      <c r="AF15" s="179" t="e">
        <f ca="1">ROUND(AE15*100,0)</f>
        <v>#NAME?</v>
      </c>
      <c r="AG15" s="179" t="e">
        <f ca="1">_xludf.ifs(
AE15=0,0,
AND(AE15&gt;0,AE14=0),1,
TRUE,AI14+1)</f>
        <v>#NAME?</v>
      </c>
      <c r="AH15" s="184" t="s">
        <v>744</v>
      </c>
      <c r="AI15" s="107" t="e">
        <f ca="1">_xludf.ifs(
AG15=0,0,
AF16=0,100,
TRUE,AG15+AF15-1)</f>
        <v>#NAME?</v>
      </c>
      <c r="AK15" s="391" t="s">
        <v>82</v>
      </c>
      <c r="AL15" s="369"/>
      <c r="AM15" s="198" t="b">
        <v>0</v>
      </c>
      <c r="AO15" s="372" t="s">
        <v>83</v>
      </c>
      <c r="AP15" s="369"/>
      <c r="AQ15" s="204" t="b">
        <v>0</v>
      </c>
      <c r="AR15" s="8"/>
      <c r="AS15" s="469" t="s">
        <v>84</v>
      </c>
      <c r="AT15" s="393"/>
      <c r="AU15" s="198" t="b">
        <v>0</v>
      </c>
      <c r="AZ15" s="31"/>
      <c r="BC15" s="52"/>
      <c r="BD15" s="52"/>
      <c r="BE15" s="52"/>
      <c r="BF15" s="52"/>
      <c r="BG15" s="52"/>
      <c r="BH15" s="52"/>
      <c r="BI15" s="52"/>
      <c r="BJ15" s="52"/>
      <c r="BK15" s="52"/>
      <c r="BL15" s="52"/>
      <c r="BM15" s="52"/>
      <c r="BS15" s="398" t="s">
        <v>880</v>
      </c>
      <c r="BT15" s="355"/>
      <c r="BU15" s="397" t="s">
        <v>881</v>
      </c>
      <c r="BV15" s="355"/>
      <c r="BW15" s="397" t="e">
        <f ca="1">"# of "&amp;BU16&amp;" Spellcasters"</f>
        <v>#NAME?</v>
      </c>
      <c r="BX15" s="355"/>
      <c r="BY15" s="397" t="s">
        <v>882</v>
      </c>
      <c r="BZ15" s="355"/>
      <c r="CA15" s="397" t="e">
        <f ca="1">"# of "&amp;BY16&amp;" Spellcasters"</f>
        <v>#NAME?</v>
      </c>
      <c r="CB15" s="355"/>
      <c r="CC15" s="397" t="s">
        <v>883</v>
      </c>
      <c r="CD15" s="355"/>
      <c r="CE15" s="397" t="e">
        <f ca="1">"# of "&amp;CC16&amp;" Spellcasters"</f>
        <v>#NAME?</v>
      </c>
      <c r="CF15" s="355"/>
      <c r="CG15" s="397" t="s">
        <v>884</v>
      </c>
      <c r="CH15" s="355"/>
      <c r="CJ15" s="397" t="s">
        <v>872</v>
      </c>
      <c r="CK15" s="354"/>
      <c r="CL15" s="355"/>
      <c r="CP15" s="95" t="s">
        <v>950</v>
      </c>
      <c r="CQ15" s="167" t="b">
        <f ca="1">IF(CR$8&gt;=ROW(CP15)-ROW(CP$12),TRUE,FALSE)</f>
        <v>1</v>
      </c>
      <c r="CR15" s="425" t="e">
        <f t="array" aca="1" ref="CR15" ca="1">_xludf.ifs(
AND([1]Entry!E117:F117=""),"Roll or Choose",
[1]Entry!F117="",INDEX(CT$33:CT$36,MATCH([1]Entry!E117,CS$33:CS$36,1)),
TRUE, [1]Entry!F117)</f>
        <v>#NAME?</v>
      </c>
      <c r="CS15" s="369"/>
      <c r="CT15" s="56" t="e">
        <f t="array" aca="1" ref="CT15" ca="1">_xludf.ifs(
AND([1]Entry!E111:F111=""),"Roll or Choose",
[1]Entry!F111="",INDEX(CQ$32:CQ$40,MATCH([1]Entry!E111,CP$32:CP$40,1)),
TRUE, [1]Entry!F111)</f>
        <v>#NAME?</v>
      </c>
      <c r="CU15" s="56" t="e">
        <f t="array" aca="1" ref="CU15" ca="1">_xludf.ifs(
AND([1]Entry!E123:F123=""),"Roll or Choose",
CQ15=FALSE,0,
[1]Entry!F123="",[1]Entry!E123,
TRUE,INDEX(CT$43:CT$46,MATCH([1]Entry!F123,CS$43:CS$46,0)))</f>
        <v>#NAME?</v>
      </c>
      <c r="CV15" s="56" t="e">
        <f ca="1">ROUND((CU15/SUM(CU$13:CU$18))*CR$9,0)</f>
        <v>#NAME?</v>
      </c>
      <c r="CW15" s="472" t="e">
        <f ca="1">INDEX(CV$33:CV$36,MATCH(CR15,CT$33:CT$36,0))&amp;" ("&amp;CT15&amp;")"</f>
        <v>#NAME?</v>
      </c>
      <c r="CX15" s="393"/>
      <c r="CY15" s="393"/>
      <c r="CZ15" s="393"/>
      <c r="DA15" s="393"/>
      <c r="DB15" s="393"/>
      <c r="DC15" s="369"/>
      <c r="DE15" s="325">
        <v>5</v>
      </c>
      <c r="DF15" s="429" t="s">
        <v>996</v>
      </c>
      <c r="DG15" s="361"/>
      <c r="DH15" s="83" t="e">
        <f t="array" ref="DH15">IF(
AND([1]Basic!B$16:B$17=""),DI15,
ROUND(
           IF([1]Basic!B$17="",((([1]Basic!B$16-50)/50)*0.3*DI15)+DI15,
           (INDEX([1]Basic!B$44:B$46,MATCH([1]Basic!B$17,[1]Basic!A$44:A$46,0))/77.5)*DI15),1))</f>
        <v>#N/A</v>
      </c>
      <c r="DI15" s="66">
        <v>300</v>
      </c>
      <c r="DJ15" s="83" t="e">
        <f>ROUND(DH15*0.5,1)</f>
        <v>#N/A</v>
      </c>
      <c r="DK15" s="83" t="e">
        <f>ROUND(DH15*(1/3),1)</f>
        <v>#N/A</v>
      </c>
      <c r="DL15" s="83" t="e">
        <f>DH15*DG$4</f>
        <v>#N/A</v>
      </c>
      <c r="DM15" s="83" t="e">
        <f>DH15-SUM(DJ15:DL15)</f>
        <v>#N/A</v>
      </c>
      <c r="DN15" s="326">
        <f>SUMIF(Ag!BM32:BM252,"=5",Ag!AY32:AY252)</f>
        <v>0</v>
      </c>
      <c r="DO15" s="73" t="e">
        <f>DN15*DH15</f>
        <v>#N/A</v>
      </c>
      <c r="DP15" s="73" t="e">
        <f>DO15*SUM(DJ15:DK15)</f>
        <v>#N/A</v>
      </c>
      <c r="DQ15" s="73" t="e">
        <f>DN15*DL15</f>
        <v>#N/A</v>
      </c>
      <c r="DR15" s="73" t="e">
        <f>DN15*DM15</f>
        <v>#N/A</v>
      </c>
      <c r="DT15" s="193" t="s">
        <v>1014</v>
      </c>
      <c r="DU15" s="193" t="b">
        <v>1</v>
      </c>
      <c r="DV15" s="80">
        <v>1</v>
      </c>
      <c r="DW15" s="61">
        <v>0.15</v>
      </c>
      <c r="DZ15" s="26" t="s">
        <v>20</v>
      </c>
      <c r="EA15" s="26" t="s">
        <v>1015</v>
      </c>
      <c r="EB15" s="26" t="s">
        <v>81</v>
      </c>
      <c r="EC15" s="26" t="s">
        <v>1016</v>
      </c>
      <c r="ED15" s="26" t="s">
        <v>1017</v>
      </c>
    </row>
    <row r="16" spans="1:135" ht="15.75" customHeight="1" thickTop="1" thickBot="1">
      <c r="A16" s="402" t="s">
        <v>627</v>
      </c>
      <c r="B16" s="354"/>
      <c r="C16" s="354"/>
      <c r="D16" s="354"/>
      <c r="E16" s="354"/>
      <c r="F16" s="355"/>
      <c r="T16" s="67" t="s">
        <v>45</v>
      </c>
      <c r="U16" s="171" t="str">
        <v>Very Common</v>
      </c>
      <c r="V16" s="181">
        <v>5</v>
      </c>
      <c r="W16" s="182" t="e">
        <f ca="1">V16/SUM(V$11:V$37)*
_xludf.ifs(
U16="Major",1,
ISODD(ROW(V16)),1+(0.2*V$8/11),
ISEVEN(ROW(V16)),1-(0.2*V$8/11))</f>
        <v>#NAME?</v>
      </c>
      <c r="X16" s="174"/>
      <c r="Y16" s="167" t="s">
        <v>33</v>
      </c>
      <c r="Z16" s="183">
        <v>0</v>
      </c>
      <c r="AA16" s="57">
        <v>0</v>
      </c>
      <c r="AB16" s="57" t="e">
        <f ca="1">_xludf.ifs(
Z16=0,0,
Z16&lt;0.01,1,
TRUE,AD15+1
)</f>
        <v>#NAME?</v>
      </c>
      <c r="AC16" s="184" t="s">
        <v>744</v>
      </c>
      <c r="AD16" s="107" t="e">
        <f ca="1">_xludf.ifs(
AB16=0,0,
Z$9=0,AB16+AA16-1,
AB16=1,Z$9,
TRUE,AB16+AA16-1)</f>
        <v>#NAME?</v>
      </c>
      <c r="AE16" s="178" t="e">
        <f ca="1">_xludf.ifs(
Z16=0,0,
COUNTIF(Z$11:Z$37,"=1"),0,
Z16&lt;0.01,Z16/SUMIF(Z$11:Z$37,"&lt;=.01"),
TRUE,0
)</f>
        <v>#NAME?</v>
      </c>
      <c r="AF16" s="179" t="e">
        <f ca="1">ROUND(AE16*100,0)</f>
        <v>#NAME?</v>
      </c>
      <c r="AG16" s="179" t="e">
        <f ca="1">_xludf.ifs(
AE16=0,0,
AND(AE16&gt;0,AE15=0),1,
TRUE,AI15+1)</f>
        <v>#NAME?</v>
      </c>
      <c r="AH16" s="184" t="s">
        <v>744</v>
      </c>
      <c r="AI16" s="107" t="e">
        <f ca="1">_xludf.ifs(
AG16=0,0,
AF17=0,100,
TRUE,AG16+AF16-1)</f>
        <v>#NAME?</v>
      </c>
      <c r="AK16" s="391" t="s">
        <v>85</v>
      </c>
      <c r="AL16" s="369"/>
      <c r="AM16" s="198" t="b">
        <v>0</v>
      </c>
      <c r="AO16" s="372" t="s">
        <v>86</v>
      </c>
      <c r="AP16" s="369"/>
      <c r="AQ16" s="204" t="b">
        <v>0</v>
      </c>
      <c r="AR16" s="8"/>
      <c r="AS16" s="372" t="s">
        <v>87</v>
      </c>
      <c r="AT16" s="369"/>
      <c r="AU16" s="19" t="b">
        <v>0</v>
      </c>
      <c r="BA16" s="52"/>
      <c r="BB16" s="52"/>
      <c r="BC16" s="52"/>
      <c r="BD16" s="52"/>
      <c r="BE16" s="52"/>
      <c r="BF16" s="52"/>
      <c r="BG16" s="52"/>
      <c r="BH16" s="52"/>
      <c r="BI16" s="52"/>
      <c r="BJ16" s="52"/>
      <c r="BK16" s="52"/>
      <c r="BL16" s="52"/>
      <c r="BM16" s="52"/>
      <c r="BS16" s="427" t="e">
        <f ca="1">ROUND(BT3*BU8,0)</f>
        <v>#NAME?</v>
      </c>
      <c r="BT16" s="355"/>
      <c r="BU16" s="489" t="e">
        <f t="array" aca="1" ref="BU16" ca="1">IF(BS14=0,"None",INDEX(BS13:CB13,,CG16))</f>
        <v>#NAME?</v>
      </c>
      <c r="BV16" s="355"/>
      <c r="BW16" s="427" t="e">
        <f t="array" aca="1" ref="BW16" ca="1">IF(BS14=0,0,INDEX(BS14:CB14,,CG16))</f>
        <v>#NAME?</v>
      </c>
      <c r="BX16" s="355"/>
      <c r="BY16" s="427" t="e">
        <f t="array" aca="1" ref="BY16" ca="1">IF(BT14=0,"None",INDEX(BS13:CB13,,CG16-1))</f>
        <v>#NAME?</v>
      </c>
      <c r="BZ16" s="355"/>
      <c r="CA16" s="427" t="e">
        <f t="array" aca="1" ref="CA16" ca="1">IF(BT14=0,0,INDEX(BS14:CB14,,CG16-1))</f>
        <v>#NAME?</v>
      </c>
      <c r="CB16" s="355"/>
      <c r="CC16" s="427" t="e">
        <f t="array" aca="1" ref="CC16" ca="1">IF(BU14=0,"None",INDEX(BS13:CB13,,CG16-2))</f>
        <v>#NAME?</v>
      </c>
      <c r="CD16" s="355"/>
      <c r="CE16" s="427" t="e">
        <f t="array" aca="1" ref="CE16" ca="1">IF(BU14=0,0,INDEX(BS14:CB14,,CG16-2))</f>
        <v>#NAME?</v>
      </c>
      <c r="CF16" s="355"/>
      <c r="CG16" s="427" t="str">
        <f ca="1">IFERROR(__xludf.DUMMYFUNCTION("max(filter(ARRAYFORMULA(COLUMN(A14:J14)),A14:J14&gt;0))"),"#N/A")</f>
        <v>#N/A</v>
      </c>
      <c r="CH16" s="355"/>
      <c r="CJ16" s="69" t="s">
        <v>885</v>
      </c>
      <c r="CK16" s="293">
        <v>0</v>
      </c>
      <c r="CL16" s="159">
        <v>0.5</v>
      </c>
      <c r="CP16" s="95" t="s">
        <v>951</v>
      </c>
      <c r="CQ16" s="167" t="b">
        <f ca="1">IF(CR$8&gt;=ROW(CP16)-ROW(CP$12),TRUE,FALSE)</f>
        <v>1</v>
      </c>
      <c r="CR16" s="425" t="e">
        <f t="array" aca="1" ref="CR16" ca="1">_xludf.ifs(
AND([1]Entry!E118:F118=""),"Roll or Choose",
[1]Entry!F118="",INDEX(CT$33:CT$36,MATCH([1]Entry!E118,CS$33:CS$36,1)),
TRUE, [1]Entry!F118)</f>
        <v>#NAME?</v>
      </c>
      <c r="CS16" s="369"/>
      <c r="CT16" s="56" t="e">
        <f t="array" aca="1" ref="CT16" ca="1">_xludf.ifs(
AND([1]Entry!E112:F112=""),"Roll or Choose",
[1]Entry!F112="",INDEX(CQ$32:CQ$40,MATCH([1]Entry!E112,CP$32:CP$40,1)),
TRUE, [1]Entry!F112)</f>
        <v>#NAME?</v>
      </c>
      <c r="CU16" s="56" t="e">
        <f t="array" aca="1" ref="CU16" ca="1">_xludf.ifs(
AND([1]Entry!E124:F124=""),"Roll or Choose",
CQ16=FALSE,0,
[1]Entry!F124="",[1]Entry!E124,
TRUE,INDEX(CT$43:CT$46,MATCH([1]Entry!F124,CS$43:CS$46,0)))</f>
        <v>#NAME?</v>
      </c>
      <c r="CV16" s="56" t="e">
        <f ca="1">ROUND((CU16/SUM(CU$13:CU$18))*CR$9,0)</f>
        <v>#NAME?</v>
      </c>
      <c r="CW16" s="472" t="e">
        <f ca="1">INDEX(CV$33:CV$36,MATCH(CR16,CT$33:CT$36,0))&amp;" ("&amp;CT16&amp;")"</f>
        <v>#NAME?</v>
      </c>
      <c r="CX16" s="393"/>
      <c r="CY16" s="393"/>
      <c r="CZ16" s="393"/>
      <c r="DA16" s="393"/>
      <c r="DB16" s="393"/>
      <c r="DC16" s="369"/>
      <c r="DP16" s="327" t="e">
        <f ca="1">SUM(DP10:DP15)</f>
        <v>#NAME?</v>
      </c>
      <c r="DQ16" s="327" t="e">
        <f ca="1">SUM(DQ10:DQ15)</f>
        <v>#NAME?</v>
      </c>
      <c r="DR16" s="327" t="e">
        <f ca="1">SUM(DR10:DR15)</f>
        <v>#NAME?</v>
      </c>
      <c r="DT16" s="171" t="s">
        <v>753</v>
      </c>
      <c r="DU16" s="167" t="b">
        <f t="array" ref="DU16">AND(OR(EC16:EC18="Wheat",EC16:EC18="Oats",EJ26=TRUE),EB26=FALSE)</f>
        <v>0</v>
      </c>
      <c r="DV16" s="56">
        <f>IF(EJ26=TRUE,5,2)</f>
        <v>2</v>
      </c>
      <c r="DW16" s="63">
        <v>0.02</v>
      </c>
      <c r="DZ16" s="60" t="e">
        <f ca="1">Climate!C10</f>
        <v>#NAME?</v>
      </c>
      <c r="EA16" s="60" t="b">
        <f>NOT(Ag!AM23)</f>
        <v>1</v>
      </c>
      <c r="EB16" s="56" t="s">
        <v>124</v>
      </c>
      <c r="EC16" s="118" t="s">
        <v>1188</v>
      </c>
      <c r="ED16" s="70" t="e">
        <f ca="1">IF(OR(Ag!I35&lt;Ag!C13*1.1,Ag!F12&lt;0.25),FALSE,TRUE)</f>
        <v>#N/A</v>
      </c>
    </row>
    <row r="17" spans="1:140" ht="15.75" customHeight="1" thickTop="1" thickBot="1">
      <c r="A17" s="388" t="s">
        <v>628</v>
      </c>
      <c r="B17" s="357"/>
      <c r="C17" s="358"/>
      <c r="D17" s="441" t="e">
        <f ca="1">ROUND((F6*F8),0)</f>
        <v>#NAME?</v>
      </c>
      <c r="E17" s="357"/>
      <c r="F17" s="358"/>
      <c r="T17" s="67" t="s">
        <v>48</v>
      </c>
      <c r="U17" s="171" t="str">
        <v>Very Rare</v>
      </c>
      <c r="V17" s="181">
        <v>1</v>
      </c>
      <c r="W17" s="182" t="e">
        <f ca="1">V17/SUM(V$11:V$37)*
_xludf.ifs(
U17="Major",1,
ISODD(ROW(V17)),1+(0.2*V$8/11),
ISEVEN(ROW(V17)),1-(0.2*V$8/11))</f>
        <v>#NAME?</v>
      </c>
      <c r="X17" s="174"/>
      <c r="Y17" s="167" t="s">
        <v>52</v>
      </c>
      <c r="Z17" s="183">
        <v>0</v>
      </c>
      <c r="AA17" s="57">
        <v>0</v>
      </c>
      <c r="AB17" s="57" t="e">
        <f ca="1">_xludf.ifs(
Z17=0,0,
Z17&lt;0.01,1,
TRUE,AD16+1
)</f>
        <v>#NAME?</v>
      </c>
      <c r="AC17" s="184" t="s">
        <v>744</v>
      </c>
      <c r="AD17" s="107" t="e">
        <f ca="1">_xludf.ifs(
AB17=0,0,
Z$9=0,AB17+AA17-1,
AB17=1,Z$9,
TRUE,AB17+AA17-1)</f>
        <v>#NAME?</v>
      </c>
      <c r="AE17" s="178" t="e">
        <f ca="1">_xludf.ifs(
Z17=0,0,
COUNTIF(Z$11:Z$37,"=1"),0,
Z17&lt;0.01,Z17/SUMIF(Z$11:Z$37,"&lt;=.01"),
TRUE,0
)</f>
        <v>#NAME?</v>
      </c>
      <c r="AF17" s="179" t="e">
        <f ca="1">ROUND(AE17*100,0)</f>
        <v>#NAME?</v>
      </c>
      <c r="AG17" s="179" t="e">
        <f ca="1">_xludf.ifs(
AE17=0,0,
AND(AE17&gt;0,AE16=0),1,
TRUE,AI16+1)</f>
        <v>#NAME?</v>
      </c>
      <c r="AH17" s="184" t="s">
        <v>744</v>
      </c>
      <c r="AI17" s="107" t="e">
        <f ca="1">_xludf.ifs(
AG17=0,0,
AF18=0,100,
TRUE,AG17+AF17-1)</f>
        <v>#NAME?</v>
      </c>
      <c r="AK17" s="391" t="s">
        <v>88</v>
      </c>
      <c r="AL17" s="369"/>
      <c r="AM17" s="198" t="b">
        <v>0</v>
      </c>
      <c r="AO17" s="386" t="s">
        <v>89</v>
      </c>
      <c r="AP17" s="361"/>
      <c r="AQ17" s="205" t="b">
        <v>0</v>
      </c>
      <c r="AR17" s="8"/>
      <c r="AS17" s="469" t="s">
        <v>90</v>
      </c>
      <c r="AT17" s="369"/>
      <c r="AU17" s="19" t="b">
        <v>0</v>
      </c>
      <c r="BA17" s="52"/>
      <c r="BB17" s="52"/>
      <c r="BC17" s="52"/>
      <c r="BD17" s="52"/>
      <c r="BE17" s="52"/>
      <c r="BF17" s="52"/>
      <c r="BG17" s="52"/>
      <c r="BH17" s="52"/>
      <c r="BI17" s="52"/>
      <c r="BJ17" s="52"/>
      <c r="BK17" s="52"/>
      <c r="BL17" s="52"/>
      <c r="BM17" s="52"/>
      <c r="CJ17" s="95" t="s">
        <v>886</v>
      </c>
      <c r="CK17" s="298">
        <v>1E-3</v>
      </c>
      <c r="CL17" s="162">
        <v>0.6</v>
      </c>
      <c r="CP17" s="95" t="s">
        <v>952</v>
      </c>
      <c r="CQ17" s="167" t="b">
        <f ca="1">IF(CR$8&gt;=ROW(CP17)-ROW(CP$12),TRUE,FALSE)</f>
        <v>1</v>
      </c>
      <c r="CR17" s="425" t="e">
        <f t="array" aca="1" ref="CR17" ca="1">_xludf.ifs(
AND([1]Entry!E119:F119=""),"Roll or Choose",
[1]Entry!F119="",INDEX(CT$33:CT$36,MATCH([1]Entry!E119,CS$33:CS$36,1)),
TRUE, [1]Entry!F119)</f>
        <v>#NAME?</v>
      </c>
      <c r="CS17" s="369"/>
      <c r="CT17" s="56" t="e">
        <f t="array" aca="1" ref="CT17" ca="1">_xludf.ifs(
AND([1]Entry!E113:F113=""),"Roll or Choose",
[1]Entry!F113="",INDEX(CQ$32:CQ$40,MATCH([1]Entry!E113,CP$32:CP$40,1)),
TRUE, [1]Entry!F113)</f>
        <v>#NAME?</v>
      </c>
      <c r="CU17" s="56" t="e">
        <f t="array" aca="1" ref="CU17" ca="1">_xludf.ifs(
AND([1]Entry!E125:F125=""),"Roll or Choose",
CQ17=FALSE,0,
[1]Entry!F125="",[1]Entry!E125,
TRUE,INDEX(CT$43:CT$46,MATCH([1]Entry!F125,CS$43:CS$46,0)))</f>
        <v>#NAME?</v>
      </c>
      <c r="CV17" s="56" t="e">
        <f ca="1">ROUND((CU17/SUM(CU$13:CU$18))*CR$9,0)</f>
        <v>#NAME?</v>
      </c>
      <c r="CW17" s="472" t="e">
        <f ca="1">INDEX(CV$33:CV$36,MATCH(CR17,CT$33:CT$36,0))&amp;" ("&amp;CT17&amp;")"</f>
        <v>#NAME?</v>
      </c>
      <c r="CX17" s="393"/>
      <c r="CY17" s="393"/>
      <c r="CZ17" s="393"/>
      <c r="DA17" s="393"/>
      <c r="DB17" s="393"/>
      <c r="DC17" s="369"/>
      <c r="DT17" s="171" t="s">
        <v>74</v>
      </c>
      <c r="DU17" s="167" t="b">
        <f>TRUE</f>
        <v>1</v>
      </c>
      <c r="DV17" s="56">
        <f>IF(OR(EJ31=TRUE,EF37=TRUE,EF38=TRUE,EF39=TRUE),5,2)</f>
        <v>2</v>
      </c>
      <c r="DW17" s="63">
        <v>0.02</v>
      </c>
      <c r="EB17" s="58" t="s">
        <v>124</v>
      </c>
      <c r="EC17" s="56"/>
      <c r="ED17" s="167" t="e">
        <f ca="1">ED$16</f>
        <v>#N/A</v>
      </c>
    </row>
    <row r="18" spans="1:140" ht="15.75" customHeight="1" thickTop="1" thickBot="1">
      <c r="A18" s="371" t="s">
        <v>629</v>
      </c>
      <c r="B18" s="393"/>
      <c r="C18" s="369"/>
      <c r="D18" s="425" t="e">
        <f ca="1">ROUND(D17*F13/SUM(F13,F12*1.5),0)</f>
        <v>#NAME?</v>
      </c>
      <c r="E18" s="393"/>
      <c r="F18" s="369"/>
      <c r="T18" s="67" t="s">
        <v>51</v>
      </c>
      <c r="U18" s="171" t="str">
        <v>None</v>
      </c>
      <c r="V18" s="181">
        <v>0</v>
      </c>
      <c r="W18" s="182" t="e">
        <f ca="1">V18/SUM(V$11:V$37)*
_xludf.ifs(
U18="Major",1,
ISODD(ROW(V18)),1+(0.2*V$8/11),
ISEVEN(ROW(V18)),1-(0.2*V$8/11))</f>
        <v>#NAME?</v>
      </c>
      <c r="X18" s="174"/>
      <c r="Y18" s="167" t="s">
        <v>410</v>
      </c>
      <c r="Z18" s="183">
        <v>0</v>
      </c>
      <c r="AA18" s="57">
        <v>0</v>
      </c>
      <c r="AB18" s="57" t="e">
        <f ca="1">_xludf.ifs(
Z18=0,0,
Z18&lt;0.01,1,
TRUE,AD17+1
)</f>
        <v>#NAME?</v>
      </c>
      <c r="AC18" s="184" t="s">
        <v>744</v>
      </c>
      <c r="AD18" s="107" t="e">
        <f ca="1">_xludf.ifs(
AB18=0,0,
Z$9=0,AB18+AA18-1,
AB18=1,Z$9,
TRUE,AB18+AA18-1)</f>
        <v>#NAME?</v>
      </c>
      <c r="AE18" s="178" t="e">
        <f ca="1">_xludf.ifs(
Z18=0,0,
COUNTIF(Z$11:Z$37,"=1"),0,
Z18&lt;0.01,Z18/SUMIF(Z$11:Z$37,"&lt;=.01"),
TRUE,0
)</f>
        <v>#NAME?</v>
      </c>
      <c r="AF18" s="179" t="e">
        <f ca="1">ROUND(AE18*100,0)</f>
        <v>#NAME?</v>
      </c>
      <c r="AG18" s="179" t="e">
        <f ca="1">_xludf.ifs(
AE18=0,0,
AND(AE18&gt;0,AE17=0),1,
TRUE,AI17+1)</f>
        <v>#NAME?</v>
      </c>
      <c r="AH18" s="184" t="s">
        <v>744</v>
      </c>
      <c r="AI18" s="107" t="e">
        <f ca="1">_xludf.ifs(
AG18=0,0,
AF19=0,100,
TRUE,AG18+AF18-1)</f>
        <v>#NAME?</v>
      </c>
      <c r="AK18" s="391" t="s">
        <v>91</v>
      </c>
      <c r="AL18" s="369"/>
      <c r="AM18" s="198" t="b">
        <v>0</v>
      </c>
      <c r="AO18" s="372" t="s">
        <v>92</v>
      </c>
      <c r="AP18" s="369"/>
      <c r="AQ18" s="204" t="b">
        <v>0</v>
      </c>
      <c r="AS18" s="372" t="s">
        <v>93</v>
      </c>
      <c r="AT18" s="369"/>
      <c r="AU18" s="19" t="b">
        <v>0</v>
      </c>
      <c r="BA18" s="52"/>
      <c r="BB18" s="52"/>
      <c r="BC18" s="52"/>
      <c r="BD18" s="52"/>
      <c r="BE18" s="52"/>
      <c r="CJ18" s="95" t="s">
        <v>480</v>
      </c>
      <c r="CK18" s="298">
        <v>0.01</v>
      </c>
      <c r="CL18" s="162">
        <v>0.75</v>
      </c>
      <c r="CP18" s="72" t="s">
        <v>953</v>
      </c>
      <c r="CQ18" s="73" t="b">
        <f ca="1">IF(CR$8&gt;=ROW(CP18)-ROW(CP$12),TRUE,FALSE)</f>
        <v>1</v>
      </c>
      <c r="CR18" s="426" t="e">
        <f t="array" aca="1" ref="CR18" ca="1">_xludf.ifs(
AND([1]Entry!E120:F120=""),"Roll or Choose",
[1]Entry!F120="",INDEX(CT$33:CT$36,MATCH([1]Entry!E120,CS$33:CS$36,1)),
TRUE, [1]Entry!F120)</f>
        <v>#NAME?</v>
      </c>
      <c r="CS18" s="361"/>
      <c r="CT18" s="58" t="e">
        <f t="array" aca="1" ref="CT18" ca="1">_xludf.ifs(
AND([1]Entry!E114:F114=""),"Roll or Choose",
[1]Entry!F114="",INDEX(CQ$32:CQ$40,MATCH([1]Entry!E114,CP$32:CP$40,1)),
TRUE, [1]Entry!F114)</f>
        <v>#NAME?</v>
      </c>
      <c r="CU18" s="58" t="e">
        <f t="array" aca="1" ref="CU18" ca="1">_xludf.ifs(
AND([1]Entry!E126:F126=""),"Roll or Choose",
CQ18=FALSE,0,
[1]Entry!F126="",[1]Entry!E126,
TRUE,INDEX(CT$43:CT$46,MATCH([1]Entry!F126,CS$43:CS$46,0)))</f>
        <v>#NAME?</v>
      </c>
      <c r="CV18" s="58" t="e">
        <f ca="1">ROUND((CU18/SUM(CU$13:CU$18))*CR$9,0)</f>
        <v>#NAME?</v>
      </c>
      <c r="CW18" s="481" t="e">
        <f ca="1">INDEX(CV$33:CV$36,MATCH(CR18,CT$33:CT$36,0))&amp;" ("&amp;CT18&amp;")"</f>
        <v>#NAME?</v>
      </c>
      <c r="CX18" s="360"/>
      <c r="CY18" s="360"/>
      <c r="CZ18" s="360"/>
      <c r="DA18" s="360"/>
      <c r="DB18" s="360"/>
      <c r="DC18" s="361"/>
      <c r="DE18" s="397" t="s">
        <v>997</v>
      </c>
      <c r="DF18" s="354"/>
      <c r="DG18" s="354"/>
      <c r="DH18" s="355"/>
      <c r="DT18" s="171" t="s">
        <v>1018</v>
      </c>
      <c r="DU18" s="171" t="b">
        <v>1</v>
      </c>
      <c r="DV18" s="82">
        <v>3</v>
      </c>
      <c r="DW18" s="63">
        <v>0</v>
      </c>
      <c r="EC18" s="58"/>
      <c r="ED18" s="73" t="e">
        <f ca="1">ED$16</f>
        <v>#N/A</v>
      </c>
    </row>
    <row r="19" spans="1:140" ht="15.75" customHeight="1" thickTop="1" thickBot="1">
      <c r="A19" s="371" t="s">
        <v>630</v>
      </c>
      <c r="B19" s="393"/>
      <c r="C19" s="369"/>
      <c r="D19" s="425" t="e">
        <f ca="1">ROUND((D17-D18)*(2/3),0)</f>
        <v>#NAME?</v>
      </c>
      <c r="E19" s="393"/>
      <c r="F19" s="369"/>
      <c r="T19" s="67" t="s">
        <v>54</v>
      </c>
      <c r="U19" s="171" t="str">
        <v>None</v>
      </c>
      <c r="V19" s="181">
        <v>0</v>
      </c>
      <c r="W19" s="182" t="e">
        <f ca="1">V19/SUM(V$11:V$37)*
_xludf.ifs(
U19="Major",1,
ISODD(ROW(V19)),1+(0.2*V$8/11),
ISEVEN(ROW(V19)),1-(0.2*V$8/11))</f>
        <v>#NAME?</v>
      </c>
      <c r="X19" s="174"/>
      <c r="Y19" s="167" t="s">
        <v>30</v>
      </c>
      <c r="Z19" s="183">
        <v>0</v>
      </c>
      <c r="AA19" s="57">
        <v>0</v>
      </c>
      <c r="AB19" s="57" t="e">
        <f ca="1">_xludf.ifs(
Z19=0,0,
Z19&lt;0.01,1,
TRUE,AD18+1
)</f>
        <v>#NAME?</v>
      </c>
      <c r="AC19" s="184" t="s">
        <v>744</v>
      </c>
      <c r="AD19" s="107" t="e">
        <f ca="1">_xludf.ifs(
AB19=0,0,
Z$9=0,AB19+AA19-1,
AB19=1,Z$9,
TRUE,AB19+AA19-1)</f>
        <v>#NAME?</v>
      </c>
      <c r="AE19" s="178" t="e">
        <f ca="1">_xludf.ifs(
Z19=0,0,
COUNTIF(Z$11:Z$37,"=1"),0,
Z19&lt;0.01,Z19/SUMIF(Z$11:Z$37,"&lt;=.01"),
TRUE,0
)</f>
        <v>#NAME?</v>
      </c>
      <c r="AF19" s="179" t="e">
        <f ca="1">ROUND(AE19*100,0)</f>
        <v>#NAME?</v>
      </c>
      <c r="AG19" s="179" t="e">
        <f ca="1">_xludf.ifs(
AE19=0,0,
AND(AE19&gt;0,AE18=0),1,
TRUE,AI18+1)</f>
        <v>#NAME?</v>
      </c>
      <c r="AH19" s="184" t="s">
        <v>744</v>
      </c>
      <c r="AI19" s="107" t="e">
        <f ca="1">_xludf.ifs(
AG19=0,0,
AF21=0,100,
TRUE,AG19+AF19-1)</f>
        <v>#NAME?</v>
      </c>
      <c r="AK19" s="391" t="s">
        <v>94</v>
      </c>
      <c r="AL19" s="369"/>
      <c r="AM19" s="198" t="b">
        <v>0</v>
      </c>
      <c r="AO19" s="372" t="s">
        <v>95</v>
      </c>
      <c r="AP19" s="393"/>
      <c r="AQ19" s="198" t="b">
        <v>0</v>
      </c>
      <c r="AR19" s="8"/>
      <c r="AS19" s="469" t="s">
        <v>96</v>
      </c>
      <c r="AT19" s="393"/>
      <c r="AU19" s="19" t="b">
        <v>0</v>
      </c>
      <c r="BA19" s="52"/>
      <c r="BB19" s="52"/>
      <c r="BC19" s="52"/>
      <c r="BD19" s="52"/>
      <c r="BE19" s="52"/>
      <c r="BS19" s="400" t="s">
        <v>887</v>
      </c>
      <c r="BT19" s="354"/>
      <c r="BU19" s="354"/>
      <c r="BV19" s="354"/>
      <c r="BW19" s="354"/>
      <c r="BX19" s="354"/>
      <c r="BY19" s="354"/>
      <c r="BZ19" s="354"/>
      <c r="CA19" s="354"/>
      <c r="CB19" s="355"/>
      <c r="CD19" s="390" t="s">
        <v>888</v>
      </c>
      <c r="CE19" s="354"/>
      <c r="CF19" s="355"/>
      <c r="CJ19" s="95" t="s">
        <v>31</v>
      </c>
      <c r="CK19" s="298">
        <v>0.02</v>
      </c>
      <c r="CL19" s="162">
        <v>1</v>
      </c>
      <c r="DE19" s="72" t="s">
        <v>998</v>
      </c>
      <c r="DF19" s="72" t="s">
        <v>999</v>
      </c>
      <c r="DG19" s="72" t="s">
        <v>1000</v>
      </c>
      <c r="DH19" s="72" t="s">
        <v>1001</v>
      </c>
      <c r="DT19" s="171" t="s">
        <v>1019</v>
      </c>
      <c r="DU19" s="171" t="b">
        <v>1</v>
      </c>
      <c r="DV19" s="82">
        <v>3</v>
      </c>
      <c r="DW19" s="63">
        <v>0</v>
      </c>
      <c r="EC19" s="56" t="s">
        <v>690</v>
      </c>
      <c r="ED19" s="167" t="e">
        <f ca="1">IF(OR(Ag!I35&lt;Ag!C13*1.1,Ag!F13&lt;0.25),FALSE,TRUE)</f>
        <v>#N/A</v>
      </c>
    </row>
    <row r="20" spans="1:140" ht="15.75" customHeight="1" thickTop="1" thickBot="1">
      <c r="A20" s="371" t="s">
        <v>631</v>
      </c>
      <c r="B20" s="393"/>
      <c r="C20" s="369"/>
      <c r="D20" s="425" t="e">
        <f ca="1">D19-D21</f>
        <v>#NAME?</v>
      </c>
      <c r="E20" s="393"/>
      <c r="F20" s="369"/>
      <c r="T20" s="67" t="s">
        <v>403</v>
      </c>
      <c r="U20" s="171" t="str">
        <f t="array" ref="U20:U28">[1]Entry!D48:D56</f>
        <v>None</v>
      </c>
      <c r="V20" s="181">
        <v>0</v>
      </c>
      <c r="W20" s="182" t="e">
        <f ca="1">V20/SUM(V$11:V$37)*
_xludf.ifs(
U20="Major",1,
ISODD(ROW(V20)),1+(0.2*V$8/11),
ISEVEN(ROW(V20)),1-(0.2*V$8/11))</f>
        <v>#NAME?</v>
      </c>
      <c r="X20" s="174"/>
      <c r="Y20" s="167" t="s">
        <v>34</v>
      </c>
      <c r="Z20" s="183">
        <v>0</v>
      </c>
      <c r="AA20" s="57">
        <v>0</v>
      </c>
      <c r="AB20" s="57" t="e">
        <f ca="1">_xludf.ifs(
Z20=0,0,
Z20&lt;0.01,1,
TRUE,AD19+1
)</f>
        <v>#NAME?</v>
      </c>
      <c r="AC20" s="184" t="s">
        <v>744</v>
      </c>
      <c r="AD20" s="107" t="e">
        <f ca="1">_xludf.ifs(
AB20=0,0,
Z$9=0,AB20+AA20-1,
AB20=1,Z$9,
TRUE,AB20+AA20-1)</f>
        <v>#NAME?</v>
      </c>
      <c r="AE20" s="178" t="e">
        <f ca="1">_xludf.ifs(
Z20=0,0,
COUNTIF(Z$11:Z$37,"=1"),0,
Z20&lt;0.01,Z20/SUMIF(Z$11:Z$37,"&lt;=.01"),
TRUE,0
)</f>
        <v>#NAME?</v>
      </c>
      <c r="AF20" s="179" t="e">
        <f ca="1">ROUND(AE20*100,0)</f>
        <v>#NAME?</v>
      </c>
      <c r="AG20" s="179" t="e">
        <f ca="1">_xludf.ifs(
AE20=0,0,
AND(AE20&gt;0,AE19=0),1,
TRUE,AI19+1)</f>
        <v>#NAME?</v>
      </c>
      <c r="AH20" s="184" t="s">
        <v>744</v>
      </c>
      <c r="AI20" s="107" t="e">
        <f ca="1">_xludf.ifs(
AG20=0,0,
AF22=0,100,
TRUE,AG20+AF20-1)</f>
        <v>#NAME?</v>
      </c>
      <c r="AK20" s="391" t="s">
        <v>97</v>
      </c>
      <c r="AL20" s="369"/>
      <c r="AM20" s="198" t="b">
        <v>0</v>
      </c>
      <c r="AO20" s="372" t="s">
        <v>98</v>
      </c>
      <c r="AP20" s="393"/>
      <c r="AQ20" s="198" t="b">
        <v>0</v>
      </c>
      <c r="AS20" s="372" t="s">
        <v>99</v>
      </c>
      <c r="AT20" s="393"/>
      <c r="AU20" s="198" t="b">
        <v>0</v>
      </c>
      <c r="BA20" s="52"/>
      <c r="BB20" s="52"/>
      <c r="BC20" s="52"/>
      <c r="BD20" s="52"/>
      <c r="BE20" s="52"/>
      <c r="BS20" s="26" t="s">
        <v>132</v>
      </c>
      <c r="BT20" s="26" t="s">
        <v>134</v>
      </c>
      <c r="BU20" s="26" t="s">
        <v>136</v>
      </c>
      <c r="BV20" s="26" t="s">
        <v>138</v>
      </c>
      <c r="BW20" s="26" t="s">
        <v>140</v>
      </c>
      <c r="BX20" s="26" t="s">
        <v>142</v>
      </c>
      <c r="BY20" s="26" t="s">
        <v>144</v>
      </c>
      <c r="BZ20" s="26" t="s">
        <v>412</v>
      </c>
      <c r="CA20" s="26" t="s">
        <v>415</v>
      </c>
      <c r="CB20" s="26" t="s">
        <v>417</v>
      </c>
      <c r="CD20" s="427">
        <f t="array" aca="1" ref="CD20" ca="1">SUM(BT21:CB21*(COLUMN(BT21:CB21)-1))</f>
        <v>0</v>
      </c>
      <c r="CE20" s="354"/>
      <c r="CF20" s="355"/>
      <c r="CJ20" s="95" t="s">
        <v>481</v>
      </c>
      <c r="CK20" s="298">
        <v>0.1</v>
      </c>
      <c r="CL20" s="162">
        <v>1.5</v>
      </c>
      <c r="CQ20" s="26" t="s">
        <v>478</v>
      </c>
      <c r="CR20" s="26">
        <v>1</v>
      </c>
      <c r="CS20" s="26">
        <v>2</v>
      </c>
      <c r="CT20" s="26">
        <v>3</v>
      </c>
      <c r="CU20" s="26">
        <v>4</v>
      </c>
      <c r="CV20" s="26">
        <v>5</v>
      </c>
      <c r="CW20" s="26">
        <v>6</v>
      </c>
      <c r="CX20" s="68" t="s">
        <v>954</v>
      </c>
      <c r="DE20" s="69" t="s">
        <v>132</v>
      </c>
      <c r="DF20" s="71" t="e">
        <f>DF21*0.5</f>
        <v>#N/A</v>
      </c>
      <c r="DG20" s="71" t="e">
        <f>DF20*60</f>
        <v>#N/A</v>
      </c>
      <c r="DH20" s="328" t="e">
        <f>DG20*0.2</f>
        <v>#N/A</v>
      </c>
      <c r="DN20" s="31"/>
      <c r="DT20" s="334" t="s">
        <v>687</v>
      </c>
      <c r="DU20" s="167" t="e">
        <f t="array" aca="1" ref="DU20" ca="1">IF(ED$16=FALSE,FALSE,OR(EC$16:EC$18=DT20))</f>
        <v>#N/A</v>
      </c>
      <c r="DV20" s="82">
        <v>2</v>
      </c>
      <c r="DW20" s="63">
        <v>0.02</v>
      </c>
      <c r="EC20" s="56" t="s">
        <v>125</v>
      </c>
      <c r="ED20" s="167" t="e">
        <f ca="1">ED19</f>
        <v>#N/A</v>
      </c>
    </row>
    <row r="21" spans="1:140" ht="15.75" customHeight="1" thickTop="1" thickBot="1">
      <c r="A21" s="405" t="s">
        <v>632</v>
      </c>
      <c r="B21" s="360"/>
      <c r="C21" s="361"/>
      <c r="D21" s="439" t="e">
        <f ca="1">ROUND(F37*D19,0)</f>
        <v>#NAME?</v>
      </c>
      <c r="E21" s="360"/>
      <c r="F21" s="361"/>
      <c r="K21" s="438" t="s">
        <v>633</v>
      </c>
      <c r="L21" s="358"/>
      <c r="T21" s="67" t="s">
        <v>28</v>
      </c>
      <c r="U21" s="171" t="str">
        <v>Uncommon</v>
      </c>
      <c r="V21" s="181">
        <v>3</v>
      </c>
      <c r="W21" s="182" t="e">
        <f ca="1">V21/SUM(V$11:V$37)*
_xludf.ifs(
U21="Major",1,
ISODD(ROW(V21)),1+(0.2*V$8/11),
ISEVEN(ROW(V21)),1-(0.2*V$8/11))</f>
        <v>#NAME?</v>
      </c>
      <c r="X21" s="174"/>
      <c r="Y21" s="167" t="s">
        <v>53</v>
      </c>
      <c r="Z21" s="183">
        <v>0</v>
      </c>
      <c r="AA21" s="57">
        <v>0</v>
      </c>
      <c r="AB21" s="57" t="e">
        <f ca="1">_xludf.ifs(
Z21=0,0,
Z21&lt;0.01,1,
TRUE,AD19+1
)</f>
        <v>#NAME?</v>
      </c>
      <c r="AC21" s="184" t="s">
        <v>744</v>
      </c>
      <c r="AD21" s="107" t="e">
        <f ca="1">_xludf.ifs(
AB21=0,0,
Z$9=0,AB21+AA21-1,
AB21=1,Z$9,
TRUE,AB21+AA21-1)</f>
        <v>#NAME?</v>
      </c>
      <c r="AE21" s="178" t="e">
        <f ca="1">_xludf.ifs(
Z21=0,0,
COUNTIF(Z$11:Z$37,"=1"),0,
Z21&lt;0.01,Z21/SUMIF(Z$11:Z$37,"&lt;=.01"),
TRUE,0
)</f>
        <v>#NAME?</v>
      </c>
      <c r="AF21" s="179" t="e">
        <f ca="1">ROUND(AE21*100,0)</f>
        <v>#NAME?</v>
      </c>
      <c r="AG21" s="179" t="e">
        <f ca="1">_xludf.ifs(
AE21=0,0,
AND(AE21&gt;0,AE19=0),1,
TRUE,AI19+1)</f>
        <v>#NAME?</v>
      </c>
      <c r="AH21" s="184" t="s">
        <v>744</v>
      </c>
      <c r="AI21" s="107" t="e">
        <f ca="1">_xludf.ifs(
AG21=0,0,
AF22=0,100,
TRUE,AG21+AF21-1)</f>
        <v>#NAME?</v>
      </c>
      <c r="AK21" s="391" t="s">
        <v>100</v>
      </c>
      <c r="AL21" s="369"/>
      <c r="AM21" s="198" t="b">
        <v>0</v>
      </c>
      <c r="AO21" s="372" t="s">
        <v>101</v>
      </c>
      <c r="AP21" s="393"/>
      <c r="AQ21" s="200" t="b">
        <v>0</v>
      </c>
      <c r="AS21" s="469" t="s">
        <v>102</v>
      </c>
      <c r="AT21" s="369"/>
      <c r="AU21" s="19" t="b">
        <v>0</v>
      </c>
      <c r="BA21" s="52"/>
      <c r="BB21" s="52"/>
      <c r="BC21" s="52"/>
      <c r="BD21" s="52"/>
      <c r="BE21" s="52"/>
      <c r="BS21" s="60">
        <f ca="1">ROUND($BS23*(1-BX7+0.15),0)</f>
        <v>0</v>
      </c>
      <c r="BT21" s="60">
        <f ca="1">ROUND(($BS23-SUM($BS21:BS21))*(1-BY7),0)</f>
        <v>0</v>
      </c>
      <c r="BU21" s="60">
        <f ca="1">ROUND(($BS23-SUM($BS21:BT21))*(1-BZ7),0)</f>
        <v>0</v>
      </c>
      <c r="BV21" s="60">
        <f ca="1">ROUND(($BS23-SUM($BS21:BU21))*(1-CA7),0)</f>
        <v>0</v>
      </c>
      <c r="BW21" s="60">
        <f ca="1">ROUND(($BS23-SUM($BS21:BV21))*(1-CB7),0)</f>
        <v>0</v>
      </c>
      <c r="BX21" s="60">
        <f ca="1">ROUND(($BS23-SUM($BS21:BW21))*(1-CC7),0)</f>
        <v>0</v>
      </c>
      <c r="BY21" s="60">
        <f ca="1">ROUND(($BS23-SUM($BS21:BX21))*(1-CD7),0)</f>
        <v>0</v>
      </c>
      <c r="BZ21" s="60">
        <f ca="1">ROUND(($BS23-SUM($BS21:BY21))*(1-CE7),0)</f>
        <v>0</v>
      </c>
      <c r="CA21" s="60">
        <f ca="1">ROUND(($BS23-SUM($BS21:BZ21))*(1-CF7),0)</f>
        <v>0</v>
      </c>
      <c r="CB21" s="60">
        <f ca="1">ROUND(($BS23-SUM($BS21:CA21))*(1-CG7),0)</f>
        <v>0</v>
      </c>
      <c r="CJ21" s="72" t="s">
        <v>889</v>
      </c>
      <c r="CK21" s="304">
        <v>0.2</v>
      </c>
      <c r="CL21" s="165">
        <v>2</v>
      </c>
      <c r="CP21" s="157" t="str">
        <f t="array" ref="CP21:CP29">[1]Basic!B26:B34</f>
        <v>Thorp</v>
      </c>
      <c r="CQ21" s="61">
        <v>1</v>
      </c>
      <c r="CR21" s="61">
        <v>1</v>
      </c>
      <c r="CS21" s="62"/>
      <c r="CT21" s="62"/>
      <c r="CU21" s="62"/>
      <c r="CV21" s="62"/>
      <c r="CW21" s="62"/>
      <c r="CX21" s="320">
        <v>0.05</v>
      </c>
      <c r="DE21" s="95" t="s">
        <v>134</v>
      </c>
      <c r="DF21" s="167" t="e">
        <f>DK11</f>
        <v>#N/A</v>
      </c>
      <c r="DG21" s="167" t="e">
        <f>DF21*60</f>
        <v>#N/A</v>
      </c>
      <c r="DH21" s="329" t="e">
        <f>DG21*0.2</f>
        <v>#N/A</v>
      </c>
      <c r="DT21" s="171" t="s">
        <v>1020</v>
      </c>
      <c r="DU21" s="171" t="b">
        <v>1</v>
      </c>
      <c r="DV21" s="82">
        <v>1</v>
      </c>
      <c r="DW21" s="63">
        <v>0.1</v>
      </c>
      <c r="EC21" s="58" t="s">
        <v>126</v>
      </c>
      <c r="ED21" s="73" t="e">
        <f ca="1">ED19</f>
        <v>#N/A</v>
      </c>
    </row>
    <row r="22" spans="1:140" ht="15.75" customHeight="1" thickTop="1" thickBot="1">
      <c r="A22" s="440" t="s">
        <v>634</v>
      </c>
      <c r="B22" s="361"/>
      <c r="C22" s="119" t="s">
        <v>635</v>
      </c>
      <c r="D22" s="119" t="s">
        <v>636</v>
      </c>
      <c r="E22" s="120" t="s">
        <v>637</v>
      </c>
      <c r="F22" s="119" t="s">
        <v>638</v>
      </c>
      <c r="G22" s="121" t="s">
        <v>639</v>
      </c>
      <c r="H22" s="121" t="s">
        <v>640</v>
      </c>
      <c r="I22" s="121" t="s">
        <v>641</v>
      </c>
      <c r="K22" s="390" t="s">
        <v>642</v>
      </c>
      <c r="L22" s="355"/>
      <c r="T22" s="67" t="s">
        <v>33</v>
      </c>
      <c r="U22" s="171" t="str">
        <v>None</v>
      </c>
      <c r="V22" s="181">
        <v>0</v>
      </c>
      <c r="W22" s="182" t="e">
        <f ca="1">V22/SUM(V$11:V$37)*
_xludf.ifs(
U22="Major",1,
ISODD(ROW(V22)),1+(0.2*V$8/11),
ISEVEN(ROW(V22)),1-(0.2*V$8/11))</f>
        <v>#NAME?</v>
      </c>
      <c r="X22" s="174"/>
      <c r="Y22" s="167" t="s">
        <v>57</v>
      </c>
      <c r="Z22" s="183">
        <v>0</v>
      </c>
      <c r="AA22" s="57">
        <v>0</v>
      </c>
      <c r="AB22" s="57" t="e">
        <f ca="1">_xludf.ifs(
Z22=0,0,
Z22&lt;0.01,1,
TRUE,AD21+1
)</f>
        <v>#NAME?</v>
      </c>
      <c r="AC22" s="184" t="s">
        <v>744</v>
      </c>
      <c r="AD22" s="107" t="e">
        <f ca="1">_xludf.ifs(
AB22=0,0,
Z$9=0,AB22+AA22-1,
AB22=1,Z$9,
TRUE,AB22+AA22-1)</f>
        <v>#NAME?</v>
      </c>
      <c r="AE22" s="178" t="e">
        <f ca="1">_xludf.ifs(
Z22=0,0,
COUNTIF(Z$11:Z$37,"=1"),0,
Z22&lt;0.01,Z22/SUMIF(Z$11:Z$37,"&lt;=.01"),
TRUE,0
)</f>
        <v>#NAME?</v>
      </c>
      <c r="AF22" s="179" t="e">
        <f ca="1">ROUND(AE22*100,0)</f>
        <v>#NAME?</v>
      </c>
      <c r="AG22" s="179" t="e">
        <f ca="1">_xludf.ifs(
AE22=0,0,
AND(AE22&gt;0,AE21=0),1,
TRUE,AI21+1)</f>
        <v>#NAME?</v>
      </c>
      <c r="AH22" s="184" t="s">
        <v>744</v>
      </c>
      <c r="AI22" s="107" t="e">
        <f ca="1">_xludf.ifs(
AG22=0,0,
AF23=0,100,
TRUE,AG22+AF22-1)</f>
        <v>#NAME?</v>
      </c>
      <c r="AK22" s="391" t="s">
        <v>103</v>
      </c>
      <c r="AL22" s="369"/>
      <c r="AM22" s="198" t="b">
        <v>0</v>
      </c>
      <c r="AO22" s="372" t="s">
        <v>104</v>
      </c>
      <c r="AP22" s="393"/>
      <c r="AQ22" s="200" t="b">
        <v>0</v>
      </c>
      <c r="AS22" s="372" t="s">
        <v>105</v>
      </c>
      <c r="AT22" s="369"/>
      <c r="AU22" s="19" t="b">
        <v>0</v>
      </c>
      <c r="BA22" s="52"/>
      <c r="BB22" s="52"/>
      <c r="BC22" s="52"/>
      <c r="BD22" s="52"/>
      <c r="BE22" s="52"/>
      <c r="BS22" s="397" t="s">
        <v>890</v>
      </c>
      <c r="BT22" s="355"/>
      <c r="BU22" s="397" t="s">
        <v>113</v>
      </c>
      <c r="BV22" s="355"/>
      <c r="BW22" s="397" t="e">
        <f ca="1">"# of "&amp;BU23&amp;" Warriors"</f>
        <v>#VALUE!</v>
      </c>
      <c r="BX22" s="355"/>
      <c r="BY22" s="397" t="s">
        <v>882</v>
      </c>
      <c r="BZ22" s="355"/>
      <c r="CA22" s="397" t="e">
        <f ca="1">"# of "&amp;BY23&amp;" Warriors"</f>
        <v>#VALUE!</v>
      </c>
      <c r="CB22" s="355"/>
      <c r="CC22" s="397" t="s">
        <v>883</v>
      </c>
      <c r="CD22" s="355"/>
      <c r="CE22" s="397" t="e">
        <f ca="1">"# of "&amp;CC23&amp;" Warriors"</f>
        <v>#VALUE!</v>
      </c>
      <c r="CF22" s="355"/>
      <c r="CG22" s="397" t="s">
        <v>884</v>
      </c>
      <c r="CH22" s="355"/>
      <c r="CJ22" s="397" t="s">
        <v>891</v>
      </c>
      <c r="CK22" s="354"/>
      <c r="CL22" s="354"/>
      <c r="CM22" s="355"/>
      <c r="CP22" s="39" t="str">
        <v>Hamlet</v>
      </c>
      <c r="CQ22" s="63">
        <v>1</v>
      </c>
      <c r="CR22" s="63">
        <v>1</v>
      </c>
      <c r="CS22" s="64"/>
      <c r="CT22" s="64"/>
      <c r="CU22" s="64"/>
      <c r="CV22" s="64"/>
      <c r="CW22" s="64"/>
      <c r="CX22" s="153">
        <v>0.05</v>
      </c>
      <c r="DE22" s="95" t="s">
        <v>136</v>
      </c>
      <c r="DF22" s="167" t="e">
        <f>((DF23-DF21)*0.5)+DF21</f>
        <v>#N/A</v>
      </c>
      <c r="DG22" s="167" t="e">
        <f>DF22*60</f>
        <v>#N/A</v>
      </c>
      <c r="DH22" s="329" t="e">
        <f>DG22*0.2</f>
        <v>#N/A</v>
      </c>
      <c r="DJ22" s="330"/>
      <c r="DT22" s="171" t="s">
        <v>1021</v>
      </c>
      <c r="DU22" s="171" t="b">
        <v>1</v>
      </c>
      <c r="DV22" s="82">
        <v>2</v>
      </c>
      <c r="DW22" s="63">
        <v>0.02</v>
      </c>
      <c r="EA22" s="31"/>
    </row>
    <row r="23" spans="1:140" ht="15.75" customHeight="1" thickTop="1" thickBot="1">
      <c r="A23" s="387" t="s">
        <v>643</v>
      </c>
      <c r="B23" s="358"/>
      <c r="C23" s="18" t="str">
        <f ca="1">IFERROR(__xludf.DUMMYFUNCTION("sortn(transpose({C74:M74;filter(C75:M103,C4=A75:A103)}),3,0,2,0)"),"#VALUE!")</f>
        <v>#VALUE!</v>
      </c>
      <c r="D23" s="4"/>
      <c r="E23" s="18">
        <f ca="1">IFERROR(ROUND(D$19*(D23/SUM(D$23:D$25)),0),0)</f>
        <v>0</v>
      </c>
      <c r="F23" s="122" t="e">
        <f t="array" aca="1" ref="F23" ca="1">ROUND(E23*INDEX(E$44:E$55,MATCH(C23,A$44:A$55,0))*D23*C14,0)</f>
        <v>#N/A</v>
      </c>
      <c r="G23" s="123">
        <f ca="1">IFERROR(ROUND(D$20*(D23/SUM(D$23:D$25)),0),0)</f>
        <v>0</v>
      </c>
      <c r="H23" s="124" t="e">
        <f t="array" aca="1" ref="H23" ca="1">ROUND(INDEX(B$44:B$55,MATCH(C23,A$44:A$55,0))*G23*C14*D23,1)</f>
        <v>#N/A</v>
      </c>
      <c r="I23" s="123" t="e">
        <f ca="1">INDEX(D$44:D$55,MATCH(C23,A$44:A$55,0))*H23</f>
        <v>#N/A</v>
      </c>
      <c r="K23" s="69" t="s">
        <v>644</v>
      </c>
      <c r="L23" s="70" t="e">
        <f ca="1">H32*2204.6</f>
        <v>#NAME?</v>
      </c>
      <c r="T23" s="67" t="s">
        <v>37</v>
      </c>
      <c r="U23" s="171" t="str">
        <v>Very Rare</v>
      </c>
      <c r="V23" s="181">
        <v>1</v>
      </c>
      <c r="W23" s="182" t="e">
        <f ca="1">V23/SUM(V$11:V$37)*
_xludf.ifs(
U23="Major",1,
ISODD(ROW(V23)),1+(0.2*V$8/11),
ISEVEN(ROW(V23)),1-(0.2*V$8/11))</f>
        <v>#NAME?</v>
      </c>
      <c r="X23" s="174"/>
      <c r="Y23" s="167" t="s">
        <v>421</v>
      </c>
      <c r="Z23" s="183">
        <v>2.5000000000000001E-2</v>
      </c>
      <c r="AA23" s="57">
        <v>3</v>
      </c>
      <c r="AB23" s="57" t="e">
        <f ca="1">_xludf.ifs(
Z23=0,0,
Z23&lt;0.01,1,
TRUE,AD22+1
)</f>
        <v>#NAME?</v>
      </c>
      <c r="AC23" s="184" t="s">
        <v>744</v>
      </c>
      <c r="AD23" s="107" t="e">
        <f ca="1">_xludf.ifs(
AB23=0,0,
Z$9=0,AB23+AA23-1,
AB23=1,Z$9,
TRUE,AB23+AA23-1)</f>
        <v>#NAME?</v>
      </c>
      <c r="AE23" s="178" t="e">
        <f ca="1">_xludf.ifs(
Z23=0,0,
COUNTIF(Z$11:Z$37,"=1"),0,
Z23&lt;0.01,Z23/SUMIF(Z$11:Z$37,"&lt;=.01"),
TRUE,0
)</f>
        <v>#NAME?</v>
      </c>
      <c r="AF23" s="179" t="e">
        <f ca="1">ROUND(AE23*100,0)</f>
        <v>#NAME?</v>
      </c>
      <c r="AG23" s="179" t="e">
        <f ca="1">_xludf.ifs(
AE23=0,0,
AND(AE23&gt;0,AE22=0),1,
TRUE,AI22+1)</f>
        <v>#NAME?</v>
      </c>
      <c r="AH23" s="184" t="s">
        <v>744</v>
      </c>
      <c r="AI23" s="107" t="e">
        <f ca="1">_xludf.ifs(
AG23=0,0,
AF24=0,100,
TRUE,AG23+AF23-1)</f>
        <v>#NAME?</v>
      </c>
      <c r="AK23" s="454" t="s">
        <v>106</v>
      </c>
      <c r="AL23" s="361"/>
      <c r="AM23" s="206" t="b">
        <v>0</v>
      </c>
      <c r="AN23" s="52"/>
      <c r="AO23" s="387" t="s">
        <v>107</v>
      </c>
      <c r="AP23" s="358"/>
      <c r="AQ23" s="199" t="b">
        <v>0</v>
      </c>
      <c r="AS23" s="372" t="s">
        <v>108</v>
      </c>
      <c r="AT23" s="369"/>
      <c r="AU23" s="198" t="b">
        <v>0</v>
      </c>
      <c r="AX23" s="2"/>
      <c r="BA23" s="52"/>
      <c r="BB23" s="52"/>
      <c r="BC23" s="52"/>
      <c r="BD23" s="52"/>
      <c r="BE23" s="52"/>
      <c r="BS23" s="427">
        <f ca="1">IFERROR(__xludf.DUMMYFUNCTION("round(sum(filter(arrayformula(((if(Professions!Z32:Z252="""",Professions!AA32:AA252,Professions!Z32:Z252)-Professions!Y32:Y252)/100)*Professions!O32:O252),Professions!U32:U252=TRUE)))"),0)</f>
        <v>0</v>
      </c>
      <c r="BT23" s="355"/>
      <c r="BU23" s="489" t="e">
        <f t="array" aca="1" ref="BU23" ca="1">INDEX($BS20:CB20,,$CG23)</f>
        <v>#VALUE!</v>
      </c>
      <c r="BV23" s="355"/>
      <c r="BW23" s="427" t="e">
        <f t="array" aca="1" ref="BW23" ca="1">INDEX($BS21:CB21,,$CG23)</f>
        <v>#VALUE!</v>
      </c>
      <c r="BX23" s="355"/>
      <c r="BY23" s="489" t="e">
        <f t="array" aca="1" ref="BY23" ca="1">INDEX(BS20:CB20,,$CG23-1)</f>
        <v>#VALUE!</v>
      </c>
      <c r="BZ23" s="355"/>
      <c r="CA23" s="427" t="e">
        <f t="array" aca="1" ref="CA23" ca="1">INDEX($BS21:CF21,,$CG23-1)</f>
        <v>#VALUE!</v>
      </c>
      <c r="CB23" s="355"/>
      <c r="CC23" s="489" t="e">
        <f t="array" aca="1" ref="CC23" ca="1">INDEX($BS20:CI20,,$CG23-2)</f>
        <v>#VALUE!</v>
      </c>
      <c r="CD23" s="355"/>
      <c r="CE23" s="427" t="e">
        <f t="array" aca="1" ref="CE23" ca="1">INDEX($BS21:CI21,,$CG23-2)</f>
        <v>#VALUE!</v>
      </c>
      <c r="CF23" s="355"/>
      <c r="CG23" s="427" t="str">
        <f ca="1">IFERROR(__xludf.DUMMYFUNCTION("max(filter(ARRAYFORMULA(COLUMN(A21:J21)),A21:J21&gt;0))"),"#N/A")</f>
        <v>#N/A</v>
      </c>
      <c r="CH23" s="355"/>
      <c r="CJ23" s="69" t="s">
        <v>132</v>
      </c>
      <c r="CK23" s="431" t="s">
        <v>26</v>
      </c>
      <c r="CL23" s="357"/>
      <c r="CM23" s="358"/>
      <c r="CP23" s="39" t="str">
        <v>Village</v>
      </c>
      <c r="CQ23" s="63">
        <v>1</v>
      </c>
      <c r="CR23" s="63">
        <v>1</v>
      </c>
      <c r="CS23" s="64"/>
      <c r="CT23" s="64"/>
      <c r="CU23" s="64"/>
      <c r="CV23" s="64"/>
      <c r="CW23" s="64"/>
      <c r="CX23" s="153">
        <v>0.1</v>
      </c>
      <c r="DE23" s="95" t="s">
        <v>138</v>
      </c>
      <c r="DF23" s="167" t="e">
        <f>DK12</f>
        <v>#N/A</v>
      </c>
      <c r="DG23" s="167" t="e">
        <f>DF23*60</f>
        <v>#N/A</v>
      </c>
      <c r="DH23" s="329" t="e">
        <f>DG23*0.2</f>
        <v>#N/A</v>
      </c>
      <c r="DT23" s="171" t="s">
        <v>77</v>
      </c>
      <c r="DU23" s="171" t="b">
        <v>1</v>
      </c>
      <c r="DV23" s="56">
        <f>IF(EJ32=TRUE,5,2)</f>
        <v>2</v>
      </c>
      <c r="DW23" s="63">
        <v>0.02</v>
      </c>
      <c r="EA23" s="31"/>
    </row>
    <row r="24" spans="1:140" ht="15.75" customHeight="1" thickTop="1" thickBot="1">
      <c r="A24" s="389"/>
      <c r="B24" s="369"/>
      <c r="C24" s="19"/>
      <c r="D24" s="5"/>
      <c r="E24" s="19">
        <f ca="1">IFERROR(ROUND(D$19*(D24/SUM(D$23:D$25)),0),0)</f>
        <v>0</v>
      </c>
      <c r="F24" s="125" t="e">
        <f t="array" aca="1" ref="F24" ca="1">ROUND(E24*INDEX(E$44:E$55,MATCH(C24,A$44:A$55,0))*D24*C14,0)</f>
        <v>#N/A</v>
      </c>
      <c r="G24" s="126">
        <f ca="1">IFERROR(ROUND(D$20*(D24/SUM(D$23:D$25)),0),0)</f>
        <v>0</v>
      </c>
      <c r="H24" s="127" t="e">
        <f t="array" aca="1" ref="H24" ca="1">ROUND(INDEX(B$44:B$55,MATCH(C24,A$44:A$55,0))*G24*C14*D24,1)</f>
        <v>#N/A</v>
      </c>
      <c r="I24" s="126" t="e">
        <f ca="1">INDEX(D$44:D$55,MATCH(C24,A$44:A$55,0))*H24</f>
        <v>#N/A</v>
      </c>
      <c r="K24" s="95" t="s">
        <v>645</v>
      </c>
      <c r="L24" s="82">
        <v>0.02</v>
      </c>
      <c r="T24" s="67" t="s">
        <v>42</v>
      </c>
      <c r="U24" s="171" t="str">
        <v>Common</v>
      </c>
      <c r="V24" s="181">
        <v>4</v>
      </c>
      <c r="W24" s="182" t="e">
        <f ca="1">V24/SUM(V$11:V$37)*
_xludf.ifs(
U24="Major",1,
ISODD(ROW(V24)),1+(0.2*V$8/11),
ISEVEN(ROW(V24)),1-(0.2*V$8/11))</f>
        <v>#NAME?</v>
      </c>
      <c r="Y24" s="167" t="s">
        <v>48</v>
      </c>
      <c r="Z24" s="183">
        <v>2.5000000000000001E-2</v>
      </c>
      <c r="AA24" s="57">
        <v>3</v>
      </c>
      <c r="AB24" s="57" t="e">
        <f ca="1">_xludf.ifs(
Z24=0,0,
Z24&lt;0.01,1,
TRUE,AD23+1
)</f>
        <v>#NAME?</v>
      </c>
      <c r="AC24" s="184" t="s">
        <v>744</v>
      </c>
      <c r="AD24" s="107" t="e">
        <f ca="1">_xludf.ifs(
AB24=0,0,
Z$9=0,AB24+AA24-1,
AB24=1,Z$9,
TRUE,AB24+AA24-1)</f>
        <v>#NAME?</v>
      </c>
      <c r="AE24" s="178" t="e">
        <f ca="1">_xludf.ifs(
Z24=0,0,
COUNTIF(Z$11:Z$37,"=1"),0,
Z24&lt;0.01,Z24/SUMIF(Z$11:Z$37,"&lt;=.01"),
TRUE,0
)</f>
        <v>#NAME?</v>
      </c>
      <c r="AF24" s="179" t="e">
        <f ca="1">ROUND(AE24*100,0)</f>
        <v>#NAME?</v>
      </c>
      <c r="AG24" s="179" t="e">
        <f ca="1">_xludf.ifs(
AE24=0,0,
AND(AE24&gt;0,AE23=0),1,
TRUE,AI23+1)</f>
        <v>#NAME?</v>
      </c>
      <c r="AH24" s="184" t="s">
        <v>744</v>
      </c>
      <c r="AI24" s="107" t="e">
        <f ca="1">_xludf.ifs(
AG24=0,0,
AF25=0,100,
TRUE,AG24+AF24-1)</f>
        <v>#NAME?</v>
      </c>
      <c r="AK24" s="197"/>
      <c r="AL24" s="2"/>
      <c r="AM24" s="52"/>
      <c r="AN24" s="52"/>
      <c r="AO24" s="372" t="s">
        <v>109</v>
      </c>
      <c r="AP24" s="369"/>
      <c r="AQ24" s="200" t="b">
        <v>0</v>
      </c>
      <c r="AR24" s="2"/>
      <c r="AS24" s="469" t="s">
        <v>110</v>
      </c>
      <c r="AT24" s="369"/>
      <c r="AU24" s="19" t="b">
        <v>0</v>
      </c>
      <c r="AV24" s="2"/>
      <c r="AW24" s="2"/>
      <c r="AX24" s="2"/>
      <c r="BA24" s="52"/>
      <c r="BB24" s="52"/>
      <c r="BC24" s="52"/>
      <c r="BD24" s="52"/>
      <c r="BE24" s="52"/>
      <c r="CJ24" s="95" t="s">
        <v>134</v>
      </c>
      <c r="CK24" s="428" t="s">
        <v>26</v>
      </c>
      <c r="CL24" s="393"/>
      <c r="CM24" s="369"/>
      <c r="CP24" s="39" t="str">
        <v>Small Town</v>
      </c>
      <c r="CQ24" s="63">
        <v>2</v>
      </c>
      <c r="CR24" s="63">
        <v>1</v>
      </c>
      <c r="CS24" s="63">
        <v>7</v>
      </c>
      <c r="CT24" s="64"/>
      <c r="CU24" s="64"/>
      <c r="CV24" s="64"/>
      <c r="CW24" s="64"/>
      <c r="CX24" s="153">
        <v>0.15</v>
      </c>
      <c r="DE24" s="95" t="s">
        <v>140</v>
      </c>
      <c r="DF24" s="167" t="e">
        <f>((DF25-DF23)*0.5)+DF23</f>
        <v>#N/A</v>
      </c>
      <c r="DG24" s="167" t="e">
        <f>DF24*60</f>
        <v>#N/A</v>
      </c>
      <c r="DH24" s="329" t="e">
        <f>DG24*0.2</f>
        <v>#N/A</v>
      </c>
      <c r="DT24" s="171" t="s">
        <v>1022</v>
      </c>
      <c r="DU24" s="171" t="b">
        <v>1</v>
      </c>
      <c r="DV24" s="82">
        <v>2</v>
      </c>
      <c r="DW24" s="63">
        <v>0.05</v>
      </c>
    </row>
    <row r="25" spans="1:140" ht="15.75" customHeight="1" thickTop="1" thickBot="1">
      <c r="A25" s="359"/>
      <c r="B25" s="361"/>
      <c r="C25" s="20"/>
      <c r="D25" s="6"/>
      <c r="E25" s="20">
        <f ca="1">IFERROR(ROUND(D$19*(D25/SUM(D$23:D$25)),0),0)</f>
        <v>0</v>
      </c>
      <c r="F25" s="128" t="e">
        <f t="array" aca="1" ref="F25" ca="1">ROUND(E25*INDEX(E$44:E$55,MATCH(C25,A$44:A$55,0))*D25*C14,0)</f>
        <v>#N/A</v>
      </c>
      <c r="G25" s="129">
        <f ca="1">IFERROR(ROUND(D$20*(D25/SUM(D$23:D$25)),0),0)</f>
        <v>0</v>
      </c>
      <c r="H25" s="130" t="e">
        <f t="array" aca="1" ref="H25" ca="1">ROUND(INDEX(B$44:B$55,MATCH(C25,A$44:A$55,0))*G25*C14*D25,1)</f>
        <v>#N/A</v>
      </c>
      <c r="I25" s="129" t="e">
        <f ca="1">INDEX(D$44:D$55,MATCH(C25,A$44:A$55,0))*H25</f>
        <v>#N/A</v>
      </c>
      <c r="K25" s="95" t="s">
        <v>646</v>
      </c>
      <c r="L25" s="56" t="e">
        <f ca="1">L23*L24</f>
        <v>#NAME?</v>
      </c>
      <c r="T25" s="67" t="s">
        <v>46</v>
      </c>
      <c r="U25" s="171" t="str">
        <v>Uncommon</v>
      </c>
      <c r="V25" s="181">
        <v>3</v>
      </c>
      <c r="W25" s="182" t="e">
        <f ca="1">V25/SUM(V$11:V$37)*
_xludf.ifs(
U25="Major",1,
ISODD(ROW(V25)),1+(0.2*V$8/11),
ISEVEN(ROW(V25)),1-(0.2*V$8/11))</f>
        <v>#NAME?</v>
      </c>
      <c r="Y25" s="167" t="s">
        <v>37</v>
      </c>
      <c r="Z25" s="183">
        <v>2.5000000000000001E-2</v>
      </c>
      <c r="AA25" s="57">
        <v>3</v>
      </c>
      <c r="AB25" s="57" t="e">
        <f ca="1">_xludf.ifs(
Z25=0,0,
Z25&lt;0.01,1,
TRUE,AD24+1
)</f>
        <v>#NAME?</v>
      </c>
      <c r="AC25" s="184" t="s">
        <v>744</v>
      </c>
      <c r="AD25" s="107" t="e">
        <f ca="1">_xludf.ifs(
AB25=0,0,
Z$9=0,AB25+AA25-1,
AB25=1,Z$9,
TRUE,AB25+AA25-1)</f>
        <v>#NAME?</v>
      </c>
      <c r="AE25" s="178" t="e">
        <f ca="1">_xludf.ifs(
Z25=0,0,
COUNTIF(Z$11:Z$37,"=1"),0,
Z25&lt;0.01,Z25/SUMIF(Z$11:Z$37,"&lt;=.01"),
TRUE,0
)</f>
        <v>#NAME?</v>
      </c>
      <c r="AF25" s="179" t="e">
        <f ca="1">ROUND(AE25*100,0)</f>
        <v>#NAME?</v>
      </c>
      <c r="AG25" s="179" t="e">
        <f ca="1">_xludf.ifs(
AE25=0,0,
AND(AE25&gt;0,AE24=0),1,
TRUE,AI24+1)</f>
        <v>#NAME?</v>
      </c>
      <c r="AH25" s="184" t="s">
        <v>744</v>
      </c>
      <c r="AI25" s="107" t="e">
        <f ca="1">_xludf.ifs(
AG25=0,0,
AF26=0,100,
TRUE,AG25+AF25-1)</f>
        <v>#NAME?</v>
      </c>
      <c r="AK25" s="197"/>
      <c r="AL25" s="2"/>
      <c r="AM25" s="52"/>
      <c r="AN25" s="52"/>
      <c r="AO25" s="386" t="s">
        <v>111</v>
      </c>
      <c r="AP25" s="361"/>
      <c r="AQ25" s="201" t="b">
        <v>0</v>
      </c>
      <c r="AR25" s="2"/>
      <c r="AS25" s="471" t="s">
        <v>112</v>
      </c>
      <c r="AT25" s="361"/>
      <c r="AU25" s="20" t="b">
        <v>0</v>
      </c>
      <c r="AV25" s="2"/>
      <c r="AW25" s="2"/>
      <c r="AX25" s="2"/>
      <c r="BA25" s="52"/>
      <c r="BB25" s="52"/>
      <c r="BC25" s="52"/>
      <c r="BD25" s="52"/>
      <c r="BE25" s="52"/>
      <c r="CC25" s="52"/>
      <c r="CD25" s="52"/>
      <c r="CE25" s="52"/>
      <c r="CJ25" s="95" t="s">
        <v>136</v>
      </c>
      <c r="CK25" s="428" t="s">
        <v>26</v>
      </c>
      <c r="CL25" s="393"/>
      <c r="CM25" s="369"/>
      <c r="CP25" s="39" t="str">
        <v>Large Town</v>
      </c>
      <c r="CQ25" s="63">
        <v>2</v>
      </c>
      <c r="CR25" s="63">
        <v>1</v>
      </c>
      <c r="CS25" s="63">
        <v>7</v>
      </c>
      <c r="CT25" s="64"/>
      <c r="CU25" s="64"/>
      <c r="CV25" s="64"/>
      <c r="CW25" s="64"/>
      <c r="CX25" s="153">
        <v>0.2</v>
      </c>
      <c r="DE25" s="95" t="s">
        <v>142</v>
      </c>
      <c r="DF25" s="167" t="e">
        <f>DK13</f>
        <v>#N/A</v>
      </c>
      <c r="DG25" s="167" t="e">
        <f>DF25*60</f>
        <v>#N/A</v>
      </c>
      <c r="DH25" s="329" t="e">
        <f>DG25*0.2</f>
        <v>#N/A</v>
      </c>
      <c r="DT25" s="167" t="s">
        <v>713</v>
      </c>
      <c r="DU25" s="167" t="b">
        <f t="array" ref="DU25">OR(EB$16:EB$17=DT25)</f>
        <v>0</v>
      </c>
      <c r="DV25" s="82">
        <f>IF(EJ32=TRUE,5,3)</f>
        <v>3</v>
      </c>
      <c r="DW25" s="63">
        <v>0.1</v>
      </c>
      <c r="DZ25" s="470" t="str">
        <f t="array" ref="DZ25:EJ44">Ag!AK6:AU25</f>
        <v>Legal/Physical Restrictions</v>
      </c>
      <c r="EA25" s="354">
        <v>0</v>
      </c>
      <c r="EB25" s="355">
        <v>0</v>
      </c>
      <c r="EC25">
        <v>0</v>
      </c>
      <c r="ED25" s="470" t="str">
        <v>Notable Economic Sectors</v>
      </c>
      <c r="EE25" s="354">
        <v>0</v>
      </c>
      <c r="EF25" s="355">
        <v>0</v>
      </c>
      <c r="EG25" s="13">
        <v>0</v>
      </c>
      <c r="EH25" s="470" t="str">
        <v>Notable Exports</v>
      </c>
      <c r="EI25" s="354">
        <v>0</v>
      </c>
      <c r="EJ25" s="355">
        <v>0</v>
      </c>
    </row>
    <row r="26" spans="1:140" ht="15.75" customHeight="1" thickTop="1" thickBot="1">
      <c r="A26" s="383" t="s">
        <v>647</v>
      </c>
      <c r="B26" s="357"/>
      <c r="C26" s="357"/>
      <c r="D26" s="357"/>
      <c r="E26" s="357"/>
      <c r="F26" s="357"/>
      <c r="G26" s="358"/>
      <c r="H26" s="131" t="e">
        <f ca="1">ROUND(SUM(H23:H25),1)</f>
        <v>#N/A</v>
      </c>
      <c r="I26" s="132" t="e">
        <f ca="1">SUM(I23:I25)</f>
        <v>#N/A</v>
      </c>
      <c r="K26" s="72" t="s">
        <v>648</v>
      </c>
      <c r="L26" s="58" t="e">
        <f ca="1">L25/12</f>
        <v>#NAME?</v>
      </c>
      <c r="T26" s="67" t="s">
        <v>49</v>
      </c>
      <c r="U26" s="171" t="str">
        <v>Uncommon</v>
      </c>
      <c r="V26" s="181">
        <v>3</v>
      </c>
      <c r="W26" s="182" t="e">
        <f ca="1">V26/SUM(V$11:V$37)*
_xludf.ifs(
U26="Major",1,
ISODD(ROW(V26)),1+(0.2*V$8/11),
ISEVEN(ROW(V26)),1-(0.2*V$8/11))</f>
        <v>#NAME?</v>
      </c>
      <c r="Y26" s="167" t="s">
        <v>38</v>
      </c>
      <c r="Z26" s="183">
        <v>2.5000000000000001E-2</v>
      </c>
      <c r="AA26" s="57">
        <v>3</v>
      </c>
      <c r="AB26" s="57" t="e">
        <f ca="1">_xludf.ifs(
Z26=0,0,
Z26&lt;0.01,1,
TRUE,AD25+1
)</f>
        <v>#NAME?</v>
      </c>
      <c r="AC26" s="184" t="s">
        <v>744</v>
      </c>
      <c r="AD26" s="107" t="e">
        <f ca="1">_xludf.ifs(
AB26=0,0,
Z$9=0,AB26+AA26-1,
AB26=1,Z$9,
TRUE,AB26+AA26-1)</f>
        <v>#NAME?</v>
      </c>
      <c r="AE26" s="178" t="e">
        <f ca="1">_xludf.ifs(
Z26=0,0,
COUNTIF(Z$11:Z$37,"=1"),0,
Z26&lt;0.01,Z26/SUMIF(Z$11:Z$37,"&lt;=.01"),
TRUE,0
)</f>
        <v>#NAME?</v>
      </c>
      <c r="AF26" s="179" t="e">
        <f ca="1">ROUND(AE26*100,0)</f>
        <v>#NAME?</v>
      </c>
      <c r="AG26" s="179" t="e">
        <f ca="1">_xludf.ifs(
AE26=0,0,
AND(AE26&gt;0,AE25=0),1,
TRUE,AI25+1)</f>
        <v>#NAME?</v>
      </c>
      <c r="AH26" s="184" t="s">
        <v>744</v>
      </c>
      <c r="AI26" s="107" t="e">
        <f ca="1">_xludf.ifs(
AG26=0,0,
AF27=0,100,
TRUE,AG26+AF26-1)</f>
        <v>#NAME?</v>
      </c>
      <c r="AK26" s="197"/>
      <c r="AL26" s="2"/>
      <c r="AM26" s="52"/>
      <c r="AN26" s="52"/>
      <c r="AO26" s="52"/>
      <c r="AP26" s="2"/>
      <c r="AQ26" s="2"/>
      <c r="AR26" s="2"/>
      <c r="AS26" s="2"/>
      <c r="AT26" s="52"/>
      <c r="AU26" s="2"/>
      <c r="AV26" s="2"/>
      <c r="AW26" s="2"/>
      <c r="AX26" s="2"/>
      <c r="BA26" s="52"/>
      <c r="BB26" s="52"/>
      <c r="BC26" s="52"/>
      <c r="BD26" s="52"/>
      <c r="BE26" s="52"/>
      <c r="BS26" s="400" t="s">
        <v>892</v>
      </c>
      <c r="BT26" s="354"/>
      <c r="BU26" s="354"/>
      <c r="BV26" s="354"/>
      <c r="BW26" s="354"/>
      <c r="BX26" s="354"/>
      <c r="BY26" s="354"/>
      <c r="BZ26" s="354"/>
      <c r="CA26" s="354"/>
      <c r="CB26" s="355"/>
      <c r="CC26" s="52"/>
      <c r="CD26" s="390" t="s">
        <v>893</v>
      </c>
      <c r="CE26" s="354"/>
      <c r="CF26" s="354"/>
      <c r="CG26" s="355"/>
      <c r="CJ26" s="95" t="s">
        <v>138</v>
      </c>
      <c r="CK26" s="428" t="s">
        <v>26</v>
      </c>
      <c r="CL26" s="393"/>
      <c r="CM26" s="369"/>
      <c r="CP26" s="39" t="str">
        <v>Small City</v>
      </c>
      <c r="CQ26" s="63">
        <v>3</v>
      </c>
      <c r="CR26" s="63"/>
      <c r="CS26" s="63">
        <v>1</v>
      </c>
      <c r="CT26" s="63">
        <v>7</v>
      </c>
      <c r="CU26" s="64"/>
      <c r="CV26" s="64"/>
      <c r="CW26" s="64"/>
      <c r="CX26" s="153">
        <v>0.25</v>
      </c>
      <c r="DE26" s="95" t="s">
        <v>144</v>
      </c>
      <c r="DF26" s="167" t="e">
        <f>((DF27-DF25)*0.5)+DF25</f>
        <v>#N/A</v>
      </c>
      <c r="DG26" s="167" t="e">
        <f>DF26*60</f>
        <v>#N/A</v>
      </c>
      <c r="DH26" s="329" t="e">
        <f>DG26*0.2</f>
        <v>#N/A</v>
      </c>
      <c r="DT26" s="167" t="s">
        <v>712</v>
      </c>
      <c r="DU26" s="167" t="b">
        <f t="array" ref="DU26">OR(EB$16:EB$17=DT26)</f>
        <v>0</v>
      </c>
      <c r="DV26" s="82">
        <f>IF(EJ33=TRUE,5,3)</f>
        <v>3</v>
      </c>
      <c r="DW26" s="63">
        <v>0.1</v>
      </c>
      <c r="DZ26" s="391" t="str">
        <v>Prohibition of Alcohol</v>
      </c>
      <c r="EA26" s="369">
        <v>0</v>
      </c>
      <c r="EB26" s="198" t="b">
        <v>0</v>
      </c>
      <c r="EC26">
        <v>0</v>
      </c>
      <c r="ED26" s="387" t="str">
        <v>Food</v>
      </c>
      <c r="EE26" s="358">
        <v>0</v>
      </c>
      <c r="EF26" s="17" t="b">
        <v>0</v>
      </c>
      <c r="EG26" s="10">
        <v>0</v>
      </c>
      <c r="EH26" s="387" t="str">
        <v>Ale/Beer</v>
      </c>
      <c r="EI26" s="358">
        <v>0</v>
      </c>
      <c r="EJ26" s="199" t="b">
        <v>0</v>
      </c>
    </row>
    <row r="27" spans="1:140" ht="15.75" customHeight="1" thickTop="1" thickBot="1">
      <c r="A27" s="387" t="s">
        <v>649</v>
      </c>
      <c r="B27" s="358"/>
      <c r="C27" s="133" t="s">
        <v>690</v>
      </c>
      <c r="D27" s="18" t="e">
        <f ca="1">INDEX(C$70:I$70,,MATCH(C27,C$58:I$58,0))</f>
        <v>#NAME?</v>
      </c>
      <c r="E27" s="134">
        <f ca="1">IFERROR(ROUND((D27/SUM(D$27:D$29))*D$18,0),0)</f>
        <v>0</v>
      </c>
      <c r="F27" s="123" t="e">
        <f t="array" aca="1" ref="F27" ca="1">ROUND(E27*D27*INDEX(C$69:I$69,,MATCH(C27,C$58:I$58,0))*C14,0)</f>
        <v>#NAME?</v>
      </c>
      <c r="G27" s="1"/>
      <c r="H27" s="70" t="e">
        <f ca="1">ROUND(D27*E27*INDEX(C$66:I$66,,MATCH(C27,C$58:I$58,0)),1)</f>
        <v>#NAME?</v>
      </c>
      <c r="I27" s="135" t="e">
        <f t="array" aca="1" ref="I27:I29" ca="1">F27:F29</f>
        <v>#NAME?</v>
      </c>
      <c r="K27" s="390" t="s">
        <v>650</v>
      </c>
      <c r="L27" s="355"/>
      <c r="T27" s="67" t="s">
        <v>52</v>
      </c>
      <c r="U27" s="171" t="str">
        <v>None</v>
      </c>
      <c r="V27" s="181">
        <v>0</v>
      </c>
      <c r="W27" s="182" t="e">
        <f ca="1">V27/SUM(V$11:V$37)*
_xludf.ifs(
U27="Major",1,
ISODD(ROW(V27)),1+(0.2*V$8/11),
ISEVEN(ROW(V27)),1-(0.2*V$8/11))</f>
        <v>#NAME?</v>
      </c>
      <c r="Y27" s="167" t="s">
        <v>44</v>
      </c>
      <c r="Z27" s="183">
        <v>2.5000000000000001E-2</v>
      </c>
      <c r="AA27" s="57">
        <v>3</v>
      </c>
      <c r="AB27" s="57" t="e">
        <f ca="1">_xludf.ifs(
Z27=0,0,
Z27&lt;0.01,1,
TRUE,AD26+1
)</f>
        <v>#NAME?</v>
      </c>
      <c r="AC27" s="184" t="s">
        <v>744</v>
      </c>
      <c r="AD27" s="107" t="e">
        <f ca="1">_xludf.ifs(
AB27=0,0,
Z$9=0,AB27+AA27-1,
AB27=1,Z$9,
TRUE,AB27+AA27-1)</f>
        <v>#NAME?</v>
      </c>
      <c r="AE27" s="178" t="e">
        <f ca="1">_xludf.ifs(
Z27=0,0,
COUNTIF(Z$11:Z$37,"=1"),0,
Z27&lt;0.01,Z27/SUMIF(Z$11:Z$37,"&lt;=.01"),
TRUE,0
)</f>
        <v>#NAME?</v>
      </c>
      <c r="AF27" s="179" t="e">
        <f ca="1">ROUND(AE27*100,0)</f>
        <v>#NAME?</v>
      </c>
      <c r="AG27" s="179" t="e">
        <f ca="1">_xludf.ifs(
AE27=0,0,
AND(AE27&gt;0,AE26=0),1,
TRUE,AI26+1)</f>
        <v>#NAME?</v>
      </c>
      <c r="AH27" s="184" t="s">
        <v>744</v>
      </c>
      <c r="AI27" s="107" t="e">
        <f ca="1">_xludf.ifs(
AG27=0,0,
AF28=0,100,
TRUE,AG27+AF27-1)</f>
        <v>#NAME?</v>
      </c>
      <c r="AK27" s="455" t="s">
        <v>754</v>
      </c>
      <c r="AL27" s="357"/>
      <c r="AM27" s="456">
        <f>SUM(AN32:AN252)</f>
        <v>10000</v>
      </c>
      <c r="AN27" s="52"/>
      <c r="AO27" s="455" t="s">
        <v>755</v>
      </c>
      <c r="AP27" s="357"/>
      <c r="AQ27" s="468" t="e">
        <f ca="1">SUM(AP32:AP252)</f>
        <v>#NAME?</v>
      </c>
      <c r="AS27" s="455" t="s">
        <v>756</v>
      </c>
      <c r="AT27" s="357"/>
      <c r="AU27" s="468">
        <f>COUNTIF(AT32:AT252,TRUE)</f>
        <v>16</v>
      </c>
      <c r="AV27" s="52"/>
      <c r="AW27" s="2"/>
      <c r="AX27" s="2"/>
      <c r="AY27" s="2"/>
      <c r="AZ27" s="52"/>
      <c r="BA27" s="52"/>
      <c r="BB27" s="52"/>
      <c r="BC27" s="52"/>
      <c r="BD27" s="52"/>
      <c r="BE27" s="52"/>
      <c r="BS27" s="26" t="s">
        <v>132</v>
      </c>
      <c r="BT27" s="26" t="s">
        <v>134</v>
      </c>
      <c r="BU27" s="26" t="s">
        <v>136</v>
      </c>
      <c r="BV27" s="26" t="s">
        <v>138</v>
      </c>
      <c r="BW27" s="26" t="s">
        <v>140</v>
      </c>
      <c r="BX27" s="26" t="s">
        <v>142</v>
      </c>
      <c r="BY27" s="26" t="s">
        <v>144</v>
      </c>
      <c r="BZ27" s="26" t="s">
        <v>412</v>
      </c>
      <c r="CA27" s="26" t="s">
        <v>415</v>
      </c>
      <c r="CB27" s="26" t="s">
        <v>417</v>
      </c>
      <c r="CC27" s="52"/>
      <c r="CD27" s="427">
        <f t="array" aca="1" ref="CD27" ca="1">ROUND(SUM(BT28:CB28*(COLUMN(BT28:CB28)-1))*0.5,0)</f>
        <v>249</v>
      </c>
      <c r="CE27" s="354"/>
      <c r="CF27" s="354"/>
      <c r="CG27" s="355"/>
      <c r="CJ27" s="95" t="s">
        <v>140</v>
      </c>
      <c r="CK27" s="428" t="s">
        <v>894</v>
      </c>
      <c r="CL27" s="393"/>
      <c r="CM27" s="369"/>
      <c r="CP27" s="39" t="str">
        <v>Large City</v>
      </c>
      <c r="CQ27" s="63">
        <v>4</v>
      </c>
      <c r="CR27" s="64"/>
      <c r="CS27" s="63">
        <v>1</v>
      </c>
      <c r="CT27" s="63">
        <v>5</v>
      </c>
      <c r="CU27" s="63">
        <v>9</v>
      </c>
      <c r="CV27" s="64"/>
      <c r="CW27" s="64"/>
      <c r="CX27" s="153">
        <v>0.3</v>
      </c>
      <c r="DE27" s="95" t="s">
        <v>412</v>
      </c>
      <c r="DF27" s="167" t="e">
        <f>DK14</f>
        <v>#N/A</v>
      </c>
      <c r="DG27" s="167" t="e">
        <f>DF27*60</f>
        <v>#N/A</v>
      </c>
      <c r="DH27" s="329" t="e">
        <f>DG27*0.2</f>
        <v>#N/A</v>
      </c>
      <c r="DT27" s="171" t="s">
        <v>1023</v>
      </c>
      <c r="DU27" s="171" t="b">
        <v>1</v>
      </c>
      <c r="DV27" s="82">
        <v>2</v>
      </c>
      <c r="DW27" s="63">
        <v>0.02</v>
      </c>
      <c r="DZ27" s="391" t="str">
        <v>Panhandling/Begging</v>
      </c>
      <c r="EA27" s="369">
        <v>0</v>
      </c>
      <c r="EB27" s="198" t="b">
        <v>0</v>
      </c>
      <c r="EC27">
        <v>0</v>
      </c>
      <c r="ED27" s="372" t="str">
        <v>Music</v>
      </c>
      <c r="EE27" s="369">
        <v>0</v>
      </c>
      <c r="EF27" s="200" t="b">
        <v>0</v>
      </c>
      <c r="EG27" s="10">
        <v>0</v>
      </c>
      <c r="EH27" s="372" t="str">
        <v>Wine/Mead</v>
      </c>
      <c r="EI27" s="369">
        <v>0</v>
      </c>
      <c r="EJ27" s="200" t="b">
        <v>0</v>
      </c>
    </row>
    <row r="28" spans="1:140" ht="15.75" customHeight="1" thickTop="1" thickBot="1">
      <c r="A28" s="389"/>
      <c r="B28" s="369"/>
      <c r="C28" s="136" t="s">
        <v>125</v>
      </c>
      <c r="D28" s="19" t="e">
        <f ca="1">INDEX(C$70:I$70,,MATCH(C28,C$58:I$58,0))</f>
        <v>#NAME?</v>
      </c>
      <c r="E28" s="137">
        <f ca="1">IFERROR(ROUND((D28/SUM(D$27:D$29))*D$18,0),0)</f>
        <v>0</v>
      </c>
      <c r="F28" s="138" t="e">
        <f t="array" aca="1" ref="F28" ca="1">ROUND(E28*D28*INDEX(C$69:I$69,,MATCH(C28,C$58:I$58,0))*C14,0)</f>
        <v>#NAME?</v>
      </c>
      <c r="G28" s="139"/>
      <c r="H28" s="56" t="e">
        <f ca="1">ROUND(D28*E28*INDEX(C$66:I$66,,MATCH(C28,C$58:I$58,0)),1)</f>
        <v>#NAME?</v>
      </c>
      <c r="I28" s="135" t="e">
        <f ca="1"/>
        <v>#NAME?</v>
      </c>
      <c r="K28" s="69" t="s">
        <v>651</v>
      </c>
      <c r="L28" s="70" t="e">
        <f ca="1">F160</f>
        <v>#NAME?</v>
      </c>
      <c r="T28" s="67" t="s">
        <v>55</v>
      </c>
      <c r="U28" s="171" t="str">
        <v>Major</v>
      </c>
      <c r="V28" s="181">
        <v>6</v>
      </c>
      <c r="W28" s="182" t="e">
        <f ca="1">V28/SUM(V$11:V$37)*
_xludf.ifs(
U28="Major",1,
ISODD(ROW(V28)),1+(0.2*V$8/11),
ISEVEN(ROW(V28)),1-(0.2*V$8/11))</f>
        <v>#NAME?</v>
      </c>
      <c r="Y28" s="167" t="s">
        <v>50</v>
      </c>
      <c r="Z28" s="183">
        <v>2.5000000000000001E-2</v>
      </c>
      <c r="AA28" s="57">
        <v>3</v>
      </c>
      <c r="AB28" s="57" t="e">
        <f ca="1">_xludf.ifs(
Z28=0,0,
Z28&lt;0.01,1,
TRUE,AD27+1
)</f>
        <v>#NAME?</v>
      </c>
      <c r="AC28" s="184" t="s">
        <v>744</v>
      </c>
      <c r="AD28" s="107" t="e">
        <f ca="1">_xludf.ifs(
AB28=0,0,
Z$9=0,AB28+AA28-1,
AB28=1,Z$9,
TRUE,AB28+AA28-1)</f>
        <v>#NAME?</v>
      </c>
      <c r="AE28" s="178" t="e">
        <f ca="1">_xludf.ifs(
Z28=0,0,
COUNTIF(Z$11:Z$37,"=1"),0,
Z28&lt;0.01,Z28/SUMIF(Z$11:Z$37,"&lt;=.01"),
TRUE,0
)</f>
        <v>#NAME?</v>
      </c>
      <c r="AF28" s="179" t="e">
        <f ca="1">ROUND(AE28*100,0)</f>
        <v>#NAME?</v>
      </c>
      <c r="AG28" s="179" t="e">
        <f ca="1">_xludf.ifs(
AE28=0,0,
AND(AE28&gt;0,AE27=0),1,
TRUE,AI27+1)</f>
        <v>#NAME?</v>
      </c>
      <c r="AH28" s="184" t="s">
        <v>744</v>
      </c>
      <c r="AI28" s="107" t="e">
        <f ca="1">_xludf.ifs(
AG28=0,0,
AF29=0,100,
TRUE,AG28+AF28-1)</f>
        <v>#NAME?</v>
      </c>
      <c r="AK28" s="359"/>
      <c r="AL28" s="360"/>
      <c r="AM28" s="392"/>
      <c r="AN28" s="52"/>
      <c r="AO28" s="359"/>
      <c r="AP28" s="360"/>
      <c r="AQ28" s="392"/>
      <c r="AS28" s="359"/>
      <c r="AT28" s="360"/>
      <c r="AU28" s="392"/>
      <c r="AV28" s="52"/>
      <c r="AW28" s="2"/>
      <c r="AX28" s="2"/>
      <c r="AY28" s="2"/>
      <c r="AZ28" s="52"/>
      <c r="BA28" s="52"/>
      <c r="BB28" s="52"/>
      <c r="BC28" s="52"/>
      <c r="BD28" s="52"/>
      <c r="BE28" s="52"/>
      <c r="BS28" s="77" t="e">
        <f ca="1">BS30</f>
        <v>#NAME?</v>
      </c>
      <c r="BT28" s="60">
        <f ca="1">BV30-SUM(BU28:CB28)</f>
        <v>6</v>
      </c>
      <c r="BU28" s="60">
        <f ca="1">ROUND(BZ8*($BV30-SUM(BV28:$CB28)),0)</f>
        <v>1</v>
      </c>
      <c r="BV28" s="60">
        <f ca="1">ROUND(CA8*($BV30-SUM(BW28:$CB28)),0)</f>
        <v>0</v>
      </c>
      <c r="BW28" s="60">
        <f ca="1">ROUND(CB8*($BV30-SUM(BX28:$CB28)),0)</f>
        <v>0</v>
      </c>
      <c r="BX28" s="60">
        <f ca="1">ROUND(CC8*($BV30-SUM(BY28:$CB28)),0)</f>
        <v>0</v>
      </c>
      <c r="BY28" s="60">
        <f ca="1">ROUND(CD8*($BV30-SUM(BZ28:$CB28)),0)</f>
        <v>0</v>
      </c>
      <c r="BZ28" s="60">
        <f ca="1">ROUND(CE8*($BV30-SUM(CA28:$CB28)),0)</f>
        <v>0</v>
      </c>
      <c r="CA28" s="60">
        <f ca="1">ROUND(CF8*(BV30-CB28),0)</f>
        <v>0</v>
      </c>
      <c r="CB28" s="60">
        <f ca="1">ROUND(CG8*BV30,0)</f>
        <v>0</v>
      </c>
      <c r="CC28" s="52"/>
      <c r="CD28" s="387" t="s">
        <v>895</v>
      </c>
      <c r="CE28" s="357"/>
      <c r="CF28" s="357"/>
      <c r="CG28" s="358"/>
      <c r="CJ28" s="95" t="s">
        <v>142</v>
      </c>
      <c r="CK28" s="428" t="s">
        <v>894</v>
      </c>
      <c r="CL28" s="393"/>
      <c r="CM28" s="369"/>
      <c r="CP28" s="39" t="str">
        <v>Metropolis</v>
      </c>
      <c r="CQ28" s="63">
        <v>5</v>
      </c>
      <c r="CR28" s="64"/>
      <c r="CS28" s="64"/>
      <c r="CT28" s="63">
        <v>1</v>
      </c>
      <c r="CU28" s="63">
        <v>4</v>
      </c>
      <c r="CV28" s="63">
        <v>10</v>
      </c>
      <c r="CW28" s="64"/>
      <c r="CX28" s="153">
        <v>0.33</v>
      </c>
      <c r="DE28" s="95" t="s">
        <v>415</v>
      </c>
      <c r="DF28" s="167" t="e">
        <f>((DF29-DF27)*0.5)+DF27</f>
        <v>#N/A</v>
      </c>
      <c r="DG28" s="167" t="e">
        <f>DF28*60</f>
        <v>#N/A</v>
      </c>
      <c r="DH28" s="329" t="e">
        <f>DG28*0.2</f>
        <v>#N/A</v>
      </c>
      <c r="DT28" s="171" t="s">
        <v>1024</v>
      </c>
      <c r="DU28" s="171" t="b">
        <v>1</v>
      </c>
      <c r="DV28" s="82">
        <v>5</v>
      </c>
      <c r="DW28" s="63">
        <v>0.05</v>
      </c>
      <c r="DZ28" s="391" t="str">
        <v>Crime Crackdown</v>
      </c>
      <c r="EA28" s="369">
        <v>0</v>
      </c>
      <c r="EB28" s="198" t="b">
        <v>0</v>
      </c>
      <c r="EC28">
        <v>0</v>
      </c>
      <c r="ED28" s="372" t="str">
        <v>Theater</v>
      </c>
      <c r="EE28" s="369">
        <v>0</v>
      </c>
      <c r="EF28" s="200" t="b">
        <v>0</v>
      </c>
      <c r="EG28" s="8">
        <v>0</v>
      </c>
      <c r="EH28" s="386" t="str">
        <v>Licquor</v>
      </c>
      <c r="EI28" s="361">
        <v>0</v>
      </c>
      <c r="EJ28" s="201" t="b">
        <v>0</v>
      </c>
    </row>
    <row r="29" spans="1:140" ht="15.75" customHeight="1" thickTop="1" thickBot="1">
      <c r="A29" s="359"/>
      <c r="B29" s="361"/>
      <c r="C29" s="140" t="s">
        <v>126</v>
      </c>
      <c r="D29" s="20" t="e">
        <f ca="1">INDEX(C$70:I$70,,MATCH(C29,C$58:I$58,0))</f>
        <v>#NAME?</v>
      </c>
      <c r="E29" s="141">
        <f ca="1">IFERROR(ROUND((D29/SUM(D$27:D$29))*D$18,0),0)</f>
        <v>0</v>
      </c>
      <c r="F29" s="142" t="e">
        <f t="array" aca="1" ref="F29" ca="1">ROUND(E29*D29*INDEX(C$69:I$69,,MATCH(C29,C$58:I$58,0))*C14,0)</f>
        <v>#NAME?</v>
      </c>
      <c r="G29" s="143"/>
      <c r="H29" s="58" t="e">
        <f ca="1">ROUND(D29*E29*INDEX(C$66:I$66,,MATCH(C29,C$58:I$58,0)),1)</f>
        <v>#NAME?</v>
      </c>
      <c r="I29" s="144" t="e">
        <f ca="1"/>
        <v>#NAME?</v>
      </c>
      <c r="K29" s="95" t="s">
        <v>652</v>
      </c>
      <c r="L29" s="56" t="e">
        <f ca="1">G160</f>
        <v>#NAME?</v>
      </c>
      <c r="T29" s="67" t="s">
        <v>410</v>
      </c>
      <c r="U29" s="171" t="str">
        <f t="array" ref="U29:U37">[1]Entry!F48:F56</f>
        <v>None</v>
      </c>
      <c r="V29" s="181">
        <v>0</v>
      </c>
      <c r="W29" s="182" t="e">
        <f ca="1">V29/SUM(V$11:V$37)*
_xludf.ifs(
U29="Major",1,
ISODD(ROW(V29)),1+(0.2*V$8/11),
ISEVEN(ROW(V29)),1-(0.2*V$8/11))</f>
        <v>#NAME?</v>
      </c>
      <c r="Y29" s="167" t="s">
        <v>35</v>
      </c>
      <c r="Z29" s="183">
        <v>0.05</v>
      </c>
      <c r="AA29" s="57">
        <v>5</v>
      </c>
      <c r="AB29" s="57" t="e">
        <f ca="1">_xludf.ifs(
Z29=0,0,
Z29&lt;0.01,1,
TRUE,AD28+1
)</f>
        <v>#NAME?</v>
      </c>
      <c r="AC29" s="184" t="s">
        <v>744</v>
      </c>
      <c r="AD29" s="107" t="e">
        <f ca="1">_xludf.ifs(
AB29=0,0,
Z$9=0,AB29+AA29-1,
AB29=1,Z$9,
TRUE,AB29+AA29-1)</f>
        <v>#NAME?</v>
      </c>
      <c r="AE29" s="178" t="e">
        <f ca="1">_xludf.ifs(
Z29=0,0,
COUNTIF(Z$11:Z$37,"=1"),0,
Z29&lt;0.01,Z29/SUMIF(Z$11:Z$37,"&lt;=.01"),
TRUE,0
)</f>
        <v>#NAME?</v>
      </c>
      <c r="AF29" s="179" t="e">
        <f ca="1">ROUND(AE29*100,0)</f>
        <v>#NAME?</v>
      </c>
      <c r="AG29" s="179" t="e">
        <f ca="1">_xludf.ifs(
AE29=0,0,
AND(AE29&gt;0,AE28=0),1,
TRUE,AI28+1)</f>
        <v>#NAME?</v>
      </c>
      <c r="AH29" s="184" t="s">
        <v>744</v>
      </c>
      <c r="AI29" s="107" t="e">
        <f ca="1">_xludf.ifs(
AG29=0,0,
AF30=0,100,
TRUE,AG29+AF29-1)</f>
        <v>#NAME?</v>
      </c>
      <c r="AK29" s="207"/>
      <c r="AL29" s="2"/>
      <c r="AN29" s="2"/>
      <c r="AO29" s="52"/>
      <c r="AP29" s="52"/>
      <c r="AQ29" s="52"/>
      <c r="AR29" s="2"/>
      <c r="AS29" s="2"/>
      <c r="AT29" s="2"/>
      <c r="AU29" s="2"/>
      <c r="AV29" s="52"/>
      <c r="AW29" s="2"/>
      <c r="AX29" s="2"/>
      <c r="AY29" s="2"/>
      <c r="AZ29" s="52"/>
      <c r="BA29" s="52"/>
      <c r="BB29" s="52"/>
      <c r="BC29" s="52"/>
      <c r="BD29" s="52"/>
      <c r="BE29" s="52"/>
      <c r="BS29" s="397" t="s">
        <v>896</v>
      </c>
      <c r="BT29" s="354"/>
      <c r="BU29" s="355"/>
      <c r="BV29" s="397" t="s">
        <v>897</v>
      </c>
      <c r="BW29" s="354"/>
      <c r="BX29" s="355"/>
      <c r="BY29" s="487" t="s">
        <v>898</v>
      </c>
      <c r="BZ29" s="357"/>
      <c r="CA29" s="357"/>
      <c r="CB29" s="358"/>
      <c r="CC29" s="52"/>
      <c r="CD29" s="359"/>
      <c r="CE29" s="360"/>
      <c r="CF29" s="360"/>
      <c r="CG29" s="361"/>
      <c r="CJ29" s="95" t="s">
        <v>144</v>
      </c>
      <c r="CK29" s="428" t="s">
        <v>894</v>
      </c>
      <c r="CL29" s="393"/>
      <c r="CM29" s="369"/>
      <c r="CP29" s="44" t="str">
        <v>Megapolis</v>
      </c>
      <c r="CQ29" s="66">
        <v>6</v>
      </c>
      <c r="CR29" s="65"/>
      <c r="CS29" s="65"/>
      <c r="CT29" s="66"/>
      <c r="CU29" s="66">
        <v>1</v>
      </c>
      <c r="CV29" s="66">
        <v>3</v>
      </c>
      <c r="CW29" s="66">
        <v>11</v>
      </c>
      <c r="CX29" s="321">
        <v>0.35</v>
      </c>
      <c r="DE29" s="72" t="s">
        <v>417</v>
      </c>
      <c r="DF29" s="73" t="e">
        <f>DK15</f>
        <v>#N/A</v>
      </c>
      <c r="DG29" s="73" t="e">
        <f>DF29*60</f>
        <v>#N/A</v>
      </c>
      <c r="DH29" s="331" t="e">
        <f>DG29*0.2</f>
        <v>#N/A</v>
      </c>
      <c r="DT29" s="167" t="s">
        <v>709</v>
      </c>
      <c r="DU29" s="167" t="b">
        <f t="array" ref="DU29">OR(EB$16:EB$17=DT29)</f>
        <v>0</v>
      </c>
      <c r="DV29" s="56">
        <f>IF(EJ33=TRUE,5,3)</f>
        <v>3</v>
      </c>
      <c r="DW29" s="63">
        <v>0.05</v>
      </c>
      <c r="DZ29" s="391" t="str">
        <v>No Schools</v>
      </c>
      <c r="EA29" s="369">
        <v>0</v>
      </c>
      <c r="EB29" s="198" t="b">
        <v>0</v>
      </c>
      <c r="EC29">
        <v>0</v>
      </c>
      <c r="ED29" s="372" t="str">
        <v>Painting</v>
      </c>
      <c r="EE29" s="369">
        <v>0</v>
      </c>
      <c r="EF29" s="200" t="b">
        <v>0</v>
      </c>
      <c r="EG29" s="8">
        <v>0</v>
      </c>
      <c r="EH29" s="387" t="str">
        <v>Potions</v>
      </c>
      <c r="EI29" s="358">
        <v>0</v>
      </c>
      <c r="EJ29" s="17" t="b">
        <v>0</v>
      </c>
    </row>
    <row r="30" spans="1:140" ht="15.75" customHeight="1" thickTop="1" thickBot="1">
      <c r="A30" s="405" t="s">
        <v>653</v>
      </c>
      <c r="B30" s="360"/>
      <c r="C30" s="360"/>
      <c r="D30" s="360"/>
      <c r="E30" s="360"/>
      <c r="F30" s="360"/>
      <c r="G30" s="360"/>
      <c r="H30" s="145" t="e">
        <f ca="1">SUM(H27:H29)</f>
        <v>#NAME?</v>
      </c>
      <c r="I30" s="60" t="e">
        <f ca="1">SUM(I27:I29)</f>
        <v>#NAME?</v>
      </c>
      <c r="K30" s="95" t="s">
        <v>122</v>
      </c>
      <c r="L30" s="56" t="e">
        <f ca="1">SUM(L28:L29)</f>
        <v>#NAME?</v>
      </c>
      <c r="T30" s="67" t="s">
        <v>30</v>
      </c>
      <c r="U30" s="171" t="str">
        <v>None</v>
      </c>
      <c r="V30" s="181">
        <v>0</v>
      </c>
      <c r="W30" s="182" t="e">
        <f ca="1">V30/SUM(V$11:V$37)*
_xludf.ifs(
U30="Major",1,
ISODD(ROW(V30)),1+(0.2*V$8/11),
ISEVEN(ROW(V30)),1-(0.2*V$8/11))</f>
        <v>#NAME?</v>
      </c>
      <c r="Y30" s="167" t="s">
        <v>28</v>
      </c>
      <c r="Z30" s="183">
        <v>7.4999999999999997E-2</v>
      </c>
      <c r="AA30" s="57">
        <v>8</v>
      </c>
      <c r="AB30" s="57" t="e">
        <f ca="1">_xludf.ifs(
Z30=0,0,
Z30&lt;0.01,1,
TRUE,AD29+1
)</f>
        <v>#NAME?</v>
      </c>
      <c r="AC30" s="184" t="s">
        <v>744</v>
      </c>
      <c r="AD30" s="107" t="e">
        <f ca="1">_xludf.ifs(
AB30=0,0,
Z$9=0,AB30+AA30-1,
AB30=1,Z$9,
TRUE,AB30+AA30-1)</f>
        <v>#NAME?</v>
      </c>
      <c r="AE30" s="178" t="e">
        <f ca="1">_xludf.ifs(
Z30=0,0,
COUNTIF(Z$11:Z$37,"=1"),0,
Z30&lt;0.01,Z30/SUMIF(Z$11:Z$37,"&lt;=.01"),
TRUE,0
)</f>
        <v>#NAME?</v>
      </c>
      <c r="AF30" s="179" t="e">
        <f ca="1">ROUND(AE30*100,0)</f>
        <v>#NAME?</v>
      </c>
      <c r="AG30" s="179" t="e">
        <f ca="1">_xludf.ifs(
AE30=0,0,
AND(AE30&gt;0,AE29=0),1,
TRUE,AI29+1)</f>
        <v>#NAME?</v>
      </c>
      <c r="AH30" s="184" t="s">
        <v>744</v>
      </c>
      <c r="AI30" s="107" t="e">
        <f ca="1">_xludf.ifs(
AG30=0,0,
AF31=0,100,
TRUE,AG30+AF30-1)</f>
        <v>#NAME?</v>
      </c>
      <c r="AK30" s="457" t="s">
        <v>471</v>
      </c>
      <c r="AL30" s="455" t="s">
        <v>757</v>
      </c>
      <c r="AM30" s="357"/>
      <c r="AN30" s="467" t="s">
        <v>758</v>
      </c>
      <c r="AO30" s="466" t="s">
        <v>759</v>
      </c>
      <c r="AP30" s="466" t="s">
        <v>760</v>
      </c>
      <c r="AQ30" s="466" t="s">
        <v>761</v>
      </c>
      <c r="AR30" s="466" t="s">
        <v>762</v>
      </c>
      <c r="AS30" s="466" t="s">
        <v>763</v>
      </c>
      <c r="AT30" s="466" t="s">
        <v>764</v>
      </c>
      <c r="AU30" s="466" t="s">
        <v>765</v>
      </c>
      <c r="AV30" s="466" t="s">
        <v>766</v>
      </c>
      <c r="AW30" s="466" t="s">
        <v>767</v>
      </c>
      <c r="AX30" s="466" t="s">
        <v>768</v>
      </c>
      <c r="AY30" s="466" t="s">
        <v>121</v>
      </c>
      <c r="AZ30" s="466" t="s">
        <v>769</v>
      </c>
      <c r="BA30" s="466" t="s">
        <v>770</v>
      </c>
      <c r="BB30" s="466" t="s">
        <v>771</v>
      </c>
      <c r="BC30" s="466" t="s">
        <v>772</v>
      </c>
      <c r="BD30" s="466" t="s">
        <v>773</v>
      </c>
      <c r="BE30" s="466" t="s">
        <v>774</v>
      </c>
      <c r="BF30" s="466" t="s">
        <v>775</v>
      </c>
      <c r="BG30" s="466" t="s">
        <v>776</v>
      </c>
      <c r="BH30" s="466" t="s">
        <v>777</v>
      </c>
      <c r="BI30" s="466" t="s">
        <v>391</v>
      </c>
      <c r="BJ30" s="466" t="s">
        <v>778</v>
      </c>
      <c r="BK30" s="466" t="s">
        <v>779</v>
      </c>
      <c r="BL30" s="466" t="s">
        <v>780</v>
      </c>
      <c r="BM30" s="466" t="s">
        <v>781</v>
      </c>
      <c r="BS30" s="488" t="e">
        <f t="array" aca="1" ref="BS30" ca="1">ROUND(SUM(((_xludf.ifs(
NOT(Ag!BG32:BG252=""),Ag!BG32:BG252,
NOT(Ag!BH32:BH252=""),Ag!BH32:BH252,
NOT(Ag!BI32:BI252=""),Ag!BI32:BI252,
NOT(Ag!BJ32:BJ252=""),Ag!BJ32:BJ252,
TRUE,Ag!BK32:BK252)
-1)/100)*Ag!AY32:AY252),0)</f>
        <v>#NAME?</v>
      </c>
      <c r="BT30" s="354"/>
      <c r="BU30" s="355"/>
      <c r="BV30" s="488">
        <f ca="1">IFERROR(__xludf.DUMMYFUNCTION("round(sum(filter(arrayformula(((ifs(
not(Professions!Y32:Y252=""""),Professions!Y32:Y252,
not(Professions!Z32:Z252=""""),Professions!Z32:Z252,
TRUE,Professions!AA32:AA252)
-Professions!X32:X252)/100)*Professions!O32:O252),Professions!T32:T252=TRUE),filter"&amp;"(arrayformula(((ifs(
not(Professions!X32:X252=""""),Professions!X32:X252,
not(Professions!Y32:Y252=""""),Professions!Y32:Y252,
not(Professions!Z32:Z252=""""),Professions!Z32:Z252,
TRUE,Professions!AA32:AA252)
-Professions!W32:W252)/100)*Professions!O32:O2"&amp;"52),Professions!S32:S252=TRUE)))"),7)</f>
        <v>7</v>
      </c>
      <c r="BW30" s="354"/>
      <c r="BX30" s="355"/>
      <c r="BY30" s="359"/>
      <c r="BZ30" s="360"/>
      <c r="CA30" s="360"/>
      <c r="CB30" s="361"/>
      <c r="CC30" s="52"/>
      <c r="CD30" s="8"/>
      <c r="CE30" s="8"/>
      <c r="CF30" s="8"/>
      <c r="CJ30" s="95" t="s">
        <v>412</v>
      </c>
      <c r="CK30" s="428" t="s">
        <v>894</v>
      </c>
      <c r="CL30" s="393"/>
      <c r="CM30" s="369"/>
      <c r="DH30" s="52"/>
      <c r="DT30" s="171" t="s">
        <v>1025</v>
      </c>
      <c r="DU30" s="171" t="b">
        <f t="array" ref="DU30">OR(EB16:EB17="Other Spice/Dye",EB$16:EB$17="Indigo")</f>
        <v>0</v>
      </c>
      <c r="DV30" s="82">
        <f>IF(EJ33=TRUE,5,3)</f>
        <v>3</v>
      </c>
      <c r="DW30" s="63">
        <v>0.05</v>
      </c>
      <c r="DZ30" s="391" t="str">
        <v>No Elderly</v>
      </c>
      <c r="EA30" s="369">
        <v>0</v>
      </c>
      <c r="EB30" s="198" t="b">
        <v>0</v>
      </c>
      <c r="EC30">
        <v>0</v>
      </c>
      <c r="ED30" s="372" t="str">
        <v>Sculptures</v>
      </c>
      <c r="EE30" s="369">
        <v>0</v>
      </c>
      <c r="EF30" s="200" t="b">
        <v>0</v>
      </c>
      <c r="EG30" s="8">
        <v>0</v>
      </c>
      <c r="EH30" s="372" t="str">
        <v>Enchanters</v>
      </c>
      <c r="EI30" s="369">
        <v>0</v>
      </c>
      <c r="EJ30" s="20" t="b">
        <v>0</v>
      </c>
    </row>
    <row r="31" spans="1:140" ht="15.75" customHeight="1" thickTop="1" thickBot="1">
      <c r="A31" s="376" t="s">
        <v>654</v>
      </c>
      <c r="B31" s="354"/>
      <c r="C31" s="354"/>
      <c r="D31" s="354"/>
      <c r="E31" s="354"/>
      <c r="F31" s="354"/>
      <c r="G31" s="354"/>
      <c r="H31" s="146" t="e">
        <f ca="1">SUM(H30,H26)</f>
        <v>#NAME?</v>
      </c>
      <c r="I31" s="132" t="e">
        <f ca="1">SUM(I26,I30)</f>
        <v>#N/A</v>
      </c>
      <c r="K31" s="95" t="s">
        <v>655</v>
      </c>
      <c r="L31" s="56" t="e">
        <f ca="1">L30*C5</f>
        <v>#NAME?</v>
      </c>
      <c r="T31" s="67" t="s">
        <v>34</v>
      </c>
      <c r="U31" s="171" t="str">
        <v>None</v>
      </c>
      <c r="V31" s="181">
        <v>0</v>
      </c>
      <c r="W31" s="182" t="e">
        <f ca="1">V31/SUM(V$11:V$37)*
_xludf.ifs(
U31="Major",1,
ISODD(ROW(V31)),1+(0.2*V$8/11),
ISEVEN(ROW(V31)),1-(0.2*V$8/11))</f>
        <v>#NAME?</v>
      </c>
      <c r="Y31" s="167" t="s">
        <v>46</v>
      </c>
      <c r="Z31" s="183">
        <v>7.4999999999999997E-2</v>
      </c>
      <c r="AA31" s="57">
        <v>8</v>
      </c>
      <c r="AB31" s="57" t="e">
        <f ca="1">_xludf.ifs(
Z31=0,0,
Z31&lt;0.01,1,
TRUE,AD30+1
)</f>
        <v>#NAME?</v>
      </c>
      <c r="AC31" s="184" t="s">
        <v>744</v>
      </c>
      <c r="AD31" s="107" t="e">
        <f ca="1">_xludf.ifs(
AB31=0,0,
Z$9=0,AB31+AA31-1,
AB31=1,Z$9,
TRUE,AB31+AA31-1)</f>
        <v>#NAME?</v>
      </c>
      <c r="AE31" s="178" t="e">
        <f ca="1">_xludf.ifs(
Z31=0,0,
COUNTIF(Z$11:Z$37,"=1"),0,
Z31&lt;0.01,Z31/SUMIF(Z$11:Z$37,"&lt;=.01"),
TRUE,0
)</f>
        <v>#NAME?</v>
      </c>
      <c r="AF31" s="179" t="e">
        <f ca="1">ROUND(AE31*100,0)</f>
        <v>#NAME?</v>
      </c>
      <c r="AG31" s="179" t="e">
        <f ca="1">_xludf.ifs(
AE31=0,0,
AND(AE31&gt;0,AE30=0),1,
TRUE,AI30+1)</f>
        <v>#NAME?</v>
      </c>
      <c r="AH31" s="184" t="s">
        <v>744</v>
      </c>
      <c r="AI31" s="107" t="e">
        <f ca="1">_xludf.ifs(
AG31=0,0,
AF32=0,100,
TRUE,AG31+AF31-1)</f>
        <v>#NAME?</v>
      </c>
      <c r="AK31" s="359"/>
      <c r="AL31" s="359"/>
      <c r="AM31" s="360"/>
      <c r="AN31" s="392"/>
      <c r="AO31" s="392"/>
      <c r="AP31" s="392"/>
      <c r="AQ31" s="392"/>
      <c r="AR31" s="392"/>
      <c r="AS31" s="392"/>
      <c r="AT31" s="392"/>
      <c r="AU31" s="392"/>
      <c r="AV31" s="392"/>
      <c r="AW31" s="392"/>
      <c r="AX31" s="392"/>
      <c r="AY31" s="392"/>
      <c r="AZ31" s="392"/>
      <c r="BA31" s="392"/>
      <c r="BB31" s="392"/>
      <c r="BC31" s="392"/>
      <c r="BD31" s="392"/>
      <c r="BE31" s="392"/>
      <c r="BF31" s="392"/>
      <c r="BG31" s="392"/>
      <c r="BH31" s="392"/>
      <c r="BI31" s="392"/>
      <c r="BJ31" s="392"/>
      <c r="BK31" s="392"/>
      <c r="BL31" s="392"/>
      <c r="BM31" s="392"/>
      <c r="BS31" s="397" t="s">
        <v>899</v>
      </c>
      <c r="BT31" s="354"/>
      <c r="BU31" s="355"/>
      <c r="CC31" s="52"/>
      <c r="CD31" s="52"/>
      <c r="CE31" s="52"/>
      <c r="CJ31" s="95" t="s">
        <v>415</v>
      </c>
      <c r="CK31" s="428" t="s">
        <v>900</v>
      </c>
      <c r="CL31" s="393"/>
      <c r="CM31" s="369"/>
      <c r="CP31" s="397" t="s">
        <v>955</v>
      </c>
      <c r="CQ31" s="355"/>
      <c r="CS31" s="397" t="s">
        <v>956</v>
      </c>
      <c r="CT31" s="354"/>
      <c r="CU31" s="354"/>
      <c r="CV31" s="354"/>
      <c r="CW31" s="354"/>
      <c r="CX31" s="354"/>
      <c r="CY31" s="354"/>
      <c r="CZ31" s="354"/>
      <c r="DA31" s="355"/>
      <c r="DH31" s="52"/>
      <c r="DT31" s="334" t="s">
        <v>678</v>
      </c>
      <c r="DU31" s="167" t="e">
        <f t="array" aca="1" ref="DU31" ca="1">IF(ED$16=FALSE,FALSE,OR(EC$16:EC$18=DT31))</f>
        <v>#N/A</v>
      </c>
      <c r="DV31" s="82">
        <v>2</v>
      </c>
      <c r="DW31" s="63">
        <v>0</v>
      </c>
      <c r="DZ31" s="391" t="str">
        <v>Anarchy/Volunteer Gov't</v>
      </c>
      <c r="EA31" s="369">
        <v>0</v>
      </c>
      <c r="EB31" s="198" t="b">
        <v>0</v>
      </c>
      <c r="EC31">
        <v>0</v>
      </c>
      <c r="ED31" s="372" t="str">
        <v>Literature</v>
      </c>
      <c r="EE31" s="369">
        <v>0</v>
      </c>
      <c r="EF31" s="201" t="b">
        <v>0</v>
      </c>
      <c r="EG31" s="8">
        <v>0</v>
      </c>
      <c r="EH31" s="387" t="str">
        <v>Armor</v>
      </c>
      <c r="EI31" s="357">
        <v>0</v>
      </c>
      <c r="EJ31" s="17" t="b">
        <v>0</v>
      </c>
    </row>
    <row r="32" spans="1:140" ht="15.75" customHeight="1" thickTop="1" thickBot="1">
      <c r="A32" s="376" t="s">
        <v>656</v>
      </c>
      <c r="B32" s="354"/>
      <c r="C32" s="354"/>
      <c r="D32" s="354"/>
      <c r="E32" s="354"/>
      <c r="F32" s="354"/>
      <c r="G32" s="355"/>
      <c r="H32" s="60" t="e">
        <f ca="1">ROUND(H31*C5,1)</f>
        <v>#NAME?</v>
      </c>
      <c r="I32" s="132" t="e">
        <f ca="1">ROUND(I31*C5,0)</f>
        <v>#N/A</v>
      </c>
      <c r="K32" s="72" t="s">
        <v>657</v>
      </c>
      <c r="L32" s="58" t="e">
        <f ca="1">L31/12</f>
        <v>#NAME?</v>
      </c>
      <c r="T32" s="67" t="s">
        <v>38</v>
      </c>
      <c r="U32" s="171" t="str">
        <v>Very Rare</v>
      </c>
      <c r="V32" s="181">
        <v>1</v>
      </c>
      <c r="W32" s="182" t="e">
        <f ca="1">V32/SUM(V$11:V$37)*
_xludf.ifs(
U32="Major",1,
ISODD(ROW(V32)),1+(0.2*V$8/11),
ISEVEN(ROW(V32)),1-(0.2*V$8/11))</f>
        <v>#NAME?</v>
      </c>
      <c r="Y32" s="167" t="s">
        <v>49</v>
      </c>
      <c r="Z32" s="183">
        <v>7.4999999999999997E-2</v>
      </c>
      <c r="AA32" s="57">
        <v>8</v>
      </c>
      <c r="AB32" s="57" t="e">
        <f ca="1">_xludf.ifs(
Z32=0,0,
Z32&lt;0.01,1,
TRUE,AD31+1
)</f>
        <v>#NAME?</v>
      </c>
      <c r="AC32" s="184" t="s">
        <v>744</v>
      </c>
      <c r="AD32" s="107" t="e">
        <f ca="1">_xludf.ifs(
AB32=0,0,
Z$9=0,AB32+AA32-1,
AB32=1,Z$9,
TRUE,AB32+AA32-1)</f>
        <v>#NAME?</v>
      </c>
      <c r="AE32" s="178" t="e">
        <f ca="1">_xludf.ifs(
Z32=0,0,
COUNTIF(Z$11:Z$37,"=1"),0,
Z32&lt;0.01,Z32/SUMIF(Z$11:Z$37,"&lt;=.01"),
TRUE,0
)</f>
        <v>#NAME?</v>
      </c>
      <c r="AF32" s="179" t="e">
        <f ca="1">ROUND(AE32*100,0)</f>
        <v>#NAME?</v>
      </c>
      <c r="AG32" s="179" t="e">
        <f ca="1">_xludf.ifs(
AE32=0,0,
AND(AE32&gt;0,AE31=0),1,
TRUE,AI31+1)</f>
        <v>#NAME?</v>
      </c>
      <c r="AH32" s="184" t="s">
        <v>744</v>
      </c>
      <c r="AI32" s="107" t="e">
        <f ca="1">_xludf.ifs(
AG32=0,0,
AF33=0,100,
TRUE,AG32+AF32-1)</f>
        <v>#NAME?</v>
      </c>
      <c r="AK32" s="458" t="s">
        <v>782</v>
      </c>
      <c r="AL32" s="450" t="s">
        <v>783</v>
      </c>
      <c r="AM32" s="358"/>
      <c r="AN32" s="208">
        <v>500</v>
      </c>
      <c r="AO32" s="54" t="e">
        <f ca="1">ROUND(AN32*_xludf.ifs(
AND(AU32=TRUE,AW32=TRUE),1,
AU32=TRUE,AV32,
AW32=TRUE,AX32,
TRUE,1),0)</f>
        <v>#NAME?</v>
      </c>
      <c r="AP32" s="118" t="e">
        <f ca="1">ROUND(AO32/SUM(AO$32:AO$252)*AM$27,0)</f>
        <v>#NAME?</v>
      </c>
      <c r="AQ32" s="54">
        <v>1</v>
      </c>
      <c r="AR32" s="198">
        <v>1</v>
      </c>
      <c r="AS32" s="209" t="e">
        <f ca="1">IF(AY32=0,"",ROUND(AY32/AM$3*10000,0))</f>
        <v>#NAME?</v>
      </c>
      <c r="AT32" s="210" t="b">
        <v>1</v>
      </c>
      <c r="AU32" s="180" t="b">
        <f>OR(AM8,AM21,AQ18,AU23)</f>
        <v>0</v>
      </c>
      <c r="AV32" s="211">
        <f>IF(AQ18=TRUE,0.75,0.01)</f>
        <v>0.01</v>
      </c>
      <c r="AW32" s="80" t="b">
        <f>OR(AM9,AQ23,AQ22)</f>
        <v>0</v>
      </c>
      <c r="AX32" s="211">
        <v>2</v>
      </c>
      <c r="AY32" s="70" t="e">
        <f ca="1">MAX(ROUND(AP32*(AM$1/AM$27),0),IF(AT32=TRUE,1,0))</f>
        <v>#NAME?</v>
      </c>
      <c r="AZ32" s="211">
        <v>1</v>
      </c>
      <c r="BA32" s="212">
        <v>0</v>
      </c>
      <c r="BB32" s="213" t="b">
        <v>1</v>
      </c>
      <c r="BC32" s="214" t="b">
        <v>1</v>
      </c>
      <c r="BD32" s="214" t="b">
        <v>1</v>
      </c>
      <c r="BE32" s="215" t="b">
        <v>1</v>
      </c>
      <c r="BF32" s="180">
        <v>1</v>
      </c>
      <c r="BG32" s="216">
        <f>IF(BC32=FALSE,"",MIN(BH32:$BK32)-ROUND(($BK32-1-ROUND(80/$AZ32,0))/COUNTIF($BB32:$BE32,TRUE),0))</f>
        <v>80</v>
      </c>
      <c r="BH32" s="216">
        <f>IF(BD32=FALSE,"",MIN(BI32:$BK32)-ROUND(($BK32-1-ROUND(80/$AZ32,0))/COUNTIF($BB32:$BE32,TRUE),0))</f>
        <v>84</v>
      </c>
      <c r="BI32" s="216">
        <f>IF(BE32=FALSE,"",MIN(BJ32:$BK32)-ROUND(($BK32-1-ROUND(80/$AZ32,0))/COUNTIF($BB32:$BE32,TRUE),0))</f>
        <v>88</v>
      </c>
      <c r="BJ32" s="216">
        <f>IF(BB32=FALSE,"",MIN(BK32:$BK32)-ROUND(($BK32-1-ROUND(80/$AZ32,0))/COUNTIF($BB32:$BE32,TRUE),0))</f>
        <v>92</v>
      </c>
      <c r="BK32" s="177">
        <f>101-ROUND(Ag!BU$7*100,0)</f>
        <v>96</v>
      </c>
      <c r="BL32" s="61">
        <v>0</v>
      </c>
      <c r="BM32" s="80">
        <f t="array" ref="BM32">MIN(BL32,INDEX([1]Basic!L$26:L$34, MATCH([1]Basic!D$5,[1]Basic!B$26:B$34,0)))</f>
        <v>0</v>
      </c>
      <c r="BS32" s="427" t="str">
        <f ca="1">IFERROR(__xludf.DUMMYFUNCTION("""Level ""&amp;max(filter(ARRAYFORMULA(COLUMN(A28:J28)),A28:J28&gt;0))"),"Level 3")</f>
        <v>Level 3</v>
      </c>
      <c r="BT32" s="354"/>
      <c r="BU32" s="355"/>
      <c r="CC32" s="52"/>
      <c r="CD32" s="52"/>
      <c r="CE32" s="52"/>
      <c r="CJ32" s="72" t="s">
        <v>417</v>
      </c>
      <c r="CK32" s="429" t="s">
        <v>900</v>
      </c>
      <c r="CL32" s="360"/>
      <c r="CM32" s="361"/>
      <c r="CP32" s="61">
        <v>1</v>
      </c>
      <c r="CQ32" s="61" t="s">
        <v>957</v>
      </c>
      <c r="CS32" s="26" t="s">
        <v>476</v>
      </c>
      <c r="CT32" s="397" t="s">
        <v>479</v>
      </c>
      <c r="CU32" s="355"/>
      <c r="CV32" s="397" t="s">
        <v>501</v>
      </c>
      <c r="CW32" s="354"/>
      <c r="CX32" s="354"/>
      <c r="CY32" s="354"/>
      <c r="CZ32" s="354"/>
      <c r="DA32" s="354"/>
      <c r="DB32" s="355"/>
      <c r="DH32" s="52"/>
      <c r="DT32" s="171" t="s">
        <v>1026</v>
      </c>
      <c r="DU32" s="171" t="b">
        <f>OR(EB33=FALSE,EJ30=TRUE)</f>
        <v>1</v>
      </c>
      <c r="DV32" s="56">
        <f>IF(EJ30=TRUE,5,1)</f>
        <v>1</v>
      </c>
      <c r="DW32" s="63">
        <v>0.1</v>
      </c>
      <c r="DZ32" s="391" t="str">
        <v>No Sickness</v>
      </c>
      <c r="EA32" s="369">
        <v>0</v>
      </c>
      <c r="EB32" s="198" t="b">
        <v>0</v>
      </c>
      <c r="EC32">
        <v>0</v>
      </c>
      <c r="ED32" s="387" t="str">
        <v>Markets/Trade</v>
      </c>
      <c r="EE32" s="358">
        <v>0</v>
      </c>
      <c r="EF32" s="202" t="b">
        <v>0</v>
      </c>
      <c r="EG32" s="8">
        <v>0</v>
      </c>
      <c r="EH32" s="469" t="str">
        <v>Cloth/Clothing</v>
      </c>
      <c r="EI32" s="369">
        <v>0</v>
      </c>
      <c r="EJ32" s="198" t="b">
        <v>0</v>
      </c>
    </row>
    <row r="33" spans="1:143" ht="15.75" customHeight="1" thickTop="1" thickBot="1">
      <c r="A33" s="376" t="s">
        <v>127</v>
      </c>
      <c r="B33" s="354"/>
      <c r="C33" s="355"/>
      <c r="D33" s="147" t="e">
        <f t="array" aca="1" ref="D33" ca="1">INDEX(N75:N103,MATCH(C4,A75:A103,0))</f>
        <v>#NAME?</v>
      </c>
      <c r="E33" s="12" t="e">
        <f ca="1">ROUND(F9*F6,0)</f>
        <v>#NAME?</v>
      </c>
      <c r="F33" s="132" t="e">
        <f ca="1">ROUND(D33*E33*E55*C14,0)</f>
        <v>#NAME?</v>
      </c>
      <c r="I33" s="132" t="e">
        <f t="array" aca="1" ref="I33:I34" ca="1">F33:F34</f>
        <v>#NAME?</v>
      </c>
      <c r="T33" s="67" t="s">
        <v>44</v>
      </c>
      <c r="U33" s="171" t="str">
        <v>Very Rare</v>
      </c>
      <c r="V33" s="181">
        <v>1</v>
      </c>
      <c r="W33" s="182" t="e">
        <f ca="1">V33/SUM(V$11:V$37)*
_xludf.ifs(
U33="Major",1,
ISODD(ROW(V33)),1+(0.2*V$8/11),
ISEVEN(ROW(V33)),1-(0.2*V$8/11))</f>
        <v>#NAME?</v>
      </c>
      <c r="Y33" s="167" t="s">
        <v>47</v>
      </c>
      <c r="Z33" s="183">
        <v>7.4999999999999997E-2</v>
      </c>
      <c r="AA33" s="57">
        <v>8</v>
      </c>
      <c r="AB33" s="57" t="e">
        <f ca="1">_xludf.ifs(
Z33=0,0,
Z33&lt;0.01,1,
TRUE,AD32+1
)</f>
        <v>#NAME?</v>
      </c>
      <c r="AC33" s="184" t="s">
        <v>744</v>
      </c>
      <c r="AD33" s="107" t="e">
        <f ca="1">_xludf.ifs(
AB33=0,0,
Z$9=0,AB33+AA33-1,
AB33=1,Z$9,
TRUE,AB33+AA33-1)</f>
        <v>#NAME?</v>
      </c>
      <c r="AE33" s="178" t="e">
        <f ca="1">_xludf.ifs(
Z33=0,0,
COUNTIF(Z$11:Z$37,"=1"),0,
Z33&lt;0.01,Z33/SUMIF(Z$11:Z$37,"&lt;=.01"),
TRUE,0
)</f>
        <v>#NAME?</v>
      </c>
      <c r="AF33" s="179" t="e">
        <f ca="1">ROUND(AE33*100,0)</f>
        <v>#NAME?</v>
      </c>
      <c r="AG33" s="179" t="e">
        <f ca="1">_xludf.ifs(
AE33=0,0,
AND(AE33&gt;0,AE32=0),1,
TRUE,AI32+1)</f>
        <v>#NAME?</v>
      </c>
      <c r="AH33" s="184" t="s">
        <v>744</v>
      </c>
      <c r="AI33" s="107" t="e">
        <f ca="1">_xludf.ifs(
AG33=0,0,
AF34=0,100,
TRUE,AG33+AF33-1)</f>
        <v>#NAME?</v>
      </c>
      <c r="AK33" s="389"/>
      <c r="AL33" s="452" t="s">
        <v>784</v>
      </c>
      <c r="AM33" s="369"/>
      <c r="AN33" s="217">
        <v>1500</v>
      </c>
      <c r="AO33" s="218" t="e">
        <f ca="1">ROUND(AN33*_xludf.ifs(
AND(AU33=TRUE,AW33=TRUE),1,
AU33=TRUE,AV33,
AW33=TRUE,AX33,
TRUE,1),0)</f>
        <v>#NAME?</v>
      </c>
      <c r="AP33" s="57" t="e">
        <f ca="1">ROUND(AO33/SUM(AO$32:AO$252)*AM$27,0)</f>
        <v>#NAME?</v>
      </c>
      <c r="AQ33" s="5">
        <f ca="1">IFERROR(__xludf.DUMMYFUNCTION("if(O33=0,"""",
filter(I$32:I32,row(I$32:I32)=max(filter(arrayformula(row(I$32:I32)),I$32:I32&lt;&gt;"""")))+
filter(G$32:G32,row(G$32:G32)=max(filter(arrayformula(row(G$32:G32)),G$32:G32&lt;&gt;"""")))
)"),557)</f>
        <v>557</v>
      </c>
      <c r="AR33" s="198">
        <f ca="1">IFERROR(__xludf.DUMMYFUNCTION("if(G33="""","""",G33-(
filter(G$32:G$252,row(G$32:G$252)=max(filter(arrayformula(row(G$32:G$252)),G$32:G$252&lt;&gt;"""")))
-(10001-
filter(I$32:I$252,row(I$32:I$252)=max(filter(arrayformula(row(I$32:I$252)),I$32:I$252&lt;&gt;""""))))))"),550)</f>
        <v>550</v>
      </c>
      <c r="AS33" s="202" t="e">
        <f ca="1">IF(AY33=0,"",ROUND(AY33/AM$3*10000,0))</f>
        <v>#NAME?</v>
      </c>
      <c r="AT33" s="219" t="b">
        <v>1</v>
      </c>
      <c r="AU33" s="179" t="b">
        <f>OR(AM21)</f>
        <v>0</v>
      </c>
      <c r="AV33" s="220">
        <v>0.01</v>
      </c>
      <c r="AW33" s="82"/>
      <c r="AX33" s="220">
        <v>2</v>
      </c>
      <c r="AY33" s="56" t="e">
        <f ca="1">MAX(ROUND(AP33*(AM$1/AM$27),0),IF(AT33=TRUE,1,0))</f>
        <v>#NAME?</v>
      </c>
      <c r="AZ33" s="220">
        <v>1</v>
      </c>
      <c r="BA33" s="221">
        <v>0</v>
      </c>
      <c r="BB33" s="222" t="b">
        <v>0</v>
      </c>
      <c r="BC33" s="223" t="b">
        <v>0</v>
      </c>
      <c r="BD33" s="223" t="b">
        <v>0</v>
      </c>
      <c r="BE33" s="224" t="b">
        <v>0</v>
      </c>
      <c r="BF33" s="179">
        <v>1</v>
      </c>
      <c r="BG33" s="225" t="str">
        <f>IF(BC33=FALSE,"",MIN(BH33:$BK33)-ROUND(($BK33-1-ROUND(80/$AZ33,0))/COUNTIF($BB33:$BE33,TRUE),0))</f>
        <v/>
      </c>
      <c r="BH33" s="225" t="str">
        <f>IF(BD33=FALSE,"",MIN(BI33:$BK33)-ROUND(($BK33-1-ROUND(80/$AZ33,0))/COUNTIF($BB33:$BE33,TRUE),0))</f>
        <v/>
      </c>
      <c r="BI33" s="225" t="str">
        <f>IF(BE33=FALSE,"",MIN(BJ33:$BK33)-ROUND(($BK33-1-ROUND(80/$AZ33,0))/COUNTIF($BB33:$BE33,TRUE),0))</f>
        <v/>
      </c>
      <c r="BJ33" s="225" t="str">
        <f>IF(BB33=FALSE,"",MIN($BK33:BK33)-ROUND(($BK33-1-ROUND(80/$AZ33,0))/COUNTIF($BB33:$BE33,TRUE),0))</f>
        <v/>
      </c>
      <c r="BK33" s="107">
        <f>101-ROUND(Ag!BU$7*100,0)</f>
        <v>96</v>
      </c>
      <c r="BL33" s="63">
        <v>0</v>
      </c>
      <c r="BM33" s="82">
        <f t="array" ref="BM33">MIN(BL33,INDEX([1]Basic!L$26:L$34, MATCH([1]Basic!D$5,[1]Basic!B$26:B$34,0)))</f>
        <v>0</v>
      </c>
      <c r="CC33" s="52"/>
      <c r="CD33" s="52"/>
      <c r="CE33" s="52"/>
      <c r="CP33" s="63">
        <v>36</v>
      </c>
      <c r="CQ33" s="63" t="s">
        <v>958</v>
      </c>
      <c r="CS33" s="196">
        <v>1</v>
      </c>
      <c r="CT33" s="431" t="s">
        <v>959</v>
      </c>
      <c r="CU33" s="358"/>
      <c r="CV33" s="431" t="s">
        <v>960</v>
      </c>
      <c r="CW33" s="357"/>
      <c r="CX33" s="357"/>
      <c r="CY33" s="357"/>
      <c r="CZ33" s="357"/>
      <c r="DA33" s="357"/>
      <c r="DB33" s="358"/>
      <c r="DH33" s="52"/>
      <c r="DT33" s="171" t="s">
        <v>84</v>
      </c>
      <c r="DU33" s="167" t="b">
        <f>EA16</f>
        <v>1</v>
      </c>
      <c r="DV33" s="56">
        <f>IF(EJ34=TRUE,5,2)</f>
        <v>2</v>
      </c>
      <c r="DW33" s="63">
        <v>0</v>
      </c>
      <c r="DZ33" s="391" t="str">
        <v>Magic is Banned</v>
      </c>
      <c r="EA33" s="369">
        <v>0</v>
      </c>
      <c r="EB33" s="198" t="b">
        <v>0</v>
      </c>
      <c r="EC33">
        <v>0</v>
      </c>
      <c r="ED33" s="386" t="str">
        <v>Slave Trade</v>
      </c>
      <c r="EE33" s="361">
        <v>0</v>
      </c>
      <c r="EF33" s="203" t="b">
        <v>0</v>
      </c>
      <c r="EG33" s="8">
        <v>0</v>
      </c>
      <c r="EH33" s="469" t="str">
        <v>Cash Crops</v>
      </c>
      <c r="EI33" s="393">
        <v>0</v>
      </c>
      <c r="EJ33" s="198" t="b">
        <v>0</v>
      </c>
    </row>
    <row r="34" spans="1:143" ht="15.75" customHeight="1" thickTop="1" thickBot="1">
      <c r="A34" s="376" t="s">
        <v>128</v>
      </c>
      <c r="B34" s="354"/>
      <c r="C34" s="354"/>
      <c r="D34" s="354"/>
      <c r="E34" s="355"/>
      <c r="F34" s="132" t="e">
        <f ca="1">ROUND(I52*C14,0)</f>
        <v>#NAME?</v>
      </c>
      <c r="I34" s="129" t="e">
        <f ca="1"/>
        <v>#NAME?</v>
      </c>
      <c r="T34" s="67" t="s">
        <v>47</v>
      </c>
      <c r="U34" s="171" t="str">
        <v>Uncommon</v>
      </c>
      <c r="V34" s="181">
        <v>3</v>
      </c>
      <c r="W34" s="182" t="e">
        <f ca="1">V34/SUM(V$11:V$37)*
_xludf.ifs(
U34="Major",1,
ISODD(ROW(V34)),1+(0.2*V$8/11),
ISEVEN(ROW(V34)),1-(0.2*V$8/11))</f>
        <v>#NAME?</v>
      </c>
      <c r="Y34" s="167" t="s">
        <v>42</v>
      </c>
      <c r="Z34" s="183">
        <v>0.1</v>
      </c>
      <c r="AA34" s="57">
        <v>10</v>
      </c>
      <c r="AB34" s="57" t="e">
        <f ca="1">_xludf.ifs(
Z34=0,0,
Z34&lt;0.01,1,
TRUE,AD33+1
)</f>
        <v>#NAME?</v>
      </c>
      <c r="AC34" s="184" t="s">
        <v>744</v>
      </c>
      <c r="AD34" s="107" t="e">
        <f ca="1">_xludf.ifs(
AB34=0,0,
Z$9=0,AB34+AA34-1,
AB34=1,Z$9,
TRUE,AB34+AA34-1)</f>
        <v>#NAME?</v>
      </c>
      <c r="AE34" s="178" t="e">
        <f ca="1">_xludf.ifs(
Z34=0,0,
COUNTIF(Z$11:Z$37,"=1"),0,
Z34&lt;0.01,Z34/SUMIF(Z$11:Z$37,"&lt;=.01"),
TRUE,0
)</f>
        <v>#NAME?</v>
      </c>
      <c r="AF34" s="179" t="e">
        <f ca="1">ROUND(AE34*100,0)</f>
        <v>#NAME?</v>
      </c>
      <c r="AG34" s="179" t="e">
        <f ca="1">_xludf.ifs(
AE34=0,0,
AND(AE34&gt;0,AE33=0),1,
TRUE,AI33+1)</f>
        <v>#NAME?</v>
      </c>
      <c r="AH34" s="184" t="s">
        <v>744</v>
      </c>
      <c r="AI34" s="107" t="e">
        <f ca="1">_xludf.ifs(
AG34=0,0,
AF35=0,100,
TRUE,AG34+AF34-1)</f>
        <v>#NAME?</v>
      </c>
      <c r="AK34" s="389"/>
      <c r="AL34" s="452" t="s">
        <v>159</v>
      </c>
      <c r="AM34" s="369"/>
      <c r="AN34" s="217">
        <v>1200</v>
      </c>
      <c r="AO34" s="218" t="e">
        <f ca="1">ROUND(AN34*_xludf.ifs(
AND(AU34=TRUE,AW34=TRUE),1,
AU34=TRUE,AV34,
AW34=TRUE,AX34,
TRUE,1),0)</f>
        <v>#NAME?</v>
      </c>
      <c r="AP34" s="57" t="e">
        <f ca="1">ROUND(AO34/SUM(AO$32:AO$252)*AM$27,0)</f>
        <v>#NAME?</v>
      </c>
      <c r="AQ34" s="5">
        <f ca="1">IFERROR(__xludf.DUMMYFUNCTION("if(O34=0,"""",
filter(I$32:I33,row(I$32:I33)=max(filter(arrayformula(row(I$32:I33)),I$32:I33&lt;&gt;"""")))+
filter(G$32:G33,row(G$32:G33)=max(filter(arrayformula(row(G$32:G33)),G$32:G33&lt;&gt;"""")))
)"),1668)</f>
        <v>1668</v>
      </c>
      <c r="AR34" s="198">
        <f ca="1">IFERROR(__xludf.DUMMYFUNCTION("if(G34="""","""",G34-(
filter(G$32:G$252,row(G$32:G$252)=max(filter(arrayformula(row(G$32:G$252)),G$32:G$252&lt;&gt;"""")))
-(10001-
filter(I$32:I$252,row(I$32:I$252)=max(filter(arrayformula(row(I$32:I$252)),I$32:I$252&lt;&gt;""""))))))"),1661)</f>
        <v>1661</v>
      </c>
      <c r="AS34" s="202" t="e">
        <f ca="1">IF(AY34=0,"",ROUND(AY34/AM$3*10000,0))</f>
        <v>#NAME?</v>
      </c>
      <c r="AT34" s="219" t="b">
        <v>1</v>
      </c>
      <c r="AU34" s="179" t="b">
        <f>OR(AM11,AM21)</f>
        <v>0</v>
      </c>
      <c r="AV34" s="220">
        <v>0.01</v>
      </c>
      <c r="AW34" s="82" t="b">
        <f>OR(AQ24)</f>
        <v>0</v>
      </c>
      <c r="AX34" s="220">
        <v>2</v>
      </c>
      <c r="AY34" s="56" t="e">
        <f ca="1">MAX(ROUND(AP34*(AM$1/AM$27),0),IF(AT34=TRUE,1,0))</f>
        <v>#NAME?</v>
      </c>
      <c r="AZ34" s="220">
        <v>5</v>
      </c>
      <c r="BA34" s="221">
        <v>0</v>
      </c>
      <c r="BB34" s="222" t="b">
        <v>0</v>
      </c>
      <c r="BC34" s="223" t="b">
        <v>0</v>
      </c>
      <c r="BD34" s="223" t="b">
        <v>0</v>
      </c>
      <c r="BE34" s="224" t="b">
        <v>0</v>
      </c>
      <c r="BF34" s="179">
        <v>1</v>
      </c>
      <c r="BG34" s="225" t="str">
        <f>IF(BC34=FALSE,"",MIN(BH34:$BK34)-ROUND(($BK34-1-ROUND(80/$AZ34,0))/COUNTIF($BB34:$BE34,TRUE),0))</f>
        <v/>
      </c>
      <c r="BH34" s="225" t="str">
        <f>IF(BD34=FALSE,"",MIN(BI34:$BK34)-ROUND(($BK34-1-ROUND(80/$AZ34,0))/COUNTIF($BB34:$BE34,TRUE),0))</f>
        <v/>
      </c>
      <c r="BI34" s="225" t="str">
        <f>IF(BE34=FALSE,"",MIN(BJ34:$BK34)-ROUND(($BK34-1-ROUND(80/$AZ34,0))/COUNTIF($BB34:$BE34,TRUE),0))</f>
        <v/>
      </c>
      <c r="BJ34" s="225" t="str">
        <f>IF(BB34=FALSE,"",MIN($BK34:BK34)-ROUND(($BK34-1-ROUND(80/$AZ34,0))/COUNTIF($BB34:$BE34,TRUE),0))</f>
        <v/>
      </c>
      <c r="BK34" s="107">
        <f>101-ROUND(Ag!BU$7*100,0)</f>
        <v>96</v>
      </c>
      <c r="BL34" s="63">
        <v>0</v>
      </c>
      <c r="BM34" s="82">
        <f t="array" ref="BM34">MIN(BL34,INDEX([1]Basic!L$26:L$34, MATCH([1]Basic!D$5,[1]Basic!B$26:B$34,0)))</f>
        <v>0</v>
      </c>
      <c r="CC34" s="52"/>
      <c r="CD34" s="52"/>
      <c r="CE34" s="52"/>
      <c r="CP34" s="63">
        <v>40</v>
      </c>
      <c r="CQ34" s="63" t="s">
        <v>961</v>
      </c>
      <c r="CS34" s="67">
        <v>6</v>
      </c>
      <c r="CT34" s="428" t="s">
        <v>962</v>
      </c>
      <c r="CU34" s="369"/>
      <c r="CV34" s="428" t="s">
        <v>963</v>
      </c>
      <c r="CW34" s="393"/>
      <c r="CX34" s="393"/>
      <c r="CY34" s="393"/>
      <c r="CZ34" s="393"/>
      <c r="DA34" s="393"/>
      <c r="DB34" s="369"/>
      <c r="DH34" s="52"/>
      <c r="DT34" s="171" t="s">
        <v>87</v>
      </c>
      <c r="DU34" s="171" t="b">
        <v>1</v>
      </c>
      <c r="DV34" s="56" t="e">
        <f ca="1">_xludf.ifs(EJ35=TRUE,5,
DU51=TRUE,4,
TRUE,2)</f>
        <v>#NAME?</v>
      </c>
      <c r="DW34" s="63">
        <v>0</v>
      </c>
      <c r="DZ34" s="391" t="str">
        <v>Music is Banned</v>
      </c>
      <c r="EA34" s="369">
        <v>0</v>
      </c>
      <c r="EB34" s="198" t="b">
        <v>0</v>
      </c>
      <c r="EC34">
        <v>0</v>
      </c>
      <c r="ED34" s="372" t="str">
        <v>Education/Research</v>
      </c>
      <c r="EE34" s="369">
        <v>0</v>
      </c>
      <c r="EF34" s="204" t="b">
        <v>0</v>
      </c>
      <c r="EG34" s="8">
        <v>0</v>
      </c>
      <c r="EH34" s="469" t="str">
        <v>Fish</v>
      </c>
      <c r="EI34" s="393">
        <v>0</v>
      </c>
      <c r="EJ34" s="198" t="b">
        <v>0</v>
      </c>
    </row>
    <row r="35" spans="1:143" ht="14.25" thickTop="1" thickBot="1">
      <c r="A35" s="374" t="s">
        <v>658</v>
      </c>
      <c r="B35" s="360"/>
      <c r="C35" s="360"/>
      <c r="D35" s="360"/>
      <c r="E35" s="361"/>
      <c r="F35" s="20" t="e">
        <f ca="1">FIXED(SUM(F23:F34)*(1-C5-0.1),,0)</f>
        <v>#N/A</v>
      </c>
      <c r="G35" s="442" t="s">
        <v>659</v>
      </c>
      <c r="H35" s="355"/>
      <c r="I35" s="148" t="e">
        <f ca="1">SUM(I31,I33,I34)-I32</f>
        <v>#N/A</v>
      </c>
      <c r="T35" s="67" t="s">
        <v>50</v>
      </c>
      <c r="U35" s="171" t="str">
        <v>Very Rare</v>
      </c>
      <c r="V35" s="181">
        <v>1</v>
      </c>
      <c r="W35" s="182" t="e">
        <f ca="1">V35/SUM(V$11:V$37)*
_xludf.ifs(
U35="Major",1,
ISODD(ROW(V35)),1+(0.2*V$8/11),
ISEVEN(ROW(V35)),1-(0.2*V$8/11))</f>
        <v>#NAME?</v>
      </c>
      <c r="Y35" s="167" t="s">
        <v>40</v>
      </c>
      <c r="Z35" s="183">
        <v>0.125</v>
      </c>
      <c r="AA35" s="57">
        <v>13</v>
      </c>
      <c r="AB35" s="57" t="e">
        <f ca="1">_xludf.ifs(
Z35=0,0,
Z35&lt;0.01,1,
TRUE,AD34+1
)</f>
        <v>#NAME?</v>
      </c>
      <c r="AC35" s="184" t="s">
        <v>744</v>
      </c>
      <c r="AD35" s="107" t="e">
        <f ca="1">_xludf.ifs(
AB35=0,0,
Z$9=0,AB35+AA35-1,
AB35=1,Z$9,
TRUE,AB35+AA35-1)</f>
        <v>#NAME?</v>
      </c>
      <c r="AE35" s="178" t="e">
        <f ca="1">_xludf.ifs(
Z35=0,0,
COUNTIF(Z$11:Z$37,"=1"),0,
Z35&lt;0.01,Z35/SUMIF(Z$11:Z$37,"&lt;=.01"),
TRUE,0
)</f>
        <v>#NAME?</v>
      </c>
      <c r="AF35" s="179" t="e">
        <f ca="1">ROUND(AE35*100,0)</f>
        <v>#NAME?</v>
      </c>
      <c r="AG35" s="179" t="e">
        <f ca="1">_xludf.ifs(
AE35=0,0,
AND(AE35&gt;0,AE34=0),1,
TRUE,AI34+1)</f>
        <v>#NAME?</v>
      </c>
      <c r="AH35" s="184" t="s">
        <v>744</v>
      </c>
      <c r="AI35" s="107" t="e">
        <f ca="1">_xludf.ifs(
AG35=0,0,
AF36=0,100,
TRUE,AG35+AF35-1)</f>
        <v>#NAME?</v>
      </c>
      <c r="AK35" s="389"/>
      <c r="AL35" s="452" t="s">
        <v>165</v>
      </c>
      <c r="AM35" s="369"/>
      <c r="AN35" s="217">
        <v>200</v>
      </c>
      <c r="AO35" s="218" t="e">
        <f ca="1">ROUND(AN35*_xludf.ifs(
AND(AU35=TRUE,AW35=TRUE),1,
AU35=TRUE,AV35,
AW35=TRUE,AX35,
TRUE,1),0)</f>
        <v>#NAME?</v>
      </c>
      <c r="AP35" s="57" t="e">
        <f ca="1">ROUND(AO35/SUM(AO$32:AO$252)*AM$27,0)</f>
        <v>#NAME?</v>
      </c>
      <c r="AQ35" s="5" t="str">
        <f ca="1">IFERROR(__xludf.DUMMYFUNCTION("if(O35=0,"""",
filter(I$32:I34,row(I$32:I34)=max(filter(arrayformula(row(I$32:I34)),I$32:I34&lt;&gt;"""")))+
filter(G$32:G34,row(G$32:G34)=max(filter(arrayformula(row(G$32:G34)),G$32:G34&lt;&gt;"""")))
)"),"")</f>
        <v/>
      </c>
      <c r="AR35" s="198" t="str">
        <f ca="1">IFERROR(__xludf.DUMMYFUNCTION("if(G35="""","""",G35-(
filter(G$32:G$252,row(G$32:G$252)=max(filter(arrayformula(row(G$32:G$252)),G$32:G$252&lt;&gt;"""")))
-(10001-
filter(I$32:I$252,row(I$32:I$252)=max(filter(arrayformula(row(I$32:I$252)),I$32:I$252&lt;&gt;""""))))))"),"")</f>
        <v/>
      </c>
      <c r="AS35" s="202" t="e">
        <f ca="1">IF(AY35=0,"",ROUND(AY35/AM$3*10000,0))</f>
        <v>#NAME?</v>
      </c>
      <c r="AT35" s="219" t="b">
        <v>0</v>
      </c>
      <c r="AU35" s="179" t="b">
        <f>OR(AM13)</f>
        <v>0</v>
      </c>
      <c r="AV35" s="220">
        <v>0.01</v>
      </c>
      <c r="AW35" s="82" t="b">
        <f>OR(AM8,AQ25,AQ19)</f>
        <v>0</v>
      </c>
      <c r="AX35" s="220" t="e">
        <f ca="1">_xludf.ifs(AND(AU20=TRUE,AQ25=FALSE),2,
TRUE,4)</f>
        <v>#NAME?</v>
      </c>
      <c r="AY35" s="56" t="e">
        <f ca="1">MAX(ROUND(AP35*(AM$1/AM$27),0),IF(AT35=TRUE,1,0))</f>
        <v>#NAME?</v>
      </c>
      <c r="AZ35" s="220">
        <v>5</v>
      </c>
      <c r="BA35" s="221">
        <v>0</v>
      </c>
      <c r="BB35" s="222" t="b">
        <v>0</v>
      </c>
      <c r="BC35" s="223" t="b">
        <v>0</v>
      </c>
      <c r="BD35" s="223" t="b">
        <v>0</v>
      </c>
      <c r="BE35" s="224" t="b">
        <v>0</v>
      </c>
      <c r="BF35" s="179">
        <v>1</v>
      </c>
      <c r="BG35" s="225" t="str">
        <f>IF(BC35=FALSE,"",MIN(BH35:$BK35)-ROUND(($BK35-1-ROUND(80/$AZ35,0))/COUNTIF($BB35:$BE35,TRUE),0))</f>
        <v/>
      </c>
      <c r="BH35" s="225" t="str">
        <f>IF(BD35=FALSE,"",MIN(BI35:$BK35)-ROUND(($BK35-1-ROUND(80/$AZ35,0))/COUNTIF($BB35:$BE35,TRUE),0))</f>
        <v/>
      </c>
      <c r="BI35" s="225" t="str">
        <f>IF(BE35=FALSE,"",MIN(BJ35:$BK35)-ROUND(($BK35-1-ROUND(80/$AZ35,0))/COUNTIF($BB35:$BE35,TRUE),0))</f>
        <v/>
      </c>
      <c r="BJ35" s="225" t="str">
        <f>IF(BB35=FALSE,"",MIN($BK35:BK35)-ROUND(($BK35-1-ROUND(80/$AZ35,0))/COUNTIF($BB35:$BE35,TRUE),0))</f>
        <v/>
      </c>
      <c r="BK35" s="107">
        <f>101-ROUND(Ag!BU$7*100,0)</f>
        <v>96</v>
      </c>
      <c r="BL35" s="63">
        <v>0</v>
      </c>
      <c r="BM35" s="82">
        <f t="array" ref="BM35">MIN(BL35,INDEX([1]Basic!L$26:L$34, MATCH([1]Basic!D$5,[1]Basic!B$26:B$34,0)))</f>
        <v>0</v>
      </c>
      <c r="BS35" s="474" t="s">
        <v>901</v>
      </c>
      <c r="BT35" s="354"/>
      <c r="BU35" s="355"/>
      <c r="BV35" s="474" t="s">
        <v>902</v>
      </c>
      <c r="BW35" s="354"/>
      <c r="BX35" s="355"/>
      <c r="BY35" s="474" t="s">
        <v>113</v>
      </c>
      <c r="BZ35" s="354"/>
      <c r="CA35" s="355"/>
      <c r="CB35" s="474" t="s">
        <v>903</v>
      </c>
      <c r="CC35" s="354"/>
      <c r="CD35" s="355"/>
      <c r="CE35" s="52"/>
      <c r="CP35" s="63">
        <v>42</v>
      </c>
      <c r="CQ35" s="63" t="s">
        <v>964</v>
      </c>
      <c r="CS35" s="67">
        <v>66</v>
      </c>
      <c r="CT35" s="428" t="s">
        <v>965</v>
      </c>
      <c r="CU35" s="369"/>
      <c r="CV35" s="428" t="s">
        <v>966</v>
      </c>
      <c r="CW35" s="393"/>
      <c r="CX35" s="393"/>
      <c r="CY35" s="393"/>
      <c r="CZ35" s="393"/>
      <c r="DA35" s="393"/>
      <c r="DB35" s="369"/>
      <c r="DT35" s="171" t="s">
        <v>1027</v>
      </c>
      <c r="DU35" s="171" t="b">
        <v>1</v>
      </c>
      <c r="DV35" s="82">
        <v>1</v>
      </c>
      <c r="DW35" s="63">
        <v>0.1</v>
      </c>
      <c r="DZ35" s="391" t="str">
        <v>Nobility are Banned</v>
      </c>
      <c r="EA35" s="369">
        <v>0</v>
      </c>
      <c r="EB35" s="198" t="b">
        <v>0</v>
      </c>
      <c r="EC35">
        <v>0</v>
      </c>
      <c r="ED35" s="372" t="str">
        <v>Religious Worship</v>
      </c>
      <c r="EE35" s="369">
        <v>0</v>
      </c>
      <c r="EF35" s="204" t="b">
        <v>0</v>
      </c>
      <c r="EG35" s="8">
        <v>0</v>
      </c>
      <c r="EH35" s="372" t="str">
        <v>Furniture</v>
      </c>
      <c r="EI35" s="369">
        <v>0</v>
      </c>
      <c r="EJ35" s="19" t="b">
        <v>0</v>
      </c>
    </row>
    <row r="36" spans="1:143" ht="14.25" thickTop="1" thickBot="1">
      <c r="A36" s="374" t="s">
        <v>660</v>
      </c>
      <c r="B36" s="360"/>
      <c r="C36" s="360"/>
      <c r="D36" s="360"/>
      <c r="E36" s="361"/>
      <c r="F36" s="129" t="e">
        <f ca="1">(F35-C13)</f>
        <v>#N/A</v>
      </c>
      <c r="G36" s="442" t="s">
        <v>661</v>
      </c>
      <c r="H36" s="355"/>
      <c r="I36" s="148" t="e">
        <f ca="1">I35-C13</f>
        <v>#N/A</v>
      </c>
      <c r="J36" s="149"/>
      <c r="K36" s="149"/>
      <c r="L36" s="149"/>
      <c r="M36" s="23"/>
      <c r="T36" s="67" t="s">
        <v>53</v>
      </c>
      <c r="U36" s="171" t="str">
        <v>None</v>
      </c>
      <c r="V36" s="181">
        <v>0</v>
      </c>
      <c r="W36" s="182" t="e">
        <f ca="1">V36/SUM(V$11:V$37)*
_xludf.ifs(
U36="Major",1,
ISODD(ROW(V36)),1+(0.2*V$8/11),
ISEVEN(ROW(V36)),1-(0.2*V$8/11))</f>
        <v>#NAME?</v>
      </c>
      <c r="Y36" s="167" t="s">
        <v>45</v>
      </c>
      <c r="Z36" s="183">
        <v>0.125</v>
      </c>
      <c r="AA36" s="57">
        <v>13</v>
      </c>
      <c r="AB36" s="57" t="e">
        <f ca="1">_xludf.ifs(
Z36=0,0,
Z36&lt;0.01,1,
TRUE,AD35+1
)</f>
        <v>#NAME?</v>
      </c>
      <c r="AC36" s="184" t="s">
        <v>744</v>
      </c>
      <c r="AD36" s="107" t="e">
        <f ca="1">_xludf.ifs(
AB36=0,0,
Z$9=0,AB36+AA36-1,
AB36=1,Z$9,
TRUE,AB36+AA36-1)</f>
        <v>#NAME?</v>
      </c>
      <c r="AE36" s="178" t="e">
        <f ca="1">_xludf.ifs(
Z36=0,0,
COUNTIF(Z$11:Z$37,"=1"),0,
Z36&lt;0.01,Z36/SUMIF(Z$11:Z$37,"&lt;=.01"),
TRUE,0
)</f>
        <v>#NAME?</v>
      </c>
      <c r="AF36" s="179" t="e">
        <f ca="1">ROUND(AE36*100,0)</f>
        <v>#NAME?</v>
      </c>
      <c r="AG36" s="179" t="e">
        <f ca="1">_xludf.ifs(
AE36=0,0,
AND(AE36&gt;0,AE35=0),1,
TRUE,AI35+1)</f>
        <v>#NAME?</v>
      </c>
      <c r="AH36" s="184" t="s">
        <v>744</v>
      </c>
      <c r="AI36" s="107" t="e">
        <f ca="1">_xludf.ifs(
AG36=0,0,
AF37=0,100,
TRUE,AG36+AF36-1)</f>
        <v>#NAME?</v>
      </c>
      <c r="AK36" s="389"/>
      <c r="AL36" s="452" t="s">
        <v>170</v>
      </c>
      <c r="AM36" s="369"/>
      <c r="AN36" s="226">
        <v>100</v>
      </c>
      <c r="AO36" s="218" t="e">
        <f ca="1">ROUND(AN36*_xludf.ifs(
AND(AU36=TRUE,AW36=TRUE),1,
AU36=TRUE,AV36,
AW36=TRUE,AX36,
TRUE,1),0)</f>
        <v>#NAME?</v>
      </c>
      <c r="AP36" s="57" t="e">
        <f ca="1">ROUND(AO36/SUM(AO$32:AO$252)*AM$27,0)</f>
        <v>#NAME?</v>
      </c>
      <c r="AQ36" s="5" t="str">
        <f ca="1">IFERROR(__xludf.DUMMYFUNCTION("if(O36=0,"""",
filter(I$32:I35,row(I$32:I35)=max(filter(arrayformula(row(I$32:I35)),I$32:I35&lt;&gt;"""")))+
filter(G$32:G35,row(G$32:G35)=max(filter(arrayformula(row(G$32:G35)),G$32:G35&lt;&gt;"""")))
)"),"")</f>
        <v/>
      </c>
      <c r="AR36" s="198" t="str">
        <f ca="1">IFERROR(__xludf.DUMMYFUNCTION("if(G36="""","""",G36-(
filter(G$32:G$252,row(G$32:G$252)=max(filter(arrayformula(row(G$32:G$252)),G$32:G$252&lt;&gt;"""")))
-(10001-
filter(I$32:I$252,row(I$32:I$252)=max(filter(arrayformula(row(I$32:I$252)),I$32:I$252&lt;&gt;""""))))))"),"")</f>
        <v/>
      </c>
      <c r="AS36" s="202" t="e">
        <f ca="1">IF(AY36=0,"",ROUND(AY36/AM$3*10000,0))</f>
        <v>#NAME?</v>
      </c>
      <c r="AT36" s="219" t="b">
        <v>0</v>
      </c>
      <c r="AU36" s="179" t="b">
        <f>OR(AM10)</f>
        <v>0</v>
      </c>
      <c r="AV36" s="220">
        <v>0</v>
      </c>
      <c r="AW36" s="82" t="b">
        <f>OR(AQ15)</f>
        <v>0</v>
      </c>
      <c r="AX36" s="220">
        <v>4</v>
      </c>
      <c r="AY36" s="56" t="e">
        <f ca="1">MAX(ROUND(AP36*(AM$1/AM$27),0),IF(AT36=TRUE,1,0))</f>
        <v>#NAME?</v>
      </c>
      <c r="AZ36" s="220">
        <v>1</v>
      </c>
      <c r="BA36" s="221">
        <v>0</v>
      </c>
      <c r="BB36" s="222" t="b">
        <v>0</v>
      </c>
      <c r="BC36" s="223" t="b">
        <v>0</v>
      </c>
      <c r="BD36" s="223" t="b">
        <v>0</v>
      </c>
      <c r="BE36" s="224" t="b">
        <v>0</v>
      </c>
      <c r="BF36" s="179">
        <v>1</v>
      </c>
      <c r="BG36" s="225" t="str">
        <f>IF(BC36=FALSE,"",MIN(BH36:$BK36)-ROUND(($BK36-1-ROUND(80/$AZ36,0))/COUNTIF($BB36:$BE36,TRUE),0))</f>
        <v/>
      </c>
      <c r="BH36" s="225" t="str">
        <f>IF(BD36=FALSE,"",MIN(BI36:$BK36)-ROUND(($BK36-1-ROUND(80/$AZ36,0))/COUNTIF($BB36:$BE36,TRUE),0))</f>
        <v/>
      </c>
      <c r="BI36" s="225" t="str">
        <f>IF(BE36=FALSE,"",MIN(BJ36:$BK36)-ROUND(($BK36-1-ROUND(80/$AZ36,0))/COUNTIF($BB36:$BE36,TRUE),0))</f>
        <v/>
      </c>
      <c r="BJ36" s="225" t="str">
        <f>IF(BB36=FALSE,"",MIN($BK36:BK36)-ROUND(($BK36-1-ROUND(80/$AZ36,0))/COUNTIF($BB36:$BE36,TRUE),0))</f>
        <v/>
      </c>
      <c r="BK36" s="107">
        <f>101-ROUND(Ag!BU$7*100,0)</f>
        <v>96</v>
      </c>
      <c r="BL36" s="63">
        <v>1</v>
      </c>
      <c r="BM36" s="82">
        <f t="array" ref="BM36">MIN(BL36,INDEX([1]Basic!L$26:L$34, MATCH([1]Basic!D$5,[1]Basic!B$26:B$34,0)))</f>
        <v>1</v>
      </c>
      <c r="BS36" s="387" t="s">
        <v>474</v>
      </c>
      <c r="BT36" s="358"/>
      <c r="BU36" s="483">
        <f>[1]Entry!F89</f>
        <v>0</v>
      </c>
      <c r="BV36" s="387" t="s">
        <v>474</v>
      </c>
      <c r="BW36" s="358"/>
      <c r="BX36" s="483">
        <f>[1]Entry!F90</f>
        <v>0</v>
      </c>
      <c r="BY36" s="387" t="s">
        <v>474</v>
      </c>
      <c r="BZ36" s="358"/>
      <c r="CA36" s="483">
        <f>[1]Entry!F91</f>
        <v>0</v>
      </c>
      <c r="CB36" s="411" t="e">
        <f ca="1">IF(BY42=Ag!AL235,BY38,BY23)&amp;
_xludf.ifs(
CA36&gt;=100-(BU9)," Druid",
CA36&gt;=100-(2*BU9)," Ranger",
CA36&gt;=100-(3*BU9)," Barbarian",
CA36&lt;2," Wizard",
CA36&lt;4," Sorceror",
CA36&lt;6," Warlock",
CA36&lt;16," Monk",
CA36&lt;41," Paladin",
TRUE," Fighter")</f>
        <v>#VALUE!</v>
      </c>
      <c r="CC36" s="354"/>
      <c r="CD36" s="355"/>
      <c r="CE36" s="52"/>
      <c r="CP36" s="63">
        <v>62</v>
      </c>
      <c r="CQ36" s="63" t="s">
        <v>967</v>
      </c>
      <c r="CS36" s="74">
        <v>91</v>
      </c>
      <c r="CT36" s="429" t="s">
        <v>968</v>
      </c>
      <c r="CU36" s="361"/>
      <c r="CV36" s="429" t="s">
        <v>969</v>
      </c>
      <c r="CW36" s="360"/>
      <c r="CX36" s="360"/>
      <c r="CY36" s="360"/>
      <c r="CZ36" s="360"/>
      <c r="DA36" s="360"/>
      <c r="DB36" s="361"/>
      <c r="DT36" s="171" t="s">
        <v>1028</v>
      </c>
      <c r="DU36" s="171" t="b">
        <v>1</v>
      </c>
      <c r="DV36" s="56">
        <f>IF(EJ36=TRUE,5,1)</f>
        <v>1</v>
      </c>
      <c r="DW36" s="63">
        <v>0</v>
      </c>
      <c r="DZ36" s="391" t="str">
        <v>No Outsiders Allowed</v>
      </c>
      <c r="EA36" s="369">
        <v>0</v>
      </c>
      <c r="EB36" s="198" t="b">
        <v>0</v>
      </c>
      <c r="EC36">
        <v>0</v>
      </c>
      <c r="ED36" s="386" t="str">
        <v>Organized Crime</v>
      </c>
      <c r="EE36" s="361">
        <v>0</v>
      </c>
      <c r="EF36" s="205" t="b">
        <v>0</v>
      </c>
      <c r="EG36" s="8">
        <v>0</v>
      </c>
      <c r="EH36" s="469" t="str">
        <v>Glassmaking</v>
      </c>
      <c r="EI36" s="369">
        <v>0</v>
      </c>
      <c r="EJ36" s="19" t="b">
        <v>0</v>
      </c>
    </row>
    <row r="37" spans="1:143" ht="14.25" thickTop="1" thickBot="1">
      <c r="A37" s="398" t="s">
        <v>662</v>
      </c>
      <c r="B37" s="354"/>
      <c r="C37" s="354"/>
      <c r="D37" s="354"/>
      <c r="E37" s="355"/>
      <c r="F37" s="116">
        <f>MAX(IF(F14=FALSE,
(F36/F35)*(1-C5-0.1),F14),0)</f>
        <v>0.66666666666666663</v>
      </c>
      <c r="G37" s="442" t="s">
        <v>663</v>
      </c>
      <c r="H37" s="355"/>
      <c r="I37" s="150" t="e">
        <f ca="1">(I36)/AVERAGE(D44:D55)</f>
        <v>#N/A</v>
      </c>
      <c r="T37" s="74" t="s">
        <v>57</v>
      </c>
      <c r="U37" s="185" t="str">
        <v>None</v>
      </c>
      <c r="V37" s="186">
        <v>0</v>
      </c>
      <c r="W37" s="187" t="e">
        <f ca="1">V37/SUM(V$11:V$37)*
_xludf.ifs(
U37="Major",1,
ISODD(ROW(V37)),1+(0.2*V$8/11),
ISEVEN(ROW(V37)),1-(0.2*V$8/11))</f>
        <v>#NAME?</v>
      </c>
      <c r="Y37" s="73" t="s">
        <v>55</v>
      </c>
      <c r="Z37" s="188">
        <v>0.15</v>
      </c>
      <c r="AA37" s="59">
        <v>15</v>
      </c>
      <c r="AB37" s="59" t="e">
        <f ca="1">_xludf.ifs(
Z37=0,0,
Z37&lt;0.01,1,
TRUE,AD36+1
)</f>
        <v>#NAME?</v>
      </c>
      <c r="AC37" s="189" t="s">
        <v>744</v>
      </c>
      <c r="AD37" s="190">
        <v>100</v>
      </c>
      <c r="AE37" s="191" t="e">
        <f ca="1">_xludf.ifs(
Z37=0,0,
COUNTIF(Z$11:Z$37,"=1"),0,
Z37&lt;0.01,Z37/SUMIF(Z$11:Z$37,"&lt;=.01"),
TRUE,0
)</f>
        <v>#NAME?</v>
      </c>
      <c r="AF37" s="78" t="e">
        <f ca="1">ROUND(AE37*100,0)</f>
        <v>#NAME?</v>
      </c>
      <c r="AG37" s="78" t="e">
        <f ca="1">_xludf.ifs(
AE37=0,0,
AND(AE37&gt;0,AE36=0),1,
TRUE,AI36+1)</f>
        <v>#NAME?</v>
      </c>
      <c r="AH37" s="189" t="s">
        <v>744</v>
      </c>
      <c r="AI37" s="192" t="e">
        <f ca="1">_xludf.ifs(
AG37=0,0,
AF38=0,100,
TRUE,AG37+AF37-1)</f>
        <v>#NAME?</v>
      </c>
      <c r="AK37" s="389"/>
      <c r="AL37" s="452" t="s">
        <v>175</v>
      </c>
      <c r="AM37" s="369"/>
      <c r="AN37" s="217">
        <v>125</v>
      </c>
      <c r="AO37" s="218" t="e">
        <f ca="1">ROUND(AN37*_xludf.ifs(
AND(AU37=TRUE,AW37=TRUE),1,
AU37=TRUE,AV37,
AW37=TRUE,AX37,
TRUE,1),0)</f>
        <v>#NAME?</v>
      </c>
      <c r="AP37" s="57" t="e">
        <f ca="1">ROUND(AO37/SUM(AO$32:AO$252)*AM$27,0)</f>
        <v>#NAME?</v>
      </c>
      <c r="AQ37" s="5" t="str">
        <f ca="1">IFERROR(__xludf.DUMMYFUNCTION("if(O37=0,"""",
filter(I$32:I36,row(I$32:I36)=max(filter(arrayformula(row(I$32:I36)),I$32:I36&lt;&gt;"""")))+
filter(G$32:G36,row(G$32:G36)=max(filter(arrayformula(row(G$32:G36)),G$32:G36&lt;&gt;"""")))
)"),"")</f>
        <v/>
      </c>
      <c r="AR37" s="198" t="str">
        <f ca="1">IFERROR(__xludf.DUMMYFUNCTION("if(G37="""","""",G37-(
filter(G$32:G$252,row(G$32:G$252)=max(filter(arrayformula(row(G$32:G$252)),G$32:G$252&lt;&gt;"""")))
-(10001-
filter(I$32:I$252,row(I$32:I$252)=max(filter(arrayformula(row(I$32:I$252)),I$32:I$252&lt;&gt;""""))))))"),"")</f>
        <v/>
      </c>
      <c r="AS37" s="202" t="e">
        <f ca="1">IF(AY37=0,"",ROUND(AY37/AM$3*10000,0))</f>
        <v>#NAME?</v>
      </c>
      <c r="AT37" s="219" t="b">
        <v>0</v>
      </c>
      <c r="AU37" s="179" t="b">
        <f>OR(AM9)</f>
        <v>0</v>
      </c>
      <c r="AV37" s="220">
        <v>0.05</v>
      </c>
      <c r="AW37" s="82" t="b">
        <f>OR(AM7,AM8,AM10,AQ17)</f>
        <v>0</v>
      </c>
      <c r="AX37" s="220">
        <v>2</v>
      </c>
      <c r="AY37" s="56" t="e">
        <f ca="1">MAX(ROUND(AP37*(AM$1/AM$27),0),IF(AT37=TRUE,1,0))</f>
        <v>#NAME?</v>
      </c>
      <c r="AZ37" s="220">
        <v>10</v>
      </c>
      <c r="BA37" s="221">
        <v>1</v>
      </c>
      <c r="BB37" s="227" t="b">
        <v>1</v>
      </c>
      <c r="BC37" s="223" t="b">
        <v>0</v>
      </c>
      <c r="BD37" s="228" t="b">
        <v>1</v>
      </c>
      <c r="BE37" s="229" t="b">
        <v>1</v>
      </c>
      <c r="BF37" s="179">
        <v>1</v>
      </c>
      <c r="BG37" s="225" t="str">
        <f>IF(BC37=FALSE,"",MIN(BH37:$BK37)-ROUND(($BK37-1-ROUND(80/$AZ37,0))/COUNTIF($BB37:$BE37,TRUE),0))</f>
        <v/>
      </c>
      <c r="BH37" s="225">
        <f>IF(BD37=FALSE,"",MIN(BI37:$BK37)-ROUND(($BK37-1-ROUND(80/$AZ37,0))/COUNTIF($BB37:$BE37,TRUE),0))</f>
        <v>9</v>
      </c>
      <c r="BI37" s="225">
        <f>IF(BE37=FALSE,"",MIN(BJ37:$BK37)-ROUND(($BK37-1-ROUND(80/$AZ37,0))/COUNTIF($BB37:$BE37,TRUE),0))</f>
        <v>38</v>
      </c>
      <c r="BJ37" s="225">
        <f>IF(BB37=FALSE,"",MIN($BK37:BK37)-ROUND(($BK37-1-ROUND(80/$AZ37,0))/COUNTIF($BB37:$BE37,TRUE),0))</f>
        <v>67</v>
      </c>
      <c r="BK37" s="107">
        <f>101-ROUND(Ag!BU$7*100,0)</f>
        <v>96</v>
      </c>
      <c r="BL37" s="63">
        <v>1</v>
      </c>
      <c r="BM37" s="82">
        <f t="array" ref="BM37">MIN(BL37,INDEX([1]Basic!L$26:L$34, MATCH([1]Basic!D$5,[1]Basic!B$26:B$34,0)))</f>
        <v>1</v>
      </c>
      <c r="BS37" s="359"/>
      <c r="BT37" s="361"/>
      <c r="BU37" s="392"/>
      <c r="BV37" s="359"/>
      <c r="BW37" s="361"/>
      <c r="BX37" s="392"/>
      <c r="BY37" s="359"/>
      <c r="BZ37" s="361"/>
      <c r="CA37" s="392"/>
      <c r="CC37" s="52"/>
      <c r="CD37" s="52"/>
      <c r="CE37" s="52"/>
      <c r="CP37" s="63">
        <v>64</v>
      </c>
      <c r="CQ37" s="63" t="s">
        <v>970</v>
      </c>
      <c r="DT37" s="171" t="s">
        <v>1029</v>
      </c>
      <c r="DU37" s="171" t="b">
        <v>1</v>
      </c>
      <c r="DV37" s="82">
        <v>3</v>
      </c>
      <c r="DW37" s="63">
        <v>0.1</v>
      </c>
      <c r="DZ37" s="391" t="str">
        <v>Religion Banned</v>
      </c>
      <c r="EA37" s="369">
        <v>0</v>
      </c>
      <c r="EB37" s="198" t="b">
        <v>0</v>
      </c>
      <c r="EC37">
        <v>0</v>
      </c>
      <c r="ED37" s="372" t="str">
        <v>Military Service</v>
      </c>
      <c r="EE37" s="369">
        <v>0</v>
      </c>
      <c r="EF37" s="204" t="b">
        <v>0</v>
      </c>
      <c r="EG37">
        <v>0</v>
      </c>
      <c r="EH37" s="372" t="str">
        <v>Jewelry</v>
      </c>
      <c r="EI37" s="369">
        <v>0</v>
      </c>
      <c r="EJ37" s="19" t="b">
        <v>0</v>
      </c>
    </row>
    <row r="38" spans="1:143" ht="14.25" thickTop="1" thickBot="1">
      <c r="G38" s="442" t="s">
        <v>664</v>
      </c>
      <c r="H38" s="355"/>
      <c r="I38" s="150" t="e">
        <f ca="1">ROUND(IF(I37&lt;0,ABS(I37/365),0),2)</f>
        <v>#N/A</v>
      </c>
      <c r="Z38" s="31"/>
      <c r="AA38" s="31"/>
      <c r="AB38" s="31"/>
      <c r="AC38" s="31"/>
      <c r="AD38" s="31"/>
      <c r="AE38" s="31"/>
      <c r="AF38" s="31"/>
      <c r="AG38" s="31"/>
      <c r="AH38" s="31"/>
      <c r="AI38" s="31"/>
      <c r="AK38" s="389"/>
      <c r="AL38" s="452" t="s">
        <v>180</v>
      </c>
      <c r="AM38" s="369"/>
      <c r="AN38" s="217">
        <v>100</v>
      </c>
      <c r="AO38" s="218" t="e">
        <f ca="1">ROUND(AN38*_xludf.ifs(
AND(AU38=TRUE,AW38=TRUE),1,
AU38=TRUE,AV38,
AW38=TRUE,AX38,
TRUE,1),0)</f>
        <v>#NAME?</v>
      </c>
      <c r="AP38" s="57" t="e">
        <f ca="1">ROUND(AO38/SUM(AO$32:AO$252)*AM$27,0)</f>
        <v>#NAME?</v>
      </c>
      <c r="AQ38" s="5" t="str">
        <f ca="1">IFERROR(__xludf.DUMMYFUNCTION("if(O38=0,"""",
filter(I$32:I37,row(I$32:I37)=max(filter(arrayformula(row(I$32:I37)),I$32:I37&lt;&gt;"""")))+
filter(G$32:G37,row(G$32:G37)=max(filter(arrayformula(row(G$32:G37)),G$32:G37&lt;&gt;"""")))
)"),"")</f>
        <v/>
      </c>
      <c r="AR38" s="198" t="str">
        <f ca="1">IFERROR(__xludf.DUMMYFUNCTION("if(G38="""","""",G38-(
filter(G$32:G$252,row(G$32:G$252)=max(filter(arrayformula(row(G$32:G$252)),G$32:G$252&lt;&gt;"""")))
-(10001-
filter(I$32:I$252,row(I$32:I$252)=max(filter(arrayformula(row(I$32:I$252)),I$32:I$252&lt;&gt;""""))))))"),"")</f>
        <v/>
      </c>
      <c r="AS38" s="202" t="e">
        <f ca="1">IF(AY38=0,"",ROUND(AY38/AM$3*10000,0))</f>
        <v>#NAME?</v>
      </c>
      <c r="AT38" s="219" t="b">
        <v>0</v>
      </c>
      <c r="AU38" s="179" t="b">
        <f>OR(AM17)</f>
        <v>0</v>
      </c>
      <c r="AV38" s="220">
        <v>0.01</v>
      </c>
      <c r="AW38" s="82" t="b">
        <f>OR(AU7,AU8,AU9,AU10,AU11,AU12,AU22,AU25,AU20,AQ7,AQ20,AQ19)</f>
        <v>0</v>
      </c>
      <c r="AX38" s="220">
        <v>4</v>
      </c>
      <c r="AY38" s="56" t="e">
        <f ca="1">MAX(ROUND(AP38*(AM$1/AM$27),0),IF(AT38=TRUE,1,0))</f>
        <v>#NAME?</v>
      </c>
      <c r="AZ38" s="220">
        <v>10</v>
      </c>
      <c r="BA38" s="221">
        <v>2</v>
      </c>
      <c r="BB38" s="227" t="b">
        <v>1</v>
      </c>
      <c r="BC38" s="228" t="b">
        <v>1</v>
      </c>
      <c r="BD38" s="228" t="b">
        <v>1</v>
      </c>
      <c r="BE38" s="229" t="b">
        <v>1</v>
      </c>
      <c r="BF38" s="179">
        <v>1</v>
      </c>
      <c r="BG38" s="225">
        <f>IF(BC38=FALSE,"",MIN(BH38:$BK38)-ROUND(($BK38-1-ROUND(80/$AZ38,0))/COUNTIF($BB38:$BE38,TRUE),0))</f>
        <v>8</v>
      </c>
      <c r="BH38" s="225">
        <f>IF(BD38=FALSE,"",MIN(BI38:$BK38)-ROUND(($BK38-1-ROUND(80/$AZ38,0))/COUNTIF($BB38:$BE38,TRUE),0))</f>
        <v>30</v>
      </c>
      <c r="BI38" s="225">
        <f>IF(BE38=FALSE,"",MIN(BJ38:$BK38)-ROUND(($BK38-1-ROUND(80/$AZ38,0))/COUNTIF($BB38:$BE38,TRUE),0))</f>
        <v>52</v>
      </c>
      <c r="BJ38" s="225">
        <f>IF(BB38=FALSE,"",MIN($BK38:BK38)-ROUND(($BK38-1-ROUND(80/$AZ38,0))/COUNTIF($BB38:$BE38,TRUE),0))</f>
        <v>74</v>
      </c>
      <c r="BK38" s="107">
        <f>101-ROUND(Ag!BU$7*100,0)</f>
        <v>96</v>
      </c>
      <c r="BL38" s="63">
        <v>1</v>
      </c>
      <c r="BM38" s="82">
        <f t="array" ref="BM38">MIN(BL38,INDEX([1]Basic!L$26:L$34, MATCH([1]Basic!D$5,[1]Basic!B$26:B$34,0)))</f>
        <v>1</v>
      </c>
      <c r="BS38" s="473" t="e">
        <f ca="1">_xludf.ifs(
NOT(AND(BU36&gt;=1,BU36&lt;=100)),"Roll d100",
Ag!BS16=0,"None",
BU36&gt;=Ag!BB260,BU16,
BU36&gt;=ROUND(Ag!BB260*(2/3),0),BY16,
TRUE,CC16)</f>
        <v>#NAME?</v>
      </c>
      <c r="BT38" s="354"/>
      <c r="BU38" s="355"/>
      <c r="BV38" s="473" t="e">
        <f ca="1">_xludf.ifs(
BX36="","Roll d100",
BU36="","Roll Healer",
Ag!BS16=0,"None",
MATCH(BS38,Ag!BX6:CG6,0)&lt;MATCH(Ag!BU16,Ag!BX6:CG6,0),Ag!BU16,
Ag!BW16&gt;1,Ag!BU16,
TRUE,Ag!BY16
)</f>
        <v>#NAME?</v>
      </c>
      <c r="BW38" s="354"/>
      <c r="BX38" s="355"/>
      <c r="BY38" s="473" t="e">
        <f ca="1">_xludf.ifs(
CA36="","Roll d100",
CA36&gt;51,Ag!BU23,
CA36&gt;26,Ag!BY23,
TRUE,Ag!CC23)</f>
        <v>#NAME?</v>
      </c>
      <c r="BZ38" s="354"/>
      <c r="CA38" s="355"/>
      <c r="CC38" s="52"/>
      <c r="CD38" s="52"/>
      <c r="CE38" s="52"/>
      <c r="CP38" s="63">
        <v>65</v>
      </c>
      <c r="CQ38" s="63" t="s">
        <v>971</v>
      </c>
      <c r="DT38" s="171" t="s">
        <v>1030</v>
      </c>
      <c r="DU38" s="171" t="b">
        <v>1</v>
      </c>
      <c r="DV38" s="82">
        <v>3</v>
      </c>
      <c r="DW38" s="63">
        <v>0</v>
      </c>
      <c r="DZ38" s="391" t="str">
        <v>Slavery/Indenture Outlawed</v>
      </c>
      <c r="EA38" s="369">
        <v>0</v>
      </c>
      <c r="EB38" s="198" t="b">
        <v>0</v>
      </c>
      <c r="EC38">
        <v>0</v>
      </c>
      <c r="ED38" s="372" t="str">
        <v>Ongoing/Recent War</v>
      </c>
      <c r="EE38" s="393">
        <v>0</v>
      </c>
      <c r="EF38" s="198" t="b">
        <v>0</v>
      </c>
      <c r="EG38" s="8">
        <v>0</v>
      </c>
      <c r="EH38" s="469" t="str">
        <v>Livestock</v>
      </c>
      <c r="EI38" s="393">
        <v>0</v>
      </c>
      <c r="EJ38" s="19" t="b">
        <v>0</v>
      </c>
    </row>
    <row r="39" spans="1:143" ht="15.75" customHeight="1" thickTop="1" thickBot="1">
      <c r="T39" s="400" t="s">
        <v>745</v>
      </c>
      <c r="U39" s="354"/>
      <c r="V39" s="354"/>
      <c r="W39" s="355"/>
      <c r="Y39" s="193" t="str">
        <f ca="1">IFERROR(__xludf.DUMMYFUNCTION("sort(filter({A11:A37,arrayformula(round(D11:D37*Professions!C3))},D11:D37&lt;&gt;0),2,False)"),"Human")</f>
        <v>Human</v>
      </c>
      <c r="Z39" s="194">
        <f ca="1">IFERROR(__xludf.DUMMYFUNCTION("""COMPUTED_VALUE"""),3)</f>
        <v>3</v>
      </c>
      <c r="AA39" s="31"/>
      <c r="AB39" s="31"/>
      <c r="AC39" s="31"/>
      <c r="AD39" s="31"/>
      <c r="AE39" s="31"/>
      <c r="AF39" s="31"/>
      <c r="AG39" s="31"/>
      <c r="AH39" s="31"/>
      <c r="AI39" s="31"/>
      <c r="AK39" s="359"/>
      <c r="AL39" s="451" t="s">
        <v>185</v>
      </c>
      <c r="AM39" s="361"/>
      <c r="AN39" s="230">
        <v>25</v>
      </c>
      <c r="AO39" s="218" t="e">
        <f ca="1">ROUND(AN39*_xludf.ifs(
AND(AU39=TRUE,AW39=TRUE),1,
AU39=TRUE,AV39,
AW39=TRUE,AX39,
TRUE,1),0)</f>
        <v>#NAME?</v>
      </c>
      <c r="AP39" s="59" t="e">
        <f ca="1">ROUND(AO39/SUM(AO$32:AO$252)*AM$27,0)</f>
        <v>#NAME?</v>
      </c>
      <c r="AQ39" s="6" t="str">
        <f ca="1">IFERROR(__xludf.DUMMYFUNCTION("if(O39=0,"""",
filter(I$32:I38,row(I$32:I38)=max(filter(arrayformula(row(I$32:I38)),I$32:I38&lt;&gt;"""")))+
filter(G$32:G38,row(G$32:G38)=max(filter(arrayformula(row(G$32:G38)),G$32:G38&lt;&gt;"""")))
)"),"")</f>
        <v/>
      </c>
      <c r="AR39" s="198" t="str">
        <f ca="1">IFERROR(__xludf.DUMMYFUNCTION("if(G39="""","""",G39-(
filter(G$32:G$252,row(G$32:G$252)=max(filter(arrayformula(row(G$32:G$252)),G$32:G$252&lt;&gt;"""")))
-(10001-
filter(I$32:I$252,row(I$32:I$252)=max(filter(arrayformula(row(I$32:I$252)),I$32:I$252&lt;&gt;""""))))))"),"")</f>
        <v/>
      </c>
      <c r="AS39" s="203" t="e">
        <f ca="1">IF(AY39=0,"",ROUND(AY39/AM$3*10000,0))</f>
        <v>#NAME?</v>
      </c>
      <c r="AT39" s="231" t="b">
        <v>0</v>
      </c>
      <c r="AU39" s="78" t="b">
        <f>OR(AM8,AM18,AM21)</f>
        <v>0</v>
      </c>
      <c r="AV39" s="232">
        <v>0</v>
      </c>
      <c r="AW39" s="83" t="b">
        <f>OR(AQ23,AQ22,AQ16,AU20)</f>
        <v>0</v>
      </c>
      <c r="AX39" s="232">
        <v>4</v>
      </c>
      <c r="AY39" s="58" t="e">
        <f ca="1">MAX(ROUND(AP39*(AM$1/AM$27),0),IF(AT39=TRUE,1,0))</f>
        <v>#NAME?</v>
      </c>
      <c r="AZ39" s="232">
        <v>5</v>
      </c>
      <c r="BA39" s="233">
        <v>2</v>
      </c>
      <c r="BB39" s="227" t="b">
        <v>1</v>
      </c>
      <c r="BC39" s="223" t="b">
        <v>0</v>
      </c>
      <c r="BD39" s="223" t="b">
        <v>0</v>
      </c>
      <c r="BE39" s="224" t="b">
        <v>0</v>
      </c>
      <c r="BF39" s="179">
        <v>1</v>
      </c>
      <c r="BG39" s="225" t="str">
        <f>IF(BC39=FALSE,"",MIN(BH39:$BK39)-ROUND(($BK39-1-ROUND(80/$AZ39,0))/COUNTIF($BB39:$BE39,TRUE),0))</f>
        <v/>
      </c>
      <c r="BH39" s="225" t="str">
        <f>IF(BD39=FALSE,"",MIN(BI39:$BK39)-ROUND(($BK39-1-ROUND(80/$AZ39,0))/COUNTIF($BB39:$BE39,TRUE),0))</f>
        <v/>
      </c>
      <c r="BI39" s="225" t="str">
        <f>IF(BE39=FALSE,"",MIN(BJ39:$BK39)-ROUND(($BK39-1-ROUND(80/$AZ39,0))/COUNTIF($BB39:$BE39,TRUE),0))</f>
        <v/>
      </c>
      <c r="BJ39" s="225">
        <f>IF(BB39=FALSE,"",MIN($BK39:BK39)-ROUND(($BK39-1-ROUND(80/$AZ39,0))/COUNTIF($BB39:$BE39,TRUE),0))</f>
        <v>17</v>
      </c>
      <c r="BK39" s="107">
        <f>101-ROUND(Ag!BU$7*100,0)</f>
        <v>96</v>
      </c>
      <c r="BL39" s="63">
        <v>1</v>
      </c>
      <c r="BM39" s="82">
        <f t="array" ref="BM39">MIN(BL39,INDEX([1]Basic!L$26:L$34, MATCH([1]Basic!D$5,[1]Basic!B$26:B$34,0)))</f>
        <v>1</v>
      </c>
      <c r="BS39" s="474" t="s">
        <v>904</v>
      </c>
      <c r="BT39" s="354"/>
      <c r="BU39" s="355"/>
      <c r="BV39" s="474" t="s">
        <v>905</v>
      </c>
      <c r="BW39" s="354"/>
      <c r="BX39" s="355"/>
      <c r="BY39" s="474" t="s">
        <v>906</v>
      </c>
      <c r="BZ39" s="354"/>
      <c r="CA39" s="355"/>
      <c r="CE39" s="52"/>
      <c r="CP39" s="63">
        <v>91</v>
      </c>
      <c r="CQ39" s="63" t="s">
        <v>972</v>
      </c>
      <c r="DT39" s="167" t="s">
        <v>708</v>
      </c>
      <c r="DU39" s="167" t="b">
        <f t="array" ref="DU39">OR(EB$16:EB$17=DT39)</f>
        <v>0</v>
      </c>
      <c r="DV39" s="56">
        <f>IF(OR(EJ27=TRUE,EJ33=TRUE),4,1)</f>
        <v>1</v>
      </c>
      <c r="DW39" s="63">
        <v>0.05</v>
      </c>
      <c r="DZ39" s="391" t="str">
        <v>Acting is Banned</v>
      </c>
      <c r="EA39" s="369">
        <v>0</v>
      </c>
      <c r="EB39" s="198" t="b">
        <v>0</v>
      </c>
      <c r="EC39">
        <v>0</v>
      </c>
      <c r="ED39" s="372" t="str">
        <v>Adventurers/Sellswords</v>
      </c>
      <c r="EE39" s="393">
        <v>0</v>
      </c>
      <c r="EF39" s="198" t="b">
        <v>0</v>
      </c>
      <c r="EG39">
        <v>0</v>
      </c>
      <c r="EH39" s="372" t="str">
        <v>Medicine</v>
      </c>
      <c r="EI39" s="393">
        <v>0</v>
      </c>
      <c r="EJ39" s="198" t="b">
        <v>0</v>
      </c>
    </row>
    <row r="40" spans="1:143" ht="15.75" customHeight="1" thickTop="1" thickBot="1">
      <c r="T40" s="195"/>
      <c r="U40" s="168" t="s">
        <v>746</v>
      </c>
      <c r="V40" s="168" t="s">
        <v>747</v>
      </c>
      <c r="W40" s="168" t="s">
        <v>24</v>
      </c>
      <c r="Y40" s="167" t="str">
        <f ca="1">IFERROR(__xludf.DUMMYFUNCTION("""COMPUTED_VALUE"""),"Dwarf")</f>
        <v>Dwarf</v>
      </c>
      <c r="Z40" s="111">
        <f ca="1">IFERROR(__xludf.DUMMYFUNCTION("""COMPUTED_VALUE"""),2)</f>
        <v>2</v>
      </c>
      <c r="AA40" s="31"/>
      <c r="AB40" s="31"/>
      <c r="AC40" s="31"/>
      <c r="AD40" s="31"/>
      <c r="AE40" s="31"/>
      <c r="AF40" s="31"/>
      <c r="AG40" s="31"/>
      <c r="AH40" s="31"/>
      <c r="AI40" s="31"/>
      <c r="AK40" s="458" t="s">
        <v>785</v>
      </c>
      <c r="AL40" s="452" t="s">
        <v>190</v>
      </c>
      <c r="AM40" s="369"/>
      <c r="AN40" s="229">
        <v>1400</v>
      </c>
      <c r="AO40" s="54" t="e">
        <f ca="1">ROUND(AN40*_xludf.ifs(
AND(AU40=TRUE,AW40=TRUE),1,
AU40=TRUE,AV40,
AW40=TRUE,AX40,
TRUE,1),0)</f>
        <v>#NAME?</v>
      </c>
      <c r="AP40" s="118" t="e">
        <f ca="1">ROUND(AO40/SUM(AO$32:AO$252)*AM$27,0)</f>
        <v>#NAME?</v>
      </c>
      <c r="AQ40" s="5">
        <f ca="1">IFERROR(__xludf.DUMMYFUNCTION("if(O40=0,"""",
filter(I$32:I39,row(I$32:I39)=max(filter(arrayformula(row(I$32:I39)),I$32:I39&lt;&gt;"""")))+
filter(G$32:G39,row(G$32:G39)=max(filter(arrayformula(row(G$32:G39)),G$32:G39&lt;&gt;"""")))
)"),2224)</f>
        <v>2224</v>
      </c>
      <c r="AR40" s="17">
        <f ca="1">IFERROR(__xludf.DUMMYFUNCTION("if(G40="""","""",G40-(
filter(G$32:G$252,row(G$32:G$252)=max(filter(arrayformula(row(G$32:G$252)),G$32:G$252&lt;&gt;"""")))
-(10001-
filter(I$32:I$252,row(I$32:I$252)=max(filter(arrayformula(row(I$32:I$252)),I$32:I$252&lt;&gt;""""))))))"),2217)</f>
        <v>2217</v>
      </c>
      <c r="AS40" s="202" t="e">
        <f ca="1">IF(AY40=0,"",ROUND(AY40/AM$3*10000,0))</f>
        <v>#NAME?</v>
      </c>
      <c r="AT40" s="210" t="b">
        <v>0</v>
      </c>
      <c r="AU40" s="180" t="b">
        <f>OR(AQ18)</f>
        <v>0</v>
      </c>
      <c r="AV40" s="211">
        <v>0.75</v>
      </c>
      <c r="AW40" s="80" t="b">
        <f>OR(AM8)</f>
        <v>0</v>
      </c>
      <c r="AX40" s="211">
        <v>2</v>
      </c>
      <c r="AY40" s="56" t="e">
        <f ca="1">MAX(ROUND(AP40*(AM$1/AM$27),0),IF(AT40=TRUE,1,0))</f>
        <v>#NAME?</v>
      </c>
      <c r="AZ40" s="220">
        <v>1</v>
      </c>
      <c r="BA40" s="221">
        <v>0</v>
      </c>
      <c r="BB40" s="234" t="b">
        <v>0</v>
      </c>
      <c r="BC40" s="235" t="b">
        <v>0</v>
      </c>
      <c r="BD40" s="235" t="b">
        <v>0</v>
      </c>
      <c r="BE40" s="236" t="b">
        <v>0</v>
      </c>
      <c r="BF40" s="180">
        <v>1</v>
      </c>
      <c r="BG40" s="216" t="str">
        <f>IF(BC40=FALSE,"",MIN(BH40:$BK40)-ROUND(($BK40-1-ROUND(80/$AZ40,0))/COUNTIF($BB40:$BE40,TRUE),0))</f>
        <v/>
      </c>
      <c r="BH40" s="216" t="str">
        <f>IF(BD40=FALSE,"",MIN(BI40:$BK40)-ROUND(($BK40-1-ROUND(80/$AZ40,0))/COUNTIF($BB40:$BE40,TRUE),0))</f>
        <v/>
      </c>
      <c r="BI40" s="216" t="str">
        <f>IF(BE40=FALSE,"",MIN(BJ40:$BK40)-ROUND(($BK40-1-ROUND(80/$AZ40,0))/COUNTIF($BB40:$BE40,TRUE),0))</f>
        <v/>
      </c>
      <c r="BJ40" s="216" t="str">
        <f>IF(BB40=FALSE,"",MIN($BK40:BK40)-ROUND(($BK40-1-ROUND(80/$AZ40,0))/COUNTIF($BB40:$BE40,TRUE),0))</f>
        <v/>
      </c>
      <c r="BK40" s="177">
        <f>101-ROUND(Ag!BU$7*100,0)</f>
        <v>96</v>
      </c>
      <c r="BL40" s="61">
        <v>1</v>
      </c>
      <c r="BM40" s="82">
        <f t="array" ref="BM40">MIN(BL40,INDEX([1]Basic!L$26:L$34, MATCH([1]Basic!D$5,[1]Basic!B$26:B$34,0)))</f>
        <v>1</v>
      </c>
      <c r="BS40" s="387" t="s">
        <v>474</v>
      </c>
      <c r="BT40" s="358"/>
      <c r="BU40" s="483">
        <f>[1]Entry!H89</f>
        <v>0</v>
      </c>
      <c r="BV40" s="414" t="s">
        <v>474</v>
      </c>
      <c r="BW40" s="355"/>
      <c r="BX40" s="77">
        <f>[1]Entry!G90</f>
        <v>0</v>
      </c>
      <c r="BY40" s="414" t="s">
        <v>474</v>
      </c>
      <c r="BZ40" s="355"/>
      <c r="CA40" s="77">
        <f>[1]Entry!G91</f>
        <v>0</v>
      </c>
      <c r="CP40" s="66">
        <v>99</v>
      </c>
      <c r="CQ40" s="66" t="s">
        <v>973</v>
      </c>
      <c r="DT40" s="167" t="s">
        <v>717</v>
      </c>
      <c r="DU40" s="167" t="b">
        <f t="array" ref="DU40">OR(EB$16:EB$17=DT40)</f>
        <v>0</v>
      </c>
      <c r="DV40" s="56">
        <f>IF(EJ33=TRUE,4,2)</f>
        <v>2</v>
      </c>
      <c r="DW40" s="63">
        <v>0</v>
      </c>
      <c r="DZ40" s="391" t="str">
        <v>No Unemployment</v>
      </c>
      <c r="EA40" s="369">
        <v>0</v>
      </c>
      <c r="EB40" s="198" t="b">
        <v>0</v>
      </c>
      <c r="EC40">
        <v>0</v>
      </c>
      <c r="ED40" s="372" t="str">
        <v>Beauracracy</v>
      </c>
      <c r="EE40" s="393">
        <v>0</v>
      </c>
      <c r="EF40" s="200" t="b">
        <v>0</v>
      </c>
      <c r="EG40">
        <v>0</v>
      </c>
      <c r="EH40" s="469" t="str">
        <v>Metalwork</v>
      </c>
      <c r="EI40" s="369">
        <v>0</v>
      </c>
      <c r="EJ40" s="19" t="b">
        <v>0</v>
      </c>
    </row>
    <row r="41" spans="1:143" ht="15.75" customHeight="1" thickTop="1" thickBot="1">
      <c r="T41" s="196" t="s">
        <v>26</v>
      </c>
      <c r="U41" s="61">
        <v>0</v>
      </c>
      <c r="V41" s="61">
        <v>0</v>
      </c>
      <c r="W41" s="61">
        <v>0</v>
      </c>
      <c r="Y41" s="167" t="str">
        <f ca="1">IFERROR(__xludf.DUMMYFUNCTION("""COMPUTED_VALUE"""),"Elf")</f>
        <v>Elf</v>
      </c>
      <c r="Z41" s="111">
        <f ca="1">IFERROR(__xludf.DUMMYFUNCTION("""COMPUTED_VALUE"""),2)</f>
        <v>2</v>
      </c>
      <c r="AA41" s="31"/>
      <c r="AB41" s="31"/>
      <c r="AC41" s="31"/>
      <c r="AD41" s="31"/>
      <c r="AE41" s="31"/>
      <c r="AF41" s="31"/>
      <c r="AG41" s="31"/>
      <c r="AH41" s="31"/>
      <c r="AI41" s="31"/>
      <c r="AK41" s="389"/>
      <c r="AL41" s="452" t="s">
        <v>196</v>
      </c>
      <c r="AM41" s="369"/>
      <c r="AN41" s="229">
        <v>120</v>
      </c>
      <c r="AO41" s="218" t="e">
        <f ca="1">ROUND(AN41*_xludf.ifs(
AND(AU41=TRUE,AW41=TRUE),1,
AU41=TRUE,AV41,
AW41=TRUE,AX41,
TRUE,1),0)</f>
        <v>#NAME?</v>
      </c>
      <c r="AP41" s="57" t="e">
        <f ca="1">ROUND(AO41/SUM(AO$32:AO$252)*AM$27,0)</f>
        <v>#NAME?</v>
      </c>
      <c r="AQ41" s="5" t="str">
        <f ca="1">IFERROR(__xludf.DUMMYFUNCTION("if(O41=0,"""",
filter(I$32:I40,row(I$32:I40)=max(filter(arrayformula(row(I$32:I40)),I$32:I40&lt;&gt;"""")))+
filter(G$32:G40,row(G$32:G40)=max(filter(arrayformula(row(G$32:G40)),G$32:G40&lt;&gt;"""")))
)"),"")</f>
        <v/>
      </c>
      <c r="AR41" s="198" t="str">
        <f ca="1">IFERROR(__xludf.DUMMYFUNCTION("if(G41="""","""",G41-(
filter(G$32:G$252,row(G$32:G$252)=max(filter(arrayformula(row(G$32:G$252)),G$32:G$252&lt;&gt;"""")))
-(10001-
filter(I$32:I$252,row(I$32:I$252)=max(filter(arrayformula(row(I$32:I$252)),I$32:I$252&lt;&gt;""""))))))"),"")</f>
        <v/>
      </c>
      <c r="AS41" s="202" t="e">
        <f ca="1">IF(AY41=0,"",ROUND(AY41/AM$3*10000,0))</f>
        <v>#NAME?</v>
      </c>
      <c r="AT41" s="219" t="b">
        <v>0</v>
      </c>
      <c r="AU41" s="179" t="b">
        <f>OR(AM23)</f>
        <v>0</v>
      </c>
      <c r="AV41" s="220">
        <v>0.01</v>
      </c>
      <c r="AW41" s="82" t="b">
        <f>IF(AM23=TRUE,FALSE,OR(AU22,AM8,AQ18,AQ13,AQ19,AQ14))</f>
        <v>0</v>
      </c>
      <c r="AX41" s="220">
        <v>2</v>
      </c>
      <c r="AY41" s="56" t="e">
        <f ca="1">MAX(ROUND(AP41*(AM$1/AM$27),0),IF(AT41=TRUE,1,0))</f>
        <v>#NAME?</v>
      </c>
      <c r="AZ41" s="220">
        <v>5</v>
      </c>
      <c r="BA41" s="221">
        <v>2</v>
      </c>
      <c r="BB41" s="227" t="b">
        <v>1</v>
      </c>
      <c r="BC41" s="223" t="b">
        <v>0</v>
      </c>
      <c r="BD41" s="228" t="b">
        <v>1</v>
      </c>
      <c r="BE41" s="229" t="b">
        <v>1</v>
      </c>
      <c r="BF41" s="179">
        <v>1</v>
      </c>
      <c r="BG41" s="225" t="str">
        <f>IF(BC41=FALSE,"",MIN(BH41:$BK41)-ROUND(($BK41-1-ROUND(80/$AZ41,0))/COUNTIF($BB41:$BE41,TRUE),0))</f>
        <v/>
      </c>
      <c r="BH41" s="225">
        <f>IF(BD41=FALSE,"",MIN(BI41:$BK41)-ROUND(($BK41-1-ROUND(80/$AZ41,0))/COUNTIF($BB41:$BE41,TRUE),0))</f>
        <v>18</v>
      </c>
      <c r="BI41" s="225">
        <f>IF(BE41=FALSE,"",MIN(BJ41:$BK41)-ROUND(($BK41-1-ROUND(80/$AZ41,0))/COUNTIF($BB41:$BE41,TRUE),0))</f>
        <v>44</v>
      </c>
      <c r="BJ41" s="225">
        <f>IF(BB41=FALSE,"",MIN($BK41:BK41)-ROUND(($BK41-1-ROUND(80/$AZ41,0))/COUNTIF($BB41:$BE41,TRUE),0))</f>
        <v>70</v>
      </c>
      <c r="BK41" s="107">
        <f>101-ROUND(Ag!BU$7*100,0)</f>
        <v>96</v>
      </c>
      <c r="BL41" s="63">
        <v>1</v>
      </c>
      <c r="BM41" s="82">
        <f t="array" ref="BM41">MIN(BL41,INDEX([1]Basic!L$26:L$34, MATCH([1]Basic!D$5,[1]Basic!B$26:B$34,0)))</f>
        <v>1</v>
      </c>
      <c r="BS41" s="359"/>
      <c r="BT41" s="361"/>
      <c r="BU41" s="392"/>
      <c r="BV41" s="414" t="s">
        <v>907</v>
      </c>
      <c r="BW41" s="355"/>
      <c r="BX41" s="77">
        <f>[1]Entry!H90</f>
        <v>0</v>
      </c>
      <c r="BY41" s="414" t="s">
        <v>907</v>
      </c>
      <c r="BZ41" s="355"/>
      <c r="CA41" s="77">
        <f>[1]Entry!H91</f>
        <v>0</v>
      </c>
      <c r="DT41" s="171" t="s">
        <v>1031</v>
      </c>
      <c r="DU41" s="167" t="e">
        <f t="array" aca="1" ref="DU41" ca="1">OR(DZ16={"ET","EF","Dfd","Dwd"})</f>
        <v>#NAME?</v>
      </c>
      <c r="DV41" s="82">
        <v>3</v>
      </c>
      <c r="DW41" s="63">
        <v>0</v>
      </c>
      <c r="DZ41" s="391" t="str">
        <v>Artwork is Banned</v>
      </c>
      <c r="EA41" s="369">
        <v>0</v>
      </c>
      <c r="EB41" s="198" t="b">
        <v>0</v>
      </c>
      <c r="EC41">
        <v>0</v>
      </c>
      <c r="ED41" s="372" t="str">
        <v>Nobility/Wealthy Elite</v>
      </c>
      <c r="EE41" s="393">
        <v>0</v>
      </c>
      <c r="EF41" s="200" t="b">
        <v>0</v>
      </c>
      <c r="EG41">
        <v>0</v>
      </c>
      <c r="EH41" s="372" t="str">
        <v>Shipbuilding</v>
      </c>
      <c r="EI41" s="369">
        <v>0</v>
      </c>
      <c r="EJ41" s="19" t="b">
        <v>0</v>
      </c>
    </row>
    <row r="42" spans="1:143" ht="14.25" thickTop="1" thickBot="1">
      <c r="A42" s="400" t="s">
        <v>665</v>
      </c>
      <c r="B42" s="354"/>
      <c r="C42" s="354"/>
      <c r="D42" s="354"/>
      <c r="E42" s="355"/>
      <c r="T42" s="67" t="s">
        <v>25</v>
      </c>
      <c r="U42" s="63">
        <v>1</v>
      </c>
      <c r="V42" s="63">
        <v>1</v>
      </c>
      <c r="W42" s="63">
        <v>1</v>
      </c>
      <c r="Y42" s="167" t="str">
        <f ca="1">IFERROR(__xludf.DUMMYFUNCTION("""COMPUTED_VALUE"""),"Half Elf")</f>
        <v>Half Elf</v>
      </c>
      <c r="Z42" s="111">
        <f ca="1">IFERROR(__xludf.DUMMYFUNCTION("""COMPUTED_VALUE"""),2)</f>
        <v>2</v>
      </c>
      <c r="AA42" s="31"/>
      <c r="AB42" s="31"/>
      <c r="AC42" s="31"/>
      <c r="AD42" s="31"/>
      <c r="AE42" s="31"/>
      <c r="AF42" s="31"/>
      <c r="AG42" s="31"/>
      <c r="AH42" s="31"/>
      <c r="AI42" s="31"/>
      <c r="AK42" s="389"/>
      <c r="AL42" s="452" t="s">
        <v>202</v>
      </c>
      <c r="AM42" s="369"/>
      <c r="AN42" s="229">
        <v>30</v>
      </c>
      <c r="AO42" s="218" t="e">
        <f ca="1">ROUND(AN42*_xludf.ifs(
AND(AU42=TRUE,AW42=TRUE),1,
AU42=TRUE,AV42,
AW42=TRUE,AX42,
TRUE,1),0)</f>
        <v>#NAME?</v>
      </c>
      <c r="AP42" s="57" t="e">
        <f ca="1">ROUND(AO42/SUM(AO$32:AO$252)*AM$27,0)</f>
        <v>#NAME?</v>
      </c>
      <c r="AQ42" s="5" t="str">
        <f ca="1">IFERROR(__xludf.DUMMYFUNCTION("if(O42=0,"""",
filter(I$32:I41,row(I$32:I41)=max(filter(arrayformula(row(I$32:I41)),I$32:I41&lt;&gt;"""")))+
filter(G$32:G41,row(G$32:G41)=max(filter(arrayformula(row(G$32:G41)),G$32:G41&lt;&gt;"""")))
)"),"")</f>
        <v/>
      </c>
      <c r="AR42" s="198" t="str">
        <f ca="1">IFERROR(__xludf.DUMMYFUNCTION("if(G42="""","""",G42-(
filter(G$32:G$252,row(G$32:G$252)=max(filter(arrayformula(row(G$32:G$252)),G$32:G$252&lt;&gt;"""")))
-(10001-
filter(I$32:I$252,row(I$32:I$252)=max(filter(arrayformula(row(I$32:I$252)),I$32:I$252&lt;&gt;""""))))))"),"")</f>
        <v/>
      </c>
      <c r="AS42" s="198" t="e">
        <f ca="1">IF(AY42=0,"",ROUND(AY42/AM$3*10000,0))</f>
        <v>#NAME?</v>
      </c>
      <c r="AT42" s="237" t="b">
        <v>0</v>
      </c>
      <c r="AU42" s="57" t="b">
        <f>OR(AM17)</f>
        <v>0</v>
      </c>
      <c r="AV42" s="220">
        <v>0.01</v>
      </c>
      <c r="AW42" s="82" t="b">
        <f>OR(AM23,AQ19,AQ14,AQ13,AU7:AU25)</f>
        <v>0</v>
      </c>
      <c r="AX42" s="220">
        <f>IF(AM23=TRUE,5,3)</f>
        <v>3</v>
      </c>
      <c r="AY42" s="56" t="e">
        <f ca="1">MAX(ROUND(AP42*(AM$1/AM$27),0),IF(AT42=TRUE,1,0))</f>
        <v>#NAME?</v>
      </c>
      <c r="AZ42" s="220">
        <v>5</v>
      </c>
      <c r="BA42" s="221">
        <v>0</v>
      </c>
      <c r="BB42" s="222" t="b">
        <v>0</v>
      </c>
      <c r="BC42" s="223" t="b">
        <v>0</v>
      </c>
      <c r="BD42" s="223" t="b">
        <v>0</v>
      </c>
      <c r="BE42" s="229" t="b">
        <v>1</v>
      </c>
      <c r="BF42" s="179">
        <v>1</v>
      </c>
      <c r="BG42" s="225" t="str">
        <f>IF(BC42=FALSE,"",MIN(BH42:$BK42)-ROUND(($BK42-1-ROUND(80/$AZ42,0))/COUNTIF($BB42:$BE42,TRUE),0))</f>
        <v/>
      </c>
      <c r="BH42" s="225" t="str">
        <f>IF(BD42=FALSE,"",MIN(BI42:$BK42)-ROUND(($BK42-1-ROUND(80/$AZ42,0))/COUNTIF($BB42:$BE42,TRUE),0))</f>
        <v/>
      </c>
      <c r="BI42" s="225">
        <f>IF(BE42=FALSE,"",MIN(BJ42:$BK42)-ROUND(($BK42-1-ROUND(80/$AZ42,0))/COUNTIF($BB42:$BE42,TRUE),0))</f>
        <v>17</v>
      </c>
      <c r="BJ42" s="225" t="str">
        <f>IF(BB42=FALSE,"",MIN($BK42:BK42)-ROUND(($BK42-1-ROUND(80/$AZ42,0))/COUNTIF($BB42:$BE42,TRUE),0))</f>
        <v/>
      </c>
      <c r="BK42" s="107">
        <f>101-ROUND(Ag!BU$7*100,0)</f>
        <v>96</v>
      </c>
      <c r="BL42" s="63">
        <v>1</v>
      </c>
      <c r="BM42" s="82">
        <f t="array" ref="BM42">MIN(BL42,INDEX([1]Basic!L$26:L$34, MATCH([1]Basic!D$5,[1]Basic!B$26:B$34,0)))</f>
        <v>1</v>
      </c>
      <c r="BS42" s="473" t="e">
        <f t="array" aca="1" ref="BS42" ca="1">_xludf.ifs(
BS38="None","None",
NOT(AND(BU40&gt;=1,BU40&lt;=100)),"Roll d100",
TRUE,INDEX(Ag!AZ266:BB306,MATCH(BU40+1,Ag!BB266:BB306,-1)))</f>
        <v>#NAME?</v>
      </c>
      <c r="BT42" s="354"/>
      <c r="BU42" s="355"/>
      <c r="BV42" s="473" t="str">
        <f ca="1">IFERROR(__xludf.DUMMYFUNCTION("ifs(
F40="""",""Roll d100"",
F41="""",""Roll d10"",
F36="""",""Roll Level"",
C36="""",""Roll Healer"",
NPCs!A16=0,""None"",
TRUE,index(
   filter(Professions!B32:B252,Professions!R32:R252=TRUE,Professions!P32:P252&gt;=match(D38,NPCs!F6:O6,0)),
   if(
      s"&amp;"um(F40,(F41-1)*100)&gt;rows(filter(Professions!B32:B252,Professions!R32:R252=TRUE,Professions!P32:P252&gt;=match(D38,NPCs!F6:O6,0))),
      mod(Sum(F40,(F41-1)*100),rows(filter(Professions!B32:B252,Professions!R32:R252=TRUE,Professions!P32:P252&gt;=match(D38,NPCs!"&amp;"F6:O6,0)))),
      Sum(F40,(F41-1)*100))
  )
)"),"Roll d100")</f>
        <v>Roll d100</v>
      </c>
      <c r="BW42" s="354"/>
      <c r="BX42" s="355"/>
      <c r="BY42" s="473" t="str">
        <f ca="1">IFERROR(__xludf.DUMMYFUNCTION("ifs(
I40="""",""Roll d100"",
I41="""",""Roll d10"",
I36="""",""Roll Level"",
NPCs!A23=0,""None"",
TRUE,index(
   filter(Professions!B32:B252,Professions!U32:U252=TRUE,Professions!P32:P252&gt;=match(G38,NPCs!F6:O6,0)),
   if(
      sum(I40,(I41-1)*100)&gt;rows(f"&amp;"ilter(Professions!B32:B252,Professions!U32:U252=TRUE,Professions!P32:P252&gt;=match(G38,NPCs!F6:O6,0))),
      mod(Sum(I40,(I41-1)*100),rows(filter(Professions!B32:B252,Professions!U32:U252=TRUE,Professions!P32:P252&gt;=match(G38,NPCs!F6:O6,0)))),
      Sum(I40"&amp;",(I41-1)*100))
  )
)"),"Roll d100")</f>
        <v>Roll d100</v>
      </c>
      <c r="BZ42" s="354"/>
      <c r="CA42" s="355"/>
      <c r="CP42" s="401" t="s">
        <v>974</v>
      </c>
      <c r="CQ42" s="358"/>
      <c r="CS42" s="388" t="s">
        <v>975</v>
      </c>
      <c r="CT42" s="358"/>
      <c r="DT42" s="167" t="s">
        <v>711</v>
      </c>
      <c r="DU42" s="167" t="b">
        <f t="array" ref="DU42">OR(EB$16:EB$17=DT42)</f>
        <v>0</v>
      </c>
      <c r="DV42" s="56">
        <f>IF(EJ33=TRUE,5,2)</f>
        <v>2</v>
      </c>
      <c r="DW42" s="63">
        <v>0.05</v>
      </c>
      <c r="DZ42" s="454" t="str">
        <v>No Significant Waterway</v>
      </c>
      <c r="EA42" s="361">
        <v>0</v>
      </c>
      <c r="EB42" s="206" t="b">
        <v>0</v>
      </c>
      <c r="EC42" s="52">
        <v>0</v>
      </c>
      <c r="ED42" s="387" t="str">
        <v>Beggars</v>
      </c>
      <c r="EE42" s="358">
        <v>0</v>
      </c>
      <c r="EF42" s="199" t="b">
        <v>0</v>
      </c>
      <c r="EG42">
        <v>0</v>
      </c>
      <c r="EH42" s="372" t="str">
        <v>Slaves</v>
      </c>
      <c r="EI42" s="369">
        <v>0</v>
      </c>
      <c r="EJ42" s="198" t="b">
        <v>0</v>
      </c>
    </row>
    <row r="43" spans="1:143" ht="14.25" thickTop="1" thickBot="1">
      <c r="A43" s="68" t="s">
        <v>635</v>
      </c>
      <c r="B43" s="26" t="s">
        <v>666</v>
      </c>
      <c r="C43" s="26" t="s">
        <v>667</v>
      </c>
      <c r="D43" s="26" t="s">
        <v>668</v>
      </c>
      <c r="E43" s="68" t="s">
        <v>669</v>
      </c>
      <c r="T43" s="67" t="s">
        <v>36</v>
      </c>
      <c r="U43" s="63">
        <v>2</v>
      </c>
      <c r="V43" s="63">
        <v>2</v>
      </c>
      <c r="W43" s="63">
        <v>2</v>
      </c>
      <c r="Y43" s="167" t="str">
        <f ca="1">IFERROR(__xludf.DUMMYFUNCTION("""COMPUTED_VALUE"""),"Dragonborn")</f>
        <v>Dragonborn</v>
      </c>
      <c r="Z43" s="111">
        <f ca="1">IFERROR(__xludf.DUMMYFUNCTION("""COMPUTED_VALUE"""),1)</f>
        <v>1</v>
      </c>
      <c r="AA43" s="31"/>
      <c r="AB43" s="31"/>
      <c r="AC43" s="31"/>
      <c r="AD43" s="31"/>
      <c r="AE43" s="31"/>
      <c r="AF43" s="31"/>
      <c r="AG43" s="31"/>
      <c r="AH43" s="31"/>
      <c r="AI43" s="31"/>
      <c r="AK43" s="359"/>
      <c r="AL43" s="451" t="s">
        <v>207</v>
      </c>
      <c r="AM43" s="361"/>
      <c r="AN43" s="238">
        <v>34</v>
      </c>
      <c r="AO43" s="218" t="e">
        <f ca="1">ROUND(AN43*_xludf.ifs(
AND(AU43=TRUE,AW43=TRUE),1,
AU43=TRUE,AV43,
AW43=TRUE,AX43,
TRUE,1),0)</f>
        <v>#NAME?</v>
      </c>
      <c r="AP43" s="59" t="e">
        <f ca="1">ROUND(AO43/SUM(AO$32:AO$252)*AM$27,0)</f>
        <v>#NAME?</v>
      </c>
      <c r="AQ43" s="6" t="str">
        <f ca="1">IFERROR(__xludf.DUMMYFUNCTION("if(O43=0,"""",
filter(I$32:I42,row(I$32:I42)=max(filter(arrayformula(row(I$32:I42)),I$32:I42&lt;&gt;"""")))+
filter(G$32:G42,row(G$32:G42)=max(filter(arrayformula(row(G$32:G42)),G$32:G42&lt;&gt;"""")))
)"),"")</f>
        <v/>
      </c>
      <c r="AR43" s="206" t="str">
        <f ca="1">IFERROR(__xludf.DUMMYFUNCTION("if(G43="""","""",G43-(
filter(G$32:G$252,row(G$32:G$252)=max(filter(arrayformula(row(G$32:G$252)),G$32:G$252&lt;&gt;"""")))
-(10001-
filter(I$32:I$252,row(I$32:I$252)=max(filter(arrayformula(row(I$32:I$252)),I$32:I$252&lt;&gt;""""))))))"),"")</f>
        <v/>
      </c>
      <c r="AS43" s="206" t="e">
        <f ca="1">IF(AY43=0,"",ROUND(AY43/AM$3*10000,0))</f>
        <v>#NAME?</v>
      </c>
      <c r="AT43" s="239" t="b">
        <v>0</v>
      </c>
      <c r="AU43" s="59"/>
      <c r="AV43" s="232">
        <v>0.01</v>
      </c>
      <c r="AW43" s="83"/>
      <c r="AX43" s="232">
        <v>2</v>
      </c>
      <c r="AY43" s="58" t="e">
        <f ca="1">MAX(ROUND(AP43*(AM$1/AM$27),0),IF(AT43=TRUE,1,0))</f>
        <v>#NAME?</v>
      </c>
      <c r="AZ43" s="232">
        <v>1</v>
      </c>
      <c r="BA43" s="233">
        <v>0</v>
      </c>
      <c r="BB43" s="222" t="b">
        <v>0</v>
      </c>
      <c r="BC43" s="223" t="b">
        <v>0</v>
      </c>
      <c r="BD43" s="223" t="b">
        <v>0</v>
      </c>
      <c r="BE43" s="224" t="b">
        <v>0</v>
      </c>
      <c r="BF43" s="78">
        <v>1</v>
      </c>
      <c r="BG43" s="240" t="str">
        <f>IF(BC43=FALSE,"",MIN(BH43:$BK43)-ROUND(($BK43-1-ROUND(80/$AZ43,0))/COUNTIF($BB43:$BE43,TRUE),0))</f>
        <v/>
      </c>
      <c r="BH43" s="240" t="str">
        <f>IF(BD43=FALSE,"",MIN(BI43:$BK43)-ROUND(($BK43-1-ROUND(80/$AZ43,0))/COUNTIF($BB43:$BE43,TRUE),0))</f>
        <v/>
      </c>
      <c r="BI43" s="240" t="str">
        <f>IF(BE43=FALSE,"",MIN(BJ43:$BK43)-ROUND(($BK43-1-ROUND(80/$AZ43,0))/COUNTIF($BB43:$BE43,TRUE),0))</f>
        <v/>
      </c>
      <c r="BJ43" s="240" t="str">
        <f>IF(BB43=FALSE,"",MIN($BK43:BK43)-ROUND(($BK43-1-ROUND(80/$AZ43,0))/COUNTIF($BB43:$BE43,TRUE),0))</f>
        <v/>
      </c>
      <c r="BK43" s="192">
        <f>101-ROUND(Ag!BU$7*100,0)</f>
        <v>96</v>
      </c>
      <c r="BL43" s="66">
        <v>1</v>
      </c>
      <c r="BM43" s="82">
        <f t="array" ref="BM43">MIN(BL43,INDEX([1]Basic!L$26:L$34, MATCH([1]Basic!D$5,[1]Basic!B$26:B$34,0)))</f>
        <v>1</v>
      </c>
      <c r="CP43" s="441">
        <f ca="1">IFERROR(__xludf.DUMMYFUNCTION("filter(B21:B29,B21:B29&lt;=C7)"),1)</f>
        <v>1</v>
      </c>
      <c r="CQ43" s="358"/>
      <c r="CS43" s="196" t="s">
        <v>976</v>
      </c>
      <c r="CT43" s="196">
        <v>25</v>
      </c>
      <c r="DT43" s="171" t="s">
        <v>1032</v>
      </c>
      <c r="DU43" s="171" t="b">
        <v>1</v>
      </c>
      <c r="DV43" s="82">
        <v>5</v>
      </c>
      <c r="DW43" s="63">
        <v>0</v>
      </c>
      <c r="DZ43" s="197">
        <v>0</v>
      </c>
      <c r="EA43" s="2">
        <v>0</v>
      </c>
      <c r="EB43" s="52">
        <v>0</v>
      </c>
      <c r="EC43" s="52">
        <v>0</v>
      </c>
      <c r="ED43" s="372" t="str">
        <v>Eldery</v>
      </c>
      <c r="EE43" s="369">
        <v>0</v>
      </c>
      <c r="EF43" s="200" t="b">
        <v>0</v>
      </c>
      <c r="EG43" s="2">
        <v>0</v>
      </c>
      <c r="EH43" s="469" t="str">
        <v>Technology</v>
      </c>
      <c r="EI43" s="369">
        <v>0</v>
      </c>
      <c r="EJ43" s="19" t="b">
        <v>0</v>
      </c>
    </row>
    <row r="44" spans="1:143" ht="14.25" thickTop="1" thickBot="1">
      <c r="A44" s="95" t="s">
        <v>670</v>
      </c>
      <c r="B44" s="63">
        <v>4.5999999999999996</v>
      </c>
      <c r="C44" s="63">
        <v>1528</v>
      </c>
      <c r="D44" s="111">
        <f>ROUND(C44*0.239006*10000,0)</f>
        <v>3652012</v>
      </c>
      <c r="E44" s="151">
        <f>D44*B44</f>
        <v>16799255.199999999</v>
      </c>
      <c r="T44" s="67" t="s">
        <v>29</v>
      </c>
      <c r="U44" s="63">
        <v>4</v>
      </c>
      <c r="V44" s="63">
        <v>4</v>
      </c>
      <c r="W44" s="63">
        <v>3</v>
      </c>
      <c r="Y44" s="167" t="str">
        <f ca="1">IFERROR(__xludf.DUMMYFUNCTION("""COMPUTED_VALUE"""),"Gnome")</f>
        <v>Gnome</v>
      </c>
      <c r="Z44" s="111">
        <f ca="1">IFERROR(__xludf.DUMMYFUNCTION("""COMPUTED_VALUE"""),1)</f>
        <v>1</v>
      </c>
      <c r="AA44" s="31"/>
      <c r="AB44" s="31"/>
      <c r="AC44" s="31"/>
      <c r="AD44" s="31"/>
      <c r="AE44" s="31"/>
      <c r="AF44" s="31"/>
      <c r="AG44" s="31"/>
      <c r="AH44" s="31"/>
      <c r="AI44" s="31"/>
      <c r="AK44" s="458" t="s">
        <v>786</v>
      </c>
      <c r="AL44" s="452" t="s">
        <v>213</v>
      </c>
      <c r="AM44" s="369"/>
      <c r="AN44" s="229">
        <v>6</v>
      </c>
      <c r="AO44" s="54" t="e">
        <f ca="1">ROUND(AN44*_xludf.ifs(
AND(AU44=TRUE,AW44=TRUE),1,
AU44=TRUE,AV44,
AW44=TRUE,AX44,
TRUE,1),0)</f>
        <v>#NAME?</v>
      </c>
      <c r="AP44" s="118" t="e">
        <f ca="1">ROUND(AO44/SUM(AO$32:AO$252)*AM$27,0)</f>
        <v>#NAME?</v>
      </c>
      <c r="AQ44" s="5" t="str">
        <f ca="1">IFERROR(__xludf.DUMMYFUNCTION("if(O44=0,"""",
filter(I$32:I43,row(I$32:I43)=max(filter(arrayformula(row(I$32:I43)),I$32:I43&lt;&gt;"""")))+
filter(G$32:G43,row(G$32:G43)=max(filter(arrayformula(row(G$32:G43)),G$32:G43&lt;&gt;"""")))
)"),"")</f>
        <v/>
      </c>
      <c r="AR44" s="198" t="str">
        <f ca="1">IFERROR(__xludf.DUMMYFUNCTION("if(G44="""","""",G44-(
filter(G$32:G$252,row(G$32:G$252)=max(filter(arrayformula(row(G$32:G$252)),G$32:G$252&lt;&gt;"""")))
-(10001-
filter(I$32:I$252,row(I$32:I$252)=max(filter(arrayformula(row(I$32:I$252)),I$32:I$252&lt;&gt;""""))))))"),"")</f>
        <v/>
      </c>
      <c r="AS44" s="198" t="e">
        <f ca="1">IF(AY44=0,"",ROUND(AY44/AM$3*10000,0))</f>
        <v>#NAME?</v>
      </c>
      <c r="AT44" s="210" t="b">
        <v>0</v>
      </c>
      <c r="AU44" s="80"/>
      <c r="AV44" s="61">
        <v>0</v>
      </c>
      <c r="AW44" s="80" t="b">
        <f>OR(AQ22,AM8,AU11,AQ16,AQ13,AQ20,AM21)</f>
        <v>0</v>
      </c>
      <c r="AX44" s="211">
        <v>3</v>
      </c>
      <c r="AY44" s="56" t="e">
        <f ca="1">MAX(ROUND(AP44*(AM$1/AM$27),0),IF(AT44=TRUE,1,0))</f>
        <v>#NAME?</v>
      </c>
      <c r="AZ44" s="220">
        <v>5</v>
      </c>
      <c r="BA44" s="221">
        <v>0</v>
      </c>
      <c r="BB44" s="234" t="b">
        <v>0</v>
      </c>
      <c r="BC44" s="235" t="b">
        <v>0</v>
      </c>
      <c r="BD44" s="214" t="b">
        <v>1</v>
      </c>
      <c r="BE44" s="236" t="b">
        <v>0</v>
      </c>
      <c r="BF44" s="179">
        <v>1</v>
      </c>
      <c r="BG44" s="225" t="str">
        <f>IF(BC44=FALSE,"",MIN(BH44:$BK44)-ROUND(($BK44-1-ROUND(80/$AZ44,0))/COUNTIF($BB44:$BE44,TRUE),0))</f>
        <v/>
      </c>
      <c r="BH44" s="225">
        <f>IF(BD44=FALSE,"",MIN(BI44:$BK44)-ROUND(($BK44-1-ROUND(80/$AZ44,0))/COUNTIF($BB44:$BE44,TRUE),0))</f>
        <v>17</v>
      </c>
      <c r="BI44" s="225" t="str">
        <f>IF(BE44=FALSE,"",MIN(BJ44:$BK44)-ROUND(($BK44-1-ROUND(80/$AZ44,0))/COUNTIF($BB44:$BE44,TRUE),0))</f>
        <v/>
      </c>
      <c r="BJ44" s="225" t="str">
        <f>IF(BB44=FALSE,"",MIN($BK44:BK44)-ROUND(($BK44-1-ROUND(80/$AZ44,0))/COUNTIF($BB44:$BE44,TRUE),0))</f>
        <v/>
      </c>
      <c r="BK44" s="107">
        <f>101-ROUND(Ag!BU$7*100,0)</f>
        <v>96</v>
      </c>
      <c r="BL44" s="63">
        <v>2</v>
      </c>
      <c r="BM44" s="82">
        <f t="array" ref="BM44">MIN(BL44,INDEX([1]Basic!L$26:L$34, MATCH([1]Basic!D$5,[1]Basic!B$26:B$34,0)))</f>
        <v>2</v>
      </c>
      <c r="BS44" s="475" t="s">
        <v>908</v>
      </c>
      <c r="BT44" s="357"/>
      <c r="BU44" s="358"/>
      <c r="BV44" s="385" t="s">
        <v>909</v>
      </c>
      <c r="BW44" s="357"/>
      <c r="BX44" s="357"/>
      <c r="BY44" s="357"/>
      <c r="BZ44" s="357"/>
      <c r="CA44" s="357"/>
      <c r="CB44" s="358"/>
      <c r="CP44" s="425">
        <f ca="1">IFERROR(__xludf.DUMMYFUNCTION("""COMPUTED_VALUE"""),1)</f>
        <v>1</v>
      </c>
      <c r="CQ44" s="369"/>
      <c r="CS44" s="67" t="s">
        <v>977</v>
      </c>
      <c r="CT44" s="67">
        <v>20</v>
      </c>
      <c r="DT44" s="334" t="s">
        <v>93</v>
      </c>
      <c r="DU44" s="171" t="b">
        <v>1</v>
      </c>
      <c r="DV44" s="56">
        <f>IF(EJ37=TRUE,5,1)</f>
        <v>1</v>
      </c>
      <c r="DW44" s="63">
        <v>0</v>
      </c>
      <c r="DZ44" s="197">
        <v>0</v>
      </c>
      <c r="EA44" s="2">
        <v>0</v>
      </c>
      <c r="EB44" s="52">
        <v>0</v>
      </c>
      <c r="EC44" s="52">
        <v>0</v>
      </c>
      <c r="ED44" s="386" t="str">
        <v>Sick</v>
      </c>
      <c r="EE44" s="361">
        <v>0</v>
      </c>
      <c r="EF44" s="201" t="b">
        <v>0</v>
      </c>
      <c r="EG44" s="2">
        <v>0</v>
      </c>
      <c r="EH44" s="471" t="str">
        <v>Weapons</v>
      </c>
      <c r="EI44" s="361">
        <v>0</v>
      </c>
      <c r="EJ44" s="20" t="b">
        <v>0</v>
      </c>
    </row>
    <row r="45" spans="1:143" ht="14.25" thickTop="1" thickBot="1">
      <c r="A45" s="95" t="s">
        <v>671</v>
      </c>
      <c r="B45" s="63">
        <v>3.9</v>
      </c>
      <c r="C45" s="63">
        <v>1528</v>
      </c>
      <c r="D45" s="111">
        <f>ROUND(C45*0.239006*10000,0)</f>
        <v>3652012</v>
      </c>
      <c r="E45" s="151">
        <f>D45*B45</f>
        <v>14242846.799999999</v>
      </c>
      <c r="F45" s="152"/>
      <c r="G45" s="400" t="s">
        <v>128</v>
      </c>
      <c r="H45" s="354"/>
      <c r="I45" s="355"/>
      <c r="T45" s="67" t="s">
        <v>43</v>
      </c>
      <c r="U45" s="63">
        <v>16</v>
      </c>
      <c r="V45" s="63">
        <v>8</v>
      </c>
      <c r="W45" s="63">
        <v>4</v>
      </c>
      <c r="Y45" s="167" t="str">
        <f ca="1">IFERROR(__xludf.DUMMYFUNCTION("""COMPUTED_VALUE"""),"Half Orc")</f>
        <v>Half Orc</v>
      </c>
      <c r="Z45" s="111">
        <f ca="1">IFERROR(__xludf.DUMMYFUNCTION("""COMPUTED_VALUE"""),1)</f>
        <v>1</v>
      </c>
      <c r="AA45" s="31"/>
      <c r="AB45" s="31"/>
      <c r="AC45" s="31"/>
      <c r="AD45" s="31"/>
      <c r="AE45" s="31"/>
      <c r="AF45" s="31"/>
      <c r="AG45" s="31"/>
      <c r="AH45" s="31"/>
      <c r="AI45" s="31"/>
      <c r="AK45" s="389"/>
      <c r="AL45" s="452" t="s">
        <v>218</v>
      </c>
      <c r="AM45" s="369"/>
      <c r="AN45" s="229">
        <v>20</v>
      </c>
      <c r="AO45" s="218" t="e">
        <f ca="1">ROUND(AN45*_xludf.ifs(
AND(AU45=TRUE,AW45=TRUE),1,
AU45=TRUE,AV45,
AW45=TRUE,AX45,
TRUE,1),0)</f>
        <v>#NAME?</v>
      </c>
      <c r="AP45" s="57" t="e">
        <f ca="1">ROUND(AO45/SUM(AO$32:AO$252)*AM$27,0)</f>
        <v>#NAME?</v>
      </c>
      <c r="AQ45" s="5">
        <f ca="1">IFERROR(__xludf.DUMMYFUNCTION("if(O45=0,"""",
filter(I$32:I44,row(I$32:I44)=max(filter(arrayformula(row(I$32:I44)),I$32:I44&lt;&gt;"""")))+
filter(G$32:G44,row(G$32:G44)=max(filter(arrayformula(row(G$32:G44)),G$32:G44&lt;&gt;"""")))
)"),2780)</f>
        <v>2780</v>
      </c>
      <c r="AR45" s="198">
        <f ca="1">IFERROR(__xludf.DUMMYFUNCTION("if(G45="""","""",G45-(
filter(G$32:G$252,row(G$32:G$252)=max(filter(arrayformula(row(G$32:G$252)),G$32:G$252&lt;&gt;"""")))
-(10001-
filter(I$32:I$252,row(I$32:I$252)=max(filter(arrayformula(row(I$32:I$252)),I$32:I$252&lt;&gt;""""))))))"),2773)</f>
        <v>2773</v>
      </c>
      <c r="AS45" s="198" t="e">
        <f ca="1">IF(AY45=0,"",ROUND(AY45/AM$3*10000,0))</f>
        <v>#NAME?</v>
      </c>
      <c r="AT45" s="219" t="b">
        <v>1</v>
      </c>
      <c r="AU45" s="82"/>
      <c r="AV45" s="63">
        <v>0</v>
      </c>
      <c r="AW45" s="82" t="b">
        <f>OR(AQ7)</f>
        <v>0</v>
      </c>
      <c r="AX45" s="220">
        <v>2</v>
      </c>
      <c r="AY45" s="56" t="e">
        <f ca="1">MAX(ROUND(AP45*(AM$1/AM$27),0),IF(AT45=TRUE,1,0))</f>
        <v>#NAME?</v>
      </c>
      <c r="AZ45" s="220">
        <v>3</v>
      </c>
      <c r="BA45" s="221">
        <v>0</v>
      </c>
      <c r="BB45" s="222" t="b">
        <v>0</v>
      </c>
      <c r="BC45" s="223" t="b">
        <v>0</v>
      </c>
      <c r="BD45" s="223" t="b">
        <v>0</v>
      </c>
      <c r="BE45" s="224" t="b">
        <v>0</v>
      </c>
      <c r="BF45" s="179">
        <v>1</v>
      </c>
      <c r="BG45" s="225" t="str">
        <f>IF(BC45=FALSE,"",MIN(BH45:$BK45)-ROUND(($BK45-1-ROUND(80/$AZ45,0))/COUNTIF($BB45:$BE45,TRUE),0))</f>
        <v/>
      </c>
      <c r="BH45" s="225" t="str">
        <f>IF(BD45=FALSE,"",MIN(BI45:$BK45)-ROUND(($BK45-1-ROUND(80/$AZ45,0))/COUNTIF($BB45:$BE45,TRUE),0))</f>
        <v/>
      </c>
      <c r="BI45" s="225" t="str">
        <f>IF(BE45=FALSE,"",MIN(BJ45:$BK45)-ROUND(($BK45-1-ROUND(80/$AZ45,0))/COUNTIF($BB45:$BE45,TRUE),0))</f>
        <v/>
      </c>
      <c r="BJ45" s="225" t="str">
        <f>IF(BB45=FALSE,"",MIN($BK45:BK45)-ROUND(($BK45-1-ROUND(80/$AZ45,0))/COUNTIF($BB45:$BE45,TRUE),0))</f>
        <v/>
      </c>
      <c r="BK45" s="107">
        <f>101-ROUND(Ag!BU$7*100,0)</f>
        <v>96</v>
      </c>
      <c r="BL45" s="63">
        <v>2</v>
      </c>
      <c r="BM45" s="82">
        <f t="array" ref="BM45">MIN(BL45,INDEX([1]Basic!L$26:L$34, MATCH([1]Basic!D$5,[1]Basic!B$26:B$34,0)))</f>
        <v>2</v>
      </c>
      <c r="BS45" s="476" t="str">
        <f ca="1">IFERROR(__xludf.DUMMYFUNCTION("if(D45="""","""",if(isodd(D45),""Male "",""Female "")&amp;
if(or(E45&gt;Races!G$9,Races!G$9=1),index(Races!F$11:F$37,match(E45,Races!I$11:I$37)),index(Races!F$11:F$37,match(F45,Races!N$11:N$37)))&amp;"" ""&amp;
index(Professions!B$32:B$252,match(((G45-1)*100)+H45,Profes"&amp;"sions!H$32:H$252))&amp;"" (""&amp;
index(NPCs!F$6:O$6,,min(match(I45,NPCs!F$10:O$10),index(Professions!P$32:P$252,match(index(Professions!B$32:B$252,match(((G45-1)*100)+H45,Professions!H$32:H$252)),Professions!B$32:B$252,0))))&amp;"" ""&amp;
index(Professions!V$30:AA$30,"&amp;",match(J45,filter(Professions!V$32:AA$252,Professions!B$32:B$252=index(Professions!B$32:B$252,match(((G45-1)*100)+H45,Professions!H$32:H$252)))))&amp;"")"")"),"")</f>
        <v/>
      </c>
      <c r="BT45" s="357"/>
      <c r="BU45" s="358"/>
      <c r="BV45" s="308">
        <f t="array" ref="BV45:CB54">[1]Entry!A95:G104</f>
        <v>0</v>
      </c>
      <c r="BW45" s="308">
        <v>0</v>
      </c>
      <c r="BX45" s="308">
        <v>0</v>
      </c>
      <c r="BY45" s="308">
        <v>0</v>
      </c>
      <c r="BZ45" s="308">
        <v>0</v>
      </c>
      <c r="CA45" s="308">
        <v>0</v>
      </c>
      <c r="CB45" s="309">
        <v>0</v>
      </c>
      <c r="CE45" s="397" t="s">
        <v>910</v>
      </c>
      <c r="CF45" s="354"/>
      <c r="CG45" s="354"/>
      <c r="CH45" s="355"/>
      <c r="CI45" s="38"/>
      <c r="CP45" s="425">
        <f ca="1">IFERROR(__xludf.DUMMYFUNCTION("""COMPUTED_VALUE"""),1)</f>
        <v>1</v>
      </c>
      <c r="CQ45" s="369"/>
      <c r="CS45" s="67" t="s">
        <v>56</v>
      </c>
      <c r="CT45" s="67">
        <v>10</v>
      </c>
      <c r="DT45" s="167" t="s">
        <v>715</v>
      </c>
      <c r="DU45" s="167" t="b">
        <f t="array" ref="DU45">OR(EB$16:EB$17=DT45)</f>
        <v>0</v>
      </c>
      <c r="DV45" s="56">
        <f>IF(EJ33=TRUE,5,2)</f>
        <v>2</v>
      </c>
      <c r="DW45" s="63">
        <v>0</v>
      </c>
    </row>
    <row r="46" spans="1:143" ht="14.25" thickTop="1" thickBot="1">
      <c r="A46" s="95" t="s">
        <v>672</v>
      </c>
      <c r="B46" s="63">
        <v>2.8</v>
      </c>
      <c r="C46" s="63">
        <v>1369</v>
      </c>
      <c r="D46" s="111">
        <f>ROUND(C46*0.239006*10000,0)</f>
        <v>3271992</v>
      </c>
      <c r="E46" s="151">
        <f>D46*B46</f>
        <v>9161577.5999999996</v>
      </c>
      <c r="G46" s="388" t="s">
        <v>673</v>
      </c>
      <c r="H46" s="358"/>
      <c r="I46" s="61">
        <v>250</v>
      </c>
      <c r="T46" s="67" t="s">
        <v>41</v>
      </c>
      <c r="U46" s="63">
        <v>128</v>
      </c>
      <c r="V46" s="63">
        <v>16</v>
      </c>
      <c r="W46" s="63">
        <v>5</v>
      </c>
      <c r="Y46" s="167" t="str">
        <f ca="1">IFERROR(__xludf.DUMMYFUNCTION("""COMPUTED_VALUE"""),"Halfling")</f>
        <v>Halfling</v>
      </c>
      <c r="Z46" s="111">
        <f ca="1">IFERROR(__xludf.DUMMYFUNCTION("""COMPUTED_VALUE"""),1)</f>
        <v>1</v>
      </c>
      <c r="AA46" s="31"/>
      <c r="AB46" s="31"/>
      <c r="AC46" s="31"/>
      <c r="AD46" s="31"/>
      <c r="AE46" s="31"/>
      <c r="AF46" s="31"/>
      <c r="AG46" s="31"/>
      <c r="AH46" s="31"/>
      <c r="AI46" s="31"/>
      <c r="AK46" s="389"/>
      <c r="AL46" s="452" t="s">
        <v>224</v>
      </c>
      <c r="AM46" s="369"/>
      <c r="AN46" s="229">
        <v>50</v>
      </c>
      <c r="AO46" s="218" t="e">
        <f ca="1">ROUND(AN46*_xludf.ifs(
AND(AU46=TRUE,AW46=TRUE),1,
AU46=TRUE,AV46,
AW46=TRUE,AX46,
TRUE,1),0)</f>
        <v>#NAME?</v>
      </c>
      <c r="AP46" s="57" t="e">
        <f ca="1">ROUND(AO46/SUM(AO$32:AO$252)*AM$27,0)</f>
        <v>#NAME?</v>
      </c>
      <c r="AQ46" s="5" t="str">
        <f ca="1">IFERROR(__xludf.DUMMYFUNCTION("if(O46=0,"""",
filter(I$32:I45,row(I$32:I45)=max(filter(arrayformula(row(I$32:I45)),I$32:I45&lt;&gt;"""")))+
filter(G$32:G45,row(G$32:G45)=max(filter(arrayformula(row(G$32:G45)),G$32:G45&lt;&gt;"""")))
)"),"")</f>
        <v/>
      </c>
      <c r="AR46" s="198" t="str">
        <f ca="1">IFERROR(__xludf.DUMMYFUNCTION("if(G46="""","""",G46-(
filter(G$32:G$252,row(G$32:G$252)=max(filter(arrayformula(row(G$32:G$252)),G$32:G$252&lt;&gt;"""")))
-(10001-
filter(I$32:I$252,row(I$32:I$252)=max(filter(arrayformula(row(I$32:I$252)),I$32:I$252&lt;&gt;""""))))))"),"")</f>
        <v/>
      </c>
      <c r="AS46" s="198" t="e">
        <f ca="1">IF(AY46=0,"",ROUND(AY46/AM$3*10000,0))</f>
        <v>#NAME?</v>
      </c>
      <c r="AT46" s="219" t="b">
        <v>0</v>
      </c>
      <c r="AU46" s="82"/>
      <c r="AV46" s="63">
        <v>0</v>
      </c>
      <c r="AW46" s="82" t="b">
        <f>OR(AQ22)</f>
        <v>0</v>
      </c>
      <c r="AX46" s="220">
        <v>1.5</v>
      </c>
      <c r="AY46" s="56" t="e">
        <f ca="1">MAX(ROUND(AP46*(AM$1/AM$27),0),IF(AT46=TRUE,1,0))</f>
        <v>#NAME?</v>
      </c>
      <c r="AZ46" s="220">
        <v>3</v>
      </c>
      <c r="BA46" s="221">
        <v>0</v>
      </c>
      <c r="BB46" s="222" t="b">
        <v>0</v>
      </c>
      <c r="BC46" s="223" t="b">
        <v>0</v>
      </c>
      <c r="BD46" s="223" t="b">
        <v>0</v>
      </c>
      <c r="BE46" s="224" t="b">
        <v>0</v>
      </c>
      <c r="BF46" s="179">
        <v>1</v>
      </c>
      <c r="BG46" s="225" t="str">
        <f>IF(BC46=FALSE,"",MIN(BH46:$BK46)-ROUND(($BK46-1-ROUND(80/$AZ46,0))/COUNTIF($BB46:$BE46,TRUE),0))</f>
        <v/>
      </c>
      <c r="BH46" s="225" t="str">
        <f>IF(BD46=FALSE,"",MIN(BI46:$BK46)-ROUND(($BK46-1-ROUND(80/$AZ46,0))/COUNTIF($BB46:$BE46,TRUE),0))</f>
        <v/>
      </c>
      <c r="BI46" s="225" t="str">
        <f>IF(BE46=FALSE,"",MIN(BJ46:$BK46)-ROUND(($BK46-1-ROUND(80/$AZ46,0))/COUNTIF($BB46:$BE46,TRUE),0))</f>
        <v/>
      </c>
      <c r="BJ46" s="225" t="str">
        <f>IF(BB46=FALSE,"",MIN($BK46:BK46)-ROUND(($BK46-1-ROUND(80/$AZ46,0))/COUNTIF($BB46:$BE46,TRUE),0))</f>
        <v/>
      </c>
      <c r="BK46" s="107">
        <f>101-ROUND(Ag!BU$7*100,0)</f>
        <v>96</v>
      </c>
      <c r="BL46" s="63">
        <v>2</v>
      </c>
      <c r="BM46" s="82">
        <f t="array" ref="BM46">MIN(BL46,INDEX([1]Basic!L$26:L$34, MATCH([1]Basic!D$5,[1]Basic!B$26:B$34,0)))</f>
        <v>2</v>
      </c>
      <c r="BS46" s="472" t="str">
        <f ca="1">IFERROR(__xludf.DUMMYFUNCTION("if(D46="""","""",if(isodd(D46),""Male "",""Female "")&amp;
if(or(E46&gt;Races!G$9,Races!G$9=1),index(Races!F$11:F$37,match(E46,Races!I$11:I$37)),index(Races!F$11:F$37,match(F46,Races!N$11:N$37)))&amp;"" ""&amp;
index(Professions!B$32:B$252,match(((G46-1)*100)+H46,Profes"&amp;"sions!H$32:H$252))&amp;"" (""&amp;
index(NPCs!F$6:O$6,,min(match(I46,NPCs!F$10:O$10),index(Professions!P$32:P$252,match(index(Professions!B$32:B$252,match(((G46-1)*100)+H46,Professions!H$32:H$252)),Professions!B$32:B$252,0))))&amp;"" ""&amp;
index(Professions!V$30:AA$30,"&amp;",match(J46,filter(Professions!V$32:AA$252,Professions!B$32:B$252=index(Professions!B$32:B$252,match(((G46-1)*100)+H46,Professions!H$32:H$252)))))&amp;"")"")"),"")</f>
        <v/>
      </c>
      <c r="BT46" s="393"/>
      <c r="BU46" s="369"/>
      <c r="BV46" s="310">
        <v>0</v>
      </c>
      <c r="BW46" s="310">
        <v>0</v>
      </c>
      <c r="BX46" s="310">
        <v>0</v>
      </c>
      <c r="BY46" s="310">
        <v>0</v>
      </c>
      <c r="BZ46" s="310">
        <v>0</v>
      </c>
      <c r="CA46" s="310">
        <v>0</v>
      </c>
      <c r="CB46" s="311">
        <v>0</v>
      </c>
      <c r="CE46" s="82">
        <v>1</v>
      </c>
      <c r="CF46" s="56" t="e">
        <f t="array" aca="1" ref="CF46:CF55" ca="1">TRANSPOSE(BS14:CB14)</f>
        <v>#NAME?</v>
      </c>
      <c r="CG46" s="56" t="e">
        <f ca="1">IF(CF46=0,"",MAX(1,ROUND(CF46/BS$16*100,0)))</f>
        <v>#NAME?</v>
      </c>
      <c r="CH46" s="82">
        <v>1</v>
      </c>
      <c r="CP46" s="425"/>
      <c r="CQ46" s="369"/>
      <c r="CS46" s="74" t="s">
        <v>978</v>
      </c>
      <c r="CT46" s="74">
        <v>5</v>
      </c>
      <c r="DT46" s="171" t="s">
        <v>1033</v>
      </c>
      <c r="DU46" s="171" t="b">
        <v>1</v>
      </c>
      <c r="DV46" s="82">
        <v>3</v>
      </c>
      <c r="DW46" s="63">
        <v>0</v>
      </c>
      <c r="DY46" s="470" t="s">
        <v>1034</v>
      </c>
      <c r="DZ46" s="354"/>
      <c r="EA46" s="354"/>
      <c r="EB46" s="354"/>
      <c r="EC46" s="354"/>
      <c r="ED46" s="354"/>
      <c r="EE46" s="354"/>
      <c r="EF46" s="355"/>
    </row>
    <row r="47" spans="1:143" ht="14.25" thickTop="1" thickBot="1">
      <c r="A47" s="95" t="s">
        <v>674</v>
      </c>
      <c r="B47" s="63">
        <v>15.6</v>
      </c>
      <c r="C47" s="63">
        <v>322</v>
      </c>
      <c r="D47" s="111">
        <f>ROUND(C47*0.239006*10000,0)</f>
        <v>769599</v>
      </c>
      <c r="E47" s="151">
        <f>D47*B47</f>
        <v>12005744.4</v>
      </c>
      <c r="G47" s="371" t="s">
        <v>675</v>
      </c>
      <c r="H47" s="369"/>
      <c r="I47" s="153">
        <v>0.5</v>
      </c>
      <c r="T47" s="74" t="s">
        <v>56</v>
      </c>
      <c r="U47" s="66">
        <v>256</v>
      </c>
      <c r="V47" s="66">
        <v>32</v>
      </c>
      <c r="W47" s="66">
        <v>6</v>
      </c>
      <c r="Y47" s="167" t="str">
        <f ca="1">IFERROR(__xludf.DUMMYFUNCTION("""COMPUTED_VALUE"""),"Tiefling")</f>
        <v>Tiefling</v>
      </c>
      <c r="Z47" s="111">
        <f ca="1">IFERROR(__xludf.DUMMYFUNCTION("""COMPUTED_VALUE"""),1)</f>
        <v>1</v>
      </c>
      <c r="AA47" s="31"/>
      <c r="AB47" s="31"/>
      <c r="AC47" s="31"/>
      <c r="AD47" s="31"/>
      <c r="AE47" s="31"/>
      <c r="AF47" s="31"/>
      <c r="AG47" s="31"/>
      <c r="AH47" s="31"/>
      <c r="AI47" s="31"/>
      <c r="AK47" s="389"/>
      <c r="AL47" s="452" t="s">
        <v>229</v>
      </c>
      <c r="AM47" s="369"/>
      <c r="AN47" s="229">
        <v>10</v>
      </c>
      <c r="AO47" s="218" t="e">
        <f ca="1">ROUND(AN47*_xludf.ifs(
AND(AU47=TRUE,AW47=TRUE),1,
AU47=TRUE,AV47,
AW47=TRUE,AX47,
TRUE,1),0)</f>
        <v>#NAME?</v>
      </c>
      <c r="AP47" s="57" t="e">
        <f ca="1">ROUND(AO47/SUM(AO$32:AO$252)*AM$27,0)</f>
        <v>#NAME?</v>
      </c>
      <c r="AQ47" s="5" t="str">
        <f ca="1">IFERROR(__xludf.DUMMYFUNCTION("if(O47=0,"""",
filter(I$32:I46,row(I$32:I46)=max(filter(arrayformula(row(I$32:I46)),I$32:I46&lt;&gt;"""")))+
filter(G$32:G46,row(G$32:G46)=max(filter(arrayformula(row(G$32:G46)),G$32:G46&lt;&gt;"""")))
)"),"")</f>
        <v/>
      </c>
      <c r="AR47" s="198" t="str">
        <f ca="1">IFERROR(__xludf.DUMMYFUNCTION("if(G47="""","""",G47-(
filter(G$32:G$252,row(G$32:G$252)=max(filter(arrayformula(row(G$32:G$252)),G$32:G$252&lt;&gt;"""")))
-(10001-
filter(I$32:I$252,row(I$32:I$252)=max(filter(arrayformula(row(I$32:I$252)),I$32:I$252&lt;&gt;""""))))))"),"")</f>
        <v/>
      </c>
      <c r="AS47" s="198" t="e">
        <f ca="1">IF(AY47=0,"",ROUND(AY47/AM$3*10000,0))</f>
        <v>#NAME?</v>
      </c>
      <c r="AT47" s="219" t="b">
        <v>0</v>
      </c>
      <c r="AU47" s="82"/>
      <c r="AV47" s="63">
        <v>0</v>
      </c>
      <c r="AW47" s="82"/>
      <c r="AX47" s="220">
        <v>2</v>
      </c>
      <c r="AY47" s="56" t="e">
        <f ca="1">MAX(ROUND(AP47*(AM$1/AM$27),0),IF(AT47=TRUE,1,0))</f>
        <v>#NAME?</v>
      </c>
      <c r="AZ47" s="220">
        <v>1</v>
      </c>
      <c r="BA47" s="221">
        <v>0</v>
      </c>
      <c r="BB47" s="222" t="b">
        <v>0</v>
      </c>
      <c r="BC47" s="223" t="b">
        <v>0</v>
      </c>
      <c r="BD47" s="223" t="b">
        <v>0</v>
      </c>
      <c r="BE47" s="224" t="b">
        <v>0</v>
      </c>
      <c r="BF47" s="179">
        <v>1</v>
      </c>
      <c r="BG47" s="225" t="str">
        <f>IF(BC47=FALSE,"",MIN(BH47:$BK47)-ROUND(($BK47-1-ROUND(80/$AZ47,0))/COUNTIF($BB47:$BE47,TRUE),0))</f>
        <v/>
      </c>
      <c r="BH47" s="225" t="str">
        <f>IF(BD47=FALSE,"",MIN(BI47:$BK47)-ROUND(($BK47-1-ROUND(80/$AZ47,0))/COUNTIF($BB47:$BE47,TRUE),0))</f>
        <v/>
      </c>
      <c r="BI47" s="225" t="str">
        <f>IF(BE47=FALSE,"",MIN(BJ47:$BK47)-ROUND(($BK47-1-ROUND(80/$AZ47,0))/COUNTIF($BB47:$BE47,TRUE),0))</f>
        <v/>
      </c>
      <c r="BJ47" s="225" t="str">
        <f>IF(BB47=FALSE,"",MIN($BK47:BK47)-ROUND(($BK47-1-ROUND(80/$AZ47,0))/COUNTIF($BB47:$BE47,TRUE),0))</f>
        <v/>
      </c>
      <c r="BK47" s="107">
        <f>101-ROUND(Ag!BU$7*100,0)</f>
        <v>96</v>
      </c>
      <c r="BL47" s="63">
        <v>1</v>
      </c>
      <c r="BM47" s="82">
        <f t="array" ref="BM47">MIN(BL47,INDEX([1]Basic!L$26:L$34, MATCH([1]Basic!D$5,[1]Basic!B$26:B$34,0)))</f>
        <v>1</v>
      </c>
      <c r="BS47" s="472" t="str">
        <f ca="1">IFERROR(__xludf.DUMMYFUNCTION("if(D47="""","""",if(isodd(D47),""Male "",""Female "")&amp;
if(or(E47&gt;Races!G$9,Races!G$9=1),index(Races!F$11:F$37,match(E47,Races!I$11:I$37)),index(Races!F$11:F$37,match(F47,Races!N$11:N$37)))&amp;"" ""&amp;
index(Professions!B$32:B$252,match(((G47-1)*100)+H47,Profes"&amp;"sions!H$32:H$252))&amp;"" (""&amp;
index(NPCs!F$6:O$6,,min(match(I47,NPCs!F$10:O$10),index(Professions!P$32:P$252,match(index(Professions!B$32:B$252,match(((G47-1)*100)+H47,Professions!H$32:H$252)),Professions!B$32:B$252,0))))&amp;"" ""&amp;
index(Professions!V$30:AA$30,"&amp;",match(J47,filter(Professions!V$32:AA$252,Professions!B$32:B$252=index(Professions!B$32:B$252,match(((G47-1)*100)+H47,Professions!H$32:H$252)))))&amp;"")"")"),"")</f>
        <v/>
      </c>
      <c r="BT47" s="393"/>
      <c r="BU47" s="369"/>
      <c r="BV47" s="310">
        <v>0</v>
      </c>
      <c r="BW47" s="310">
        <v>0</v>
      </c>
      <c r="BX47" s="310">
        <v>0</v>
      </c>
      <c r="BY47" s="310">
        <v>0</v>
      </c>
      <c r="BZ47" s="310">
        <v>0</v>
      </c>
      <c r="CA47" s="310">
        <v>0</v>
      </c>
      <c r="CB47" s="311">
        <v>0</v>
      </c>
      <c r="CE47" s="82">
        <v>2</v>
      </c>
      <c r="CF47" s="56" t="e">
        <f ca="1"/>
        <v>#NAME?</v>
      </c>
      <c r="CG47" s="56" t="e">
        <f ca="1">IF(CF47=0,"",MAX(1,ROUND(CF47/BS$16*100,0)))</f>
        <v>#NAME?</v>
      </c>
      <c r="CH47" s="56" t="e">
        <f ca="1">_xludf.ifs(CG47="","",CG48="",100,TRUE,CH48-CG47)</f>
        <v>#NAME?</v>
      </c>
      <c r="CP47" s="425"/>
      <c r="CQ47" s="369"/>
      <c r="DT47" s="171" t="s">
        <v>1035</v>
      </c>
      <c r="DU47" s="167" t="b">
        <f ca="1">IFERROR(__xludf.DUMMYFUNCTION("arrayformula(or(iferror(filter(J$17:J$19,K$17:K$19=TRUE),FALSE)=""Cattle""))"),FALSE)</f>
        <v>0</v>
      </c>
      <c r="DV47" s="56" t="e">
        <f ca="1">IF(OR(EJ31=TRUE,EJ38=TRUE,DU50=TRUE,DU81=TRUE),5,1)</f>
        <v>#N/A</v>
      </c>
      <c r="DW47" s="63">
        <v>0</v>
      </c>
      <c r="DY47" s="397" t="s">
        <v>479</v>
      </c>
      <c r="DZ47" s="355"/>
      <c r="EA47" s="427" t="s">
        <v>1187</v>
      </c>
      <c r="EB47" s="355"/>
      <c r="EC47" s="397" t="s">
        <v>1036</v>
      </c>
      <c r="ED47" s="355"/>
      <c r="EE47" s="427" t="str">
        <f ca="1">IFERROR(__xludf.DUMMYFUNCTION("index(filter(index(G48:S66,,match(H45,G46:S46,0)),not(isblank(index(G48:S66,,match(H45,G46:S46,0))))),mod(Entry!E131,countif(index(G48:S66,,match(H45,G46:S46,0)),""&lt;&gt;"")))"),"#N/A")</f>
        <v>#N/A</v>
      </c>
      <c r="EF47" s="355"/>
    </row>
    <row r="48" spans="1:143" ht="14.25" thickTop="1" thickBot="1">
      <c r="A48" s="95" t="s">
        <v>676</v>
      </c>
      <c r="B48" s="63">
        <v>4</v>
      </c>
      <c r="C48" s="63">
        <v>1628</v>
      </c>
      <c r="D48" s="111">
        <f>ROUND(C48*0.239006*10000,0)</f>
        <v>3891018</v>
      </c>
      <c r="E48" s="151">
        <f>D48*B48</f>
        <v>15564072</v>
      </c>
      <c r="G48" s="371" t="s">
        <v>677</v>
      </c>
      <c r="H48" s="369"/>
      <c r="I48" s="56">
        <f>ROUND(I46*0.000453592*365*I47,2)</f>
        <v>20.7</v>
      </c>
      <c r="Y48" s="167" t="str">
        <f ca="1">IFERROR(__xludf.DUMMYFUNCTION("""COMPUTED_VALUE"""),"Aasimar")</f>
        <v>Aasimar</v>
      </c>
      <c r="Z48" s="111">
        <f ca="1">IFERROR(__xludf.DUMMYFUNCTION("""COMPUTED_VALUE"""),0)</f>
        <v>0</v>
      </c>
      <c r="AA48" s="31"/>
      <c r="AB48" s="31"/>
      <c r="AC48" s="31"/>
      <c r="AD48" s="31"/>
      <c r="AE48" s="31"/>
      <c r="AF48" s="31"/>
      <c r="AG48" s="31"/>
      <c r="AH48" s="31"/>
      <c r="AI48" s="31"/>
      <c r="AK48" s="389"/>
      <c r="AL48" s="452" t="s">
        <v>234</v>
      </c>
      <c r="AM48" s="369"/>
      <c r="AN48" s="229">
        <v>8</v>
      </c>
      <c r="AO48" s="218" t="e">
        <f ca="1">ROUND(AN48*_xludf.ifs(
AND(AU48=TRUE,AW48=TRUE),1,
AU48=TRUE,AV48,
AW48=TRUE,AX48,
TRUE,1),0)</f>
        <v>#NAME?</v>
      </c>
      <c r="AP48" s="57" t="e">
        <f ca="1">ROUND(AO48/SUM(AO$32:AO$252)*AM$27,0)</f>
        <v>#NAME?</v>
      </c>
      <c r="AQ48" s="5" t="str">
        <f ca="1">IFERROR(__xludf.DUMMYFUNCTION("if(O48=0,"""",
filter(I$32:I47,row(I$32:I47)=max(filter(arrayformula(row(I$32:I47)),I$32:I47&lt;&gt;"""")))+
filter(G$32:G47,row(G$32:G47)=max(filter(arrayformula(row(G$32:G47)),G$32:G47&lt;&gt;"""")))
)"),"")</f>
        <v/>
      </c>
      <c r="AR48" s="198" t="str">
        <f ca="1">IFERROR(__xludf.DUMMYFUNCTION("if(G48="""","""",G48-(
filter(G$32:G$252,row(G$32:G$252)=max(filter(arrayformula(row(G$32:G$252)),G$32:G$252&lt;&gt;"""")))
-(10001-
filter(I$32:I$252,row(I$32:I$252)=max(filter(arrayformula(row(I$32:I$252)),I$32:I$252&lt;&gt;""""))))))"),"")</f>
        <v/>
      </c>
      <c r="AS48" s="198" t="e">
        <f ca="1">IF(AY48=0,"",ROUND(AY48/AM$3*10000,0))</f>
        <v>#NAME?</v>
      </c>
      <c r="AT48" s="219" t="b">
        <v>0</v>
      </c>
      <c r="AU48" s="82" t="b">
        <f>OR(AM9)</f>
        <v>0</v>
      </c>
      <c r="AV48" s="63">
        <v>0.1</v>
      </c>
      <c r="AW48" s="82" t="b">
        <f>OR(AQ18,AQ17,AQ22,AQ16,AQ19,AQ14,AQ20,AM21)</f>
        <v>0</v>
      </c>
      <c r="AX48" s="220">
        <v>2</v>
      </c>
      <c r="AY48" s="56" t="e">
        <f ca="1">MAX(ROUND(AP48*(AM$1/AM$27),0),IF(AT48=TRUE,1,0))</f>
        <v>#NAME?</v>
      </c>
      <c r="AZ48" s="220">
        <v>5</v>
      </c>
      <c r="BA48" s="221">
        <v>0</v>
      </c>
      <c r="BB48" s="222" t="b">
        <v>0</v>
      </c>
      <c r="BC48" s="223" t="b">
        <v>0</v>
      </c>
      <c r="BD48" s="228" t="b">
        <v>1</v>
      </c>
      <c r="BE48" s="224" t="b">
        <v>0</v>
      </c>
      <c r="BF48" s="179">
        <v>1</v>
      </c>
      <c r="BG48" s="225" t="str">
        <f>IF(BC48=FALSE,"",MIN(BH48:$BK48)-ROUND(($BK48-1-ROUND(80/$AZ48,0))/COUNTIF($BB48:$BE48,TRUE),0))</f>
        <v/>
      </c>
      <c r="BH48" s="225">
        <f>IF(BD48=FALSE,"",MIN(BI48:$BK48)-ROUND(($BK48-1-ROUND(80/$AZ48,0))/COUNTIF($BB48:$BE48,TRUE),0))</f>
        <v>17</v>
      </c>
      <c r="BI48" s="225" t="str">
        <f>IF(BE48=FALSE,"",MIN(BJ48:$BK48)-ROUND(($BK48-1-ROUND(80/$AZ48,0))/COUNTIF($BB48:$BE48,TRUE),0))</f>
        <v/>
      </c>
      <c r="BJ48" s="225" t="str">
        <f>IF(BB48=FALSE,"",MIN($BK48:BK48)-ROUND(($BK48-1-ROUND(80/$AZ48,0))/COUNTIF($BB48:$BE48,TRUE),0))</f>
        <v/>
      </c>
      <c r="BK48" s="107">
        <f>101-ROUND(Ag!BU$7*100,0)</f>
        <v>96</v>
      </c>
      <c r="BL48" s="63">
        <v>2</v>
      </c>
      <c r="BM48" s="82">
        <f t="array" ref="BM48">MIN(BL48,INDEX([1]Basic!L$26:L$34, MATCH([1]Basic!D$5,[1]Basic!B$26:B$34,0)))</f>
        <v>2</v>
      </c>
      <c r="BS48" s="472" t="str">
        <f ca="1">IFERROR(__xludf.DUMMYFUNCTION("if(D48="""","""",if(isodd(D48),""Male "",""Female "")&amp;
if(or(E48&gt;Races!G$9,Races!G$9=1),index(Races!F$11:F$37,match(E48,Races!I$11:I$37)),index(Races!F$11:F$37,match(F48,Races!N$11:N$37)))&amp;"" ""&amp;
index(Professions!B$32:B$252,match(((G48-1)*100)+H48,Profes"&amp;"sions!H$32:H$252))&amp;"" (""&amp;
index(NPCs!F$6:O$6,,min(match(I48,NPCs!F$10:O$10),index(Professions!P$32:P$252,match(index(Professions!B$32:B$252,match(((G48-1)*100)+H48,Professions!H$32:H$252)),Professions!B$32:B$252,0))))&amp;"" ""&amp;
index(Professions!V$30:AA$30,"&amp;",match(J48,filter(Professions!V$32:AA$252,Professions!B$32:B$252=index(Professions!B$32:B$252,match(((G48-1)*100)+H48,Professions!H$32:H$252)))))&amp;"")"")"),"")</f>
        <v/>
      </c>
      <c r="BT48" s="393"/>
      <c r="BU48" s="369"/>
      <c r="BV48" s="310">
        <v>0</v>
      </c>
      <c r="BW48" s="310">
        <v>0</v>
      </c>
      <c r="BX48" s="310">
        <v>0</v>
      </c>
      <c r="BY48" s="310">
        <v>0</v>
      </c>
      <c r="BZ48" s="310">
        <v>0</v>
      </c>
      <c r="CA48" s="310">
        <v>0</v>
      </c>
      <c r="CB48" s="311">
        <v>0</v>
      </c>
      <c r="CC48" s="38"/>
      <c r="CD48" s="38"/>
      <c r="CE48" s="82">
        <v>3</v>
      </c>
      <c r="CF48" s="56" t="e">
        <f ca="1"/>
        <v>#NAME?</v>
      </c>
      <c r="CG48" s="56" t="e">
        <f ca="1">IF(CF48=0,"",MAX(1,ROUND(CF48/BS$16*100,0)))</f>
        <v>#NAME?</v>
      </c>
      <c r="CH48" s="56" t="e">
        <f ca="1">_xludf.ifs(CG48="","",CG49="",100,TRUE,CH49-CG48)</f>
        <v>#NAME?</v>
      </c>
      <c r="CP48" s="425"/>
      <c r="CQ48" s="369"/>
      <c r="DT48" s="171" t="s">
        <v>65</v>
      </c>
      <c r="DU48" s="171" t="b">
        <f>OR(EB26=FALSE)</f>
        <v>1</v>
      </c>
      <c r="DV48" s="56">
        <f>IF(EJ28=TRUE,5,1)</f>
        <v>1</v>
      </c>
      <c r="DW48" s="63">
        <v>0.05</v>
      </c>
      <c r="DY48" s="26" t="s">
        <v>1037</v>
      </c>
      <c r="DZ48" s="493" t="s">
        <v>1018</v>
      </c>
      <c r="EA48" s="355"/>
      <c r="EB48" s="493" t="s">
        <v>1019</v>
      </c>
      <c r="EC48" s="355"/>
      <c r="ED48" s="493" t="s">
        <v>1030</v>
      </c>
      <c r="EE48" s="355"/>
      <c r="EF48" s="493" t="s">
        <v>1038</v>
      </c>
      <c r="EG48" s="355"/>
      <c r="EH48" s="493" t="s">
        <v>1039</v>
      </c>
      <c r="EI48" s="355"/>
      <c r="EJ48" s="493" t="s">
        <v>1040</v>
      </c>
      <c r="EK48" s="355"/>
      <c r="EL48" s="493" t="s">
        <v>1041</v>
      </c>
      <c r="EM48" s="355"/>
    </row>
    <row r="49" spans="1:143" ht="14.25" thickTop="1" thickBot="1">
      <c r="A49" s="95" t="s">
        <v>678</v>
      </c>
      <c r="B49" s="63">
        <v>2.2000000000000002</v>
      </c>
      <c r="C49" s="63">
        <v>615</v>
      </c>
      <c r="D49" s="111">
        <f>ROUND(C49*0.239006*10000,0)</f>
        <v>1469887</v>
      </c>
      <c r="E49" s="151">
        <f>D49*B49</f>
        <v>3233751.4000000004</v>
      </c>
      <c r="G49" s="371" t="s">
        <v>679</v>
      </c>
      <c r="H49" s="369"/>
      <c r="I49" s="56" t="e">
        <f ca="1">Ag!AY50</f>
        <v>#NAME?</v>
      </c>
      <c r="Y49" s="167" t="str">
        <f ca="1">IFERROR(__xludf.DUMMYFUNCTION("""COMPUTED_VALUE"""),"Firbolg")</f>
        <v>Firbolg</v>
      </c>
      <c r="Z49" s="111">
        <f ca="1">IFERROR(__xludf.DUMMYFUNCTION("""COMPUTED_VALUE"""),0)</f>
        <v>0</v>
      </c>
      <c r="AA49" s="31"/>
      <c r="AB49" s="31"/>
      <c r="AC49" s="31"/>
      <c r="AD49" s="31"/>
      <c r="AE49" s="31"/>
      <c r="AF49" s="31"/>
      <c r="AG49" s="31"/>
      <c r="AH49" s="31"/>
      <c r="AI49" s="31"/>
      <c r="AK49" s="389"/>
      <c r="AL49" s="452" t="s">
        <v>239</v>
      </c>
      <c r="AM49" s="369"/>
      <c r="AN49" s="229">
        <v>14</v>
      </c>
      <c r="AO49" s="218" t="e">
        <f ca="1">ROUND(AN49*_xludf.ifs(
AND(AU49=TRUE,AW49=TRUE),1,
AU49=TRUE,AV49,
AW49=TRUE,AX49,
TRUE,1),0)</f>
        <v>#NAME?</v>
      </c>
      <c r="AP49" s="57" t="e">
        <f ca="1">ROUND(AO49/SUM(AO$32:AO$252)*AM$27,0)</f>
        <v>#NAME?</v>
      </c>
      <c r="AQ49" s="5">
        <f ca="1">IFERROR(__xludf.DUMMYFUNCTION("if(O49=0,"""",
filter(I$32:I48,row(I$32:I48)=max(filter(arrayformula(row(I$32:I48)),I$32:I48&lt;&gt;"""")))+
filter(G$32:G48,row(G$32:G48)=max(filter(arrayformula(row(G$32:G48)),G$32:G48&lt;&gt;"""")))
)"),3336)</f>
        <v>3336</v>
      </c>
      <c r="AR49" s="198">
        <f ca="1">IFERROR(__xludf.DUMMYFUNCTION("if(G49="""","""",G49-(
filter(G$32:G$252,row(G$32:G$252)=max(filter(arrayformula(row(G$32:G$252)),G$32:G$252&lt;&gt;"""")))
-(10001-
filter(I$32:I$252,row(I$32:I$252)=max(filter(arrayformula(row(I$32:I$252)),I$32:I$252&lt;&gt;""""))))))"),3329)</f>
        <v>3329</v>
      </c>
      <c r="AS49" s="198" t="e">
        <f ca="1">IF(AY49=0,"",ROUND(AY49/AM$3*10000,0))</f>
        <v>#NAME?</v>
      </c>
      <c r="AT49" s="219" t="b">
        <v>1</v>
      </c>
      <c r="AU49" s="82"/>
      <c r="AV49" s="63">
        <v>0</v>
      </c>
      <c r="AW49" s="82" t="b">
        <f>OR(AQ7,AM11,AM21)</f>
        <v>0</v>
      </c>
      <c r="AX49" s="220">
        <v>1.5</v>
      </c>
      <c r="AY49" s="56" t="e">
        <f ca="1">MAX(ROUND(AP49*(AM$1/AM$27),0),IF(AT49=TRUE,1,0))</f>
        <v>#NAME?</v>
      </c>
      <c r="AZ49" s="220">
        <v>3</v>
      </c>
      <c r="BA49" s="221">
        <v>0</v>
      </c>
      <c r="BB49" s="222" t="b">
        <v>0</v>
      </c>
      <c r="BC49" s="223" t="b">
        <v>0</v>
      </c>
      <c r="BD49" s="223" t="b">
        <v>0</v>
      </c>
      <c r="BE49" s="224" t="b">
        <v>0</v>
      </c>
      <c r="BF49" s="179">
        <v>1</v>
      </c>
      <c r="BG49" s="225" t="str">
        <f>IF(BC49=FALSE,"",MIN(BH49:$BK49)-ROUND(($BK49-1-ROUND(80/$AZ49,0))/COUNTIF($BB49:$BE49,TRUE),0))</f>
        <v/>
      </c>
      <c r="BH49" s="225" t="str">
        <f>IF(BD49=FALSE,"",MIN(BI49:$BK49)-ROUND(($BK49-1-ROUND(80/$AZ49,0))/COUNTIF($BB49:$BE49,TRUE),0))</f>
        <v/>
      </c>
      <c r="BI49" s="225" t="str">
        <f>IF(BE49=FALSE,"",MIN(BJ49:$BK49)-ROUND(($BK49-1-ROUND(80/$AZ49,0))/COUNTIF($BB49:$BE49,TRUE),0))</f>
        <v/>
      </c>
      <c r="BJ49" s="225" t="str">
        <f>IF(BB49=FALSE,"",MIN($BK49:BK49)-ROUND(($BK49-1-ROUND(80/$AZ49,0))/COUNTIF($BB49:$BE49,TRUE),0))</f>
        <v/>
      </c>
      <c r="BK49" s="107">
        <f>101-ROUND(Ag!BU$7*100,0)</f>
        <v>96</v>
      </c>
      <c r="BL49" s="63">
        <v>2</v>
      </c>
      <c r="BM49" s="82">
        <f t="array" ref="BM49">MIN(BL49,INDEX([1]Basic!L$26:L$34, MATCH([1]Basic!D$5,[1]Basic!B$26:B$34,0)))</f>
        <v>2</v>
      </c>
      <c r="BS49" s="472" t="str">
        <f ca="1">IFERROR(__xludf.DUMMYFUNCTION("if(D49="""","""",if(isodd(D49),""Male "",""Female "")&amp;
if(or(E49&gt;Races!G$9,Races!G$9=1),index(Races!F$11:F$37,match(E49,Races!I$11:I$37)),index(Races!F$11:F$37,match(F49,Races!N$11:N$37)))&amp;"" ""&amp;
index(Professions!B$32:B$252,match(((G49-1)*100)+H49,Profes"&amp;"sions!H$32:H$252))&amp;"" (""&amp;
index(NPCs!F$6:O$6,,min(match(I49,NPCs!F$10:O$10),index(Professions!P$32:P$252,match(index(Professions!B$32:B$252,match(((G49-1)*100)+H49,Professions!H$32:H$252)),Professions!B$32:B$252,0))))&amp;"" ""&amp;
index(Professions!V$30:AA$30,"&amp;",match(J49,filter(Professions!V$32:AA$252,Professions!B$32:B$252=index(Professions!B$32:B$252,match(((G49-1)*100)+H49,Professions!H$32:H$252)))))&amp;"")"")"),"")</f>
        <v/>
      </c>
      <c r="BT49" s="393"/>
      <c r="BU49" s="369"/>
      <c r="BV49" s="310">
        <v>0</v>
      </c>
      <c r="BW49" s="310">
        <v>0</v>
      </c>
      <c r="BX49" s="310">
        <v>0</v>
      </c>
      <c r="BY49" s="310">
        <v>0</v>
      </c>
      <c r="BZ49" s="310">
        <v>0</v>
      </c>
      <c r="CA49" s="310">
        <v>0</v>
      </c>
      <c r="CB49" s="311">
        <v>0</v>
      </c>
      <c r="CC49" s="312"/>
      <c r="CD49" s="312"/>
      <c r="CE49" s="82">
        <v>4</v>
      </c>
      <c r="CF49" s="56" t="e">
        <f ca="1"/>
        <v>#NAME?</v>
      </c>
      <c r="CG49" s="56" t="e">
        <f ca="1">IF(CF49=0,"",MAX(1,ROUND(CF49/BS$16*100,0)))</f>
        <v>#NAME?</v>
      </c>
      <c r="CH49" s="56" t="e">
        <f ca="1">_xludf.ifs(CG49="","",CG50="",100,TRUE,CH50-CG49)</f>
        <v>#NAME?</v>
      </c>
      <c r="CP49" s="425"/>
      <c r="CQ49" s="369"/>
      <c r="DT49" s="171" t="s">
        <v>1038</v>
      </c>
      <c r="DU49" s="171" t="b">
        <v>1</v>
      </c>
      <c r="DV49" s="82">
        <v>3</v>
      </c>
      <c r="DW49" s="63">
        <v>0</v>
      </c>
      <c r="DY49" s="26" t="s">
        <v>1042</v>
      </c>
      <c r="DZ49" s="492">
        <v>1</v>
      </c>
      <c r="EA49" s="358"/>
      <c r="EB49" s="492">
        <v>6</v>
      </c>
      <c r="EC49" s="358"/>
      <c r="ED49" s="492">
        <v>8</v>
      </c>
      <c r="EE49" s="358"/>
      <c r="EF49" s="492">
        <v>13</v>
      </c>
      <c r="EG49" s="358"/>
      <c r="EH49" s="492">
        <v>16</v>
      </c>
      <c r="EI49" s="358"/>
      <c r="EJ49" s="492">
        <v>17</v>
      </c>
      <c r="EK49" s="358"/>
      <c r="EL49" s="492">
        <v>19</v>
      </c>
      <c r="EM49" s="358"/>
    </row>
    <row r="50" spans="1:143" ht="13.5" thickTop="1">
      <c r="A50" s="95" t="s">
        <v>680</v>
      </c>
      <c r="B50" s="63">
        <v>12.2</v>
      </c>
      <c r="C50" s="63">
        <v>360</v>
      </c>
      <c r="D50" s="111">
        <f>ROUND(C50*0.239006*10000,0)</f>
        <v>860422</v>
      </c>
      <c r="E50" s="151">
        <f>D50*B50</f>
        <v>10497148.399999999</v>
      </c>
      <c r="G50" s="371" t="s">
        <v>681</v>
      </c>
      <c r="H50" s="369"/>
      <c r="I50" s="63">
        <v>160</v>
      </c>
      <c r="Y50" s="167" t="str">
        <f ca="1">IFERROR(__xludf.DUMMYFUNCTION("""COMPUTED_VALUE"""),"Goliath")</f>
        <v>Goliath</v>
      </c>
      <c r="Z50" s="111">
        <f ca="1">IFERROR(__xludf.DUMMYFUNCTION("""COMPUTED_VALUE"""),0)</f>
        <v>0</v>
      </c>
      <c r="AA50" s="31"/>
      <c r="AB50" s="31"/>
      <c r="AC50" s="31"/>
      <c r="AD50" s="31"/>
      <c r="AE50" s="31"/>
      <c r="AF50" s="31"/>
      <c r="AG50" s="31"/>
      <c r="AH50" s="31"/>
      <c r="AI50" s="31"/>
      <c r="AK50" s="389"/>
      <c r="AL50" s="452" t="s">
        <v>245</v>
      </c>
      <c r="AM50" s="369"/>
      <c r="AN50" s="229">
        <v>25</v>
      </c>
      <c r="AO50" s="218" t="e">
        <f ca="1">ROUND(AN50*_xludf.ifs(
AND(AU50=TRUE,AW50=TRUE),1,
AU50=TRUE,AV50,
AW50=TRUE,AX50,
TRUE,1),0)</f>
        <v>#NAME?</v>
      </c>
      <c r="AP50" s="57" t="e">
        <f ca="1">ROUND(AO50/SUM(AO$32:AO$252)*AM$27,0)</f>
        <v>#NAME?</v>
      </c>
      <c r="AQ50" s="5" t="str">
        <f ca="1">IFERROR(__xludf.DUMMYFUNCTION("if(O50=0,"""",
filter(I$32:I49,row(I$32:I49)=max(filter(arrayformula(row(I$32:I49)),I$32:I49&lt;&gt;"""")))+
filter(G$32:G49,row(G$32:G49)=max(filter(arrayformula(row(G$32:G49)),G$32:G49&lt;&gt;"""")))
)"),"")</f>
        <v/>
      </c>
      <c r="AR50" s="198" t="str">
        <f ca="1">IFERROR(__xludf.DUMMYFUNCTION("if(G50="""","""",G50-(
filter(G$32:G$252,row(G$32:G$252)=max(filter(arrayformula(row(G$32:G$252)),G$32:G$252&lt;&gt;"""")))
-(10001-
filter(I$32:I$252,row(I$32:I$252)=max(filter(arrayformula(row(I$32:I$252)),I$32:I$252&lt;&gt;""""))))))"),"")</f>
        <v/>
      </c>
      <c r="AS50" s="198" t="e">
        <f ca="1">IF(AY50=0,"",ROUND(AY50/AM$3*10000,0))</f>
        <v>#NAME?</v>
      </c>
      <c r="AT50" s="219" t="b">
        <v>0</v>
      </c>
      <c r="AU50" s="82" t="b">
        <f>OR(AM23)</f>
        <v>0</v>
      </c>
      <c r="AV50" s="63">
        <v>0</v>
      </c>
      <c r="AW50" s="82" t="b">
        <f>IF(AM23=TRUE, FALSE,OR(AU22,AM21,AU15))</f>
        <v>0</v>
      </c>
      <c r="AX50" s="220">
        <f>IF(AU15=TRUE,5,1.5)</f>
        <v>1.5</v>
      </c>
      <c r="AY50" s="56" t="e">
        <f ca="1">MAX(ROUND(AP50*(AM$1/AM$27),0),IF(AT50=TRUE,1,0))</f>
        <v>#NAME?</v>
      </c>
      <c r="AZ50" s="220">
        <v>5</v>
      </c>
      <c r="BA50" s="221">
        <v>0</v>
      </c>
      <c r="BB50" s="222" t="b">
        <v>0</v>
      </c>
      <c r="BC50" s="223" t="b">
        <v>0</v>
      </c>
      <c r="BD50" s="228" t="b">
        <v>1</v>
      </c>
      <c r="BE50" s="224" t="b">
        <v>0</v>
      </c>
      <c r="BF50" s="179">
        <v>1</v>
      </c>
      <c r="BG50" s="225" t="str">
        <f>IF(BC50=FALSE,"",MIN(BH50:$BK50)-ROUND(($BK50-1-ROUND(80/$AZ50,0))/COUNTIF($BB50:$BE50,TRUE),0))</f>
        <v/>
      </c>
      <c r="BH50" s="225">
        <f>IF(BD50=FALSE,"",MIN(BI50:$BK50)-ROUND(($BK50-1-ROUND(80/$AZ50,0))/COUNTIF($BB50:$BE50,TRUE),0))</f>
        <v>17</v>
      </c>
      <c r="BI50" s="225" t="str">
        <f>IF(BE50=FALSE,"",MIN(BJ50:$BK50)-ROUND(($BK50-1-ROUND(80/$AZ50,0))/COUNTIF($BB50:$BE50,TRUE),0))</f>
        <v/>
      </c>
      <c r="BJ50" s="225" t="str">
        <f>IF(BB50=FALSE,"",MIN($BK50:BK50)-ROUND(($BK50-1-ROUND(80/$AZ50,0))/COUNTIF($BB50:$BE50,TRUE),0))</f>
        <v/>
      </c>
      <c r="BK50" s="107">
        <f>101-ROUND(Ag!BU$7*100,0)</f>
        <v>96</v>
      </c>
      <c r="BL50" s="63">
        <v>1</v>
      </c>
      <c r="BM50" s="82">
        <f t="array" ref="BM50">MIN(BL50,INDEX([1]Basic!L$26:L$34, MATCH([1]Basic!D$5,[1]Basic!B$26:B$34,0)))</f>
        <v>1</v>
      </c>
      <c r="BS50" s="472" t="str">
        <f ca="1">IFERROR(__xludf.DUMMYFUNCTION("if(D50="""","""",if(isodd(D50),""Male "",""Female "")&amp;
if(or(E50&gt;Races!G$9,Races!G$9=1),index(Races!F$11:F$37,match(E50,Races!I$11:I$37)),index(Races!F$11:F$37,match(F50,Races!N$11:N$37)))&amp;"" ""&amp;
index(Professions!B$32:B$252,match(((G50-1)*100)+H50,Profes"&amp;"sions!H$32:H$252))&amp;"" (""&amp;
index(NPCs!F$6:O$6,,min(match(I50,NPCs!F$10:O$10),index(Professions!P$32:P$252,match(index(Professions!B$32:B$252,match(((G50-1)*100)+H50,Professions!H$32:H$252)),Professions!B$32:B$252,0))))&amp;"" ""&amp;
index(Professions!V$30:AA$30,"&amp;",match(J50,filter(Professions!V$32:AA$252,Professions!B$32:B$252=index(Professions!B$32:B$252,match(((G50-1)*100)+H50,Professions!H$32:H$252)))))&amp;"")"")"),"")</f>
        <v/>
      </c>
      <c r="BT50" s="393"/>
      <c r="BU50" s="369"/>
      <c r="BV50" s="310">
        <v>0</v>
      </c>
      <c r="BW50" s="310">
        <v>0</v>
      </c>
      <c r="BX50" s="310">
        <v>0</v>
      </c>
      <c r="BY50" s="310">
        <v>0</v>
      </c>
      <c r="BZ50" s="310">
        <v>0</v>
      </c>
      <c r="CA50" s="310">
        <v>0</v>
      </c>
      <c r="CB50" s="311">
        <v>0</v>
      </c>
      <c r="CC50" s="313"/>
      <c r="CD50" s="313"/>
      <c r="CE50" s="82">
        <v>5</v>
      </c>
      <c r="CF50" s="56" t="e">
        <f ca="1"/>
        <v>#NAME?</v>
      </c>
      <c r="CG50" s="56" t="e">
        <f ca="1">IF(CF50=0,"",MAX(1,ROUND(CF50/BS$16*100,0)))</f>
        <v>#NAME?</v>
      </c>
      <c r="CH50" s="56" t="e">
        <f ca="1">_xludf.ifs(CG50="","",CG51="",100,TRUE,CH51-CG50)</f>
        <v>#NAME?</v>
      </c>
      <c r="CP50" s="425"/>
      <c r="CQ50" s="369"/>
      <c r="DT50" s="334" t="s">
        <v>96</v>
      </c>
      <c r="DU50" s="167" t="e">
        <f t="array" aca="1" ref="DU50" ca="1">IF(ED19=FALSE,FALSE,OR(EC19:EC21={"Pigs","Cattle","Sheep","Goats"}))</f>
        <v>#N/A</v>
      </c>
      <c r="DV50" s="56">
        <f>IF(EJ38=TRUE,5,1)</f>
        <v>1</v>
      </c>
      <c r="DW50" s="63">
        <v>0</v>
      </c>
      <c r="DY50" s="387" t="s">
        <v>1043</v>
      </c>
      <c r="DZ50" s="431" t="s">
        <v>1044</v>
      </c>
      <c r="EA50" s="358"/>
      <c r="EB50" s="431" t="s">
        <v>1045</v>
      </c>
      <c r="EC50" s="358"/>
      <c r="ED50" s="431" t="s">
        <v>1046</v>
      </c>
      <c r="EE50" s="358"/>
      <c r="EF50" s="431" t="s">
        <v>1047</v>
      </c>
      <c r="EG50" s="358"/>
      <c r="EH50" s="431" t="s">
        <v>1047</v>
      </c>
      <c r="EI50" s="358"/>
      <c r="EJ50" s="431" t="s">
        <v>1048</v>
      </c>
      <c r="EK50" s="358"/>
      <c r="EL50" s="431" t="s">
        <v>1049</v>
      </c>
      <c r="EM50" s="358"/>
    </row>
    <row r="51" spans="1:143" ht="13.5" thickBot="1">
      <c r="A51" s="95" t="s">
        <v>682</v>
      </c>
      <c r="B51" s="63">
        <v>1.4</v>
      </c>
      <c r="C51" s="63">
        <v>1419</v>
      </c>
      <c r="D51" s="111">
        <f>ROUND(C51*0.239006*10000,0)</f>
        <v>3391495</v>
      </c>
      <c r="E51" s="151">
        <f>D51*B51</f>
        <v>4748093</v>
      </c>
      <c r="G51" s="371" t="s">
        <v>683</v>
      </c>
      <c r="H51" s="369"/>
      <c r="I51" s="111">
        <f>I50*10000</f>
        <v>1600000</v>
      </c>
      <c r="Y51" s="167" t="str">
        <f ca="1">IFERROR(__xludf.DUMMYFUNCTION("""COMPUTED_VALUE"""),"Orc")</f>
        <v>Orc</v>
      </c>
      <c r="Z51" s="111">
        <f ca="1">IFERROR(__xludf.DUMMYFUNCTION("""COMPUTED_VALUE"""),0)</f>
        <v>0</v>
      </c>
      <c r="AA51" s="31"/>
      <c r="AB51" s="31"/>
      <c r="AC51" s="31"/>
      <c r="AD51" s="31"/>
      <c r="AE51" s="31"/>
      <c r="AF51" s="31"/>
      <c r="AG51" s="31"/>
      <c r="AH51" s="31"/>
      <c r="AI51" s="31"/>
      <c r="AK51" s="389"/>
      <c r="AL51" s="452" t="s">
        <v>250</v>
      </c>
      <c r="AM51" s="369"/>
      <c r="AN51" s="229">
        <v>24</v>
      </c>
      <c r="AO51" s="218" t="e">
        <f ca="1">ROUND(AN51*_xludf.ifs(
AND(AU51=TRUE,AW51=TRUE),1,
AU51=TRUE,AV51,
AW51=TRUE,AX51,
TRUE,1),0)</f>
        <v>#NAME?</v>
      </c>
      <c r="AP51" s="57" t="e">
        <f ca="1">ROUND(AO51/SUM(AO$32:AO$252)*AM$27,0)</f>
        <v>#NAME?</v>
      </c>
      <c r="AQ51" s="5" t="str">
        <f ca="1">IFERROR(__xludf.DUMMYFUNCTION("if(O51=0,"""",
filter(I$32:I50,row(I$32:I50)=max(filter(arrayformula(row(I$32:I50)),I$32:I50&lt;&gt;"""")))+
filter(G$32:G50,row(G$32:G50)=max(filter(arrayformula(row(G$32:G50)),G$32:G50&lt;&gt;"""")))
)"),"")</f>
        <v/>
      </c>
      <c r="AR51" s="198" t="str">
        <f ca="1">IFERROR(__xludf.DUMMYFUNCTION("if(G51="""","""",G51-(
filter(G$32:G$252,row(G$32:G$252)=max(filter(arrayformula(row(G$32:G$252)),G$32:G$252&lt;&gt;"""")))
-(10001-
filter(I$32:I$252,row(I$32:I$252)=max(filter(arrayformula(row(I$32:I$252)),I$32:I$252&lt;&gt;""""))))))"),"")</f>
        <v/>
      </c>
      <c r="AS51" s="198" t="e">
        <f ca="1">IF(AY51=0,"",ROUND(AY51/AM$3*10000,0))</f>
        <v>#NAME?</v>
      </c>
      <c r="AT51" s="219" t="b">
        <v>0</v>
      </c>
      <c r="AU51" s="82"/>
      <c r="AV51" s="63">
        <v>0</v>
      </c>
      <c r="AW51" s="82" t="b">
        <f>OR(AM8,AQ18,AQ22)</f>
        <v>0</v>
      </c>
      <c r="AX51" s="220">
        <v>2</v>
      </c>
      <c r="AY51" s="56" t="e">
        <f ca="1">MAX(ROUND(AP51*(AM$1/AM$27),0),IF(AT51=TRUE,1,0))</f>
        <v>#NAME?</v>
      </c>
      <c r="AZ51" s="220">
        <v>3</v>
      </c>
      <c r="BA51" s="221">
        <v>0</v>
      </c>
      <c r="BB51" s="222" t="b">
        <v>0</v>
      </c>
      <c r="BC51" s="223" t="b">
        <v>0</v>
      </c>
      <c r="BD51" s="223" t="b">
        <v>0</v>
      </c>
      <c r="BE51" s="224" t="b">
        <v>0</v>
      </c>
      <c r="BF51" s="179">
        <v>1</v>
      </c>
      <c r="BG51" s="225" t="str">
        <f>IF(BC51=FALSE,"",MIN(BH51:$BK51)-ROUND(($BK51-1-ROUND(80/$AZ51,0))/COUNTIF($BB51:$BE51,TRUE),0))</f>
        <v/>
      </c>
      <c r="BH51" s="225" t="str">
        <f>IF(BD51=FALSE,"",MIN(BI51:$BK51)-ROUND(($BK51-1-ROUND(80/$AZ51,0))/COUNTIF($BB51:$BE51,TRUE),0))</f>
        <v/>
      </c>
      <c r="BI51" s="225" t="str">
        <f>IF(BE51=FALSE,"",MIN(BJ51:$BK51)-ROUND(($BK51-1-ROUND(80/$AZ51,0))/COUNTIF($BB51:$BE51,TRUE),0))</f>
        <v/>
      </c>
      <c r="BJ51" s="225" t="str">
        <f>IF(BB51=FALSE,"",MIN($BK51:BK51)-ROUND(($BK51-1-ROUND(80/$AZ51,0))/COUNTIF($BB51:$BE51,TRUE),0))</f>
        <v/>
      </c>
      <c r="BK51" s="107">
        <f>101-ROUND(Ag!BU$7*100,0)</f>
        <v>96</v>
      </c>
      <c r="BL51" s="63">
        <v>1</v>
      </c>
      <c r="BM51" s="82">
        <f t="array" ref="BM51">MIN(BL51,INDEX([1]Basic!L$26:L$34, MATCH([1]Basic!D$5,[1]Basic!B$26:B$34,0)))</f>
        <v>1</v>
      </c>
      <c r="BS51" s="472" t="str">
        <f ca="1">IFERROR(__xludf.DUMMYFUNCTION("if(D51="""","""",if(isodd(D51),""Male "",""Female "")&amp;
if(or(E51&gt;Races!G$9,Races!G$9=1),index(Races!F$11:F$37,match(E51,Races!I$11:I$37)),index(Races!F$11:F$37,match(F51,Races!N$11:N$37)))&amp;"" ""&amp;
index(Professions!B$32:B$252,match(((G51-1)*100)+H51,Profes"&amp;"sions!H$32:H$252))&amp;"" (""&amp;
index(NPCs!F$6:O$6,,min(match(I51,NPCs!F$10:O$10),index(Professions!P$32:P$252,match(index(Professions!B$32:B$252,match(((G51-1)*100)+H51,Professions!H$32:H$252)),Professions!B$32:B$252,0))))&amp;"" ""&amp;
index(Professions!V$30:AA$30,"&amp;",match(J51,filter(Professions!V$32:AA$252,Professions!B$32:B$252=index(Professions!B$32:B$252,match(((G51-1)*100)+H51,Professions!H$32:H$252)))))&amp;"")"")"),"")</f>
        <v/>
      </c>
      <c r="BT51" s="393"/>
      <c r="BU51" s="369"/>
      <c r="BV51" s="310">
        <v>0</v>
      </c>
      <c r="BW51" s="310">
        <v>0</v>
      </c>
      <c r="BX51" s="310">
        <v>0</v>
      </c>
      <c r="BY51" s="310">
        <v>0</v>
      </c>
      <c r="BZ51" s="310">
        <v>0</v>
      </c>
      <c r="CA51" s="310">
        <v>0</v>
      </c>
      <c r="CB51" s="311">
        <v>0</v>
      </c>
      <c r="CC51" s="31"/>
      <c r="CD51" s="31"/>
      <c r="CE51" s="82">
        <v>6</v>
      </c>
      <c r="CF51" s="56" t="e">
        <f ca="1"/>
        <v>#NAME?</v>
      </c>
      <c r="CG51" s="56" t="e">
        <f ca="1">IF(CF51=0,"",MAX(1,ROUND(CF51/BS$16*100,0)))</f>
        <v>#NAME?</v>
      </c>
      <c r="CH51" s="56" t="e">
        <f ca="1">_xludf.ifs(CG51="","",CG52="",100,TRUE,CH52-CG51)</f>
        <v>#NAME?</v>
      </c>
      <c r="CP51" s="426"/>
      <c r="CQ51" s="361"/>
      <c r="DT51" s="171" t="s">
        <v>1050</v>
      </c>
      <c r="DU51" s="167" t="e">
        <f t="array" aca="1" ref="DU51" ca="1">IF(OR(DZ16={"Af","Am","Csa","Cfa","Csb","Cfb","Cwa","Cwb","Dfa","Dfb","Dfc","Dwa","Dwb"}),TRUE,FALSE)</f>
        <v>#NAME?</v>
      </c>
      <c r="DV51" s="56">
        <f>IF(EJ33=TRUE,5,1)</f>
        <v>1</v>
      </c>
      <c r="DW51" s="63">
        <v>0</v>
      </c>
      <c r="DY51" s="389"/>
      <c r="DZ51" s="428" t="s">
        <v>1051</v>
      </c>
      <c r="EA51" s="369"/>
      <c r="EB51" s="428" t="s">
        <v>1052</v>
      </c>
      <c r="EC51" s="369"/>
      <c r="ED51" s="428" t="s">
        <v>1053</v>
      </c>
      <c r="EE51" s="369"/>
      <c r="EF51" s="428" t="s">
        <v>1054</v>
      </c>
      <c r="EG51" s="369"/>
      <c r="EH51" s="428" t="s">
        <v>1055</v>
      </c>
      <c r="EI51" s="369"/>
      <c r="EJ51" s="428" t="s">
        <v>1056</v>
      </c>
      <c r="EK51" s="369"/>
      <c r="EL51" s="428" t="s">
        <v>1045</v>
      </c>
      <c r="EM51" s="369"/>
    </row>
    <row r="52" spans="1:143" ht="14.25" thickTop="1" thickBot="1">
      <c r="A52" s="95" t="s">
        <v>684</v>
      </c>
      <c r="B52" s="63">
        <v>9.5</v>
      </c>
      <c r="C52" s="63">
        <v>494</v>
      </c>
      <c r="D52" s="111">
        <f>ROUND(C52*0.239006*10000,0)</f>
        <v>1180690</v>
      </c>
      <c r="E52" s="151">
        <f>D52*B52</f>
        <v>11216555</v>
      </c>
      <c r="G52" s="405" t="s">
        <v>685</v>
      </c>
      <c r="H52" s="361"/>
      <c r="I52" s="154" t="e">
        <f ca="1">I48*I49*I51</f>
        <v>#NAME?</v>
      </c>
      <c r="Y52" s="167" t="str">
        <f ca="1">IFERROR(__xludf.DUMMYFUNCTION("""COMPUTED_VALUE"""),"Tabaxi")</f>
        <v>Tabaxi</v>
      </c>
      <c r="Z52" s="111">
        <f ca="1">IFERROR(__xludf.DUMMYFUNCTION("""COMPUTED_VALUE"""),0)</f>
        <v>0</v>
      </c>
      <c r="AA52" s="31"/>
      <c r="AB52" s="31"/>
      <c r="AC52" s="31"/>
      <c r="AD52" s="31"/>
      <c r="AE52" s="31"/>
      <c r="AF52" s="31"/>
      <c r="AG52" s="31"/>
      <c r="AH52" s="31"/>
      <c r="AI52" s="31"/>
      <c r="AK52" s="389"/>
      <c r="AL52" s="452" t="s">
        <v>255</v>
      </c>
      <c r="AM52" s="369"/>
      <c r="AN52" s="241">
        <v>40</v>
      </c>
      <c r="AO52" s="218" t="e">
        <f ca="1">ROUND(AN52*_xludf.ifs(
AND(AU52=TRUE,AW52=TRUE),1,
AU52=TRUE,AV52,
AW52=TRUE,AX52,
TRUE,1),0)</f>
        <v>#NAME?</v>
      </c>
      <c r="AP52" s="57" t="e">
        <f ca="1">ROUND(AO52/SUM(AO$32:AO$252)*AM$27,0)</f>
        <v>#NAME?</v>
      </c>
      <c r="AQ52" s="5" t="str">
        <f ca="1">IFERROR(__xludf.DUMMYFUNCTION("if(O52=0,"""",
filter(I$32:I51,row(I$32:I51)=max(filter(arrayformula(row(I$32:I51)),I$32:I51&lt;&gt;"""")))+
filter(G$32:G51,row(G$32:G51)=max(filter(arrayformula(row(G$32:G51)),G$32:G51&lt;&gt;"""")))
)"),"")</f>
        <v/>
      </c>
      <c r="AR52" s="198" t="str">
        <f ca="1">IFERROR(__xludf.DUMMYFUNCTION("if(G52="""","""",G52-(
filter(G$32:G$252,row(G$32:G$252)=max(filter(arrayformula(row(G$32:G$252)),G$32:G$252&lt;&gt;"""")))
-(10001-
filter(I$32:I$252,row(I$32:I$252)=max(filter(arrayformula(row(I$32:I$252)),I$32:I$252&lt;&gt;""""))))))"),"")</f>
        <v/>
      </c>
      <c r="AS52" s="198" t="e">
        <f ca="1">IF(AY52=0,"",ROUND(AY52/AM$3*10000,0))</f>
        <v>#NAME?</v>
      </c>
      <c r="AT52" s="219" t="b">
        <v>0</v>
      </c>
      <c r="AU52" s="82" t="b">
        <f>OR(AM17)</f>
        <v>0</v>
      </c>
      <c r="AV52" s="63">
        <v>0</v>
      </c>
      <c r="AW52" s="82" t="b">
        <f>OR(AQ19:AQ20,AQ7:AQ12,AQ16,AM8)</f>
        <v>0</v>
      </c>
      <c r="AX52" s="220">
        <v>2</v>
      </c>
      <c r="AY52" s="56" t="e">
        <f ca="1">MAX(ROUND(AP52*(AM$1/AM$27),0),IF(AT52=TRUE,1,0))</f>
        <v>#NAME?</v>
      </c>
      <c r="AZ52" s="220">
        <v>1</v>
      </c>
      <c r="BA52" s="221">
        <v>0</v>
      </c>
      <c r="BB52" s="222" t="b">
        <v>0</v>
      </c>
      <c r="BC52" s="223" t="b">
        <v>0</v>
      </c>
      <c r="BD52" s="223" t="b">
        <v>0</v>
      </c>
      <c r="BE52" s="224" t="b">
        <v>0</v>
      </c>
      <c r="BF52" s="179">
        <v>1</v>
      </c>
      <c r="BG52" s="225" t="str">
        <f>IF(BC52=FALSE,"",MIN(BH52:$BK52)-ROUND(($BK52-1-ROUND(80/$AZ52,0))/COUNTIF($BB52:$BE52,TRUE),0))</f>
        <v/>
      </c>
      <c r="BH52" s="225" t="str">
        <f>IF(BD52=FALSE,"",MIN(BI52:$BK52)-ROUND(($BK52-1-ROUND(80/$AZ52,0))/COUNTIF($BB52:$BE52,TRUE),0))</f>
        <v/>
      </c>
      <c r="BI52" s="225" t="str">
        <f>IF(BE52=FALSE,"",MIN(BJ52:$BK52)-ROUND(($BK52-1-ROUND(80/$AZ52,0))/COUNTIF($BB52:$BE52,TRUE),0))</f>
        <v/>
      </c>
      <c r="BJ52" s="225" t="str">
        <f>IF(BB52=FALSE,"",MIN($BK52:BK52)-ROUND(($BK52-1-ROUND(80/$AZ52,0))/COUNTIF($BB52:$BE52,TRUE),0))</f>
        <v/>
      </c>
      <c r="BK52" s="107">
        <f>101-ROUND(Ag!BU$7*100,0)</f>
        <v>96</v>
      </c>
      <c r="BL52" s="63">
        <v>1</v>
      </c>
      <c r="BM52" s="82">
        <f t="array" ref="BM52">MIN(BL52,INDEX([1]Basic!L$26:L$34, MATCH([1]Basic!D$5,[1]Basic!B$26:B$34,0)))</f>
        <v>1</v>
      </c>
      <c r="BS52" s="472" t="str">
        <f ca="1">IFERROR(__xludf.DUMMYFUNCTION("if(D52="""","""",if(isodd(D52),""Male "",""Female "")&amp;
if(or(E52&gt;Races!G$9,Races!G$9=1),index(Races!F$11:F$37,match(E52,Races!I$11:I$37)),index(Races!F$11:F$37,match(F52,Races!N$11:N$37)))&amp;"" ""&amp;
index(Professions!B$32:B$252,match(((G52-1)*100)+H52,Profes"&amp;"sions!H$32:H$252))&amp;"" (""&amp;
index(NPCs!F$6:O$6,,min(match(I52,NPCs!F$10:O$10),index(Professions!P$32:P$252,match(index(Professions!B$32:B$252,match(((G52-1)*100)+H52,Professions!H$32:H$252)),Professions!B$32:B$252,0))))&amp;"" ""&amp;
index(Professions!V$30:AA$30,"&amp;",match(J52,filter(Professions!V$32:AA$252,Professions!B$32:B$252=index(Professions!B$32:B$252,match(((G52-1)*100)+H52,Professions!H$32:H$252)))))&amp;"")"")"),"")</f>
        <v/>
      </c>
      <c r="BT52" s="393"/>
      <c r="BU52" s="369"/>
      <c r="BV52" s="310">
        <v>0</v>
      </c>
      <c r="BW52" s="310">
        <v>0</v>
      </c>
      <c r="BX52" s="310">
        <v>0</v>
      </c>
      <c r="BY52" s="310">
        <v>0</v>
      </c>
      <c r="BZ52" s="310">
        <v>0</v>
      </c>
      <c r="CA52" s="310">
        <v>0</v>
      </c>
      <c r="CB52" s="311">
        <v>0</v>
      </c>
      <c r="CC52" s="38"/>
      <c r="CD52" s="38"/>
      <c r="CE52" s="82">
        <v>7</v>
      </c>
      <c r="CF52" s="56" t="e">
        <f ca="1"/>
        <v>#NAME?</v>
      </c>
      <c r="CG52" s="56" t="e">
        <f ca="1">IF(CF52=0,"",MAX(1,ROUND(CF52/BS$16*100,0)))</f>
        <v>#NAME?</v>
      </c>
      <c r="CH52" s="56" t="e">
        <f ca="1">_xludf.ifs(CG52="","",CG53="",100,TRUE,CH53-CG52)</f>
        <v>#NAME?</v>
      </c>
      <c r="DT52" s="334" t="s">
        <v>670</v>
      </c>
      <c r="DU52" s="167" t="e">
        <f t="array" aca="1" ref="DU52" ca="1">IF(ED$16=FALSE,FALSE,OR(EC$16:EC$18=DT52))</f>
        <v>#N/A</v>
      </c>
      <c r="DV52" s="82">
        <v>2</v>
      </c>
      <c r="DW52" s="63">
        <v>0</v>
      </c>
      <c r="DY52" s="389"/>
      <c r="DZ52" s="428" t="s">
        <v>1057</v>
      </c>
      <c r="EA52" s="369"/>
      <c r="EB52" s="428" t="s">
        <v>1049</v>
      </c>
      <c r="EC52" s="369"/>
      <c r="ED52" s="428" t="s">
        <v>1058</v>
      </c>
      <c r="EE52" s="369"/>
      <c r="EF52" s="428" t="s">
        <v>1056</v>
      </c>
      <c r="EG52" s="369"/>
      <c r="EH52" s="428" t="s">
        <v>1059</v>
      </c>
      <c r="EI52" s="369"/>
      <c r="EJ52" s="428" t="s">
        <v>1051</v>
      </c>
      <c r="EK52" s="369"/>
      <c r="EL52" s="428" t="s">
        <v>1060</v>
      </c>
      <c r="EM52" s="369"/>
    </row>
    <row r="53" spans="1:143" ht="13.5" thickTop="1">
      <c r="A53" s="95" t="s">
        <v>686</v>
      </c>
      <c r="B53" s="63">
        <v>5.7</v>
      </c>
      <c r="C53" s="63">
        <v>511</v>
      </c>
      <c r="D53" s="111">
        <f>ROUND(C53*0.239006*10000,0)</f>
        <v>1221321</v>
      </c>
      <c r="E53" s="151">
        <f>D53*B53</f>
        <v>6961529.7000000002</v>
      </c>
      <c r="Y53" s="167" t="str">
        <f ca="1">IFERROR(__xludf.DUMMYFUNCTION("""COMPUTED_VALUE"""),"Tortle")</f>
        <v>Tortle</v>
      </c>
      <c r="Z53" s="111">
        <f ca="1">IFERROR(__xludf.DUMMYFUNCTION("""COMPUTED_VALUE"""),0)</f>
        <v>0</v>
      </c>
      <c r="AA53" s="31"/>
      <c r="AB53" s="31"/>
      <c r="AC53" s="31"/>
      <c r="AD53" s="31"/>
      <c r="AE53" s="31"/>
      <c r="AF53" s="31"/>
      <c r="AG53" s="31"/>
      <c r="AH53" s="31"/>
      <c r="AI53" s="31"/>
      <c r="AK53" s="389"/>
      <c r="AL53" s="452" t="s">
        <v>259</v>
      </c>
      <c r="AM53" s="369"/>
      <c r="AN53" s="241">
        <v>4</v>
      </c>
      <c r="AO53" s="218" t="e">
        <f ca="1">ROUND(AN53*_xludf.ifs(
AND(AU53=TRUE,AW53=TRUE),1,
AU53=TRUE,AV53,
AW53=TRUE,AX53,
TRUE,1),0)</f>
        <v>#NAME?</v>
      </c>
      <c r="AP53" s="57" t="e">
        <f ca="1">ROUND(AO53/SUM(AO$32:AO$252)*AM$27,0)</f>
        <v>#NAME?</v>
      </c>
      <c r="AQ53" s="5" t="str">
        <f ca="1">IFERROR(__xludf.DUMMYFUNCTION("if(O53=0,"""",
filter(I$32:I52,row(I$32:I52)=max(filter(arrayformula(row(I$32:I52)),I$32:I52&lt;&gt;"""")))+
filter(G$32:G52,row(G$32:G52)=max(filter(arrayformula(row(G$32:G52)),G$32:G52&lt;&gt;"""")))
)"),"")</f>
        <v/>
      </c>
      <c r="AR53" s="198" t="str">
        <f ca="1">IFERROR(__xludf.DUMMYFUNCTION("if(G53="""","""",G53-(
filter(G$32:G$252,row(G$32:G$252)=max(filter(arrayformula(row(G$32:G$252)),G$32:G$252&lt;&gt;"""")))
-(10001-
filter(I$32:I$252,row(I$32:I$252)=max(filter(arrayformula(row(I$32:I$252)),I$32:I$252&lt;&gt;""""))))))"),"")</f>
        <v/>
      </c>
      <c r="AS53" s="198" t="e">
        <f ca="1">IF(AY53=0,"",ROUND(AY53/AM$3*10000,0))</f>
        <v>#NAME?</v>
      </c>
      <c r="AT53" s="219" t="b">
        <v>0</v>
      </c>
      <c r="AU53" s="82"/>
      <c r="AV53" s="63">
        <v>0</v>
      </c>
      <c r="AW53" s="82" t="b">
        <f>OR(AU20,AM13,AQ19,AQ7)</f>
        <v>0</v>
      </c>
      <c r="AX53" s="220">
        <v>2</v>
      </c>
      <c r="AY53" s="56" t="e">
        <f ca="1">MAX(ROUND(AP53*(AM$1/AM$27),0),IF(AT53=TRUE,1,0))</f>
        <v>#NAME?</v>
      </c>
      <c r="AZ53" s="220">
        <v>5</v>
      </c>
      <c r="BA53" s="221">
        <v>1</v>
      </c>
      <c r="BB53" s="227" t="b">
        <v>1</v>
      </c>
      <c r="BC53" s="223" t="b">
        <v>0</v>
      </c>
      <c r="BD53" s="228" t="b">
        <v>1</v>
      </c>
      <c r="BE53" s="224" t="b">
        <v>0</v>
      </c>
      <c r="BF53" s="179">
        <v>1</v>
      </c>
      <c r="BG53" s="225" t="str">
        <f>IF(BC53=FALSE,"",MIN(BH53:$BK53)-ROUND(($BK53-1-ROUND(80/$AZ53,0))/COUNTIF($BB53:$BE53,TRUE),0))</f>
        <v/>
      </c>
      <c r="BH53" s="225">
        <f>IF(BD53=FALSE,"",MIN(BI53:$BK53)-ROUND(($BK53-1-ROUND(80/$AZ53,0))/COUNTIF($BB53:$BE53,TRUE),0))</f>
        <v>16</v>
      </c>
      <c r="BI53" s="225" t="str">
        <f>IF(BE53=FALSE,"",MIN(BJ53:$BK53)-ROUND(($BK53-1-ROUND(80/$AZ53,0))/COUNTIF($BB53:$BE53,TRUE),0))</f>
        <v/>
      </c>
      <c r="BJ53" s="225">
        <f>IF(BB53=FALSE,"",MIN($BK53:BK53)-ROUND(($BK53-1-ROUND(80/$AZ53,0))/COUNTIF($BB53:$BE53,TRUE),0))</f>
        <v>56</v>
      </c>
      <c r="BK53" s="107">
        <f>101-ROUND(Ag!BU$7*100,0)</f>
        <v>96</v>
      </c>
      <c r="BL53" s="63">
        <v>2</v>
      </c>
      <c r="BM53" s="82">
        <f t="array" ref="BM53">MIN(BL53,INDEX([1]Basic!L$26:L$34, MATCH([1]Basic!D$5,[1]Basic!B$26:B$34,0)))</f>
        <v>2</v>
      </c>
      <c r="BS53" s="472" t="str">
        <f ca="1">IFERROR(__xludf.DUMMYFUNCTION("if(D53="""","""",if(isodd(D53),""Male "",""Female "")&amp;
if(or(E53&gt;Races!G$9,Races!G$9=1),index(Races!F$11:F$37,match(E53,Races!I$11:I$37)),index(Races!F$11:F$37,match(F53,Races!N$11:N$37)))&amp;"" ""&amp;
index(Professions!B$32:B$252,match(((G53-1)*100)+H53,Profes"&amp;"sions!H$32:H$252))&amp;"" (""&amp;
index(NPCs!F$6:O$6,,min(match(I53,NPCs!F$10:O$10),index(Professions!P$32:P$252,match(index(Professions!B$32:B$252,match(((G53-1)*100)+H53,Professions!H$32:H$252)),Professions!B$32:B$252,0))))&amp;"" ""&amp;
index(Professions!V$30:AA$30,"&amp;",match(J53,filter(Professions!V$32:AA$252,Professions!B$32:B$252=index(Professions!B$32:B$252,match(((G53-1)*100)+H53,Professions!H$32:H$252)))))&amp;"")"")"),"")</f>
        <v/>
      </c>
      <c r="BT53" s="393"/>
      <c r="BU53" s="369"/>
      <c r="BV53" s="310">
        <v>0</v>
      </c>
      <c r="BW53" s="310">
        <v>0</v>
      </c>
      <c r="BX53" s="310">
        <v>0</v>
      </c>
      <c r="BY53" s="310">
        <v>0</v>
      </c>
      <c r="BZ53" s="310">
        <v>0</v>
      </c>
      <c r="CA53" s="310">
        <v>0</v>
      </c>
      <c r="CB53" s="311">
        <v>0</v>
      </c>
      <c r="CC53" s="38"/>
      <c r="CD53" s="38"/>
      <c r="CE53" s="82">
        <v>8</v>
      </c>
      <c r="CF53" s="56" t="e">
        <f ca="1"/>
        <v>#NAME?</v>
      </c>
      <c r="CG53" s="56" t="e">
        <f ca="1">IF(CF53=0,"",MAX(1,ROUND(CF53/BS$16*100,0)))</f>
        <v>#NAME?</v>
      </c>
      <c r="CH53" s="56" t="e">
        <f ca="1">_xludf.ifs(CG53="","",CG54="",100,TRUE,CH54-CG53)</f>
        <v>#NAME?</v>
      </c>
      <c r="DT53" s="171" t="s">
        <v>1039</v>
      </c>
      <c r="DU53" s="171" t="b">
        <v>1</v>
      </c>
      <c r="DV53" s="82">
        <v>2</v>
      </c>
      <c r="DW53" s="63">
        <v>0.05</v>
      </c>
      <c r="DY53" s="389"/>
      <c r="DZ53" s="428" t="s">
        <v>1056</v>
      </c>
      <c r="EA53" s="369"/>
      <c r="EB53" s="428" t="s">
        <v>1057</v>
      </c>
      <c r="EC53" s="369"/>
      <c r="ED53" s="428" t="s">
        <v>1061</v>
      </c>
      <c r="EE53" s="369"/>
      <c r="EF53" s="428" t="s">
        <v>1062</v>
      </c>
      <c r="EG53" s="369"/>
      <c r="EH53" s="428" t="s">
        <v>1063</v>
      </c>
      <c r="EI53" s="369"/>
      <c r="EJ53" s="428" t="s">
        <v>1064</v>
      </c>
      <c r="EK53" s="369"/>
      <c r="EL53" s="428" t="s">
        <v>1052</v>
      </c>
      <c r="EM53" s="369"/>
    </row>
    <row r="54" spans="1:143" ht="13.5" thickBot="1">
      <c r="A54" s="95" t="s">
        <v>687</v>
      </c>
      <c r="B54" s="63">
        <v>12.5</v>
      </c>
      <c r="C54" s="63">
        <v>670</v>
      </c>
      <c r="D54" s="111">
        <f>ROUND(C54*0.239006*10000,0)</f>
        <v>1601340</v>
      </c>
      <c r="E54" s="151">
        <f>D54*B54</f>
        <v>20016750</v>
      </c>
      <c r="Y54" s="167"/>
      <c r="Z54" s="111"/>
      <c r="AA54" s="31"/>
      <c r="AB54" s="31"/>
      <c r="AC54" s="31"/>
      <c r="AD54" s="31"/>
      <c r="AE54" s="31"/>
      <c r="AF54" s="31"/>
      <c r="AG54" s="31"/>
      <c r="AH54" s="31"/>
      <c r="AI54" s="31"/>
      <c r="AK54" s="389"/>
      <c r="AL54" s="452" t="s">
        <v>264</v>
      </c>
      <c r="AM54" s="369"/>
      <c r="AN54" s="229">
        <v>8</v>
      </c>
      <c r="AO54" s="218" t="e">
        <f ca="1">ROUND(AN54*_xludf.ifs(
AND(AU54=TRUE,AW54=TRUE),1,
AU54=TRUE,AV54,
AW54=TRUE,AX54,
TRUE,1),0)</f>
        <v>#NAME?</v>
      </c>
      <c r="AP54" s="57" t="e">
        <f ca="1">ROUND(AO54/SUM(AO$32:AO$252)*AM$27,0)</f>
        <v>#NAME?</v>
      </c>
      <c r="AQ54" s="5" t="str">
        <f ca="1">IFERROR(__xludf.DUMMYFUNCTION("if(O54=0,"""",
filter(I$32:I53,row(I$32:I53)=max(filter(arrayformula(row(I$32:I53)),I$32:I53&lt;&gt;"""")))+
filter(G$32:G53,row(G$32:G53)=max(filter(arrayformula(row(G$32:G53)),G$32:G53&lt;&gt;"""")))
)"),"")</f>
        <v/>
      </c>
      <c r="AR54" s="198" t="str">
        <f ca="1">IFERROR(__xludf.DUMMYFUNCTION("if(G54="""","""",G54-(
filter(G$32:G$252,row(G$32:G$252)=max(filter(arrayformula(row(G$32:G$252)),G$32:G$252&lt;&gt;"""")))
-(10001-
filter(I$32:I$252,row(I$32:I$252)=max(filter(arrayformula(row(I$32:I$252)),I$32:I$252&lt;&gt;""""))))))"),"")</f>
        <v/>
      </c>
      <c r="AS54" s="198" t="e">
        <f ca="1">IF(AY54=0,"",ROUND(AY54/AM$3*10000,0))</f>
        <v>#NAME?</v>
      </c>
      <c r="AT54" s="219" t="b">
        <v>0</v>
      </c>
      <c r="AU54" s="82"/>
      <c r="AV54" s="63">
        <v>0</v>
      </c>
      <c r="AW54" s="82" t="b">
        <f>OR(AU20,AM13,AQ19)</f>
        <v>0</v>
      </c>
      <c r="AX54" s="220">
        <v>2</v>
      </c>
      <c r="AY54" s="56" t="e">
        <f ca="1">MAX(ROUND(AP54*(AM$1/AM$27),0),IF(AT54=TRUE,1,0))</f>
        <v>#NAME?</v>
      </c>
      <c r="AZ54" s="220">
        <v>10</v>
      </c>
      <c r="BA54" s="221">
        <v>6</v>
      </c>
      <c r="BB54" s="227" t="b">
        <v>1</v>
      </c>
      <c r="BC54" s="223" t="b">
        <v>0</v>
      </c>
      <c r="BD54" s="228" t="b">
        <v>1</v>
      </c>
      <c r="BE54" s="224" t="b">
        <v>0</v>
      </c>
      <c r="BF54" s="179">
        <v>1</v>
      </c>
      <c r="BG54" s="225" t="str">
        <f>IF(BC54=FALSE,"",MIN(BH54:$BK54)-ROUND(($BK54-1-ROUND(80/$AZ54,0))/COUNTIF($BB54:$BE54,TRUE),0))</f>
        <v/>
      </c>
      <c r="BH54" s="225">
        <f>IF(BD54=FALSE,"",MIN(BI54:$BK54)-ROUND(($BK54-1-ROUND(80/$AZ54,0))/COUNTIF($BB54:$BE54,TRUE),0))</f>
        <v>8</v>
      </c>
      <c r="BI54" s="225" t="str">
        <f>IF(BE54=FALSE,"",MIN(BJ54:$BK54)-ROUND(($BK54-1-ROUND(80/$AZ54,0))/COUNTIF($BB54:$BE54,TRUE),0))</f>
        <v/>
      </c>
      <c r="BJ54" s="225">
        <f>IF(BB54=FALSE,"",MIN($BK54:BK54)-ROUND(($BK54-1-ROUND(80/$AZ54,0))/COUNTIF($BB54:$BE54,TRUE),0))</f>
        <v>52</v>
      </c>
      <c r="BK54" s="107">
        <f>101-ROUND(Ag!BU$7*100,0)</f>
        <v>96</v>
      </c>
      <c r="BL54" s="63">
        <v>3</v>
      </c>
      <c r="BM54" s="82">
        <f t="array" ref="BM54">MIN(BL54,INDEX([1]Basic!L$26:L$34, MATCH([1]Basic!D$5,[1]Basic!B$26:B$34,0)))</f>
        <v>3</v>
      </c>
      <c r="BS54" s="481" t="str">
        <f ca="1">IFERROR(__xludf.DUMMYFUNCTION("if(D54="""","""",if(isodd(D54),""Male "",""Female "")&amp;
if(or(E54&gt;Races!G$9,Races!G$9=1),index(Races!F$11:F$37,match(E54,Races!I$11:I$37)),index(Races!F$11:F$37,match(F54,Races!N$11:N$37)))&amp;"" ""&amp;
index(Professions!B$32:B$252,match(((G54-1)*100)+H54,Profes"&amp;"sions!H$32:H$252))&amp;"" (""&amp;
index(NPCs!F$6:O$6,,min(match(I54,NPCs!F$10:O$10),index(Professions!P$32:P$252,match(index(Professions!B$32:B$252,match(((G54-1)*100)+H54,Professions!H$32:H$252)),Professions!B$32:B$252,0))))&amp;"" ""&amp;
index(Professions!V$30:AA$30,"&amp;",match(J54,filter(Professions!V$32:AA$252,Professions!B$32:B$252=index(Professions!B$32:B$252,match(((G54-1)*100)+H54,Professions!H$32:H$252)))))&amp;"")"")"),"")</f>
        <v/>
      </c>
      <c r="BT54" s="360"/>
      <c r="BU54" s="361"/>
      <c r="BV54" s="314">
        <v>0</v>
      </c>
      <c r="BW54" s="314">
        <v>0</v>
      </c>
      <c r="BX54" s="314">
        <v>0</v>
      </c>
      <c r="BY54" s="314">
        <v>0</v>
      </c>
      <c r="BZ54" s="314">
        <v>0</v>
      </c>
      <c r="CA54" s="314">
        <v>0</v>
      </c>
      <c r="CB54" s="315">
        <v>0</v>
      </c>
      <c r="CE54" s="82">
        <v>9</v>
      </c>
      <c r="CF54" s="56" t="e">
        <f ca="1"/>
        <v>#NAME?</v>
      </c>
      <c r="CG54" s="56" t="e">
        <f ca="1">IF(CF54=0,"",MAX(1,ROUND(CF54/BS$16*100,0)))</f>
        <v>#NAME?</v>
      </c>
      <c r="CH54" s="56" t="e">
        <f ca="1">_xludf.ifs(CG54="","",CG55="",100,TRUE,CH55-CG54)</f>
        <v>#NAME?</v>
      </c>
      <c r="DT54" s="334" t="s">
        <v>99</v>
      </c>
      <c r="DU54" s="171" t="b">
        <v>1</v>
      </c>
      <c r="DV54" s="56">
        <f>IF(OR(EJ39=TRUE,EJ29=TRUE,EB16="King's Crown",EB17="King's Crown"),5,1)</f>
        <v>1</v>
      </c>
      <c r="DW54" s="63">
        <v>0.05</v>
      </c>
      <c r="DY54" s="389"/>
      <c r="DZ54" s="428" t="s">
        <v>1065</v>
      </c>
      <c r="EA54" s="369"/>
      <c r="EB54" s="428" t="s">
        <v>1056</v>
      </c>
      <c r="EC54" s="369"/>
      <c r="ED54" s="428" t="s">
        <v>1066</v>
      </c>
      <c r="EE54" s="369"/>
      <c r="EF54" s="428" t="s">
        <v>1067</v>
      </c>
      <c r="EG54" s="369"/>
      <c r="EH54" s="428" t="s">
        <v>1056</v>
      </c>
      <c r="EI54" s="369"/>
      <c r="EJ54" s="428" t="s">
        <v>1068</v>
      </c>
      <c r="EK54" s="369"/>
      <c r="EL54" s="428" t="s">
        <v>1056</v>
      </c>
      <c r="EM54" s="369"/>
    </row>
    <row r="55" spans="1:143" ht="14.25" thickTop="1" thickBot="1">
      <c r="A55" s="72" t="s">
        <v>127</v>
      </c>
      <c r="B55" s="66">
        <v>1</v>
      </c>
      <c r="C55" s="66">
        <v>1000</v>
      </c>
      <c r="D55" s="154">
        <f>ROUND(C55*0.239006*10000,0)</f>
        <v>2390060</v>
      </c>
      <c r="E55" s="155">
        <f>D55*B55</f>
        <v>2390060</v>
      </c>
      <c r="Y55" s="167"/>
      <c r="Z55" s="111"/>
      <c r="AA55" s="31"/>
      <c r="AB55" s="31"/>
      <c r="AC55" s="31"/>
      <c r="AD55" s="31"/>
      <c r="AE55" s="31"/>
      <c r="AF55" s="31"/>
      <c r="AG55" s="31"/>
      <c r="AH55" s="31"/>
      <c r="AI55" s="31"/>
      <c r="AK55" s="389"/>
      <c r="AL55" s="452" t="s">
        <v>270</v>
      </c>
      <c r="AM55" s="369"/>
      <c r="AN55" s="241">
        <v>17</v>
      </c>
      <c r="AO55" s="218" t="e">
        <f ca="1">ROUND(AN55*_xludf.ifs(
AND(AU55=TRUE,AW55=TRUE),1,
AU55=TRUE,AV55,
AW55=TRUE,AX55,
TRUE,1),0)</f>
        <v>#NAME?</v>
      </c>
      <c r="AP55" s="57" t="e">
        <f ca="1">ROUND(AO55/SUM(AO$32:AO$252)*AM$27,0)</f>
        <v>#NAME?</v>
      </c>
      <c r="AQ55" s="5" t="str">
        <f ca="1">IFERROR(__xludf.DUMMYFUNCTION("if(O55=0,"""",
filter(I$32:I54,row(I$32:I54)=max(filter(arrayformula(row(I$32:I54)),I$32:I54&lt;&gt;"""")))+
filter(G$32:G54,row(G$32:G54)=max(filter(arrayformula(row(G$32:G54)),G$32:G54&lt;&gt;"""")))
)"),"")</f>
        <v/>
      </c>
      <c r="AR55" s="198" t="str">
        <f ca="1">IFERROR(__xludf.DUMMYFUNCTION("if(G55="""","""",G55-(
filter(G$32:G$252,row(G$32:G$252)=max(filter(arrayformula(row(G$32:G$252)),G$32:G$252&lt;&gt;"""")))
-(10001-
filter(I$32:I$252,row(I$32:I$252)=max(filter(arrayformula(row(I$32:I$252)),I$32:I$252&lt;&gt;""""))))))"),"")</f>
        <v/>
      </c>
      <c r="AS55" s="198" t="e">
        <f ca="1">IF(AY55=0,"",ROUND(AY55/AM$3*10000,0))</f>
        <v>#NAME?</v>
      </c>
      <c r="AT55" s="219" t="b">
        <v>0</v>
      </c>
      <c r="AU55" s="82"/>
      <c r="AV55" s="63">
        <v>0</v>
      </c>
      <c r="AW55" s="82" t="b">
        <f>OR(AQ22,AU20)</f>
        <v>0</v>
      </c>
      <c r="AX55" s="220">
        <v>2</v>
      </c>
      <c r="AY55" s="56" t="e">
        <f ca="1">MAX(ROUND(AP55*(AM$1/AM$27),0),IF(AT55=TRUE,1,0))</f>
        <v>#NAME?</v>
      </c>
      <c r="AZ55" s="220">
        <v>3</v>
      </c>
      <c r="BA55" s="221">
        <v>1</v>
      </c>
      <c r="BB55" s="227" t="b">
        <v>1</v>
      </c>
      <c r="BC55" s="223" t="b">
        <v>0</v>
      </c>
      <c r="BD55" s="228" t="b">
        <v>1</v>
      </c>
      <c r="BE55" s="224" t="b">
        <v>0</v>
      </c>
      <c r="BF55" s="179">
        <v>1</v>
      </c>
      <c r="BG55" s="225" t="str">
        <f>IF(BC55=FALSE,"",MIN(BH55:$BK55)-ROUND(($BK55-1-ROUND(80/$AZ55,0))/COUNTIF($BB55:$BE55,TRUE),0))</f>
        <v/>
      </c>
      <c r="BH55" s="225">
        <f>IF(BD55=FALSE,"",MIN(BI55:$BK55)-ROUND(($BK55-1-ROUND(80/$AZ55,0))/COUNTIF($BB55:$BE55,TRUE),0))</f>
        <v>28</v>
      </c>
      <c r="BI55" s="225" t="str">
        <f>IF(BE55=FALSE,"",MIN(BJ55:$BK55)-ROUND(($BK55-1-ROUND(80/$AZ55,0))/COUNTIF($BB55:$BE55,TRUE),0))</f>
        <v/>
      </c>
      <c r="BJ55" s="225">
        <f>IF(BB55=FALSE,"",MIN($BK55:BK55)-ROUND(($BK55-1-ROUND(80/$AZ55,0))/COUNTIF($BB55:$BE55,TRUE),0))</f>
        <v>62</v>
      </c>
      <c r="BK55" s="107">
        <f>101-ROUND(Ag!BU$7*100,0)</f>
        <v>96</v>
      </c>
      <c r="BL55" s="63">
        <v>2</v>
      </c>
      <c r="BM55" s="82">
        <f t="array" ref="BM55">MIN(BL55,INDEX([1]Basic!L$26:L$34, MATCH([1]Basic!D$5,[1]Basic!B$26:B$34,0)))</f>
        <v>2</v>
      </c>
      <c r="CE55" s="83">
        <v>10</v>
      </c>
      <c r="CF55" s="58" t="e">
        <f ca="1"/>
        <v>#NAME?</v>
      </c>
      <c r="CG55" s="58" t="e">
        <f ca="1">IF(CF55=0,"",MAX(1,ROUND(CF55/BS$16*100,0)))</f>
        <v>#NAME?</v>
      </c>
      <c r="CH55" s="58" t="e">
        <f ca="1">_xludf.ifs(CG55="","",CG56="",100,TRUE,CH56-CG55)</f>
        <v>#NAME?</v>
      </c>
      <c r="DT55" s="334" t="s">
        <v>102</v>
      </c>
      <c r="DU55" s="171" t="b">
        <v>1</v>
      </c>
      <c r="DV55" s="56">
        <f>IF(EJ40=TRUE,5,1)</f>
        <v>1</v>
      </c>
      <c r="DW55" s="63">
        <v>0</v>
      </c>
      <c r="DY55" s="389"/>
      <c r="DZ55" s="428" t="s">
        <v>1069</v>
      </c>
      <c r="EA55" s="369"/>
      <c r="EB55" s="432"/>
      <c r="EC55" s="369"/>
      <c r="ED55" s="428" t="s">
        <v>1070</v>
      </c>
      <c r="EE55" s="369"/>
      <c r="EF55" s="428" t="s">
        <v>1071</v>
      </c>
      <c r="EG55" s="369"/>
      <c r="EH55" s="428" t="s">
        <v>1072</v>
      </c>
      <c r="EI55" s="369"/>
      <c r="EJ55" s="428" t="s">
        <v>1073</v>
      </c>
      <c r="EK55" s="369"/>
      <c r="EL55" s="428" t="s">
        <v>1074</v>
      </c>
      <c r="EM55" s="369"/>
    </row>
    <row r="56" spans="1:143" ht="14.25" thickTop="1" thickBot="1">
      <c r="C56" s="75"/>
      <c r="D56" s="75"/>
      <c r="E56" s="75"/>
      <c r="F56" s="75"/>
      <c r="G56" s="75"/>
      <c r="H56" s="75"/>
      <c r="I56" s="75"/>
      <c r="J56" s="75"/>
      <c r="K56" s="75"/>
      <c r="L56" s="75"/>
      <c r="M56" s="75"/>
      <c r="N56" s="75"/>
      <c r="Y56" s="167"/>
      <c r="Z56" s="111"/>
      <c r="AA56" s="31"/>
      <c r="AB56" s="31"/>
      <c r="AC56" s="31"/>
      <c r="AD56" s="31"/>
      <c r="AE56" s="31"/>
      <c r="AF56" s="31"/>
      <c r="AG56" s="31"/>
      <c r="AH56" s="31"/>
      <c r="AI56" s="31"/>
      <c r="AK56" s="389"/>
      <c r="AL56" s="452" t="s">
        <v>275</v>
      </c>
      <c r="AM56" s="369"/>
      <c r="AN56" s="229">
        <v>16</v>
      </c>
      <c r="AO56" s="218" t="e">
        <f ca="1">ROUND(AN56*_xludf.ifs(
AND(AU56=TRUE,AW56=TRUE),1,
AU56=TRUE,AV56,
AW56=TRUE,AX56,
TRUE,1),0)</f>
        <v>#NAME?</v>
      </c>
      <c r="AP56" s="57" t="e">
        <f ca="1">ROUND(AO56/SUM(AO$32:AO$252)*AM$27,0)</f>
        <v>#NAME?</v>
      </c>
      <c r="AQ56" s="5" t="str">
        <f ca="1">IFERROR(__xludf.DUMMYFUNCTION("if(O56=0,"""",
filter(I$32:I55,row(I$32:I55)=max(filter(arrayformula(row(I$32:I55)),I$32:I55&lt;&gt;"""")))+
filter(G$32:G55,row(G$32:G55)=max(filter(arrayformula(row(G$32:G55)),G$32:G55&lt;&gt;"""")))
)"),"")</f>
        <v/>
      </c>
      <c r="AR56" s="198" t="str">
        <f ca="1">IFERROR(__xludf.DUMMYFUNCTION("if(G56="""","""",G56-(
filter(G$32:G$252,row(G$32:G$252)=max(filter(arrayformula(row(G$32:G$252)),G$32:G$252&lt;&gt;"""")))
-(10001-
filter(I$32:I$252,row(I$32:I$252)=max(filter(arrayformula(row(I$32:I$252)),I$32:I$252&lt;&gt;""""))))))"),"")</f>
        <v/>
      </c>
      <c r="AS56" s="198" t="e">
        <f ca="1">IF(AY56=0,"",ROUND(AY56/AM$3*10000,0))</f>
        <v>#NAME?</v>
      </c>
      <c r="AT56" s="219" t="b">
        <v>0</v>
      </c>
      <c r="AU56" s="82"/>
      <c r="AV56" s="63">
        <v>0</v>
      </c>
      <c r="AW56" s="82" t="b">
        <f>OR(AU20,AM8,AM21,AQ19,AM7)</f>
        <v>0</v>
      </c>
      <c r="AX56" s="220">
        <v>2</v>
      </c>
      <c r="AY56" s="56" t="e">
        <f ca="1">MAX(ROUND(AP56*(AM$1/AM$27),0),IF(AT56=TRUE,1,0))</f>
        <v>#NAME?</v>
      </c>
      <c r="AZ56" s="220">
        <v>5</v>
      </c>
      <c r="BA56" s="221">
        <v>2</v>
      </c>
      <c r="BB56" s="227" t="b">
        <v>1</v>
      </c>
      <c r="BC56" s="223" t="b">
        <v>0</v>
      </c>
      <c r="BD56" s="228" t="b">
        <v>1</v>
      </c>
      <c r="BE56" s="224" t="b">
        <v>0</v>
      </c>
      <c r="BF56" s="179">
        <v>1</v>
      </c>
      <c r="BG56" s="225" t="str">
        <f>IF(BC56=FALSE,"",MIN(BH56:$BK56)-ROUND(($BK56-1-ROUND(80/$AZ56,0))/COUNTIF($BB56:$BE56,TRUE),0))</f>
        <v/>
      </c>
      <c r="BH56" s="225">
        <f>IF(BD56=FALSE,"",MIN(BI56:$BK56)-ROUND(($BK56-1-ROUND(80/$AZ56,0))/COUNTIF($BB56:$BE56,TRUE),0))</f>
        <v>16</v>
      </c>
      <c r="BI56" s="225" t="str">
        <f>IF(BE56=FALSE,"",MIN(BJ56:$BK56)-ROUND(($BK56-1-ROUND(80/$AZ56,0))/COUNTIF($BB56:$BE56,TRUE),0))</f>
        <v/>
      </c>
      <c r="BJ56" s="225">
        <f>IF(BB56=FALSE,"",MIN($BK56:BK56)-ROUND(($BK56-1-ROUND(80/$AZ56,0))/COUNTIF($BB56:$BE56,TRUE),0))</f>
        <v>56</v>
      </c>
      <c r="BK56" s="107">
        <f>101-ROUND(Ag!BU$7*100,0)</f>
        <v>96</v>
      </c>
      <c r="BL56" s="63">
        <v>2</v>
      </c>
      <c r="BM56" s="82">
        <f t="array" ref="BM56">MIN(BL56,INDEX([1]Basic!L$26:L$34, MATCH([1]Basic!D$5,[1]Basic!B$26:B$34,0)))</f>
        <v>2</v>
      </c>
      <c r="BT56" s="38"/>
      <c r="BU56" s="38"/>
      <c r="BV56" s="38"/>
      <c r="BW56" s="38"/>
      <c r="BX56" s="38"/>
      <c r="BY56" s="38"/>
      <c r="BZ56" s="38"/>
      <c r="CA56" s="38"/>
      <c r="CB56" s="38"/>
      <c r="DT56" s="171" t="s">
        <v>1075</v>
      </c>
      <c r="DU56" s="171" t="b">
        <v>1</v>
      </c>
      <c r="DV56" s="82">
        <v>1</v>
      </c>
      <c r="DW56" s="63">
        <v>0.15</v>
      </c>
      <c r="DY56" s="389"/>
      <c r="DZ56" s="428" t="s">
        <v>1076</v>
      </c>
      <c r="EA56" s="369"/>
      <c r="EB56" s="432"/>
      <c r="EC56" s="369"/>
      <c r="ED56" s="428" t="s">
        <v>1077</v>
      </c>
      <c r="EE56" s="369"/>
      <c r="EF56" s="428" t="s">
        <v>1045</v>
      </c>
      <c r="EG56" s="369"/>
      <c r="EH56" s="428" t="s">
        <v>1071</v>
      </c>
      <c r="EI56" s="369"/>
      <c r="EJ56" s="428" t="s">
        <v>1060</v>
      </c>
      <c r="EK56" s="369"/>
      <c r="EL56" s="428" t="s">
        <v>1047</v>
      </c>
      <c r="EM56" s="369"/>
    </row>
    <row r="57" spans="1:143" ht="14.25" thickTop="1" thickBot="1">
      <c r="A57" s="400" t="s">
        <v>688</v>
      </c>
      <c r="B57" s="354"/>
      <c r="C57" s="354"/>
      <c r="D57" s="354"/>
      <c r="E57" s="354"/>
      <c r="F57" s="354"/>
      <c r="G57" s="354"/>
      <c r="H57" s="354"/>
      <c r="I57" s="355"/>
      <c r="Y57" s="167"/>
      <c r="Z57" s="111"/>
      <c r="AA57" s="31"/>
      <c r="AB57" s="31"/>
      <c r="AC57" s="31"/>
      <c r="AD57" s="31"/>
      <c r="AE57" s="31"/>
      <c r="AF57" s="31"/>
      <c r="AG57" s="31"/>
      <c r="AH57" s="31"/>
      <c r="AI57" s="31"/>
      <c r="AK57" s="389"/>
      <c r="AL57" s="452" t="s">
        <v>280</v>
      </c>
      <c r="AM57" s="369"/>
      <c r="AN57" s="241">
        <v>8</v>
      </c>
      <c r="AO57" s="218" t="e">
        <f ca="1">ROUND(AN57*_xludf.ifs(
AND(AU57=TRUE,AW57=TRUE),1,
AU57=TRUE,AV57,
AW57=TRUE,AX57,
TRUE,1),0)</f>
        <v>#NAME?</v>
      </c>
      <c r="AP57" s="57" t="e">
        <f ca="1">ROUND(AO57/SUM(AO$32:AO$252)*AM$27,0)</f>
        <v>#NAME?</v>
      </c>
      <c r="AQ57" s="5">
        <f ca="1">IFERROR(__xludf.DUMMYFUNCTION("if(O57=0,"""",
filter(I$32:I56,row(I$32:I56)=max(filter(arrayformula(row(I$32:I56)),I$32:I56&lt;&gt;"""")))+
filter(G$32:G56,row(G$32:G56)=max(filter(arrayformula(row(G$32:G56)),G$32:G56&lt;&gt;"""")))
)"),3892)</f>
        <v>3892</v>
      </c>
      <c r="AR57" s="198">
        <f ca="1">IFERROR(__xludf.DUMMYFUNCTION("if(G57="""","""",G57-(
filter(G$32:G$252,row(G$32:G$252)=max(filter(arrayformula(row(G$32:G$252)),G$32:G$252&lt;&gt;"""")))
-(10001-
filter(I$32:I$252,row(I$32:I$252)=max(filter(arrayformula(row(I$32:I$252)),I$32:I$252&lt;&gt;""""))))))"),3885)</f>
        <v>3885</v>
      </c>
      <c r="AS57" s="198" t="e">
        <f ca="1">IF(AY57=0,"",ROUND(AY57/AM$3*10000,0))</f>
        <v>#NAME?</v>
      </c>
      <c r="AT57" s="219" t="b">
        <v>1</v>
      </c>
      <c r="AU57" s="82"/>
      <c r="AV57" s="63">
        <v>0</v>
      </c>
      <c r="AW57" s="82" t="b">
        <f>OR(AQ19:AQ20,AQ7:AQ12,AQ13,AQ14,AQ16,AU7:AU9)</f>
        <v>0</v>
      </c>
      <c r="AX57" s="220">
        <v>2</v>
      </c>
      <c r="AY57" s="56" t="e">
        <f ca="1">MAX(ROUND(AP57*(AM$1/AM$27),0),IF(AT57=TRUE,1,0))</f>
        <v>#NAME?</v>
      </c>
      <c r="AZ57" s="220">
        <v>5</v>
      </c>
      <c r="BA57" s="221">
        <v>0</v>
      </c>
      <c r="BB57" s="222" t="b">
        <v>0</v>
      </c>
      <c r="BC57" s="223" t="b">
        <v>0</v>
      </c>
      <c r="BD57" s="228" t="b">
        <v>1</v>
      </c>
      <c r="BE57" s="224" t="b">
        <v>0</v>
      </c>
      <c r="BF57" s="179">
        <v>1</v>
      </c>
      <c r="BG57" s="225" t="str">
        <f>IF(BC57=FALSE,"",MIN(BH57:$BK57)-ROUND(($BK57-1-ROUND(80/$AZ57,0))/COUNTIF($BB57:$BE57,TRUE),0))</f>
        <v/>
      </c>
      <c r="BH57" s="225">
        <f>IF(BD57=FALSE,"",MIN(BI57:$BK57)-ROUND(($BK57-1-ROUND(80/$AZ57,0))/COUNTIF($BB57:$BE57,TRUE),0))</f>
        <v>17</v>
      </c>
      <c r="BI57" s="225" t="str">
        <f>IF(BE57=FALSE,"",MIN(BJ57:$BK57)-ROUND(($BK57-1-ROUND(80/$AZ57,0))/COUNTIF($BB57:$BE57,TRUE),0))</f>
        <v/>
      </c>
      <c r="BJ57" s="225" t="str">
        <f>IF(BB57=FALSE,"",MIN($BK57:BK57)-ROUND(($BK57-1-ROUND(80/$AZ57,0))/COUNTIF($BB57:$BE57,TRUE),0))</f>
        <v/>
      </c>
      <c r="BK57" s="107">
        <f>101-ROUND(Ag!BU$7*100,0)</f>
        <v>96</v>
      </c>
      <c r="BL57" s="63">
        <v>2</v>
      </c>
      <c r="BM57" s="82">
        <f t="array" ref="BM57">MIN(BL57,INDEX([1]Basic!L$26:L$34, MATCH([1]Basic!D$5,[1]Basic!B$26:B$34,0)))</f>
        <v>2</v>
      </c>
      <c r="BS57" s="400" t="s">
        <v>911</v>
      </c>
      <c r="BT57" s="354"/>
      <c r="BU57" s="354"/>
      <c r="BV57" s="354"/>
      <c r="BW57" s="355"/>
      <c r="BX57" s="312"/>
      <c r="CE57" s="397" t="s">
        <v>912</v>
      </c>
      <c r="CF57" s="354"/>
      <c r="CG57" s="354"/>
      <c r="CH57" s="355"/>
      <c r="DT57" s="334" t="s">
        <v>1078</v>
      </c>
      <c r="DU57" s="167" t="e">
        <f t="array" aca="1" ref="DU57" ca="1">IF(ED$16=FALSE,FALSE,OR(EC$16:EC$18=DT57))</f>
        <v>#N/A</v>
      </c>
      <c r="DV57" s="82">
        <v>2</v>
      </c>
      <c r="DW57" s="63">
        <v>0</v>
      </c>
      <c r="DY57" s="389"/>
      <c r="DZ57" s="428" t="s">
        <v>1079</v>
      </c>
      <c r="EA57" s="369"/>
      <c r="EB57" s="432"/>
      <c r="EC57" s="369"/>
      <c r="ED57" s="428" t="s">
        <v>1080</v>
      </c>
      <c r="EE57" s="369"/>
      <c r="EF57" s="432"/>
      <c r="EG57" s="369"/>
      <c r="EH57" s="428" t="s">
        <v>1049</v>
      </c>
      <c r="EI57" s="369"/>
      <c r="EJ57" s="432"/>
      <c r="EK57" s="369"/>
      <c r="EL57" s="428" t="s">
        <v>1044</v>
      </c>
      <c r="EM57" s="369"/>
    </row>
    <row r="58" spans="1:143" ht="14.25" thickTop="1" thickBot="1">
      <c r="A58" s="398" t="s">
        <v>689</v>
      </c>
      <c r="B58" s="355"/>
      <c r="C58" s="26" t="s">
        <v>690</v>
      </c>
      <c r="D58" s="26" t="s">
        <v>125</v>
      </c>
      <c r="E58" s="26" t="s">
        <v>126</v>
      </c>
      <c r="F58" s="26" t="s">
        <v>691</v>
      </c>
      <c r="G58" s="26" t="s">
        <v>692</v>
      </c>
      <c r="H58" s="26" t="s">
        <v>693</v>
      </c>
      <c r="I58" s="26" t="s">
        <v>694</v>
      </c>
      <c r="Y58" s="167"/>
      <c r="Z58" s="111"/>
      <c r="AA58" s="31"/>
      <c r="AB58" s="31"/>
      <c r="AC58" s="31"/>
      <c r="AD58" s="31"/>
      <c r="AE58" s="31"/>
      <c r="AF58" s="31"/>
      <c r="AG58" s="31"/>
      <c r="AH58" s="31"/>
      <c r="AI58" s="31"/>
      <c r="AK58" s="389"/>
      <c r="AL58" s="452" t="s">
        <v>287</v>
      </c>
      <c r="AM58" s="369"/>
      <c r="AN58" s="229">
        <v>5</v>
      </c>
      <c r="AO58" s="218" t="e">
        <f ca="1">ROUND(AN58*_xludf.ifs(
AND(AU58=TRUE,AW58=TRUE),1,
AU58=TRUE,AV58,
AW58=TRUE,AX58,
TRUE,1),0)</f>
        <v>#NAME?</v>
      </c>
      <c r="AP58" s="57" t="e">
        <f ca="1">ROUND(AO58/SUM(AO$32:AO$252)*AM$27,0)</f>
        <v>#NAME?</v>
      </c>
      <c r="AQ58" s="5" t="str">
        <f ca="1">IFERROR(__xludf.DUMMYFUNCTION("if(O58=0,"""",
filter(I$32:I57,row(I$32:I57)=max(filter(arrayformula(row(I$32:I57)),I$32:I57&lt;&gt;"""")))+
filter(G$32:G57,row(G$32:G57)=max(filter(arrayformula(row(G$32:G57)),G$32:G57&lt;&gt;"""")))
)"),"")</f>
        <v/>
      </c>
      <c r="AR58" s="198" t="str">
        <f ca="1">IFERROR(__xludf.DUMMYFUNCTION("if(G58="""","""",G58-(
filter(G$32:G$252,row(G$32:G$252)=max(filter(arrayformula(row(G$32:G$252)),G$32:G$252&lt;&gt;"""")))
-(10001-
filter(I$32:I$252,row(I$32:I$252)=max(filter(arrayformula(row(I$32:I$252)),I$32:I$252&lt;&gt;""""))))))"),"")</f>
        <v/>
      </c>
      <c r="AS58" s="198" t="e">
        <f ca="1">IF(AY58=0,"",ROUND(AY58/AM$3*10000,0))</f>
        <v>#NAME?</v>
      </c>
      <c r="AT58" s="219" t="b">
        <v>0</v>
      </c>
      <c r="AU58" s="82"/>
      <c r="AV58" s="63">
        <v>0</v>
      </c>
      <c r="AW58" s="82" t="b">
        <f>OR(AU22,AQ20)</f>
        <v>0</v>
      </c>
      <c r="AX58" s="220">
        <v>2</v>
      </c>
      <c r="AY58" s="56" t="e">
        <f ca="1">MAX(ROUND(AP58*(AM$1/AM$27),0),IF(AT58=TRUE,1,0))</f>
        <v>#NAME?</v>
      </c>
      <c r="AZ58" s="220">
        <v>5</v>
      </c>
      <c r="BA58" s="221">
        <v>0</v>
      </c>
      <c r="BB58" s="222" t="b">
        <v>0</v>
      </c>
      <c r="BC58" s="223" t="b">
        <v>0</v>
      </c>
      <c r="BD58" s="228" t="b">
        <v>1</v>
      </c>
      <c r="BE58" s="224" t="b">
        <v>0</v>
      </c>
      <c r="BF58" s="179">
        <v>1</v>
      </c>
      <c r="BG58" s="225" t="str">
        <f>IF(BC58=FALSE,"",MIN(BH58:$BK58)-ROUND(($BK58-1-ROUND(80/$AZ58,0))/COUNTIF($BB58:$BE58,TRUE),0))</f>
        <v/>
      </c>
      <c r="BH58" s="225">
        <f>IF(BD58=FALSE,"",MIN(BI58:$BK58)-ROUND(($BK58-1-ROUND(80/$AZ58,0))/COUNTIF($BB58:$BE58,TRUE),0))</f>
        <v>17</v>
      </c>
      <c r="BI58" s="225" t="str">
        <f>IF(BE58=FALSE,"",MIN(BJ58:$BK58)-ROUND(($BK58-1-ROUND(80/$AZ58,0))/COUNTIF($BB58:$BE58,TRUE),0))</f>
        <v/>
      </c>
      <c r="BJ58" s="225" t="str">
        <f>IF(BB58=FALSE,"",MIN($BK58:BK58)-ROUND(($BK58-1-ROUND(80/$AZ58,0))/COUNTIF($BB58:$BE58,TRUE),0))</f>
        <v/>
      </c>
      <c r="BK58" s="107">
        <f>101-ROUND(Ag!BU$7*100,0)</f>
        <v>96</v>
      </c>
      <c r="BL58" s="63">
        <v>2</v>
      </c>
      <c r="BM58" s="82">
        <f t="array" ref="BM58">MIN(BL58,INDEX([1]Basic!L$26:L$34, MATCH([1]Basic!D$5,[1]Basic!B$26:B$34,0)))</f>
        <v>2</v>
      </c>
      <c r="BS58" s="388" t="s">
        <v>913</v>
      </c>
      <c r="BT58" s="357"/>
      <c r="BU58" s="358"/>
      <c r="BV58" s="482" t="e">
        <f ca="1">Ag!AY235</f>
        <v>#NAME?</v>
      </c>
      <c r="BW58" s="358"/>
      <c r="BX58" s="313"/>
      <c r="CE58" s="82">
        <v>1</v>
      </c>
      <c r="CF58" s="56">
        <f t="array" aca="1" ref="CF58:CF67" ca="1">TRANSPOSE(BS21:CB21)</f>
        <v>0</v>
      </c>
      <c r="CG58" s="56" t="str">
        <f ca="1">IF(CF58=0,"",MAX(1,ROUND(CF58/BS$23*100,0)))</f>
        <v/>
      </c>
      <c r="CH58" s="82">
        <v>1</v>
      </c>
      <c r="DT58" s="171" t="s">
        <v>1081</v>
      </c>
      <c r="DU58" s="167" t="b">
        <f>IF(EA16=FALSE,FALSE,TRUE)</f>
        <v>1</v>
      </c>
      <c r="DV58" s="82">
        <v>1</v>
      </c>
      <c r="DW58" s="63">
        <v>0.1</v>
      </c>
      <c r="DY58" s="389"/>
      <c r="DZ58" s="432"/>
      <c r="EA58" s="369"/>
      <c r="EB58" s="432"/>
      <c r="EC58" s="369"/>
      <c r="ED58" s="428" t="s">
        <v>1082</v>
      </c>
      <c r="EE58" s="369"/>
      <c r="EF58" s="432"/>
      <c r="EG58" s="369"/>
      <c r="EH58" s="428" t="s">
        <v>1083</v>
      </c>
      <c r="EI58" s="369"/>
      <c r="EJ58" s="432"/>
      <c r="EK58" s="369"/>
      <c r="EL58" s="428" t="s">
        <v>1084</v>
      </c>
      <c r="EM58" s="369"/>
    </row>
    <row r="59" spans="1:143" ht="13.5" thickTop="1">
      <c r="A59" s="371" t="s">
        <v>695</v>
      </c>
      <c r="B59" s="369"/>
      <c r="C59" s="61">
        <v>20</v>
      </c>
      <c r="D59" s="61">
        <v>20</v>
      </c>
      <c r="E59" s="61">
        <v>20</v>
      </c>
      <c r="F59" s="61">
        <v>125</v>
      </c>
      <c r="G59" s="61">
        <v>4</v>
      </c>
      <c r="H59" s="61">
        <v>4</v>
      </c>
      <c r="I59" s="61">
        <v>125</v>
      </c>
      <c r="Y59" s="167"/>
      <c r="Z59" s="111"/>
      <c r="AA59" s="31"/>
      <c r="AB59" s="31"/>
      <c r="AC59" s="31"/>
      <c r="AD59" s="31"/>
      <c r="AE59" s="31"/>
      <c r="AF59" s="31"/>
      <c r="AG59" s="31"/>
      <c r="AH59" s="31"/>
      <c r="AI59" s="31"/>
      <c r="AK59" s="389"/>
      <c r="AL59" s="452" t="s">
        <v>293</v>
      </c>
      <c r="AM59" s="369"/>
      <c r="AN59" s="229">
        <v>12</v>
      </c>
      <c r="AO59" s="218" t="e">
        <f ca="1">ROUND(AN59*_xludf.ifs(
AND(AU59=TRUE,AW59=TRUE),1,
AU59=TRUE,AV59,
AW59=TRUE,AX59,
TRUE,1),0)</f>
        <v>#NAME?</v>
      </c>
      <c r="AP59" s="57" t="e">
        <f ca="1">ROUND(AO59/SUM(AO$32:AO$252)*AM$27,0)</f>
        <v>#NAME?</v>
      </c>
      <c r="AQ59" s="5" t="str">
        <f ca="1">IFERROR(__xludf.DUMMYFUNCTION("if(O59=0,"""",
filter(I$32:I58,row(I$32:I58)=max(filter(arrayformula(row(I$32:I58)),I$32:I58&lt;&gt;"""")))+
filter(G$32:G58,row(G$32:G58)=max(filter(arrayformula(row(G$32:G58)),G$32:G58&lt;&gt;"""")))
)"),"")</f>
        <v/>
      </c>
      <c r="AR59" s="198" t="str">
        <f ca="1">IFERROR(__xludf.DUMMYFUNCTION("if(G59="""","""",G59-(
filter(G$32:G$252,row(G$32:G$252)=max(filter(arrayformula(row(G$32:G$252)),G$32:G$252&lt;&gt;"""")))
-(10001-
filter(I$32:I$252,row(I$32:I$252)=max(filter(arrayformula(row(I$32:I$252)),I$32:I$252&lt;&gt;""""))))))"),"")</f>
        <v/>
      </c>
      <c r="AS59" s="198" t="e">
        <f ca="1">IF(AY59=0,"",ROUND(AY59/AM$3*10000,0))</f>
        <v>#NAME?</v>
      </c>
      <c r="AT59" s="219" t="b">
        <v>0</v>
      </c>
      <c r="AU59" s="82"/>
      <c r="AV59" s="63">
        <v>0</v>
      </c>
      <c r="AW59" s="82" t="b">
        <f>OR(AQ7,AQ22)</f>
        <v>0</v>
      </c>
      <c r="AX59" s="220">
        <v>2</v>
      </c>
      <c r="AY59" s="56" t="e">
        <f ca="1">MAX(ROUND(AP59*(AM$1/AM$27),0),IF(AT59=TRUE,1,0))</f>
        <v>#NAME?</v>
      </c>
      <c r="AZ59" s="220">
        <v>3</v>
      </c>
      <c r="BA59" s="221">
        <v>0</v>
      </c>
      <c r="BB59" s="222" t="b">
        <v>0</v>
      </c>
      <c r="BC59" s="223" t="b">
        <v>0</v>
      </c>
      <c r="BD59" s="223" t="b">
        <v>0</v>
      </c>
      <c r="BE59" s="224" t="b">
        <v>0</v>
      </c>
      <c r="BF59" s="179">
        <v>1</v>
      </c>
      <c r="BG59" s="225" t="str">
        <f>IF(BC59=FALSE,"",MIN(BH59:$BK59)-ROUND(($BK59-1-ROUND(80/$AZ59,0))/COUNTIF($BB59:$BE59,TRUE),0))</f>
        <v/>
      </c>
      <c r="BH59" s="225" t="str">
        <f>IF(BD59=FALSE,"",MIN(BI59:$BK59)-ROUND(($BK59-1-ROUND(80/$AZ59,0))/COUNTIF($BB59:$BE59,TRUE),0))</f>
        <v/>
      </c>
      <c r="BI59" s="225" t="str">
        <f>IF(BE59=FALSE,"",MIN(BJ59:$BK59)-ROUND(($BK59-1-ROUND(80/$AZ59,0))/COUNTIF($BB59:$BE59,TRUE),0))</f>
        <v/>
      </c>
      <c r="BJ59" s="225" t="str">
        <f>IF(BB59=FALSE,"",MIN($BK59:BK59)-ROUND(($BK59-1-ROUND(80/$AZ59,0))/COUNTIF($BB59:$BE59,TRUE),0))</f>
        <v/>
      </c>
      <c r="BK59" s="107">
        <f>101-ROUND(Ag!BU$7*100,0)</f>
        <v>96</v>
      </c>
      <c r="BL59" s="63">
        <v>2</v>
      </c>
      <c r="BM59" s="82">
        <f t="array" ref="BM59">MIN(BL59,INDEX([1]Basic!L$26:L$34, MATCH([1]Basic!D$5,[1]Basic!B$26:B$34,0)))</f>
        <v>2</v>
      </c>
      <c r="BS59" s="371" t="s">
        <v>914</v>
      </c>
      <c r="BT59" s="393"/>
      <c r="BU59" s="369"/>
      <c r="BV59" s="425" t="e">
        <f ca="1">IF(OR(BY42=Ag!AL235,BW23&gt;1),BU23,BY23)</f>
        <v>#VALUE!</v>
      </c>
      <c r="BW59" s="369"/>
      <c r="BX59" s="31"/>
      <c r="CE59" s="82">
        <v>2</v>
      </c>
      <c r="CF59" s="56">
        <f ca="1"/>
        <v>0</v>
      </c>
      <c r="CG59" s="56" t="str">
        <f ca="1">IF(CF59=0,"",MAX(1,ROUND(CF59/BS$23*100,0)))</f>
        <v/>
      </c>
      <c r="CH59" s="56" t="e">
        <f ca="1">_xludf.ifs(CG59="","",CG60="",100,TRUE,CH60-CG59)</f>
        <v>#NAME?</v>
      </c>
      <c r="DT59" s="334" t="s">
        <v>686</v>
      </c>
      <c r="DU59" s="167" t="e">
        <f t="array" aca="1" ref="DU59" ca="1">IF(ED$16=FALSE,FALSE,OR(EC$16:EC$18=DT59))</f>
        <v>#N/A</v>
      </c>
      <c r="DV59" s="82">
        <v>2</v>
      </c>
      <c r="DW59" s="63">
        <v>0</v>
      </c>
      <c r="DY59" s="389"/>
      <c r="DZ59" s="432"/>
      <c r="EA59" s="369"/>
      <c r="EB59" s="432"/>
      <c r="EC59" s="369"/>
      <c r="ED59" s="428" t="s">
        <v>1085</v>
      </c>
      <c r="EE59" s="369"/>
      <c r="EF59" s="432"/>
      <c r="EG59" s="369"/>
      <c r="EH59" s="428" t="s">
        <v>1086</v>
      </c>
      <c r="EI59" s="369"/>
      <c r="EJ59" s="432"/>
      <c r="EK59" s="369"/>
      <c r="EL59" s="428" t="s">
        <v>1087</v>
      </c>
      <c r="EM59" s="369"/>
    </row>
    <row r="60" spans="1:143" ht="12.75">
      <c r="A60" s="371" t="s">
        <v>696</v>
      </c>
      <c r="B60" s="369"/>
      <c r="C60" s="63">
        <v>6</v>
      </c>
      <c r="D60" s="63">
        <v>1.5</v>
      </c>
      <c r="E60" s="63">
        <v>3.3</v>
      </c>
      <c r="F60" s="63">
        <v>0.25</v>
      </c>
      <c r="G60" s="63">
        <v>0</v>
      </c>
      <c r="H60" s="63">
        <v>0</v>
      </c>
      <c r="I60" s="63">
        <v>0.25</v>
      </c>
      <c r="Y60" s="167"/>
      <c r="Z60" s="111"/>
      <c r="AA60" s="31"/>
      <c r="AB60" s="31"/>
      <c r="AC60" s="31"/>
      <c r="AD60" s="31"/>
      <c r="AE60" s="31"/>
      <c r="AF60" s="31"/>
      <c r="AG60" s="31"/>
      <c r="AH60" s="31"/>
      <c r="AI60" s="31"/>
      <c r="AK60" s="389"/>
      <c r="AL60" s="452" t="s">
        <v>298</v>
      </c>
      <c r="AM60" s="369"/>
      <c r="AN60" s="229">
        <v>60</v>
      </c>
      <c r="AO60" s="218" t="e">
        <f ca="1">ROUND(AN60*_xludf.ifs(
AND(AU60=TRUE,AW60=TRUE),1,
AU60=TRUE,AV60,
AW60=TRUE,AX60,
TRUE,1),0)</f>
        <v>#NAME?</v>
      </c>
      <c r="AP60" s="57" t="e">
        <f ca="1">ROUND(AO60/SUM(AO$32:AO$252)*AM$27,0)</f>
        <v>#NAME?</v>
      </c>
      <c r="AQ60" s="5" t="str">
        <f ca="1">IFERROR(__xludf.DUMMYFUNCTION("if(O60=0,"""",
filter(I$32:I59,row(I$32:I59)=max(filter(arrayformula(row(I$32:I59)),I$32:I59&lt;&gt;"""")))+
filter(G$32:G59,row(G$32:G59)=max(filter(arrayformula(row(G$32:G59)),G$32:G59&lt;&gt;"""")))
)"),"")</f>
        <v/>
      </c>
      <c r="AR60" s="198" t="str">
        <f ca="1">IFERROR(__xludf.DUMMYFUNCTION("if(G60="""","""",G60-(
filter(G$32:G$252,row(G$32:G$252)=max(filter(arrayformula(row(G$32:G$252)),G$32:G$252&lt;&gt;"""")))
-(10001-
filter(I$32:I$252,row(I$32:I$252)=max(filter(arrayformula(row(I$32:I$252)),I$32:I$252&lt;&gt;""""))))))"),"")</f>
        <v/>
      </c>
      <c r="AS60" s="198" t="e">
        <f ca="1">IF(AY60=0,"",ROUND(AY60/AM$3*10000,0))</f>
        <v>#NAME?</v>
      </c>
      <c r="AT60" s="219" t="b">
        <v>0</v>
      </c>
      <c r="AU60" s="82" t="b">
        <f>OR(AM9)</f>
        <v>0</v>
      </c>
      <c r="AV60" s="63">
        <v>0.1</v>
      </c>
      <c r="AW60" s="82" t="b">
        <f>OR(AM10,AM21,AQ13,AQ14,AQ16,AQ17,AQ18,AQ19,AQ20,AQ22)</f>
        <v>0</v>
      </c>
      <c r="AX60" s="220">
        <v>2</v>
      </c>
      <c r="AY60" s="56" t="e">
        <f ca="1">MAX(ROUND(AP60*(AM$1/AM$27),0),IF(AT60=TRUE,1,0))</f>
        <v>#NAME?</v>
      </c>
      <c r="AZ60" s="220">
        <v>3</v>
      </c>
      <c r="BA60" s="221">
        <v>0</v>
      </c>
      <c r="BB60" s="222" t="b">
        <v>0</v>
      </c>
      <c r="BC60" s="223" t="b">
        <v>0</v>
      </c>
      <c r="BD60" s="223" t="b">
        <v>0</v>
      </c>
      <c r="BE60" s="224" t="b">
        <v>0</v>
      </c>
      <c r="BF60" s="179">
        <v>1</v>
      </c>
      <c r="BG60" s="225" t="str">
        <f>IF(BC60=FALSE,"",MIN(BH60:$BK60)-ROUND(($BK60-1-ROUND(80/$AZ60,0))/COUNTIF($BB60:$BE60,TRUE),0))</f>
        <v/>
      </c>
      <c r="BH60" s="225" t="str">
        <f>IF(BD60=FALSE,"",MIN(BI60:$BK60)-ROUND(($BK60-1-ROUND(80/$AZ60,0))/COUNTIF($BB60:$BE60,TRUE),0))</f>
        <v/>
      </c>
      <c r="BI60" s="225" t="str">
        <f>IF(BE60=FALSE,"",MIN(BJ60:$BK60)-ROUND(($BK60-1-ROUND(80/$AZ60,0))/COUNTIF($BB60:$BE60,TRUE),0))</f>
        <v/>
      </c>
      <c r="BJ60" s="225" t="str">
        <f>IF(BB60=FALSE,"",MIN($BK60:BK60)-ROUND(($BK60-1-ROUND(80/$AZ60,0))/COUNTIF($BB60:$BE60,TRUE),0))</f>
        <v/>
      </c>
      <c r="BK60" s="107">
        <f>101-ROUND(Ag!BU$7*100,0)</f>
        <v>96</v>
      </c>
      <c r="BL60" s="63">
        <v>1</v>
      </c>
      <c r="BM60" s="82">
        <f t="array" ref="BM60">MIN(BL60,INDEX([1]Basic!L$26:L$34, MATCH([1]Basic!D$5,[1]Basic!B$26:B$34,0)))</f>
        <v>1</v>
      </c>
      <c r="BS60" s="371" t="s">
        <v>915</v>
      </c>
      <c r="BT60" s="393"/>
      <c r="BU60" s="369"/>
      <c r="BV60" s="425">
        <v>0</v>
      </c>
      <c r="BW60" s="369"/>
      <c r="BX60" s="38"/>
      <c r="CE60" s="82">
        <v>3</v>
      </c>
      <c r="CF60" s="56">
        <f ca="1"/>
        <v>0</v>
      </c>
      <c r="CG60" s="56" t="str">
        <f ca="1">IF(CF60=0,"",MAX(1,ROUND(CF60/BS$23*100,0)))</f>
        <v/>
      </c>
      <c r="CH60" s="56" t="e">
        <f ca="1">_xludf.ifs(CG60="","",CG61="",100,TRUE,CH61-CG60)</f>
        <v>#NAME?</v>
      </c>
      <c r="DT60" s="171" t="s">
        <v>1088</v>
      </c>
      <c r="DU60" s="171" t="b">
        <v>1</v>
      </c>
      <c r="DV60" s="82">
        <v>2</v>
      </c>
      <c r="DW60" s="63">
        <v>0.12</v>
      </c>
      <c r="DY60" s="389"/>
      <c r="DZ60" s="432"/>
      <c r="EA60" s="369"/>
      <c r="EB60" s="432"/>
      <c r="EC60" s="369"/>
      <c r="ED60" s="428" t="s">
        <v>1089</v>
      </c>
      <c r="EE60" s="369"/>
      <c r="EF60" s="432"/>
      <c r="EG60" s="369"/>
      <c r="EH60" s="428" t="s">
        <v>1090</v>
      </c>
      <c r="EI60" s="369"/>
      <c r="EJ60" s="432"/>
      <c r="EK60" s="369"/>
      <c r="EL60" s="428" t="s">
        <v>1091</v>
      </c>
      <c r="EM60" s="369"/>
    </row>
    <row r="61" spans="1:143" ht="12.75">
      <c r="A61" s="371" t="s">
        <v>697</v>
      </c>
      <c r="B61" s="369"/>
      <c r="C61" s="110">
        <f>ROUND(C60*0.000453592*365,2)</f>
        <v>0.99</v>
      </c>
      <c r="D61" s="110">
        <f>ROUND(D60*0.000453592*365,2)</f>
        <v>0.25</v>
      </c>
      <c r="E61" s="110">
        <f>ROUND(E60*0.000453592*365,2)</f>
        <v>0.55000000000000004</v>
      </c>
      <c r="F61" s="110">
        <f>ROUND(F60*0.000453592*365,2)</f>
        <v>0.04</v>
      </c>
      <c r="G61" s="110">
        <f>ROUND(G60*0.000453592*365,2)</f>
        <v>0</v>
      </c>
      <c r="H61" s="110">
        <f>ROUND(H60*0.000453592*365,2)</f>
        <v>0</v>
      </c>
      <c r="I61" s="110">
        <f>ROUND(I60*0.000453592*365,2)</f>
        <v>0.04</v>
      </c>
      <c r="Y61" s="167"/>
      <c r="Z61" s="111"/>
      <c r="AA61" s="31"/>
      <c r="AB61" s="31"/>
      <c r="AC61" s="31"/>
      <c r="AD61" s="31"/>
      <c r="AE61" s="31"/>
      <c r="AF61" s="31"/>
      <c r="AG61" s="31"/>
      <c r="AH61" s="31"/>
      <c r="AI61" s="31"/>
      <c r="AK61" s="389"/>
      <c r="AL61" s="452" t="s">
        <v>303</v>
      </c>
      <c r="AM61" s="369"/>
      <c r="AN61" s="229">
        <v>4</v>
      </c>
      <c r="AO61" s="218" t="e">
        <f ca="1">ROUND(AN61*_xludf.ifs(
AND(AU61=TRUE,AW61=TRUE),1,
AU61=TRUE,AV61,
AW61=TRUE,AX61,
TRUE,1),0)</f>
        <v>#NAME?</v>
      </c>
      <c r="AP61" s="57" t="e">
        <f ca="1">ROUND(AO61/SUM(AO$32:AO$252)*AM$27,0)</f>
        <v>#NAME?</v>
      </c>
      <c r="AQ61" s="5" t="str">
        <f ca="1">IFERROR(__xludf.DUMMYFUNCTION("if(O61=0,"""",
filter(I$32:I60,row(I$32:I60)=max(filter(arrayformula(row(I$32:I60)),I$32:I60&lt;&gt;"""")))+
filter(G$32:G60,row(G$32:G60)=max(filter(arrayformula(row(G$32:G60)),G$32:G60&lt;&gt;"""")))
)"),"")</f>
        <v/>
      </c>
      <c r="AR61" s="198" t="str">
        <f ca="1">IFERROR(__xludf.DUMMYFUNCTION("if(G61="""","""",G61-(
filter(G$32:G$252,row(G$32:G$252)=max(filter(arrayformula(row(G$32:G$252)),G$32:G$252&lt;&gt;"""")))
-(10001-
filter(I$32:I$252,row(I$32:I$252)=max(filter(arrayformula(row(I$32:I$252)),I$32:I$252&lt;&gt;""""))))))"),"")</f>
        <v/>
      </c>
      <c r="AS61" s="198" t="e">
        <f ca="1">IF(AY61=0,"",ROUND(AY61/AM$3*10000,0))</f>
        <v>#NAME?</v>
      </c>
      <c r="AT61" s="219" t="b">
        <v>0</v>
      </c>
      <c r="AU61" s="82"/>
      <c r="AV61" s="63">
        <v>0</v>
      </c>
      <c r="AW61" s="82" t="b">
        <f>OR(AQ7)</f>
        <v>0</v>
      </c>
      <c r="AX61" s="220">
        <v>2</v>
      </c>
      <c r="AY61" s="56" t="e">
        <f ca="1">MAX(ROUND(AP61*(AM$1/AM$27),0),IF(AT61=TRUE,1,0))</f>
        <v>#NAME?</v>
      </c>
      <c r="AZ61" s="220">
        <v>5</v>
      </c>
      <c r="BA61" s="221">
        <v>0</v>
      </c>
      <c r="BB61" s="222" t="b">
        <v>0</v>
      </c>
      <c r="BC61" s="223" t="b">
        <v>0</v>
      </c>
      <c r="BD61" s="228" t="b">
        <v>1</v>
      </c>
      <c r="BE61" s="224" t="b">
        <v>0</v>
      </c>
      <c r="BF61" s="179">
        <v>1</v>
      </c>
      <c r="BG61" s="225" t="str">
        <f>IF(BC61=FALSE,"",MIN(BH61:$BK61)-ROUND(($BK61-1-ROUND(80/$AZ61,0))/COUNTIF($BB61:$BE61,TRUE),0))</f>
        <v/>
      </c>
      <c r="BH61" s="225">
        <f>IF(BD61=FALSE,"",MIN(BI61:$BK61)-ROUND(($BK61-1-ROUND(80/$AZ61,0))/COUNTIF($BB61:$BE61,TRUE),0))</f>
        <v>17</v>
      </c>
      <c r="BI61" s="225" t="str">
        <f>IF(BE61=FALSE,"",MIN(BJ61:$BK61)-ROUND(($BK61-1-ROUND(80/$AZ61,0))/COUNTIF($BB61:$BE61,TRUE),0))</f>
        <v/>
      </c>
      <c r="BJ61" s="225" t="str">
        <f>IF(BB61=FALSE,"",MIN($BK61:BK61)-ROUND(($BK61-1-ROUND(80/$AZ61,0))/COUNTIF($BB61:$BE61,TRUE),0))</f>
        <v/>
      </c>
      <c r="BK61" s="107">
        <f>101-ROUND(Ag!BU$7*100,0)</f>
        <v>96</v>
      </c>
      <c r="BL61" s="63">
        <v>2</v>
      </c>
      <c r="BM61" s="82">
        <f t="array" ref="BM61">MIN(BL61,INDEX([1]Basic!L$26:L$34, MATCH([1]Basic!D$5,[1]Basic!B$26:B$34,0)))</f>
        <v>2</v>
      </c>
      <c r="BS61" s="371" t="s">
        <v>916</v>
      </c>
      <c r="BT61" s="393"/>
      <c r="BU61" s="369"/>
      <c r="BV61" s="480" t="e">
        <f ca="1">BV58-BV60</f>
        <v>#NAME?</v>
      </c>
      <c r="BW61" s="369"/>
      <c r="BX61" s="312"/>
      <c r="CE61" s="82">
        <v>4</v>
      </c>
      <c r="CF61" s="56">
        <f ca="1"/>
        <v>0</v>
      </c>
      <c r="CG61" s="56" t="str">
        <f ca="1">IF(CF61=0,"",MAX(1,ROUND(CF61/BS$23*100,0)))</f>
        <v/>
      </c>
      <c r="CH61" s="56" t="e">
        <f ca="1">_xludf.ifs(CG61="","",CG62="",100,TRUE,CH62-CG61)</f>
        <v>#NAME?</v>
      </c>
      <c r="DT61" s="167" t="s">
        <v>716</v>
      </c>
      <c r="DU61" s="167" t="b">
        <f t="array" ref="DU61">OR(EB$16:EB$17=DT61)</f>
        <v>0</v>
      </c>
      <c r="DV61" s="56">
        <f>IF(OR(EJ33=TRUE,EJ39=TRUE),5,2)</f>
        <v>2</v>
      </c>
      <c r="DW61" s="63">
        <v>0.1</v>
      </c>
      <c r="DY61" s="389"/>
      <c r="DZ61" s="432"/>
      <c r="EA61" s="369"/>
      <c r="EB61" s="432"/>
      <c r="EC61" s="369"/>
      <c r="ED61" s="428" t="s">
        <v>1076</v>
      </c>
      <c r="EE61" s="369"/>
      <c r="EF61" s="432"/>
      <c r="EG61" s="369"/>
      <c r="EH61" s="428" t="s">
        <v>1092</v>
      </c>
      <c r="EI61" s="369"/>
      <c r="EJ61" s="432"/>
      <c r="EK61" s="369"/>
      <c r="EL61" s="428" t="s">
        <v>1093</v>
      </c>
      <c r="EM61" s="369"/>
    </row>
    <row r="62" spans="1:143" ht="12.75">
      <c r="A62" s="371" t="s">
        <v>698</v>
      </c>
      <c r="B62" s="369"/>
      <c r="C62" s="56">
        <f>C59*C61</f>
        <v>19.8</v>
      </c>
      <c r="D62" s="56">
        <f>D59*D61</f>
        <v>5</v>
      </c>
      <c r="E62" s="56">
        <f>E59*E61</f>
        <v>11</v>
      </c>
      <c r="F62" s="56">
        <f>F61*F59</f>
        <v>5</v>
      </c>
      <c r="G62" s="56">
        <f>G61*G59</f>
        <v>0</v>
      </c>
      <c r="H62" s="56">
        <f>H61*H59</f>
        <v>0</v>
      </c>
      <c r="I62" s="56">
        <f>I61*I59</f>
        <v>5</v>
      </c>
      <c r="Y62" s="167"/>
      <c r="Z62" s="111"/>
      <c r="AA62" s="31"/>
      <c r="AB62" s="31"/>
      <c r="AC62" s="31"/>
      <c r="AD62" s="31"/>
      <c r="AE62" s="31"/>
      <c r="AF62" s="31"/>
      <c r="AG62" s="31"/>
      <c r="AH62" s="31"/>
      <c r="AI62" s="31"/>
      <c r="AK62" s="389"/>
      <c r="AL62" s="452" t="s">
        <v>308</v>
      </c>
      <c r="AM62" s="369"/>
      <c r="AN62" s="229">
        <v>10</v>
      </c>
      <c r="AO62" s="218" t="e">
        <f ca="1">ROUND(AN62*_xludf.ifs(
AND(AU62=TRUE,AW62=TRUE),1,
AU62=TRUE,AV62,
AW62=TRUE,AX62,
TRUE,1),0)</f>
        <v>#NAME?</v>
      </c>
      <c r="AP62" s="57" t="e">
        <f ca="1">ROUND(AO62/SUM(AO$32:AO$252)*AM$27,0)</f>
        <v>#NAME?</v>
      </c>
      <c r="AQ62" s="5" t="str">
        <f ca="1">IFERROR(__xludf.DUMMYFUNCTION("if(O62=0,"""",
filter(I$32:I61,row(I$32:I61)=max(filter(arrayformula(row(I$32:I61)),I$32:I61&lt;&gt;"""")))+
filter(G$32:G61,row(G$32:G61)=max(filter(arrayformula(row(G$32:G61)),G$32:G61&lt;&gt;"""")))
)"),"")</f>
        <v/>
      </c>
      <c r="AR62" s="198" t="str">
        <f ca="1">IFERROR(__xludf.DUMMYFUNCTION("if(G62="""","""",G62-(
filter(G$32:G$252,row(G$32:G$252)=max(filter(arrayformula(row(G$32:G$252)),G$32:G$252&lt;&gt;"""")))
-(10001-
filter(I$32:I$252,row(I$32:I$252)=max(filter(arrayformula(row(I$32:I$252)),I$32:I$252&lt;&gt;""""))))))"),"")</f>
        <v/>
      </c>
      <c r="AS62" s="198" t="e">
        <f ca="1">IF(AY62=0,"",ROUND(AY62/AM$3*10000,0))</f>
        <v>#NAME?</v>
      </c>
      <c r="AT62" s="219" t="b">
        <v>0</v>
      </c>
      <c r="AU62" s="82" t="b">
        <f>OR(AM16,AM12)</f>
        <v>0</v>
      </c>
      <c r="AV62" s="63">
        <v>0.5</v>
      </c>
      <c r="AW62" s="82" t="b">
        <f>OR(AQ22)</f>
        <v>0</v>
      </c>
      <c r="AX62" s="220">
        <v>1.5</v>
      </c>
      <c r="AY62" s="56" t="e">
        <f ca="1">MAX(ROUND(AP62*(AM$1/AM$27),0),IF(AT62=TRUE,1,0))</f>
        <v>#NAME?</v>
      </c>
      <c r="AZ62" s="220">
        <v>5</v>
      </c>
      <c r="BA62" s="221">
        <v>0</v>
      </c>
      <c r="BB62" s="222" t="b">
        <v>0</v>
      </c>
      <c r="BC62" s="223" t="b">
        <v>0</v>
      </c>
      <c r="BD62" s="228" t="b">
        <v>1</v>
      </c>
      <c r="BE62" s="224" t="b">
        <v>0</v>
      </c>
      <c r="BF62" s="179">
        <v>1</v>
      </c>
      <c r="BG62" s="225" t="str">
        <f>IF(BC62=FALSE,"",MIN(BH62:$BK62)-ROUND(($BK62-1-ROUND(80/$AZ62,0))/COUNTIF($BB62:$BE62,TRUE),0))</f>
        <v/>
      </c>
      <c r="BH62" s="225">
        <f>IF(BD62=FALSE,"",MIN(BI62:$BK62)-ROUND(($BK62-1-ROUND(80/$AZ62,0))/COUNTIF($BB62:$BE62,TRUE),0))</f>
        <v>17</v>
      </c>
      <c r="BI62" s="225" t="str">
        <f>IF(BE62=FALSE,"",MIN(BJ62:$BK62)-ROUND(($BK62-1-ROUND(80/$AZ62,0))/COUNTIF($BB62:$BE62,TRUE),0))</f>
        <v/>
      </c>
      <c r="BJ62" s="225" t="str">
        <f>IF(BB62=FALSE,"",MIN($BK62:BK62)-ROUND(($BK62-1-ROUND(80/$AZ62,0))/COUNTIF($BB62:$BE62,TRUE),0))</f>
        <v/>
      </c>
      <c r="BK62" s="107">
        <f>101-ROUND(Ag!BU$7*100,0)</f>
        <v>96</v>
      </c>
      <c r="BL62" s="63">
        <v>1</v>
      </c>
      <c r="BM62" s="82">
        <f t="array" ref="BM62">MIN(BL62,INDEX([1]Basic!L$26:L$34, MATCH([1]Basic!D$5,[1]Basic!B$26:B$34,0)))</f>
        <v>1</v>
      </c>
      <c r="BS62" s="371" t="s">
        <v>917</v>
      </c>
      <c r="BT62" s="393"/>
      <c r="BU62" s="369"/>
      <c r="BV62" s="425" t="e">
        <f ca="1">[1]Entry!J52*BV61*[1]Entry!J53</f>
        <v>#NAME?</v>
      </c>
      <c r="BW62" s="369"/>
      <c r="BX62" s="312"/>
      <c r="CE62" s="82">
        <v>5</v>
      </c>
      <c r="CF62" s="56">
        <f ca="1"/>
        <v>0</v>
      </c>
      <c r="CG62" s="56" t="str">
        <f ca="1">IF(CF62=0,"",MAX(1,ROUND(CF62/BS$23*100,0)))</f>
        <v/>
      </c>
      <c r="CH62" s="56" t="e">
        <f ca="1">_xludf.ifs(CG62="","",CG63="",100,TRUE,CH63-CG62)</f>
        <v>#NAME?</v>
      </c>
      <c r="DT62" s="334" t="s">
        <v>674</v>
      </c>
      <c r="DU62" s="167" t="e">
        <f t="array" aca="1" ref="DU62" ca="1">IF(ED$16=FALSE,FALSE,OR(EC$16:EC$18=DT62))</f>
        <v>#N/A</v>
      </c>
      <c r="DV62" s="82">
        <v>2</v>
      </c>
      <c r="DW62" s="63">
        <v>0</v>
      </c>
      <c r="DY62" s="389"/>
      <c r="DZ62" s="432"/>
      <c r="EA62" s="369"/>
      <c r="EB62" s="432"/>
      <c r="EC62" s="369"/>
      <c r="ED62" s="428" t="s">
        <v>1094</v>
      </c>
      <c r="EE62" s="369"/>
      <c r="EF62" s="432"/>
      <c r="EG62" s="369"/>
      <c r="EH62" s="428" t="s">
        <v>1055</v>
      </c>
      <c r="EI62" s="369"/>
      <c r="EJ62" s="432"/>
      <c r="EK62" s="369"/>
      <c r="EL62" s="428" t="s">
        <v>1095</v>
      </c>
      <c r="EM62" s="369"/>
    </row>
    <row r="63" spans="1:143" ht="12.75">
      <c r="A63" s="371" t="s">
        <v>699</v>
      </c>
      <c r="B63" s="369"/>
      <c r="C63" s="63" t="s">
        <v>670</v>
      </c>
      <c r="D63" s="63" t="s">
        <v>672</v>
      </c>
      <c r="E63" s="63" t="s">
        <v>676</v>
      </c>
      <c r="F63" s="63" t="s">
        <v>670</v>
      </c>
      <c r="G63" s="63" t="s">
        <v>672</v>
      </c>
      <c r="H63" s="63" t="s">
        <v>672</v>
      </c>
      <c r="I63" s="63" t="s">
        <v>670</v>
      </c>
      <c r="Y63" s="167"/>
      <c r="Z63" s="111"/>
      <c r="AA63" s="31"/>
      <c r="AB63" s="31"/>
      <c r="AC63" s="31"/>
      <c r="AD63" s="31"/>
      <c r="AE63" s="31"/>
      <c r="AF63" s="31"/>
      <c r="AG63" s="31"/>
      <c r="AH63" s="31"/>
      <c r="AI63" s="31"/>
      <c r="AK63" s="389"/>
      <c r="AL63" s="452" t="s">
        <v>313</v>
      </c>
      <c r="AM63" s="369"/>
      <c r="AN63" s="229">
        <v>22</v>
      </c>
      <c r="AO63" s="218" t="e">
        <f ca="1">ROUND(AN63*_xludf.ifs(
AND(AU63=TRUE,AW63=TRUE),1,
AU63=TRUE,AV63,
AW63=TRUE,AX63,
TRUE,1),0)</f>
        <v>#NAME?</v>
      </c>
      <c r="AP63" s="57" t="e">
        <f ca="1">ROUND(AO63/SUM(AO$32:AO$252)*AM$27,0)</f>
        <v>#NAME?</v>
      </c>
      <c r="AQ63" s="5" t="str">
        <f ca="1">IFERROR(__xludf.DUMMYFUNCTION("if(O63=0,"""",
filter(I$32:I62,row(I$32:I62)=max(filter(arrayformula(row(I$32:I62)),I$32:I62&lt;&gt;"""")))+
filter(G$32:G62,row(G$32:G62)=max(filter(arrayformula(row(G$32:G62)),G$32:G62&lt;&gt;"""")))
)"),"")</f>
        <v/>
      </c>
      <c r="AR63" s="198" t="str">
        <f ca="1">IFERROR(__xludf.DUMMYFUNCTION("if(G63="""","""",G63-(
filter(G$32:G$252,row(G$32:G$252)=max(filter(arrayformula(row(G$32:G$252)),G$32:G$252&lt;&gt;"""")))
-(10001-
filter(I$32:I$252,row(I$32:I$252)=max(filter(arrayformula(row(I$32:I$252)),I$32:I$252&lt;&gt;""""))))))"),"")</f>
        <v/>
      </c>
      <c r="AS63" s="198" t="e">
        <f ca="1">IF(AY63=0,"",ROUND(AY63/AM$3*10000,0))</f>
        <v>#NAME?</v>
      </c>
      <c r="AT63" s="219" t="b">
        <v>0</v>
      </c>
      <c r="AU63" s="82" t="b">
        <f>OR(AM16,AM12)</f>
        <v>0</v>
      </c>
      <c r="AV63" s="63">
        <v>0.5</v>
      </c>
      <c r="AW63" s="82" t="b">
        <f>OR(AQ22)</f>
        <v>0</v>
      </c>
      <c r="AX63" s="220">
        <v>1.5</v>
      </c>
      <c r="AY63" s="56" t="e">
        <f ca="1">MAX(ROUND(AP63*(AM$1/AM$27),0),IF(AT63=TRUE,1,0))</f>
        <v>#NAME?</v>
      </c>
      <c r="AZ63" s="220">
        <v>5</v>
      </c>
      <c r="BA63" s="221">
        <v>0</v>
      </c>
      <c r="BB63" s="222" t="b">
        <v>0</v>
      </c>
      <c r="BC63" s="223" t="b">
        <v>0</v>
      </c>
      <c r="BD63" s="228" t="b">
        <v>1</v>
      </c>
      <c r="BE63" s="224" t="b">
        <v>0</v>
      </c>
      <c r="BF63" s="179">
        <v>1</v>
      </c>
      <c r="BG63" s="225" t="str">
        <f>IF(BC63=FALSE,"",MIN(BH63:$BK63)-ROUND(($BK63-1-ROUND(80/$AZ63,0))/COUNTIF($BB63:$BE63,TRUE),0))</f>
        <v/>
      </c>
      <c r="BH63" s="225">
        <f>IF(BD63=FALSE,"",MIN(BI63:$BK63)-ROUND(($BK63-1-ROUND(80/$AZ63,0))/COUNTIF($BB63:$BE63,TRUE),0))</f>
        <v>17</v>
      </c>
      <c r="BI63" s="225" t="str">
        <f>IF(BE63=FALSE,"",MIN(BJ63:$BK63)-ROUND(($BK63-1-ROUND(80/$AZ63,0))/COUNTIF($BB63:$BE63,TRUE),0))</f>
        <v/>
      </c>
      <c r="BJ63" s="225" t="str">
        <f>IF(BB63=FALSE,"",MIN($BK63:BK63)-ROUND(($BK63-1-ROUND(80/$AZ63,0))/COUNTIF($BB63:$BE63,TRUE),0))</f>
        <v/>
      </c>
      <c r="BK63" s="107">
        <f>101-ROUND(Ag!BU$7*100,0)</f>
        <v>96</v>
      </c>
      <c r="BL63" s="63">
        <v>1</v>
      </c>
      <c r="BM63" s="82">
        <f t="array" ref="BM63">MIN(BL63,INDEX([1]Basic!L$26:L$34, MATCH([1]Basic!D$5,[1]Basic!B$26:B$34,0)))</f>
        <v>1</v>
      </c>
      <c r="BS63" s="371" t="s">
        <v>918</v>
      </c>
      <c r="BT63" s="393"/>
      <c r="BU63" s="369"/>
      <c r="BV63" s="425">
        <f>[1]Entry!J54*[1]Entry!J52</f>
        <v>30</v>
      </c>
      <c r="BW63" s="369"/>
      <c r="BX63" s="312"/>
      <c r="CE63" s="82">
        <v>6</v>
      </c>
      <c r="CF63" s="56">
        <f ca="1"/>
        <v>0</v>
      </c>
      <c r="CG63" s="56" t="str">
        <f ca="1">IF(CF63=0,"",MAX(1,ROUND(CF63/BS$23*100,0)))</f>
        <v/>
      </c>
      <c r="CH63" s="56" t="e">
        <f ca="1">_xludf.ifs(CG63="","",CG64="",100,TRUE,CH64-CG63)</f>
        <v>#NAME?</v>
      </c>
      <c r="DT63" s="171" t="s">
        <v>68</v>
      </c>
      <c r="DU63" s="171" t="b">
        <v>1</v>
      </c>
      <c r="DV63" s="56">
        <f>IF(EJ29=TRUE,5,1)</f>
        <v>1</v>
      </c>
      <c r="DW63" s="63">
        <v>0.05</v>
      </c>
      <c r="DY63" s="389"/>
      <c r="DZ63" s="432"/>
      <c r="EA63" s="369"/>
      <c r="EB63" s="432"/>
      <c r="EC63" s="369"/>
      <c r="ED63" s="428" t="s">
        <v>1096</v>
      </c>
      <c r="EE63" s="369"/>
      <c r="EF63" s="432"/>
      <c r="EG63" s="369"/>
      <c r="EH63" s="428" t="s">
        <v>1097</v>
      </c>
      <c r="EI63" s="369"/>
      <c r="EJ63" s="432"/>
      <c r="EK63" s="369"/>
      <c r="EL63" s="428" t="s">
        <v>1098</v>
      </c>
      <c r="EM63" s="369"/>
    </row>
    <row r="64" spans="1:143" ht="12.75">
      <c r="A64" s="371" t="s">
        <v>700</v>
      </c>
      <c r="B64" s="369"/>
      <c r="C64" s="63">
        <v>2</v>
      </c>
      <c r="D64" s="63">
        <v>3</v>
      </c>
      <c r="E64" s="63">
        <v>2</v>
      </c>
      <c r="F64" s="63">
        <v>5</v>
      </c>
      <c r="G64" s="63">
        <v>0.66700000000000004</v>
      </c>
      <c r="H64" s="63">
        <v>1</v>
      </c>
      <c r="I64" s="63">
        <v>1</v>
      </c>
      <c r="Y64" s="167"/>
      <c r="Z64" s="111"/>
      <c r="AA64" s="31"/>
      <c r="AB64" s="31"/>
      <c r="AC64" s="31"/>
      <c r="AD64" s="31"/>
      <c r="AE64" s="31"/>
      <c r="AF64" s="31"/>
      <c r="AG64" s="31"/>
      <c r="AH64" s="31"/>
      <c r="AI64" s="31"/>
      <c r="AK64" s="389"/>
      <c r="AL64" s="452" t="s">
        <v>318</v>
      </c>
      <c r="AM64" s="369"/>
      <c r="AN64" s="229">
        <v>120</v>
      </c>
      <c r="AO64" s="218" t="e">
        <f ca="1">ROUND(AN64*_xludf.ifs(
AND(AU64=TRUE,AW64=TRUE),1,
AU64=TRUE,AV64,
AW64=TRUE,AX64,
TRUE,1),0)</f>
        <v>#NAME?</v>
      </c>
      <c r="AP64" s="57" t="e">
        <f ca="1">ROUND(AO64/SUM(AO$32:AO$252)*AM$27,0)</f>
        <v>#NAME?</v>
      </c>
      <c r="AQ64" s="5" t="str">
        <f ca="1">IFERROR(__xludf.DUMMYFUNCTION("if(O64=0,"""",
filter(I$32:I63,row(I$32:I63)=max(filter(arrayformula(row(I$32:I63)),I$32:I63&lt;&gt;"""")))+
filter(G$32:G63,row(G$32:G63)=max(filter(arrayformula(row(G$32:G63)),G$32:G63&lt;&gt;"""")))
)"),"")</f>
        <v/>
      </c>
      <c r="AR64" s="198" t="str">
        <f ca="1">IFERROR(__xludf.DUMMYFUNCTION("if(G64="""","""",G64-(
filter(G$32:G$252,row(G$32:G$252)=max(filter(arrayformula(row(G$32:G$252)),G$32:G$252&lt;&gt;"""")))
-(10001-
filter(I$32:I$252,row(I$32:I$252)=max(filter(arrayformula(row(I$32:I$252)),I$32:I$252&lt;&gt;""""))))))"),"")</f>
        <v/>
      </c>
      <c r="AS64" s="198" t="e">
        <f ca="1">IF(AY64=0,"",ROUND(AY64/AM$3*10000,0))</f>
        <v>#NAME?</v>
      </c>
      <c r="AT64" s="219" t="b">
        <v>0</v>
      </c>
      <c r="AU64" s="82" t="b">
        <f>OR(AM16,AM12)</f>
        <v>0</v>
      </c>
      <c r="AV64" s="63">
        <v>0.5</v>
      </c>
      <c r="AW64" s="82" t="b">
        <f>OR(AQ22)</f>
        <v>0</v>
      </c>
      <c r="AX64" s="220">
        <v>1.5</v>
      </c>
      <c r="AY64" s="56" t="e">
        <f ca="1">MAX(ROUND(AP64*(AM$1/AM$27),0),IF(AT64=TRUE,1,0))</f>
        <v>#NAME?</v>
      </c>
      <c r="AZ64" s="220">
        <v>3</v>
      </c>
      <c r="BA64" s="221">
        <v>0</v>
      </c>
      <c r="BB64" s="222" t="b">
        <v>0</v>
      </c>
      <c r="BC64" s="223" t="b">
        <v>0</v>
      </c>
      <c r="BD64" s="223" t="b">
        <v>0</v>
      </c>
      <c r="BE64" s="224" t="b">
        <v>0</v>
      </c>
      <c r="BF64" s="179">
        <v>1</v>
      </c>
      <c r="BG64" s="225" t="str">
        <f>IF(BC64=FALSE,"",MIN(BH64:$BK64)-ROUND(($BK64-1-ROUND(80/$AZ64,0))/COUNTIF($BB64:$BE64,TRUE),0))</f>
        <v/>
      </c>
      <c r="BH64" s="225" t="str">
        <f>IF(BD64=FALSE,"",MIN(BI64:$BK64)-ROUND(($BK64-1-ROUND(80/$AZ64,0))/COUNTIF($BB64:$BE64,TRUE),0))</f>
        <v/>
      </c>
      <c r="BI64" s="225" t="str">
        <f>IF(BE64=FALSE,"",MIN(BJ64:$BK64)-ROUND(($BK64-1-ROUND(80/$AZ64,0))/COUNTIF($BB64:$BE64,TRUE),0))</f>
        <v/>
      </c>
      <c r="BJ64" s="225" t="str">
        <f>IF(BB64=FALSE,"",MIN($BK64:BK64)-ROUND(($BK64-1-ROUND(80/$AZ64,0))/COUNTIF($BB64:$BE64,TRUE),0))</f>
        <v/>
      </c>
      <c r="BK64" s="107">
        <f>101-ROUND(Ag!BU$7*100,0)</f>
        <v>96</v>
      </c>
      <c r="BL64" s="63">
        <v>1</v>
      </c>
      <c r="BM64" s="82">
        <f t="array" ref="BM64">MIN(BL64,INDEX([1]Basic!L$26:L$34, MATCH([1]Basic!D$5,[1]Basic!B$26:B$34,0)))</f>
        <v>1</v>
      </c>
      <c r="BS64" s="371" t="s">
        <v>919</v>
      </c>
      <c r="BT64" s="393"/>
      <c r="BU64" s="369"/>
      <c r="BV64" s="425" t="e">
        <f ca="1">ROUND(BV61*([1]Entry!J53/7)/[1]Entry!J54,0)</f>
        <v>#NAME?</v>
      </c>
      <c r="BW64" s="369"/>
      <c r="BX64" s="312"/>
      <c r="CE64" s="82">
        <v>7</v>
      </c>
      <c r="CF64" s="56">
        <f ca="1"/>
        <v>0</v>
      </c>
      <c r="CG64" s="56" t="str">
        <f ca="1">IF(CF64=0,"",MAX(1,ROUND(CF64/BS$23*100,0)))</f>
        <v/>
      </c>
      <c r="CH64" s="56" t="e">
        <f ca="1">_xludf.ifs(CG64="","",CG65="",100,TRUE,CH65-CG64)</f>
        <v>#NAME?</v>
      </c>
      <c r="DT64" s="171" t="s">
        <v>1040</v>
      </c>
      <c r="DU64" s="171" t="b">
        <v>1</v>
      </c>
      <c r="DV64" s="82">
        <v>2</v>
      </c>
      <c r="DW64" s="63">
        <v>0</v>
      </c>
      <c r="DY64" s="389"/>
      <c r="DZ64" s="432"/>
      <c r="EA64" s="369"/>
      <c r="EB64" s="432"/>
      <c r="EC64" s="369"/>
      <c r="ED64" s="428" t="s">
        <v>1099</v>
      </c>
      <c r="EE64" s="369"/>
      <c r="EF64" s="432"/>
      <c r="EG64" s="369"/>
      <c r="EH64" s="428" t="s">
        <v>1100</v>
      </c>
      <c r="EI64" s="369"/>
      <c r="EJ64" s="432"/>
      <c r="EK64" s="369"/>
      <c r="EL64" s="428" t="s">
        <v>1101</v>
      </c>
      <c r="EM64" s="369"/>
    </row>
    <row r="65" spans="1:143" ht="13.5" thickBot="1">
      <c r="A65" s="371" t="s">
        <v>701</v>
      </c>
      <c r="B65" s="369"/>
      <c r="C65" s="63">
        <v>120</v>
      </c>
      <c r="D65" s="63">
        <v>40</v>
      </c>
      <c r="E65" s="63">
        <v>35</v>
      </c>
      <c r="F65" s="63">
        <v>3</v>
      </c>
      <c r="G65" s="63">
        <v>700</v>
      </c>
      <c r="H65" s="63">
        <v>4400</v>
      </c>
      <c r="I65" s="63">
        <v>22.5</v>
      </c>
      <c r="Y65" s="73"/>
      <c r="Z65" s="154"/>
      <c r="AA65" s="31"/>
      <c r="AB65" s="31"/>
      <c r="AC65" s="31"/>
      <c r="AD65" s="31"/>
      <c r="AE65" s="31"/>
      <c r="AF65" s="31"/>
      <c r="AG65" s="31"/>
      <c r="AH65" s="31"/>
      <c r="AI65" s="31"/>
      <c r="AK65" s="389"/>
      <c r="AL65" s="452" t="s">
        <v>324</v>
      </c>
      <c r="AM65" s="369"/>
      <c r="AN65" s="241">
        <v>5</v>
      </c>
      <c r="AO65" s="218" t="e">
        <f ca="1">ROUND(AN65*_xludf.ifs(
AND(AU65=TRUE,AW65=TRUE),1,
AU65=TRUE,AV65,
AW65=TRUE,AX65,
TRUE,1),0)</f>
        <v>#NAME?</v>
      </c>
      <c r="AP65" s="57" t="e">
        <f ca="1">ROUND(AO65/SUM(AO$32:AO$252)*AM$27,0)</f>
        <v>#NAME?</v>
      </c>
      <c r="AQ65" s="5" t="str">
        <f ca="1">IFERROR(__xludf.DUMMYFUNCTION("if(O65=0,"""",
filter(I$32:I64,row(I$32:I64)=max(filter(arrayformula(row(I$32:I64)),I$32:I64&lt;&gt;"""")))+
filter(G$32:G64,row(G$32:G64)=max(filter(arrayformula(row(G$32:G64)),G$32:G64&lt;&gt;"""")))
)"),"")</f>
        <v/>
      </c>
      <c r="AR65" s="198" t="str">
        <f ca="1">IFERROR(__xludf.DUMMYFUNCTION("if(G65="""","""",G65-(
filter(G$32:G$252,row(G$32:G$252)=max(filter(arrayformula(row(G$32:G$252)),G$32:G$252&lt;&gt;"""")))
-(10001-
filter(I$32:I$252,row(I$32:I$252)=max(filter(arrayformula(row(I$32:I$252)),I$32:I$252&lt;&gt;""""))))))"),"")</f>
        <v/>
      </c>
      <c r="AS65" s="198" t="e">
        <f ca="1">IF(AY65=0,"",ROUND(AY65/AM$3*10000,0))</f>
        <v>#NAME?</v>
      </c>
      <c r="AT65" s="219" t="b">
        <v>0</v>
      </c>
      <c r="AU65" s="82" t="b">
        <f>OR(AM16,AM12)</f>
        <v>0</v>
      </c>
      <c r="AV65" s="63">
        <v>0.5</v>
      </c>
      <c r="AW65" s="82" t="b">
        <f>OR(AQ22)</f>
        <v>0</v>
      </c>
      <c r="AX65" s="220">
        <v>1.5</v>
      </c>
      <c r="AY65" s="56" t="e">
        <f ca="1">MAX(ROUND(AP65*(AM$1/AM$27),0),IF(AT65=TRUE,1,0))</f>
        <v>#NAME?</v>
      </c>
      <c r="AZ65" s="220">
        <v>5</v>
      </c>
      <c r="BA65" s="221">
        <v>0</v>
      </c>
      <c r="BB65" s="227" t="b">
        <v>1</v>
      </c>
      <c r="BC65" s="223" t="b">
        <v>0</v>
      </c>
      <c r="BD65" s="228" t="b">
        <v>1</v>
      </c>
      <c r="BE65" s="224" t="b">
        <v>0</v>
      </c>
      <c r="BF65" s="179">
        <v>1</v>
      </c>
      <c r="BG65" s="225" t="str">
        <f>IF(BC65=FALSE,"",MIN(BH65:$BK65)-ROUND(($BK65-1-ROUND(80/$AZ65,0))/COUNTIF($BB65:$BE65,TRUE),0))</f>
        <v/>
      </c>
      <c r="BH65" s="225">
        <f>IF(BD65=FALSE,"",MIN(BI65:$BK65)-ROUND(($BK65-1-ROUND(80/$AZ65,0))/COUNTIF($BB65:$BE65,TRUE),0))</f>
        <v>16</v>
      </c>
      <c r="BI65" s="225" t="str">
        <f>IF(BE65=FALSE,"",MIN(BJ65:$BK65)-ROUND(($BK65-1-ROUND(80/$AZ65,0))/COUNTIF($BB65:$BE65,TRUE),0))</f>
        <v/>
      </c>
      <c r="BJ65" s="225">
        <f>IF(BB65=FALSE,"",MIN($BK65:BK65)-ROUND(($BK65-1-ROUND(80/$AZ65,0))/COUNTIF($BB65:$BE65,TRUE),0))</f>
        <v>56</v>
      </c>
      <c r="BK65" s="107">
        <f>101-ROUND(Ag!BU$7*100,0)</f>
        <v>96</v>
      </c>
      <c r="BL65" s="63">
        <v>1</v>
      </c>
      <c r="BM65" s="82">
        <f t="array" ref="BM65">MIN(BL65,INDEX([1]Basic!L$26:L$34, MATCH([1]Basic!D$5,[1]Basic!B$26:B$34,0)))</f>
        <v>1</v>
      </c>
      <c r="BS65" s="371" t="s">
        <v>920</v>
      </c>
      <c r="BT65" s="393"/>
      <c r="BU65" s="369"/>
      <c r="BV65" s="425">
        <f>BV63-24</f>
        <v>6</v>
      </c>
      <c r="BW65" s="369"/>
      <c r="BX65" s="312"/>
      <c r="CE65" s="82">
        <v>8</v>
      </c>
      <c r="CF65" s="56">
        <f ca="1"/>
        <v>0</v>
      </c>
      <c r="CG65" s="56" t="str">
        <f ca="1">IF(CF65=0,"",MAX(1,ROUND(CF65/BS$23*100,0)))</f>
        <v/>
      </c>
      <c r="CH65" s="56" t="e">
        <f ca="1">_xludf.ifs(CG65="","",CG66="",100,TRUE,CH66-CG65)</f>
        <v>#NAME?</v>
      </c>
      <c r="DT65" s="334" t="s">
        <v>671</v>
      </c>
      <c r="DU65" s="167" t="e">
        <f t="array" aca="1" ref="DU65" ca="1">IF(ED$16=FALSE,FALSE,OR(EC$16:EC$18=DT65))</f>
        <v>#N/A</v>
      </c>
      <c r="DV65" s="82">
        <v>2</v>
      </c>
      <c r="DW65" s="63">
        <v>0</v>
      </c>
      <c r="DY65" s="389"/>
      <c r="DZ65" s="432"/>
      <c r="EA65" s="369"/>
      <c r="EB65" s="432"/>
      <c r="EC65" s="369"/>
      <c r="ED65" s="428" t="s">
        <v>1102</v>
      </c>
      <c r="EE65" s="369"/>
      <c r="EF65" s="432"/>
      <c r="EG65" s="369"/>
      <c r="EH65" s="428" t="s">
        <v>1103</v>
      </c>
      <c r="EI65" s="369"/>
      <c r="EJ65" s="432"/>
      <c r="EK65" s="369"/>
      <c r="EL65" s="428" t="s">
        <v>1104</v>
      </c>
      <c r="EM65" s="369"/>
    </row>
    <row r="66" spans="1:143" ht="13.5" thickTop="1">
      <c r="A66" s="371" t="s">
        <v>702</v>
      </c>
      <c r="B66" s="369"/>
      <c r="C66" s="156">
        <f>C65*0.000453592*C64*C59</f>
        <v>2.1772415999999999</v>
      </c>
      <c r="D66" s="156">
        <f>D65*0.000453592*D64*D59</f>
        <v>1.0886207999999999</v>
      </c>
      <c r="E66" s="156">
        <f>E65*0.000453592*E64*E59</f>
        <v>0.63502879999999995</v>
      </c>
      <c r="F66" s="156">
        <f>F65*0.000453592*F64*F59</f>
        <v>0.85048500000000005</v>
      </c>
      <c r="G66" s="156">
        <f>G65*0.000453592*G64*G59</f>
        <v>0.84712841920000015</v>
      </c>
      <c r="H66" s="156">
        <f>H65*0.000453592*H64*H59</f>
        <v>7.9832191999999997</v>
      </c>
      <c r="I66" s="156">
        <f>I65*0.000453592*I64*I59</f>
        <v>1.2757275000000001</v>
      </c>
      <c r="Z66" s="31"/>
      <c r="AA66" s="31"/>
      <c r="AB66" s="31"/>
      <c r="AC66" s="31"/>
      <c r="AD66" s="31"/>
      <c r="AE66" s="31"/>
      <c r="AF66" s="31"/>
      <c r="AG66" s="31"/>
      <c r="AH66" s="31"/>
      <c r="AI66" s="31"/>
      <c r="AK66" s="389"/>
      <c r="AL66" s="452" t="s">
        <v>330</v>
      </c>
      <c r="AM66" s="369"/>
      <c r="AN66" s="229">
        <v>65</v>
      </c>
      <c r="AO66" s="218" t="e">
        <f ca="1">ROUND(AN66*_xludf.ifs(
AND(AU66=TRUE,AW66=TRUE),1,
AU66=TRUE,AV66,
AW66=TRUE,AX66,
TRUE,1),0)</f>
        <v>#NAME?</v>
      </c>
      <c r="AP66" s="57" t="e">
        <f ca="1">ROUND(AO66/SUM(AO$32:AO$252)*AM$27,0)</f>
        <v>#NAME?</v>
      </c>
      <c r="AQ66" s="5" t="str">
        <f ca="1">IFERROR(__xludf.DUMMYFUNCTION("if(O66=0,"""",
filter(I$32:I65,row(I$32:I65)=max(filter(arrayformula(row(I$32:I65)),I$32:I65&lt;&gt;"""")))+
filter(G$32:G65,row(G$32:G65)=max(filter(arrayformula(row(G$32:G65)),G$32:G65&lt;&gt;"""")))
)"),"")</f>
        <v/>
      </c>
      <c r="AR66" s="198" t="str">
        <f ca="1">IFERROR(__xludf.DUMMYFUNCTION("if(G66="""","""",G66-(
filter(G$32:G$252,row(G$32:G$252)=max(filter(arrayformula(row(G$32:G$252)),G$32:G$252&lt;&gt;"""")))
-(10001-
filter(I$32:I$252,row(I$32:I$252)=max(filter(arrayformula(row(I$32:I$252)),I$32:I$252&lt;&gt;""""))))))"),"")</f>
        <v/>
      </c>
      <c r="AS66" s="198" t="e">
        <f ca="1">IF(AY66=0,"",ROUND(AY66/AM$3*10000,0))</f>
        <v>#NAME?</v>
      </c>
      <c r="AT66" s="219" t="b">
        <v>0</v>
      </c>
      <c r="AU66" s="82" t="b">
        <f>OR(AM16,AM12)</f>
        <v>0</v>
      </c>
      <c r="AV66" s="63">
        <v>0.5</v>
      </c>
      <c r="AW66" s="82" t="b">
        <f>OR(AQ22)</f>
        <v>0</v>
      </c>
      <c r="AX66" s="220">
        <v>1.5</v>
      </c>
      <c r="AY66" s="56" t="e">
        <f ca="1">MAX(ROUND(AP66*(AM$1/AM$27),0),IF(AT66=TRUE,1,0))</f>
        <v>#NAME?</v>
      </c>
      <c r="AZ66" s="220">
        <v>3</v>
      </c>
      <c r="BA66" s="221">
        <v>0</v>
      </c>
      <c r="BB66" s="222" t="b">
        <v>0</v>
      </c>
      <c r="BC66" s="223" t="b">
        <v>0</v>
      </c>
      <c r="BD66" s="223" t="b">
        <v>0</v>
      </c>
      <c r="BE66" s="224" t="b">
        <v>0</v>
      </c>
      <c r="BF66" s="179">
        <v>1</v>
      </c>
      <c r="BG66" s="225" t="str">
        <f>IF(BC66=FALSE,"",MIN(BH66:$BK66)-ROUND(($BK66-1-ROUND(80/$AZ66,0))/COUNTIF($BB66:$BE66,TRUE),0))</f>
        <v/>
      </c>
      <c r="BH66" s="225" t="str">
        <f>IF(BD66=FALSE,"",MIN(BI66:$BK66)-ROUND(($BK66-1-ROUND(80/$AZ66,0))/COUNTIF($BB66:$BE66,TRUE),0))</f>
        <v/>
      </c>
      <c r="BI66" s="225" t="str">
        <f>IF(BE66=FALSE,"",MIN(BJ66:$BK66)-ROUND(($BK66-1-ROUND(80/$AZ66,0))/COUNTIF($BB66:$BE66,TRUE),0))</f>
        <v/>
      </c>
      <c r="BJ66" s="225" t="str">
        <f>IF(BB66=FALSE,"",MIN($BK66:BK66)-ROUND(($BK66-1-ROUND(80/$AZ66,0))/COUNTIF($BB66:$BE66,TRUE),0))</f>
        <v/>
      </c>
      <c r="BK66" s="107">
        <f>101-ROUND(Ag!BU$7*100,0)</f>
        <v>96</v>
      </c>
      <c r="BL66" s="63">
        <v>1</v>
      </c>
      <c r="BM66" s="82">
        <f t="array" ref="BM66">MIN(BL66,INDEX([1]Basic!L$26:L$34, MATCH([1]Basic!D$5,[1]Basic!B$26:B$34,0)))</f>
        <v>1</v>
      </c>
      <c r="BS66" s="69" t="s">
        <v>921</v>
      </c>
      <c r="BT66" s="157"/>
      <c r="BU66" s="157"/>
      <c r="BV66" s="70" t="e">
        <f ca="1">ROUND([1]Basic!J11/BV61,0)</f>
        <v>#NAME?</v>
      </c>
      <c r="BW66" s="194" t="e">
        <f ca="1">ROUND(BV66/5,0)</f>
        <v>#NAME?</v>
      </c>
      <c r="BX66" s="312"/>
      <c r="CE66" s="82">
        <v>9</v>
      </c>
      <c r="CF66" s="56">
        <f ca="1"/>
        <v>0</v>
      </c>
      <c r="CG66" s="56" t="str">
        <f ca="1">IF(CF66=0,"",MAX(1,ROUND(CF66/BS$23*100,0)))</f>
        <v/>
      </c>
      <c r="CH66" s="56" t="e">
        <f ca="1">_xludf.ifs(CG66="","",CG67="",100,TRUE,CH67-CG66)</f>
        <v>#NAME?</v>
      </c>
      <c r="DT66" s="171" t="s">
        <v>1105</v>
      </c>
      <c r="DU66" s="171" t="b">
        <v>1</v>
      </c>
      <c r="DV66" s="82">
        <v>2</v>
      </c>
      <c r="DW66" s="63">
        <v>0.1</v>
      </c>
      <c r="DY66" s="389"/>
      <c r="DZ66" s="432"/>
      <c r="EA66" s="369"/>
      <c r="EB66" s="432"/>
      <c r="EC66" s="369"/>
      <c r="ED66" s="428" t="s">
        <v>1106</v>
      </c>
      <c r="EE66" s="369"/>
      <c r="EF66" s="432"/>
      <c r="EG66" s="369"/>
      <c r="EH66" s="428" t="s">
        <v>1107</v>
      </c>
      <c r="EI66" s="369"/>
      <c r="EJ66" s="432"/>
      <c r="EK66" s="369"/>
      <c r="EL66" s="432"/>
      <c r="EM66" s="369"/>
    </row>
    <row r="67" spans="1:143" ht="13.5" thickBot="1">
      <c r="A67" s="371" t="s">
        <v>681</v>
      </c>
      <c r="B67" s="369"/>
      <c r="C67" s="63">
        <v>242</v>
      </c>
      <c r="D67" s="63">
        <v>143</v>
      </c>
      <c r="E67" s="63">
        <v>258</v>
      </c>
      <c r="F67" s="63">
        <v>239</v>
      </c>
      <c r="G67" s="63">
        <v>211</v>
      </c>
      <c r="H67" s="63">
        <v>61</v>
      </c>
      <c r="I67" s="63">
        <v>131</v>
      </c>
      <c r="Z67" s="31"/>
      <c r="AA67" s="31"/>
      <c r="AB67" s="31"/>
      <c r="AC67" s="31"/>
      <c r="AD67" s="31"/>
      <c r="AE67" s="31"/>
      <c r="AF67" s="31"/>
      <c r="AG67" s="31"/>
      <c r="AH67" s="31"/>
      <c r="AI67" s="31"/>
      <c r="AK67" s="389"/>
      <c r="AL67" s="452" t="s">
        <v>335</v>
      </c>
      <c r="AM67" s="369"/>
      <c r="AN67" s="241">
        <v>10</v>
      </c>
      <c r="AO67" s="218" t="e">
        <f ca="1">ROUND(AN67*_xludf.ifs(
AND(AU67=TRUE,AW67=TRUE),1,
AU67=TRUE,AV67,
AW67=TRUE,AX67,
TRUE,1),0)</f>
        <v>#NAME?</v>
      </c>
      <c r="AP67" s="57" t="e">
        <f ca="1">ROUND(AO67/SUM(AO$32:AO$252)*AM$27,0)</f>
        <v>#NAME?</v>
      </c>
      <c r="AQ67" s="5" t="str">
        <f ca="1">IFERROR(__xludf.DUMMYFUNCTION("if(O67=0,"""",
filter(I$32:I66,row(I$32:I66)=max(filter(arrayformula(row(I$32:I66)),I$32:I66&lt;&gt;"""")))+
filter(G$32:G66,row(G$32:G66)=max(filter(arrayformula(row(G$32:G66)),G$32:G66&lt;&gt;"""")))
)"),"")</f>
        <v/>
      </c>
      <c r="AR67" s="198" t="str">
        <f ca="1">IFERROR(__xludf.DUMMYFUNCTION("if(G67="""","""",G67-(
filter(G$32:G$252,row(G$32:G$252)=max(filter(arrayformula(row(G$32:G$252)),G$32:G$252&lt;&gt;"""")))
-(10001-
filter(I$32:I$252,row(I$32:I$252)=max(filter(arrayformula(row(I$32:I$252)),I$32:I$252&lt;&gt;""""))))))"),"")</f>
        <v/>
      </c>
      <c r="AS67" s="198" t="e">
        <f ca="1">IF(AY67=0,"",ROUND(AY67/AM$3*10000,0))</f>
        <v>#NAME?</v>
      </c>
      <c r="AT67" s="219" t="b">
        <v>0</v>
      </c>
      <c r="AU67" s="82" t="b">
        <f>OR(AM16,AM12)</f>
        <v>0</v>
      </c>
      <c r="AV67" s="63">
        <v>0.5</v>
      </c>
      <c r="AW67" s="82" t="b">
        <f>OR(AQ22)</f>
        <v>0</v>
      </c>
      <c r="AX67" s="220">
        <v>1.5</v>
      </c>
      <c r="AY67" s="56" t="e">
        <f ca="1">MAX(ROUND(AP67*(AM$1/AM$27),0),IF(AT67=TRUE,1,0))</f>
        <v>#NAME?</v>
      </c>
      <c r="AZ67" s="220">
        <v>3</v>
      </c>
      <c r="BA67" s="221">
        <v>0</v>
      </c>
      <c r="BB67" s="222" t="b">
        <v>0</v>
      </c>
      <c r="BC67" s="223" t="b">
        <v>0</v>
      </c>
      <c r="BD67" s="223" t="b">
        <v>0</v>
      </c>
      <c r="BE67" s="224" t="b">
        <v>0</v>
      </c>
      <c r="BF67" s="179">
        <v>1</v>
      </c>
      <c r="BG67" s="225" t="str">
        <f>IF(BC67=FALSE,"",MIN(BH67:$BK67)-ROUND(($BK67-1-ROUND(80/$AZ67,0))/COUNTIF($BB67:$BE67,TRUE),0))</f>
        <v/>
      </c>
      <c r="BH67" s="225" t="str">
        <f>IF(BD67=FALSE,"",MIN(BI67:$BK67)-ROUND(($BK67-1-ROUND(80/$AZ67,0))/COUNTIF($BB67:$BE67,TRUE),0))</f>
        <v/>
      </c>
      <c r="BI67" s="225" t="str">
        <f>IF(BE67=FALSE,"",MIN(BJ67:$BK67)-ROUND(($BK67-1-ROUND(80/$AZ67,0))/COUNTIF($BB67:$BE67,TRUE),0))</f>
        <v/>
      </c>
      <c r="BJ67" s="225" t="str">
        <f>IF(BB67=FALSE,"",MIN($BK67:BK67)-ROUND(($BK67-1-ROUND(80/$AZ67,0))/COUNTIF($BB67:$BE67,TRUE),0))</f>
        <v/>
      </c>
      <c r="BK67" s="107">
        <f>101-ROUND(Ag!BU$7*100,0)</f>
        <v>96</v>
      </c>
      <c r="BL67" s="63">
        <v>1</v>
      </c>
      <c r="BM67" s="82">
        <f t="array" ref="BM67">MIN(BL67,INDEX([1]Basic!L$26:L$34, MATCH([1]Basic!D$5,[1]Basic!B$26:B$34,0)))</f>
        <v>1</v>
      </c>
      <c r="BS67" s="371" t="s">
        <v>922</v>
      </c>
      <c r="BT67" s="393"/>
      <c r="BU67" s="369"/>
      <c r="BV67" s="56" t="e">
        <f ca="1">ROUND([1]Basic!J11/(Ag!BV64*IF(Ag!BV65&gt;0,2,1)),0)</f>
        <v>#NAME?</v>
      </c>
      <c r="BW67" s="316" t="e">
        <f ca="1">ROUND(BV67/5,0)</f>
        <v>#NAME?</v>
      </c>
      <c r="BX67" s="312"/>
      <c r="CE67" s="83">
        <v>10</v>
      </c>
      <c r="CF67" s="58">
        <f ca="1"/>
        <v>0</v>
      </c>
      <c r="CG67" s="58" t="str">
        <f ca="1">IF(CF67=0,"",MAX(1,ROUND(CF67/BS$23*100,0)))</f>
        <v/>
      </c>
      <c r="CH67" s="58" t="e">
        <f ca="1">_xludf.ifs(CG67="","",CG68="",100,TRUE,CH68-CG67)</f>
        <v>#NAME?</v>
      </c>
      <c r="DT67" s="171" t="s">
        <v>1041</v>
      </c>
      <c r="DU67" s="171" t="b">
        <v>1</v>
      </c>
      <c r="DV67" s="82">
        <v>3</v>
      </c>
      <c r="DW67" s="63">
        <v>0</v>
      </c>
      <c r="DY67" s="389"/>
      <c r="DZ67" s="432"/>
      <c r="EA67" s="369"/>
      <c r="EB67" s="432"/>
      <c r="EC67" s="369"/>
      <c r="ED67" s="432"/>
      <c r="EE67" s="369"/>
      <c r="EF67" s="432"/>
      <c r="EG67" s="369"/>
      <c r="EH67" s="428" t="s">
        <v>1064</v>
      </c>
      <c r="EI67" s="369"/>
      <c r="EJ67" s="432"/>
      <c r="EK67" s="369"/>
      <c r="EL67" s="432"/>
      <c r="EM67" s="369"/>
    </row>
    <row r="68" spans="1:143" ht="14.25" thickTop="1" thickBot="1">
      <c r="A68" s="371" t="s">
        <v>683</v>
      </c>
      <c r="B68" s="369"/>
      <c r="C68" s="111">
        <f>C67*10000</f>
        <v>2420000</v>
      </c>
      <c r="D68" s="111">
        <f>D67*10000</f>
        <v>1430000</v>
      </c>
      <c r="E68" s="111">
        <f>E67*10000</f>
        <v>2580000</v>
      </c>
      <c r="F68" s="111">
        <f>F67*10000</f>
        <v>2390000</v>
      </c>
      <c r="G68" s="111">
        <f>G67*10000</f>
        <v>2110000</v>
      </c>
      <c r="H68" s="111">
        <f>H67*10000</f>
        <v>610000</v>
      </c>
      <c r="I68" s="111">
        <f>I67*10000</f>
        <v>1310000</v>
      </c>
      <c r="Z68" s="31"/>
      <c r="AA68" s="31"/>
      <c r="AB68" s="31"/>
      <c r="AC68" s="31"/>
      <c r="AD68" s="31"/>
      <c r="AE68" s="31"/>
      <c r="AF68" s="31"/>
      <c r="AG68" s="31"/>
      <c r="AH68" s="31"/>
      <c r="AI68" s="31"/>
      <c r="AK68" s="389"/>
      <c r="AL68" s="452" t="s">
        <v>340</v>
      </c>
      <c r="AM68" s="369"/>
      <c r="AN68" s="229">
        <v>6</v>
      </c>
      <c r="AO68" s="218" t="e">
        <f ca="1">ROUND(AN68*_xludf.ifs(
AND(AU68=TRUE,AW68=TRUE),1,
AU68=TRUE,AV68,
AW68=TRUE,AX68,
TRUE,1),0)</f>
        <v>#NAME?</v>
      </c>
      <c r="AP68" s="57" t="e">
        <f ca="1">ROUND(AO68/SUM(AO$32:AO$252)*AM$27,0)</f>
        <v>#NAME?</v>
      </c>
      <c r="AQ68" s="5" t="str">
        <f ca="1">IFERROR(__xludf.DUMMYFUNCTION("if(O68=0,"""",
filter(I$32:I67,row(I$32:I67)=max(filter(arrayformula(row(I$32:I67)),I$32:I67&lt;&gt;"""")))+
filter(G$32:G67,row(G$32:G67)=max(filter(arrayformula(row(G$32:G67)),G$32:G67&lt;&gt;"""")))
)"),"")</f>
        <v/>
      </c>
      <c r="AR68" s="198" t="str">
        <f ca="1">IFERROR(__xludf.DUMMYFUNCTION("if(G68="""","""",G68-(
filter(G$32:G$252,row(G$32:G$252)=max(filter(arrayformula(row(G$32:G$252)),G$32:G$252&lt;&gt;"""")))
-(10001-
filter(I$32:I$252,row(I$32:I$252)=max(filter(arrayformula(row(I$32:I$252)),I$32:I$252&lt;&gt;""""))))))"),"")</f>
        <v/>
      </c>
      <c r="AS68" s="198" t="e">
        <f ca="1">IF(AY68=0,"",ROUND(AY68/AM$3*10000,0))</f>
        <v>#NAME?</v>
      </c>
      <c r="AT68" s="219" t="b">
        <v>0</v>
      </c>
      <c r="AU68" s="82" t="b">
        <f>OR(AM16,AM12)</f>
        <v>0</v>
      </c>
      <c r="AV68" s="63">
        <v>0.5</v>
      </c>
      <c r="AW68" s="82" t="b">
        <f>OR(AQ22)</f>
        <v>0</v>
      </c>
      <c r="AX68" s="220">
        <v>1.5</v>
      </c>
      <c r="AY68" s="56" t="e">
        <f ca="1">MAX(ROUND(AP68*(AM$1/AM$27),0),IF(AT68=TRUE,1,0))</f>
        <v>#NAME?</v>
      </c>
      <c r="AZ68" s="220">
        <v>5</v>
      </c>
      <c r="BA68" s="221">
        <v>0</v>
      </c>
      <c r="BB68" s="222" t="b">
        <v>0</v>
      </c>
      <c r="BC68" s="223" t="b">
        <v>0</v>
      </c>
      <c r="BD68" s="228" t="b">
        <v>1</v>
      </c>
      <c r="BE68" s="224" t="b">
        <v>0</v>
      </c>
      <c r="BF68" s="179">
        <v>1</v>
      </c>
      <c r="BG68" s="225" t="str">
        <f>IF(BC68=FALSE,"",MIN(BH68:$BK68)-ROUND(($BK68-1-ROUND(80/$AZ68,0))/COUNTIF($BB68:$BE68,TRUE),0))</f>
        <v/>
      </c>
      <c r="BH68" s="225">
        <f>IF(BD68=FALSE,"",MIN(BI68:$BK68)-ROUND(($BK68-1-ROUND(80/$AZ68,0))/COUNTIF($BB68:$BE68,TRUE),0))</f>
        <v>17</v>
      </c>
      <c r="BI68" s="225" t="str">
        <f>IF(BE68=FALSE,"",MIN(BJ68:$BK68)-ROUND(($BK68-1-ROUND(80/$AZ68,0))/COUNTIF($BB68:$BE68,TRUE),0))</f>
        <v/>
      </c>
      <c r="BJ68" s="225" t="str">
        <f>IF(BB68=FALSE,"",MIN($BK68:BK68)-ROUND(($BK68-1-ROUND(80/$AZ68,0))/COUNTIF($BB68:$BE68,TRUE),0))</f>
        <v/>
      </c>
      <c r="BK68" s="107">
        <f>101-ROUND(Ag!BU$7*100,0)</f>
        <v>96</v>
      </c>
      <c r="BL68" s="63">
        <v>1</v>
      </c>
      <c r="BM68" s="82">
        <f t="array" ref="BM68">MIN(BL68,INDEX([1]Basic!L$26:L$34, MATCH([1]Basic!D$5,[1]Basic!B$26:B$34,0)))</f>
        <v>1</v>
      </c>
      <c r="BS68" s="72" t="s">
        <v>923</v>
      </c>
      <c r="BT68" s="44"/>
      <c r="BU68" s="44"/>
      <c r="BV68" s="58" t="e">
        <f ca="1">ROUND([1]Basic!J9/BV64,0)</f>
        <v>#NAME?</v>
      </c>
      <c r="BW68" s="317" t="e">
        <f ca="1">ROUND(BV68/5,0)</f>
        <v>#NAME?</v>
      </c>
      <c r="DT68" s="171" t="s">
        <v>1108</v>
      </c>
      <c r="DU68" s="167" t="e">
        <f ca="1">IF(OR(AND(EA16=TRUE,DU51=TRUE),EJ41=TRUE),TRUE,FALSE)</f>
        <v>#NAME?</v>
      </c>
      <c r="DV68" s="56">
        <f>IF(EJ41=TRUE,5,1)</f>
        <v>1</v>
      </c>
      <c r="DW68" s="63">
        <v>0.1</v>
      </c>
      <c r="DY68" s="359"/>
      <c r="DZ68" s="433"/>
      <c r="EA68" s="361"/>
      <c r="EB68" s="433"/>
      <c r="EC68" s="361"/>
      <c r="ED68" s="433"/>
      <c r="EE68" s="361"/>
      <c r="EF68" s="433"/>
      <c r="EG68" s="361"/>
      <c r="EH68" s="429" t="s">
        <v>1060</v>
      </c>
      <c r="EI68" s="361"/>
      <c r="EJ68" s="433"/>
      <c r="EK68" s="361"/>
      <c r="EL68" s="433"/>
      <c r="EM68" s="361"/>
    </row>
    <row r="69" spans="1:143" ht="14.25" thickTop="1" thickBot="1">
      <c r="A69" s="371" t="s">
        <v>703</v>
      </c>
      <c r="B69" s="369"/>
      <c r="C69" s="154">
        <f>C68*C66</f>
        <v>5268924.6719999993</v>
      </c>
      <c r="D69" s="154">
        <f>D68*D66</f>
        <v>1556727.7439999999</v>
      </c>
      <c r="E69" s="154">
        <f>E68*E66</f>
        <v>1638374.3039999998</v>
      </c>
      <c r="F69" s="154">
        <f>F68*F66</f>
        <v>2032659.1500000001</v>
      </c>
      <c r="G69" s="154">
        <f>G68*G66</f>
        <v>1787440.9645120003</v>
      </c>
      <c r="H69" s="154">
        <f>H68*H66</f>
        <v>4869763.7120000003</v>
      </c>
      <c r="I69" s="154">
        <f>I68*I66</f>
        <v>1671203.0250000001</v>
      </c>
      <c r="Z69" s="31"/>
      <c r="AA69" s="31"/>
      <c r="AB69" s="31"/>
      <c r="AC69" s="31"/>
      <c r="AD69" s="31"/>
      <c r="AE69" s="31"/>
      <c r="AF69" s="31"/>
      <c r="AG69" s="31"/>
      <c r="AH69" s="31"/>
      <c r="AI69" s="31"/>
      <c r="AK69" s="389"/>
      <c r="AL69" s="452" t="s">
        <v>345</v>
      </c>
      <c r="AM69" s="369"/>
      <c r="AN69" s="229">
        <v>175</v>
      </c>
      <c r="AO69" s="218" t="e">
        <f ca="1">ROUND(AN69*_xludf.ifs(
AND(AU69=TRUE,AW69=TRUE),1,
AU69=TRUE,AV69,
AW69=TRUE,AX69,
TRUE,1),0)</f>
        <v>#NAME?</v>
      </c>
      <c r="AP69" s="57" t="e">
        <f ca="1">ROUND(AO69/SUM(AO$32:AO$252)*AM$27,0)</f>
        <v>#NAME?</v>
      </c>
      <c r="AQ69" s="5" t="str">
        <f ca="1">IFERROR(__xludf.DUMMYFUNCTION("if(O69=0,"""",
filter(I$32:I68,row(I$32:I68)=max(filter(arrayformula(row(I$32:I68)),I$32:I68&lt;&gt;"""")))+
filter(G$32:G68,row(G$32:G68)=max(filter(arrayformula(row(G$32:G68)),G$32:G68&lt;&gt;"""")))
)"),"")</f>
        <v/>
      </c>
      <c r="AR69" s="198" t="str">
        <f ca="1">IFERROR(__xludf.DUMMYFUNCTION("if(G69="""","""",G69-(
filter(G$32:G$252,row(G$32:G$252)=max(filter(arrayformula(row(G$32:G$252)),G$32:G$252&lt;&gt;"""")))
-(10001-
filter(I$32:I$252,row(I$32:I$252)=max(filter(arrayformula(row(I$32:I$252)),I$32:I$252&lt;&gt;""""))))))"),"")</f>
        <v/>
      </c>
      <c r="AS69" s="198" t="e">
        <f ca="1">IF(AY69=0,"",ROUND(AY69/AM$3*10000,0))</f>
        <v>#NAME?</v>
      </c>
      <c r="AT69" s="219" t="b">
        <v>0</v>
      </c>
      <c r="AU69" s="82" t="b">
        <f>OR(AM16,AM12)</f>
        <v>0</v>
      </c>
      <c r="AV69" s="63">
        <v>0.5</v>
      </c>
      <c r="AW69" s="82" t="b">
        <f>OR(AQ22)</f>
        <v>0</v>
      </c>
      <c r="AX69" s="220">
        <v>1.5</v>
      </c>
      <c r="AY69" s="56" t="e">
        <f ca="1">MAX(ROUND(AP69*(AM$1/AM$27),0),IF(AT69=TRUE,1,0))</f>
        <v>#NAME?</v>
      </c>
      <c r="AZ69" s="220">
        <v>3</v>
      </c>
      <c r="BA69" s="221">
        <v>0</v>
      </c>
      <c r="BB69" s="222" t="b">
        <v>0</v>
      </c>
      <c r="BC69" s="223" t="b">
        <v>0</v>
      </c>
      <c r="BD69" s="223" t="b">
        <v>0</v>
      </c>
      <c r="BE69" s="224" t="b">
        <v>0</v>
      </c>
      <c r="BF69" s="179">
        <v>1</v>
      </c>
      <c r="BG69" s="225" t="str">
        <f>IF(BC69=FALSE,"",MIN(BH69:$BK69)-ROUND(($BK69-1-ROUND(80/$AZ69,0))/COUNTIF($BB69:$BE69,TRUE),0))</f>
        <v/>
      </c>
      <c r="BH69" s="225" t="str">
        <f>IF(BD69=FALSE,"",MIN(BI69:$BK69)-ROUND(($BK69-1-ROUND(80/$AZ69,0))/COUNTIF($BB69:$BE69,TRUE),0))</f>
        <v/>
      </c>
      <c r="BI69" s="225" t="str">
        <f>IF(BE69=FALSE,"",MIN(BJ69:$BK69)-ROUND(($BK69-1-ROUND(80/$AZ69,0))/COUNTIF($BB69:$BE69,TRUE),0))</f>
        <v/>
      </c>
      <c r="BJ69" s="225" t="str">
        <f>IF(BB69=FALSE,"",MIN($BK69:BK69)-ROUND(($BK69-1-ROUND(80/$AZ69,0))/COUNTIF($BB69:$BE69,TRUE),0))</f>
        <v/>
      </c>
      <c r="BK69" s="107">
        <f>101-ROUND(Ag!BU$7*100,0)</f>
        <v>96</v>
      </c>
      <c r="BL69" s="63">
        <v>1</v>
      </c>
      <c r="BM69" s="82">
        <f t="array" ref="BM69">MIN(BL69,INDEX([1]Basic!L$26:L$34, MATCH([1]Basic!D$5,[1]Basic!B$26:B$34,0)))</f>
        <v>1</v>
      </c>
      <c r="CE69" s="397" t="s">
        <v>924</v>
      </c>
      <c r="CF69" s="354"/>
      <c r="CG69" s="354"/>
      <c r="CH69" s="355"/>
      <c r="DT69" s="167" t="s">
        <v>719</v>
      </c>
      <c r="DU69" s="167" t="b">
        <f t="array" ref="DU69">OR(EB$16:EB$17=DT69)</f>
        <v>0</v>
      </c>
      <c r="DV69" s="56">
        <f>IF(OR(EJ32,EJ33),5,1)</f>
        <v>1</v>
      </c>
      <c r="DW69" s="63">
        <v>0.15</v>
      </c>
    </row>
    <row r="70" spans="1:143" ht="14.25" thickTop="1" thickBot="1">
      <c r="A70" s="398" t="s">
        <v>704</v>
      </c>
      <c r="B70" s="355"/>
      <c r="C70" s="60" t="e">
        <f ca="1">INDEX($C75:$M103,MATCH($C4,$A75:$A103,0),MATCH(C63,$C74:$M74,0))</f>
        <v>#NAME?</v>
      </c>
      <c r="D70" s="60" t="e">
        <f ca="1">INDEX($C75:$M103,MATCH($C4,$A75:$A103,0),MATCH(D63,$C74:$M74,0))</f>
        <v>#NAME?</v>
      </c>
      <c r="E70" s="60" t="e">
        <f ca="1">INDEX($C75:$M103,MATCH($C4,$A75:$A103,0),MATCH(E63,$C74:$M74,0))</f>
        <v>#NAME?</v>
      </c>
      <c r="F70" s="60" t="e">
        <f ca="1">INDEX($C75:$M103,MATCH($C4,$A75:$A103,0),MATCH(F63,$C74:$M74,0))</f>
        <v>#NAME?</v>
      </c>
      <c r="G70" s="60" t="e">
        <f ca="1">INDEX($C75:$M103,MATCH($C4,$A75:$A103,0),MATCH(G63,$C74:$M74,0))</f>
        <v>#NAME?</v>
      </c>
      <c r="H70" s="60" t="e">
        <f ca="1">INDEX($C75:$M103,MATCH($C4,$A75:$A103,0),MATCH(H63,$C74:$M74,0))</f>
        <v>#NAME?</v>
      </c>
      <c r="I70" s="60" t="e">
        <f ca="1">INDEX($C75:$M103,MATCH($C4,$A75:$A103,0),MATCH(I63,$C74:$M74,0))</f>
        <v>#NAME?</v>
      </c>
      <c r="Z70" s="31"/>
      <c r="AA70" s="31"/>
      <c r="AB70" s="31"/>
      <c r="AC70" s="31"/>
      <c r="AD70" s="31"/>
      <c r="AE70" s="31"/>
      <c r="AF70" s="31"/>
      <c r="AG70" s="31"/>
      <c r="AH70" s="31"/>
      <c r="AI70" s="31"/>
      <c r="AK70" s="389"/>
      <c r="AL70" s="452" t="s">
        <v>351</v>
      </c>
      <c r="AM70" s="369"/>
      <c r="AN70" s="241">
        <v>50</v>
      </c>
      <c r="AO70" s="218" t="e">
        <f ca="1">ROUND(AN70*_xludf.ifs(
AND(AU70=TRUE,AW70=TRUE),1,
AU70=TRUE,AV70,
AW70=TRUE,AX70,
TRUE,1),0)</f>
        <v>#NAME?</v>
      </c>
      <c r="AP70" s="57" t="e">
        <f ca="1">ROUND(AO70/SUM(AO$32:AO$252)*AM$27,0)</f>
        <v>#NAME?</v>
      </c>
      <c r="AQ70" s="5" t="str">
        <f ca="1">IFERROR(__xludf.DUMMYFUNCTION("if(O70=0,"""",
filter(I$32:I69,row(I$32:I69)=max(filter(arrayformula(row(I$32:I69)),I$32:I69&lt;&gt;"""")))+
filter(G$32:G69,row(G$32:G69)=max(filter(arrayformula(row(G$32:G69)),G$32:G69&lt;&gt;"""")))
)"),"")</f>
        <v/>
      </c>
      <c r="AR70" s="198" t="str">
        <f ca="1">IFERROR(__xludf.DUMMYFUNCTION("if(G70="""","""",G70-(
filter(G$32:G$252,row(G$32:G$252)=max(filter(arrayformula(row(G$32:G$252)),G$32:G$252&lt;&gt;"""")))
-(10001-
filter(I$32:I$252,row(I$32:I$252)=max(filter(arrayformula(row(I$32:I$252)),I$32:I$252&lt;&gt;""""))))))"),"")</f>
        <v/>
      </c>
      <c r="AS70" s="198" t="e">
        <f ca="1">IF(AY70=0,"",ROUND(AY70/AM$3*10000,0))</f>
        <v>#NAME?</v>
      </c>
      <c r="AT70" s="219" t="b">
        <v>0</v>
      </c>
      <c r="AU70" s="82" t="b">
        <f>OR(AM19)</f>
        <v>0</v>
      </c>
      <c r="AV70" s="63">
        <v>0.1</v>
      </c>
      <c r="AW70" s="82" t="b">
        <f>OR(AQ17,AQ16,AQ14,AQ22,AU23,AQ19,AM21,AM9,AM10)</f>
        <v>0</v>
      </c>
      <c r="AX70" s="220">
        <v>2</v>
      </c>
      <c r="AY70" s="56" t="e">
        <f ca="1">MAX(ROUND(AP70*(AM$1/AM$27),0),IF(AT70=TRUE,1,0))</f>
        <v>#NAME?</v>
      </c>
      <c r="AZ70" s="220">
        <v>1</v>
      </c>
      <c r="BA70" s="221">
        <v>0</v>
      </c>
      <c r="BB70" s="222" t="b">
        <v>0</v>
      </c>
      <c r="BC70" s="223" t="b">
        <v>0</v>
      </c>
      <c r="BD70" s="223" t="b">
        <v>0</v>
      </c>
      <c r="BE70" s="224" t="b">
        <v>0</v>
      </c>
      <c r="BF70" s="179">
        <v>1</v>
      </c>
      <c r="BG70" s="225" t="str">
        <f>IF(BC70=FALSE,"",MIN(BH70:$BK70)-ROUND(($BK70-1-ROUND(80/$AZ70,0))/COUNTIF($BB70:$BE70,TRUE),0))</f>
        <v/>
      </c>
      <c r="BH70" s="225" t="str">
        <f>IF(BD70=FALSE,"",MIN(BI70:$BK70)-ROUND(($BK70-1-ROUND(80/$AZ70,0))/COUNTIF($BB70:$BE70,TRUE),0))</f>
        <v/>
      </c>
      <c r="BI70" s="225" t="str">
        <f>IF(BE70=FALSE,"",MIN(BJ70:$BK70)-ROUND(($BK70-1-ROUND(80/$AZ70,0))/COUNTIF($BB70:$BE70,TRUE),0))</f>
        <v/>
      </c>
      <c r="BJ70" s="225" t="str">
        <f>IF(BB70=FALSE,"",MIN($BK70:BK70)-ROUND(($BK70-1-ROUND(80/$AZ70,0))/COUNTIF($BB70:$BE70,TRUE),0))</f>
        <v/>
      </c>
      <c r="BK70" s="107">
        <f>101-ROUND(Ag!BU$7*100,0)</f>
        <v>96</v>
      </c>
      <c r="BL70" s="63">
        <v>0</v>
      </c>
      <c r="BM70" s="82">
        <f t="array" ref="BM70">MIN(BL70,INDEX([1]Basic!L$26:L$34, MATCH([1]Basic!D$5,[1]Basic!B$26:B$34,0)))</f>
        <v>0</v>
      </c>
      <c r="BS70" s="397" t="s">
        <v>925</v>
      </c>
      <c r="BT70" s="354"/>
      <c r="BU70" s="354"/>
      <c r="BV70" s="354"/>
      <c r="BW70" s="354"/>
      <c r="BX70" s="354"/>
      <c r="BY70" s="354"/>
      <c r="BZ70" s="355"/>
      <c r="CE70" s="82">
        <v>1</v>
      </c>
      <c r="CF70" s="57" t="e">
        <f t="array" aca="1" ref="CF70:CF79" ca="1">TRANSPOSE(BS28:CB28)</f>
        <v>#NAME?</v>
      </c>
      <c r="CG70" s="70" t="e">
        <f ca="1">IF(CF70=0,"",MAX(1,ROUND(CF70/BS$30*100,0)))</f>
        <v>#NAME?</v>
      </c>
      <c r="CH70" s="318">
        <v>1</v>
      </c>
      <c r="DT70" s="171" t="s">
        <v>1109</v>
      </c>
      <c r="DU70" s="171" t="b">
        <v>1</v>
      </c>
      <c r="DV70" s="82">
        <v>4</v>
      </c>
      <c r="DW70" s="63">
        <v>0.05</v>
      </c>
    </row>
    <row r="71" spans="1:143" ht="14.25" thickTop="1" thickBot="1">
      <c r="A71" s="398" t="s">
        <v>636</v>
      </c>
      <c r="B71" s="355"/>
      <c r="C71" s="154" t="e">
        <f ca="1">ROUND(C70*C69,0)</f>
        <v>#NAME?</v>
      </c>
      <c r="D71" s="154" t="e">
        <f ca="1">ROUND(D70*D69,0)</f>
        <v>#NAME?</v>
      </c>
      <c r="E71" s="154" t="e">
        <f ca="1">ROUND(E70*E69,0)</f>
        <v>#NAME?</v>
      </c>
      <c r="F71" s="154" t="e">
        <f ca="1">ROUND(F70*F69,0)</f>
        <v>#NAME?</v>
      </c>
      <c r="G71" s="154" t="e">
        <f ca="1">ROUND(G70*G69,0)</f>
        <v>#NAME?</v>
      </c>
      <c r="H71" s="154" t="e">
        <f ca="1">ROUND(H70*H69,0)</f>
        <v>#NAME?</v>
      </c>
      <c r="I71" s="154" t="e">
        <f ca="1">ROUND(I70*I69,0)</f>
        <v>#NAME?</v>
      </c>
      <c r="Z71" s="31"/>
      <c r="AA71" s="31"/>
      <c r="AB71" s="31"/>
      <c r="AC71" s="31"/>
      <c r="AD71" s="31"/>
      <c r="AE71" s="31"/>
      <c r="AF71" s="31"/>
      <c r="AG71" s="31"/>
      <c r="AH71" s="31"/>
      <c r="AI71" s="31"/>
      <c r="AK71" s="389"/>
      <c r="AL71" s="452" t="s">
        <v>355</v>
      </c>
      <c r="AM71" s="369"/>
      <c r="AN71" s="229">
        <v>12</v>
      </c>
      <c r="AO71" s="218" t="e">
        <f ca="1">ROUND(AN71*_xludf.ifs(
AND(AU71=TRUE,AW71=TRUE),1,
AU71=TRUE,AV71,
AW71=TRUE,AX71,
TRUE,1),0)</f>
        <v>#NAME?</v>
      </c>
      <c r="AP71" s="57" t="e">
        <f ca="1">ROUND(AO71/SUM(AO$32:AO$252)*AM$27,0)</f>
        <v>#NAME?</v>
      </c>
      <c r="AQ71" s="5" t="str">
        <f ca="1">IFERROR(__xludf.DUMMYFUNCTION("if(O71=0,"""",
filter(I$32:I70,row(I$32:I70)=max(filter(arrayformula(row(I$32:I70)),I$32:I70&lt;&gt;"""")))+
filter(G$32:G70,row(G$32:G70)=max(filter(arrayformula(row(G$32:G70)),G$32:G70&lt;&gt;"""")))
)"),"")</f>
        <v/>
      </c>
      <c r="AR71" s="198" t="str">
        <f ca="1">IFERROR(__xludf.DUMMYFUNCTION("if(G71="""","""",G71-(
filter(G$32:G$252,row(G$32:G$252)=max(filter(arrayformula(row(G$32:G$252)),G$32:G$252&lt;&gt;"""")))
-(10001-
filter(I$32:I$252,row(I$32:I$252)=max(filter(arrayformula(row(I$32:I$252)),I$32:I$252&lt;&gt;""""))))))"),"")</f>
        <v/>
      </c>
      <c r="AS71" s="198" t="e">
        <f ca="1">IF(AY71=0,"",ROUND(AY71/AM$3*10000,0))</f>
        <v>#NAME?</v>
      </c>
      <c r="AT71" s="219" t="b">
        <v>0</v>
      </c>
      <c r="AU71" s="82" t="b">
        <f>OR(AM16,AM12)</f>
        <v>0</v>
      </c>
      <c r="AV71" s="63">
        <v>0.5</v>
      </c>
      <c r="AW71" s="82" t="b">
        <f>OR(AQ22)</f>
        <v>0</v>
      </c>
      <c r="AX71" s="220">
        <v>2</v>
      </c>
      <c r="AY71" s="56" t="e">
        <f ca="1">MAX(ROUND(AP71*(AM$1/AM$27),0),IF(AT71=TRUE,1,0))</f>
        <v>#NAME?</v>
      </c>
      <c r="AZ71" s="220">
        <v>5</v>
      </c>
      <c r="BA71" s="221">
        <v>0</v>
      </c>
      <c r="BB71" s="222" t="b">
        <v>0</v>
      </c>
      <c r="BC71" s="223" t="b">
        <v>0</v>
      </c>
      <c r="BD71" s="228" t="b">
        <v>1</v>
      </c>
      <c r="BE71" s="224" t="b">
        <v>0</v>
      </c>
      <c r="BF71" s="179">
        <v>1</v>
      </c>
      <c r="BG71" s="225" t="str">
        <f>IF(BC71=FALSE,"",MIN(BH71:$BK71)-ROUND(($BK71-1-ROUND(80/$AZ71,0))/COUNTIF($BB71:$BE71,TRUE),0))</f>
        <v/>
      </c>
      <c r="BH71" s="225">
        <f>IF(BD71=FALSE,"",MIN(BI71:$BK71)-ROUND(($BK71-1-ROUND(80/$AZ71,0))/COUNTIF($BB71:$BE71,TRUE),0))</f>
        <v>17</v>
      </c>
      <c r="BI71" s="225" t="str">
        <f>IF(BE71=FALSE,"",MIN(BJ71:$BK71)-ROUND(($BK71-1-ROUND(80/$AZ71,0))/COUNTIF($BB71:$BE71,TRUE),0))</f>
        <v/>
      </c>
      <c r="BJ71" s="225" t="str">
        <f>IF(BB71=FALSE,"",MIN($BK71:BK71)-ROUND(($BK71-1-ROUND(80/$AZ71,0))/COUNTIF($BB71:$BE71,TRUE),0))</f>
        <v/>
      </c>
      <c r="BK71" s="107">
        <f>101-ROUND(Ag!BU$7*100,0)</f>
        <v>96</v>
      </c>
      <c r="BL71" s="63">
        <v>2</v>
      </c>
      <c r="BM71" s="82">
        <f t="array" ref="BM71">MIN(BL71,INDEX([1]Basic!L$26:L$34, MATCH([1]Basic!D$5,[1]Basic!B$26:B$34,0)))</f>
        <v>2</v>
      </c>
      <c r="BS71" s="397" t="s">
        <v>926</v>
      </c>
      <c r="BT71" s="354"/>
      <c r="BU71" s="355"/>
      <c r="BV71" s="26" t="s">
        <v>927</v>
      </c>
      <c r="BW71" s="26" t="s">
        <v>928</v>
      </c>
      <c r="BX71" s="26" t="s">
        <v>122</v>
      </c>
      <c r="BY71" s="397" t="s">
        <v>929</v>
      </c>
      <c r="BZ71" s="355"/>
      <c r="CE71" s="82">
        <v>2</v>
      </c>
      <c r="CF71" s="57">
        <f ca="1"/>
        <v>6</v>
      </c>
      <c r="CG71" s="56" t="e">
        <f ca="1">IF(CF71=0,"",MAX(1,ROUND(CF71/BS$30*100,0)))</f>
        <v>#NAME?</v>
      </c>
      <c r="CH71" s="107" t="e">
        <f ca="1">_xludf.ifs(CG71="","",CG72="",100,TRUE,CH72-CG71)</f>
        <v>#NAME?</v>
      </c>
      <c r="DT71" s="171" t="s">
        <v>1110</v>
      </c>
      <c r="DU71" s="171" t="b">
        <v>1</v>
      </c>
      <c r="DV71" s="82">
        <v>3</v>
      </c>
      <c r="DW71" s="63">
        <v>0</v>
      </c>
      <c r="DY71" s="491" t="s">
        <v>17</v>
      </c>
      <c r="DZ71" s="355"/>
      <c r="EA71" s="491" t="s">
        <v>1111</v>
      </c>
      <c r="EB71" s="355"/>
      <c r="EC71" s="491" t="s">
        <v>115</v>
      </c>
      <c r="ED71" s="355"/>
      <c r="EE71" s="491" t="s">
        <v>116</v>
      </c>
      <c r="EF71" s="355"/>
      <c r="EG71" s="491" t="s">
        <v>1112</v>
      </c>
      <c r="EH71" s="355"/>
      <c r="EI71" s="491" t="s">
        <v>19</v>
      </c>
      <c r="EJ71" s="355"/>
      <c r="EK71" s="491" t="s">
        <v>117</v>
      </c>
      <c r="EL71" s="355"/>
    </row>
    <row r="72" spans="1:143" ht="15.75" customHeight="1" thickTop="1" thickBot="1">
      <c r="Z72" s="31"/>
      <c r="AA72" s="31"/>
      <c r="AB72" s="31"/>
      <c r="AC72" s="31"/>
      <c r="AD72" s="31"/>
      <c r="AE72" s="31"/>
      <c r="AF72" s="31"/>
      <c r="AG72" s="31"/>
      <c r="AH72" s="31"/>
      <c r="AI72" s="31"/>
      <c r="AK72" s="389"/>
      <c r="AL72" s="452" t="s">
        <v>359</v>
      </c>
      <c r="AM72" s="369"/>
      <c r="AN72" s="229">
        <v>6</v>
      </c>
      <c r="AO72" s="218" t="e">
        <f ca="1">ROUND(AN72*_xludf.ifs(
AND(AU72=TRUE,AW72=TRUE),1,
AU72=TRUE,AV72,
AW72=TRUE,AX72,
TRUE,1),0)</f>
        <v>#NAME?</v>
      </c>
      <c r="AP72" s="57" t="e">
        <f ca="1">ROUND(AO72/SUM(AO$32:AO$252)*AM$27,0)</f>
        <v>#NAME?</v>
      </c>
      <c r="AQ72" s="5" t="str">
        <f ca="1">IFERROR(__xludf.DUMMYFUNCTION("if(O72=0,"""",
filter(I$32:I71,row(I$32:I71)=max(filter(arrayformula(row(I$32:I71)),I$32:I71&lt;&gt;"""")))+
filter(G$32:G71,row(G$32:G71)=max(filter(arrayformula(row(G$32:G71)),G$32:G71&lt;&gt;"""")))
)"),"")</f>
        <v/>
      </c>
      <c r="AR72" s="198" t="str">
        <f ca="1">IFERROR(__xludf.DUMMYFUNCTION("if(G72="""","""",G72-(
filter(G$32:G$252,row(G$32:G$252)=max(filter(arrayformula(row(G$32:G$252)),G$32:G$252&lt;&gt;"""")))
-(10001-
filter(I$32:I$252,row(I$32:I$252)=max(filter(arrayformula(row(I$32:I$252)),I$32:I$252&lt;&gt;""""))))))"),"")</f>
        <v/>
      </c>
      <c r="AS72" s="198" t="e">
        <f ca="1">IF(AY72=0,"",ROUND(AY72/AM$3*10000,0))</f>
        <v>#NAME?</v>
      </c>
      <c r="AT72" s="219" t="b">
        <v>0</v>
      </c>
      <c r="AU72" s="82" t="b">
        <f>OR(AM16,AM12)</f>
        <v>0</v>
      </c>
      <c r="AV72" s="63">
        <v>0</v>
      </c>
      <c r="AW72" s="82" t="b">
        <f>OR(AQ22)</f>
        <v>0</v>
      </c>
      <c r="AX72" s="220">
        <v>2</v>
      </c>
      <c r="AY72" s="56" t="e">
        <f ca="1">MAX(ROUND(AP72*(AM$1/AM$27),0),IF(AT72=TRUE,1,0))</f>
        <v>#NAME?</v>
      </c>
      <c r="AZ72" s="220">
        <v>3</v>
      </c>
      <c r="BA72" s="221">
        <v>0</v>
      </c>
      <c r="BB72" s="222" t="b">
        <v>0</v>
      </c>
      <c r="BC72" s="223" t="b">
        <v>0</v>
      </c>
      <c r="BD72" s="223" t="b">
        <v>0</v>
      </c>
      <c r="BE72" s="224" t="b">
        <v>0</v>
      </c>
      <c r="BF72" s="179">
        <v>1</v>
      </c>
      <c r="BG72" s="225" t="str">
        <f>IF(BC72=FALSE,"",MIN(BH72:$BK72)-ROUND(($BK72-1-ROUND(80/$AZ72,0))/COUNTIF($BB72:$BE72,TRUE),0))</f>
        <v/>
      </c>
      <c r="BH72" s="225" t="str">
        <f>IF(BD72=FALSE,"",MIN(BI72:$BK72)-ROUND(($BK72-1-ROUND(80/$AZ72,0))/COUNTIF($BB72:$BE72,TRUE),0))</f>
        <v/>
      </c>
      <c r="BI72" s="225" t="str">
        <f>IF(BE72=FALSE,"",MIN(BJ72:$BK72)-ROUND(($BK72-1-ROUND(80/$AZ72,0))/COUNTIF($BB72:$BE72,TRUE),0))</f>
        <v/>
      </c>
      <c r="BJ72" s="225" t="str">
        <f>IF(BB72=FALSE,"",MIN($BK72:BK72)-ROUND(($BK72-1-ROUND(80/$AZ72,0))/COUNTIF($BB72:$BE72,TRUE),0))</f>
        <v/>
      </c>
      <c r="BK72" s="107">
        <f>101-ROUND(Ag!BU$7*100,0)</f>
        <v>96</v>
      </c>
      <c r="BL72" s="63">
        <v>2</v>
      </c>
      <c r="BM72" s="82">
        <f t="array" ref="BM72">MIN(BL72,INDEX([1]Basic!L$26:L$34, MATCH([1]Basic!D$5,[1]Basic!B$26:B$34,0)))</f>
        <v>2</v>
      </c>
      <c r="BS72" s="479" t="s">
        <v>930</v>
      </c>
      <c r="BT72" s="357"/>
      <c r="BU72" s="358"/>
      <c r="BV72" s="61">
        <v>9</v>
      </c>
      <c r="BW72" s="61">
        <v>1</v>
      </c>
      <c r="BX72" s="70">
        <f>BV72+BW72</f>
        <v>10</v>
      </c>
      <c r="BY72" s="441">
        <f ca="1">IFERROR(ROUND(BV61/BX72,0),0)</f>
        <v>0</v>
      </c>
      <c r="BZ72" s="358"/>
      <c r="CE72" s="82">
        <v>3</v>
      </c>
      <c r="CF72" s="57">
        <f ca="1"/>
        <v>1</v>
      </c>
      <c r="CG72" s="56" t="e">
        <f ca="1">IF(CF72=0,"",MAX(1,ROUND(CF72/BS$30*100,0)))</f>
        <v>#NAME?</v>
      </c>
      <c r="CH72" s="107" t="e">
        <f ca="1">_xludf.ifs(CG72="","",CG73="",100,TRUE,CH73-CG72)</f>
        <v>#NAME?</v>
      </c>
      <c r="DT72" s="334" t="s">
        <v>108</v>
      </c>
      <c r="DU72" s="167" t="b">
        <f>IF(EB38=FALSE,TRUE,FALSE)</f>
        <v>1</v>
      </c>
      <c r="DV72" s="82">
        <v>1</v>
      </c>
      <c r="DW72" s="63">
        <v>0</v>
      </c>
      <c r="DY72" s="69" t="s">
        <v>476</v>
      </c>
      <c r="DZ72" s="70">
        <f>[1]Entry!E132</f>
        <v>0</v>
      </c>
      <c r="EA72" s="69" t="s">
        <v>476</v>
      </c>
      <c r="EB72" s="70">
        <f>[1]Entry!E133</f>
        <v>0</v>
      </c>
      <c r="EC72" s="69" t="s">
        <v>476</v>
      </c>
      <c r="ED72" s="70">
        <f>[1]Entry!E134</f>
        <v>0</v>
      </c>
      <c r="EE72" s="69" t="s">
        <v>476</v>
      </c>
      <c r="EF72" s="70">
        <f>[1]Entry!E135</f>
        <v>0</v>
      </c>
      <c r="EG72" s="69" t="s">
        <v>476</v>
      </c>
      <c r="EH72" s="70">
        <f>[1]Entry!E136</f>
        <v>0</v>
      </c>
      <c r="EI72" s="69" t="s">
        <v>476</v>
      </c>
      <c r="EJ72" s="70">
        <f>[1]Entry!E137</f>
        <v>0</v>
      </c>
      <c r="EK72" s="69" t="s">
        <v>476</v>
      </c>
      <c r="EL72" s="70">
        <f t="array" ref="EL72">[1]Entry!E138+INDEX([1]Basic!J26:J34,MATCH([1]Basic!D5,[1]Basic!B26:B34,))</f>
        <v>-1</v>
      </c>
    </row>
    <row r="73" spans="1:143" ht="14.25" thickTop="1" thickBot="1">
      <c r="A73" s="400" t="s">
        <v>705</v>
      </c>
      <c r="B73" s="354"/>
      <c r="C73" s="354"/>
      <c r="D73" s="354"/>
      <c r="E73" s="354"/>
      <c r="F73" s="354"/>
      <c r="G73" s="354"/>
      <c r="H73" s="354"/>
      <c r="I73" s="354"/>
      <c r="J73" s="354"/>
      <c r="K73" s="354"/>
      <c r="L73" s="354"/>
      <c r="M73" s="354"/>
      <c r="N73" s="355"/>
      <c r="Z73" s="31"/>
      <c r="AA73" s="31"/>
      <c r="AB73" s="31"/>
      <c r="AC73" s="31"/>
      <c r="AD73" s="31"/>
      <c r="AE73" s="31"/>
      <c r="AF73" s="31"/>
      <c r="AG73" s="31"/>
      <c r="AH73" s="31"/>
      <c r="AI73" s="31"/>
      <c r="AK73" s="389"/>
      <c r="AL73" s="452" t="s">
        <v>363</v>
      </c>
      <c r="AM73" s="369"/>
      <c r="AN73" s="229">
        <v>160</v>
      </c>
      <c r="AO73" s="218" t="e">
        <f ca="1">ROUND(AN73*_xludf.ifs(
AND(AU73=TRUE,AW73=TRUE),1,
AU73=TRUE,AV73,
AW73=TRUE,AX73,
TRUE,1),0)</f>
        <v>#NAME?</v>
      </c>
      <c r="AP73" s="57" t="e">
        <f ca="1">ROUND(AO73/SUM(AO$32:AO$252)*AM$27,0)</f>
        <v>#NAME?</v>
      </c>
      <c r="AQ73" s="5" t="str">
        <f ca="1">IFERROR(__xludf.DUMMYFUNCTION("if(O73=0,"""",
filter(I$32:I72,row(I$32:I72)=max(filter(arrayformula(row(I$32:I72)),I$32:I72&lt;&gt;"""")))+
filter(G$32:G72,row(G$32:G72)=max(filter(arrayformula(row(G$32:G72)),G$32:G72&lt;&gt;"""")))
)"),"")</f>
        <v/>
      </c>
      <c r="AR73" s="198" t="str">
        <f ca="1">IFERROR(__xludf.DUMMYFUNCTION("if(G73="""","""",G73-(
filter(G$32:G$252,row(G$32:G$252)=max(filter(arrayformula(row(G$32:G$252)),G$32:G$252&lt;&gt;"""")))
-(10001-
filter(I$32:I$252,row(I$32:I$252)=max(filter(arrayformula(row(I$32:I$252)),I$32:I$252&lt;&gt;""""))))))"),"")</f>
        <v/>
      </c>
      <c r="AS73" s="198" t="e">
        <f ca="1">IF(AY73=0,"",ROUND(AY73/AM$3*10000,0))</f>
        <v>#NAME?</v>
      </c>
      <c r="AT73" s="219" t="b">
        <v>0</v>
      </c>
      <c r="AU73" s="82" t="b">
        <f>OR(AM7,AM17)</f>
        <v>0</v>
      </c>
      <c r="AV73" s="63">
        <v>0.75</v>
      </c>
      <c r="AW73" s="82" t="b">
        <f>OR(AQ7:AQ12,AQ13,AQ14,AQ16,AQ17,AQ20,AQ19)</f>
        <v>0</v>
      </c>
      <c r="AX73" s="220">
        <v>1.5</v>
      </c>
      <c r="AY73" s="56" t="e">
        <f ca="1">MAX(ROUND(AP73*(AM$1/AM$27),0),IF(AT73=TRUE,1,0))</f>
        <v>#NAME?</v>
      </c>
      <c r="AZ73" s="220">
        <v>1</v>
      </c>
      <c r="BA73" s="221">
        <v>0</v>
      </c>
      <c r="BB73" s="222" t="b">
        <v>0</v>
      </c>
      <c r="BC73" s="223" t="b">
        <v>0</v>
      </c>
      <c r="BD73" s="223" t="b">
        <v>0</v>
      </c>
      <c r="BE73" s="224" t="b">
        <v>0</v>
      </c>
      <c r="BF73" s="179">
        <v>1</v>
      </c>
      <c r="BG73" s="225" t="str">
        <f>IF(BC73=FALSE,"",MIN(BH73:$BK73)-ROUND(($BK73-1-ROUND(80/$AZ73,0))/COUNTIF($BB73:$BE73,TRUE),0))</f>
        <v/>
      </c>
      <c r="BH73" s="225" t="str">
        <f>IF(BD73=FALSE,"",MIN(BI73:$BK73)-ROUND(($BK73-1-ROUND(80/$AZ73,0))/COUNTIF($BB73:$BE73,TRUE),0))</f>
        <v/>
      </c>
      <c r="BI73" s="225" t="str">
        <f>IF(BE73=FALSE,"",MIN(BJ73:$BK73)-ROUND(($BK73-1-ROUND(80/$AZ73,0))/COUNTIF($BB73:$BE73,TRUE),0))</f>
        <v/>
      </c>
      <c r="BJ73" s="225" t="str">
        <f>IF(BB73=FALSE,"",MIN($BK73:BK73)-ROUND(($BK73-1-ROUND(80/$AZ73,0))/COUNTIF($BB73:$BE73,TRUE),0))</f>
        <v/>
      </c>
      <c r="BK73" s="107">
        <f>101-ROUND(Ag!BU$7*100,0)</f>
        <v>96</v>
      </c>
      <c r="BL73" s="63">
        <v>1</v>
      </c>
      <c r="BM73" s="82">
        <f t="array" ref="BM73">MIN(BL73,INDEX([1]Basic!L$26:L$34, MATCH([1]Basic!D$5,[1]Basic!B$26:B$34,0)))</f>
        <v>1</v>
      </c>
      <c r="BS73" s="477" t="s">
        <v>931</v>
      </c>
      <c r="BT73" s="393"/>
      <c r="BU73" s="369"/>
      <c r="BV73" s="63">
        <v>4</v>
      </c>
      <c r="BW73" s="63">
        <v>2</v>
      </c>
      <c r="BX73" s="82">
        <f>BV73*BX72+BW73</f>
        <v>42</v>
      </c>
      <c r="BY73" s="425">
        <f ca="1">IFERROR(ROUND(BY72/BV73,0),0)</f>
        <v>0</v>
      </c>
      <c r="BZ73" s="369"/>
      <c r="CE73" s="82">
        <v>4</v>
      </c>
      <c r="CF73" s="57">
        <f ca="1"/>
        <v>0</v>
      </c>
      <c r="CG73" s="56" t="str">
        <f ca="1">IF(CF73=0,"",MAX(1,ROUND(CF73/BS$30*100,0)))</f>
        <v/>
      </c>
      <c r="CH73" s="107" t="e">
        <f ca="1">_xludf.ifs(CG73="","",CG74="",100,TRUE,CH74-CG73)</f>
        <v>#NAME?</v>
      </c>
      <c r="DT73" s="334" t="s">
        <v>682</v>
      </c>
      <c r="DU73" s="167" t="e">
        <f t="array" aca="1" ref="DU73" ca="1">IF(ED$16=FALSE,FALSE,OR(EC$16:EC$18=DT73))</f>
        <v>#N/A</v>
      </c>
      <c r="DV73" s="82">
        <v>2</v>
      </c>
      <c r="DW73" s="63">
        <v>0</v>
      </c>
      <c r="DY73" s="72" t="s">
        <v>472</v>
      </c>
      <c r="DZ73" s="335" t="e">
        <f t="array" ref="DZ73">INDEX(DY74:DY85,MATCH(DZ72,DZ74:DZ85))</f>
        <v>#N/A</v>
      </c>
      <c r="EA73" s="72" t="s">
        <v>472</v>
      </c>
      <c r="EB73" s="335" t="e">
        <f t="array" ref="EB73">INDEX(EA74:EA80,MATCH(EB72,EB74:EB80))</f>
        <v>#N/A</v>
      </c>
      <c r="EC73" s="72" t="s">
        <v>472</v>
      </c>
      <c r="ED73" s="58" t="e">
        <f t="array" ref="ED73">INDEX(EC74:EC83,MATCH(ED72,ED74:ED83))</f>
        <v>#N/A</v>
      </c>
      <c r="EE73" s="72" t="s">
        <v>472</v>
      </c>
      <c r="EF73" s="58" t="e">
        <f t="array" ref="EF73">INDEX(EE74:EE85,MATCH(EF72,EF74:EF85))</f>
        <v>#N/A</v>
      </c>
      <c r="EG73" s="72" t="s">
        <v>472</v>
      </c>
      <c r="EH73" s="58" t="e">
        <f t="array" ref="EH73">INDEX(EG74:EG82,MATCH(EH72,EH74:EH82))</f>
        <v>#N/A</v>
      </c>
      <c r="EI73" s="72" t="s">
        <v>472</v>
      </c>
      <c r="EJ73" s="58" t="e">
        <f t="array" ref="EJ73">INDEX(EI74:EI83,MATCH(EJ72,EJ74:EJ83))</f>
        <v>#N/A</v>
      </c>
      <c r="EK73" s="95" t="s">
        <v>472</v>
      </c>
      <c r="EL73" s="56" t="e">
        <f t="array" ref="EL73">INDEX(EK74:EK77,MATCH(EL72,EL74:EL77))</f>
        <v>#N/A</v>
      </c>
    </row>
    <row r="74" spans="1:143" ht="14.25" thickTop="1" thickBot="1">
      <c r="A74" s="26" t="s">
        <v>500</v>
      </c>
      <c r="B74" s="26" t="s">
        <v>706</v>
      </c>
      <c r="C74" s="26" t="s">
        <v>670</v>
      </c>
      <c r="D74" s="26" t="s">
        <v>671</v>
      </c>
      <c r="E74" s="26" t="s">
        <v>672</v>
      </c>
      <c r="F74" s="26" t="s">
        <v>674</v>
      </c>
      <c r="G74" s="26" t="s">
        <v>676</v>
      </c>
      <c r="H74" s="26" t="s">
        <v>678</v>
      </c>
      <c r="I74" s="26" t="s">
        <v>680</v>
      </c>
      <c r="J74" s="26" t="s">
        <v>682</v>
      </c>
      <c r="K74" s="26" t="s">
        <v>684</v>
      </c>
      <c r="L74" s="26" t="s">
        <v>686</v>
      </c>
      <c r="M74" s="26" t="s">
        <v>687</v>
      </c>
      <c r="N74" s="26" t="s">
        <v>127</v>
      </c>
      <c r="Z74" s="31"/>
      <c r="AA74" s="31"/>
      <c r="AB74" s="31"/>
      <c r="AC74" s="31"/>
      <c r="AD74" s="31"/>
      <c r="AE74" s="31"/>
      <c r="AF74" s="31"/>
      <c r="AG74" s="31"/>
      <c r="AH74" s="31"/>
      <c r="AI74" s="31"/>
      <c r="AK74" s="389"/>
      <c r="AL74" s="452" t="s">
        <v>367</v>
      </c>
      <c r="AM74" s="369"/>
      <c r="AN74" s="229">
        <v>20</v>
      </c>
      <c r="AO74" s="218" t="e">
        <f ca="1">ROUND(AN74*_xludf.ifs(
AND(AU74=TRUE,AW74=TRUE),1,
AU74=TRUE,AV74,
AW74=TRUE,AX74,
TRUE,1),0)</f>
        <v>#NAME?</v>
      </c>
      <c r="AP74" s="57" t="e">
        <f ca="1">ROUND(AO74/SUM(AO$32:AO$252)*AM$27,0)</f>
        <v>#NAME?</v>
      </c>
      <c r="AQ74" s="5">
        <f ca="1">IFERROR(__xludf.DUMMYFUNCTION("if(O74=0,"""",
filter(I$32:I73,row(I$32:I73)=max(filter(arrayformula(row(I$32:I73)),I$32:I73&lt;&gt;"""")))+
filter(G$32:G73,row(G$32:G73)=max(filter(arrayformula(row(G$32:G73)),G$32:G73&lt;&gt;"""")))
)"),4448)</f>
        <v>4448</v>
      </c>
      <c r="AR74" s="198">
        <f ca="1">IFERROR(__xludf.DUMMYFUNCTION("if(G74="""","""",G74-(
filter(G$32:G$252,row(G$32:G$252)=max(filter(arrayformula(row(G$32:G$252)),G$32:G$252&lt;&gt;"""")))
-(10001-
filter(I$32:I$252,row(I$32:I$252)=max(filter(arrayformula(row(I$32:I$252)),I$32:I$252&lt;&gt;""""))))))"),4441)</f>
        <v>4441</v>
      </c>
      <c r="AS74" s="198" t="e">
        <f ca="1">IF(AY74=0,"",ROUND(AY74/AM$3*10000,0))</f>
        <v>#NAME?</v>
      </c>
      <c r="AT74" s="219" t="b">
        <v>1</v>
      </c>
      <c r="AU74" s="82" t="b">
        <f>OR(AM7,AM17)</f>
        <v>0</v>
      </c>
      <c r="AV74" s="63">
        <v>0.2</v>
      </c>
      <c r="AW74" s="82" t="b">
        <f>OR(AQ8:AQ13,AQ14,AQ15,AQ17,AQ18,AQ21,AQ20)</f>
        <v>0</v>
      </c>
      <c r="AX74" s="220">
        <v>1.5</v>
      </c>
      <c r="AY74" s="56" t="e">
        <f ca="1">MAX(ROUND(AP74*(AM$1/AM$27),0),IF(AT74=TRUE,1,0))</f>
        <v>#NAME?</v>
      </c>
      <c r="AZ74" s="220">
        <v>5</v>
      </c>
      <c r="BA74" s="221">
        <v>0</v>
      </c>
      <c r="BB74" s="222" t="b">
        <v>0</v>
      </c>
      <c r="BC74" s="223" t="b">
        <v>0</v>
      </c>
      <c r="BD74" s="228" t="b">
        <v>1</v>
      </c>
      <c r="BE74" s="224" t="b">
        <v>0</v>
      </c>
      <c r="BF74" s="179">
        <v>1</v>
      </c>
      <c r="BG74" s="225" t="str">
        <f>IF(BC74=FALSE,"",MIN(BH74:$BK74)-ROUND(($BK74-1-ROUND(80/$AZ74,0))/COUNTIF($BB74:$BE74,TRUE),0))</f>
        <v/>
      </c>
      <c r="BH74" s="225">
        <f>IF(BD74=FALSE,"",MIN(BI74:$BK74)-ROUND(($BK74-1-ROUND(80/$AZ74,0))/COUNTIF($BB74:$BE74,TRUE),0))</f>
        <v>17</v>
      </c>
      <c r="BI74" s="225" t="str">
        <f>IF(BE74=FALSE,"",MIN(BJ74:$BK74)-ROUND(($BK74-1-ROUND(80/$AZ74,0))/COUNTIF($BB74:$BE74,TRUE),0))</f>
        <v/>
      </c>
      <c r="BJ74" s="225" t="str">
        <f>IF(BB74=FALSE,"",MIN($BK74:BK74)-ROUND(($BK74-1-ROUND(80/$AZ74,0))/COUNTIF($BB74:$BE74,TRUE),0))</f>
        <v/>
      </c>
      <c r="BK74" s="107">
        <f>101-ROUND(Ag!BU$7*100,0)</f>
        <v>96</v>
      </c>
      <c r="BL74" s="63">
        <v>2</v>
      </c>
      <c r="BM74" s="82">
        <f t="array" ref="BM74">MIN(BL74,INDEX([1]Basic!L$26:L$34, MATCH([1]Basic!D$5,[1]Basic!B$26:B$34,0)))</f>
        <v>2</v>
      </c>
      <c r="BS74" s="477" t="s">
        <v>932</v>
      </c>
      <c r="BT74" s="393"/>
      <c r="BU74" s="369"/>
      <c r="BV74" s="63">
        <v>2</v>
      </c>
      <c r="BW74" s="63">
        <v>2</v>
      </c>
      <c r="BX74" s="82">
        <f>BV74*BX73+BW74</f>
        <v>86</v>
      </c>
      <c r="BY74" s="425">
        <f ca="1">IFERROR(ROUND(BY73/BV74,0),0)</f>
        <v>0</v>
      </c>
      <c r="BZ74" s="369"/>
      <c r="CE74" s="82">
        <v>5</v>
      </c>
      <c r="CF74" s="57">
        <f ca="1"/>
        <v>0</v>
      </c>
      <c r="CG74" s="56" t="str">
        <f ca="1">IF(CF74=0,"",MAX(1,ROUND(CF74/BS$30*100,0)))</f>
        <v/>
      </c>
      <c r="CH74" s="107" t="e">
        <f ca="1">_xludf.ifs(CG74="","",CG75="",100,TRUE,CH75-CG74)</f>
        <v>#NAME?</v>
      </c>
      <c r="DT74" s="171" t="s">
        <v>1113</v>
      </c>
      <c r="DU74" s="167" t="b">
        <f t="array" ref="DU74">OR(EB16:EB17="Other Spice/Dye")</f>
        <v>0</v>
      </c>
      <c r="DV74" s="82">
        <v>2</v>
      </c>
      <c r="DW74" s="63">
        <v>0.05</v>
      </c>
      <c r="DY74" s="336" t="s">
        <v>1114</v>
      </c>
      <c r="DZ74" s="337">
        <v>1</v>
      </c>
      <c r="EA74" s="196" t="s">
        <v>1115</v>
      </c>
      <c r="EB74" s="196">
        <v>1</v>
      </c>
      <c r="EC74" s="196" t="s">
        <v>1116</v>
      </c>
      <c r="ED74" s="196">
        <v>1</v>
      </c>
      <c r="EE74" s="196" t="s">
        <v>1117</v>
      </c>
      <c r="EF74" s="196">
        <v>1</v>
      </c>
      <c r="EG74" s="196" t="s">
        <v>1118</v>
      </c>
      <c r="EH74" s="196">
        <v>1</v>
      </c>
      <c r="EI74" s="196" t="s">
        <v>1119</v>
      </c>
      <c r="EJ74" s="81">
        <v>1</v>
      </c>
      <c r="EK74" s="196" t="s">
        <v>1120</v>
      </c>
      <c r="EL74" s="196">
        <v>1</v>
      </c>
    </row>
    <row r="75" spans="1:143" ht="14.25" thickTop="1" thickBot="1">
      <c r="A75" s="157" t="str">
        <f t="array" ref="A75:B103">Climate!A79:B107</f>
        <v>Af</v>
      </c>
      <c r="B75" s="158" t="str">
        <v>Tropical Rainforest</v>
      </c>
      <c r="C75" s="159">
        <v>0.8</v>
      </c>
      <c r="D75" s="159">
        <v>1</v>
      </c>
      <c r="E75" s="159">
        <v>0.9</v>
      </c>
      <c r="F75" s="159">
        <v>0.05</v>
      </c>
      <c r="G75" s="159">
        <v>0.9</v>
      </c>
      <c r="H75" s="159">
        <v>0.5</v>
      </c>
      <c r="I75" s="159">
        <v>0</v>
      </c>
      <c r="J75" s="159">
        <v>0</v>
      </c>
      <c r="K75" s="159">
        <v>1</v>
      </c>
      <c r="L75" s="159">
        <v>1</v>
      </c>
      <c r="M75" s="159">
        <v>0.9</v>
      </c>
      <c r="N75" s="160">
        <v>1</v>
      </c>
      <c r="Z75" s="31"/>
      <c r="AA75" s="31"/>
      <c r="AB75" s="31"/>
      <c r="AC75" s="31"/>
      <c r="AD75" s="31"/>
      <c r="AE75" s="31"/>
      <c r="AF75" s="31"/>
      <c r="AG75" s="31"/>
      <c r="AH75" s="31"/>
      <c r="AI75" s="31"/>
      <c r="AK75" s="359"/>
      <c r="AL75" s="451" t="s">
        <v>371</v>
      </c>
      <c r="AM75" s="361"/>
      <c r="AN75" s="238">
        <v>4</v>
      </c>
      <c r="AO75" s="218" t="e">
        <f ca="1">ROUND(AN75*_xludf.ifs(
AND(AU75=TRUE,AW75=TRUE),1,
AU75=TRUE,AV75,
AW75=TRUE,AX75,
TRUE,1),0)</f>
        <v>#NAME?</v>
      </c>
      <c r="AP75" s="57" t="e">
        <f ca="1">ROUND(AO75/SUM(AO$32:AO$252)*AM$27,0)</f>
        <v>#NAME?</v>
      </c>
      <c r="AQ75" s="6" t="str">
        <f ca="1">IFERROR(__xludf.DUMMYFUNCTION("if(O75=0,"""",
filter(I$32:I74,row(I$32:I74)=max(filter(arrayformula(row(I$32:I74)),I$32:I74&lt;&gt;"""")))+
filter(G$32:G74,row(G$32:G74)=max(filter(arrayformula(row(G$32:G74)),G$32:G74&lt;&gt;"""")))
)"),"")</f>
        <v/>
      </c>
      <c r="AR75" s="206" t="str">
        <f ca="1">IFERROR(__xludf.DUMMYFUNCTION("if(G75="""","""",G75-(
filter(G$32:G$252,row(G$32:G$252)=max(filter(arrayformula(row(G$32:G$252)),G$32:G$252&lt;&gt;"""")))
-(10001-
filter(I$32:I$252,row(I$32:I$252)=max(filter(arrayformula(row(I$32:I$252)),I$32:I$252&lt;&gt;""""))))))"),"")</f>
        <v/>
      </c>
      <c r="AS75" s="206" t="e">
        <f ca="1">IF(AY75=0,"",ROUND(AY75/AM$3*10000,0))</f>
        <v>#NAME?</v>
      </c>
      <c r="AT75" s="231" t="b">
        <v>0</v>
      </c>
      <c r="AU75" s="83"/>
      <c r="AV75" s="66">
        <v>0</v>
      </c>
      <c r="AW75" s="83" t="b">
        <f>OR(AM11,AM13,AQ19,AQ17,AQ14,AM12,AM9,AM8,AM21)</f>
        <v>0</v>
      </c>
      <c r="AX75" s="232">
        <v>1.5</v>
      </c>
      <c r="AY75" s="58" t="e">
        <f ca="1">MAX(ROUND(AP75*(AM$1/AM$27),0),IF(AT75=TRUE,1,0))</f>
        <v>#NAME?</v>
      </c>
      <c r="AZ75" s="232">
        <v>3</v>
      </c>
      <c r="BA75" s="233">
        <v>0</v>
      </c>
      <c r="BB75" s="222" t="b">
        <v>0</v>
      </c>
      <c r="BC75" s="223" t="b">
        <v>0</v>
      </c>
      <c r="BD75" s="223" t="b">
        <v>0</v>
      </c>
      <c r="BE75" s="224" t="b">
        <v>0</v>
      </c>
      <c r="BF75" s="179">
        <v>1</v>
      </c>
      <c r="BG75" s="225" t="str">
        <f>IF(BC75=FALSE,"",MIN(BH75:$BK75)-ROUND(($BK75-1-ROUND(80/$AZ75,0))/COUNTIF($BB75:$BE75,TRUE),0))</f>
        <v/>
      </c>
      <c r="BH75" s="225" t="str">
        <f>IF(BD75=FALSE,"",MIN(BI75:$BK75)-ROUND(($BK75-1-ROUND(80/$AZ75,0))/COUNTIF($BB75:$BE75,TRUE),0))</f>
        <v/>
      </c>
      <c r="BI75" s="225" t="str">
        <f>IF(BE75=FALSE,"",MIN(BJ75:$BK75)-ROUND(($BK75-1-ROUND(80/$AZ75,0))/COUNTIF($BB75:$BE75,TRUE),0))</f>
        <v/>
      </c>
      <c r="BJ75" s="225" t="str">
        <f>IF(BB75=FALSE,"",MIN($BK75:BK75)-ROUND(($BK75-1-ROUND(80/$AZ75,0))/COUNTIF($BB75:$BE75,TRUE),0))</f>
        <v/>
      </c>
      <c r="BK75" s="107">
        <f>101-ROUND(Ag!BU$7*100,0)</f>
        <v>96</v>
      </c>
      <c r="BL75" s="63">
        <v>2</v>
      </c>
      <c r="BM75" s="82">
        <f t="array" ref="BM75">MIN(BL75,INDEX([1]Basic!L$26:L$34, MATCH([1]Basic!D$5,[1]Basic!B$26:B$34,0)))</f>
        <v>2</v>
      </c>
      <c r="BS75" s="477" t="s">
        <v>933</v>
      </c>
      <c r="BT75" s="393"/>
      <c r="BU75" s="369"/>
      <c r="BV75" s="63">
        <v>4</v>
      </c>
      <c r="BW75" s="63">
        <v>2</v>
      </c>
      <c r="BX75" s="82">
        <f>BV75*BX74+BW75</f>
        <v>346</v>
      </c>
      <c r="BY75" s="425">
        <f ca="1">IFERROR(ROUND(BY74/BV75,0),0)</f>
        <v>0</v>
      </c>
      <c r="BZ75" s="369"/>
      <c r="CE75" s="82">
        <v>6</v>
      </c>
      <c r="CF75" s="57">
        <f ca="1"/>
        <v>0</v>
      </c>
      <c r="CG75" s="56" t="str">
        <f ca="1">IF(CF75=0,"",MAX(1,ROUND(CF75/BS$30*100,0)))</f>
        <v/>
      </c>
      <c r="CH75" s="107" t="e">
        <f ca="1">_xludf.ifs(CG75="","",CG76="",100,TRUE,CH76-CG75)</f>
        <v>#NAME?</v>
      </c>
      <c r="DT75" s="167" t="s">
        <v>714</v>
      </c>
      <c r="DU75" s="167" t="b">
        <f t="array" ref="DU75">OR(EB$16:EB$17=DT75)</f>
        <v>0</v>
      </c>
      <c r="DV75" s="56">
        <f>IF(EJ33,5,2)</f>
        <v>2</v>
      </c>
      <c r="DW75" s="63">
        <v>0</v>
      </c>
      <c r="DY75" s="338" t="s">
        <v>1121</v>
      </c>
      <c r="DZ75" s="339">
        <v>3</v>
      </c>
      <c r="EA75" s="67" t="s">
        <v>1122</v>
      </c>
      <c r="EB75" s="67">
        <v>3</v>
      </c>
      <c r="EC75" s="67" t="s">
        <v>1123</v>
      </c>
      <c r="ED75" s="67">
        <v>3</v>
      </c>
      <c r="EE75" s="67" t="s">
        <v>1124</v>
      </c>
      <c r="EF75" s="67">
        <v>2</v>
      </c>
      <c r="EG75" s="67" t="s">
        <v>1125</v>
      </c>
      <c r="EH75" s="67">
        <v>4</v>
      </c>
      <c r="EI75" s="67" t="s">
        <v>1126</v>
      </c>
      <c r="EJ75" s="76">
        <v>5</v>
      </c>
      <c r="EK75" s="67" t="s">
        <v>1127</v>
      </c>
      <c r="EL75" s="67">
        <v>5</v>
      </c>
    </row>
    <row r="76" spans="1:143" ht="13.5" thickTop="1">
      <c r="A76" s="39" t="str">
        <v>Am</v>
      </c>
      <c r="B76" s="161" t="str">
        <v>Tropical Monsoon</v>
      </c>
      <c r="C76" s="162">
        <v>0.35</v>
      </c>
      <c r="D76" s="162">
        <v>1</v>
      </c>
      <c r="E76" s="162">
        <v>0.75</v>
      </c>
      <c r="F76" s="162">
        <v>0.1</v>
      </c>
      <c r="G76" s="162">
        <v>0.75</v>
      </c>
      <c r="H76" s="162">
        <v>0.5</v>
      </c>
      <c r="I76" s="162">
        <v>0</v>
      </c>
      <c r="J76" s="162">
        <v>0.5</v>
      </c>
      <c r="K76" s="162">
        <v>0.75</v>
      </c>
      <c r="L76" s="162">
        <v>0.8</v>
      </c>
      <c r="M76" s="162">
        <v>0.9</v>
      </c>
      <c r="N76" s="163">
        <v>1</v>
      </c>
      <c r="Z76" s="31"/>
      <c r="AA76" s="31"/>
      <c r="AB76" s="31"/>
      <c r="AC76" s="31"/>
      <c r="AD76" s="31"/>
      <c r="AE76" s="31"/>
      <c r="AF76" s="31"/>
      <c r="AG76" s="31"/>
      <c r="AH76" s="31"/>
      <c r="AI76" s="31"/>
      <c r="AK76" s="453" t="s">
        <v>787</v>
      </c>
      <c r="AL76" s="452" t="s">
        <v>788</v>
      </c>
      <c r="AM76" s="369"/>
      <c r="AN76" s="217">
        <v>1</v>
      </c>
      <c r="AO76" s="54" t="e">
        <f ca="1">ROUND(AN76*_xludf.ifs(
AND(AU76=TRUE,AW76=TRUE),1,
AU76=TRUE,AV76,
AW76=TRUE,AX76,
TRUE,1),0)</f>
        <v>#NAME?</v>
      </c>
      <c r="AP76" s="118" t="e">
        <f ca="1">ROUND(AO76/SUM(AO$32:AO$252)*AM$27,0)</f>
        <v>#NAME?</v>
      </c>
      <c r="AQ76" s="5" t="str">
        <f ca="1">IFERROR(__xludf.DUMMYFUNCTION("if(O76=0,"""",
filter(I$32:I75,row(I$32:I75)=max(filter(arrayformula(row(I$32:I75)),I$32:I75&lt;&gt;"""")))+
filter(G$32:G75,row(G$32:G75)=max(filter(arrayformula(row(G$32:G75)),G$32:G75&lt;&gt;"""")))
)"),"")</f>
        <v/>
      </c>
      <c r="AR76" s="198" t="str">
        <f ca="1">IFERROR(__xludf.DUMMYFUNCTION("if(G76="""","""",G76-(
filter(G$32:G$252,row(G$32:G$252)=max(filter(arrayformula(row(G$32:G$252)),G$32:G$252&lt;&gt;"""")))
-(10001-
filter(I$32:I$252,row(I$32:I$252)=max(filter(arrayformula(row(I$32:I$252)),I$32:I$252&lt;&gt;""""))))))"),"")</f>
        <v/>
      </c>
      <c r="AS76" s="198" t="e">
        <f ca="1">IF(AY76=0,"",ROUND(AY76/AM$3*10000,0))</f>
        <v>#NAME?</v>
      </c>
      <c r="AT76" s="210" t="b">
        <v>0</v>
      </c>
      <c r="AU76" s="180" t="b">
        <f>OR(AM14)</f>
        <v>0</v>
      </c>
      <c r="AV76" s="211">
        <v>0.2</v>
      </c>
      <c r="AW76" s="80" t="b">
        <f>OR(AU11,AU24)</f>
        <v>0</v>
      </c>
      <c r="AX76" s="211">
        <v>3</v>
      </c>
      <c r="AY76" s="56" t="e">
        <f ca="1">MAX(ROUND(AP76*(AM$1/AM$27),0),IF(AT76=TRUE,1,0))</f>
        <v>#NAME?</v>
      </c>
      <c r="AZ76" s="220">
        <v>10</v>
      </c>
      <c r="BA76" s="221">
        <v>1</v>
      </c>
      <c r="BB76" s="213" t="b">
        <v>1</v>
      </c>
      <c r="BC76" s="235" t="b">
        <v>0</v>
      </c>
      <c r="BD76" s="235" t="b">
        <v>0</v>
      </c>
      <c r="BE76" s="215" t="b">
        <v>0</v>
      </c>
      <c r="BF76" s="180">
        <v>1</v>
      </c>
      <c r="BG76" s="216" t="str">
        <f>IF(BC76=FALSE,"",MIN(BH76:$BK76)-ROUND(($BK76-1-ROUND(80/$AZ76,0))/COUNTIF($BB76:$BE76,TRUE),0))</f>
        <v/>
      </c>
      <c r="BH76" s="216" t="str">
        <f>IF(BD76=FALSE,"",MIN(BI76:$BK76)-ROUND(($BK76-1-ROUND(80/$AZ76,0))/COUNTIF($BB76:$BE76,TRUE),0))</f>
        <v/>
      </c>
      <c r="BI76" s="216" t="str">
        <f>IF(BE76=FALSE,"",MIN(BJ76:$BK76)-ROUND(($BK76-1-ROUND(80/$AZ76,0))/COUNTIF($BB76:$BE76,TRUE),0))</f>
        <v/>
      </c>
      <c r="BJ76" s="216">
        <f>IF(BB76=FALSE,"",MIN($BK76:BK76)-ROUND(($BK76-1-ROUND(80/$AZ76,0))/COUNTIF($BB76:$BE76,TRUE),0))</f>
        <v>9</v>
      </c>
      <c r="BK76" s="177">
        <f>101-ROUND(Ag!BU$7*100,0)</f>
        <v>96</v>
      </c>
      <c r="BL76" s="61">
        <v>4</v>
      </c>
      <c r="BM76" s="82">
        <f t="array" ref="BM76">MIN(BL76,INDEX([1]Basic!L$26:L$34, MATCH([1]Basic!D$5,[1]Basic!B$26:B$34,0)))</f>
        <v>3</v>
      </c>
      <c r="BS76" s="477" t="s">
        <v>934</v>
      </c>
      <c r="BT76" s="393"/>
      <c r="BU76" s="369"/>
      <c r="BV76" s="63">
        <v>4</v>
      </c>
      <c r="BW76" s="63">
        <v>4</v>
      </c>
      <c r="BX76" s="82">
        <f>BV76*BX75+BW76</f>
        <v>1388</v>
      </c>
      <c r="BY76" s="425">
        <f ca="1">IFERROR(ROUND(BY75/BV76,0),0)</f>
        <v>0</v>
      </c>
      <c r="BZ76" s="369"/>
      <c r="CE76" s="82">
        <v>7</v>
      </c>
      <c r="CF76" s="57">
        <f ca="1"/>
        <v>0</v>
      </c>
      <c r="CG76" s="56" t="str">
        <f ca="1">IF(CF76=0,"",MAX(1,ROUND(CF76/BS$30*100,0)))</f>
        <v/>
      </c>
      <c r="CH76" s="107" t="e">
        <f ca="1">_xludf.ifs(CG76="","",CG77="",100,TRUE,CH77-CG76)</f>
        <v>#NAME?</v>
      </c>
      <c r="DT76" s="334" t="s">
        <v>680</v>
      </c>
      <c r="DU76" s="167" t="e">
        <f t="array" aca="1" ref="DU76" ca="1">IF(ED$16=FALSE,FALSE,OR(EC$16:EC$18=DT76))</f>
        <v>#N/A</v>
      </c>
      <c r="DV76" s="82">
        <v>2</v>
      </c>
      <c r="DW76" s="63">
        <v>0</v>
      </c>
      <c r="DY76" s="338" t="s">
        <v>1128</v>
      </c>
      <c r="DZ76" s="339">
        <v>5</v>
      </c>
      <c r="EA76" s="67" t="s">
        <v>1129</v>
      </c>
      <c r="EB76" s="67">
        <v>5</v>
      </c>
      <c r="EC76" s="67" t="s">
        <v>1130</v>
      </c>
      <c r="ED76" s="67">
        <v>5</v>
      </c>
      <c r="EE76" s="67" t="s">
        <v>1131</v>
      </c>
      <c r="EF76" s="67">
        <v>4</v>
      </c>
      <c r="EG76" s="67" t="s">
        <v>1132</v>
      </c>
      <c r="EH76" s="67">
        <v>7</v>
      </c>
      <c r="EI76" s="67" t="s">
        <v>1133</v>
      </c>
      <c r="EJ76" s="76">
        <v>6</v>
      </c>
      <c r="EK76" s="67" t="s">
        <v>1134</v>
      </c>
      <c r="EL76" s="161"/>
    </row>
    <row r="77" spans="1:143" ht="13.5" thickBot="1">
      <c r="A77" s="39" t="str">
        <v>Aw</v>
      </c>
      <c r="B77" s="161" t="str">
        <v>Savannah</v>
      </c>
      <c r="C77" s="162">
        <v>0.15</v>
      </c>
      <c r="D77" s="162">
        <v>1</v>
      </c>
      <c r="E77" s="162">
        <v>0.05</v>
      </c>
      <c r="F77" s="162">
        <v>0.25</v>
      </c>
      <c r="G77" s="162">
        <v>0.25</v>
      </c>
      <c r="H77" s="162">
        <v>0.75</v>
      </c>
      <c r="I77" s="162">
        <v>1</v>
      </c>
      <c r="J77" s="162">
        <v>0.75</v>
      </c>
      <c r="K77" s="162">
        <v>0.5</v>
      </c>
      <c r="L77" s="162">
        <v>0.5</v>
      </c>
      <c r="M77" s="162">
        <v>1</v>
      </c>
      <c r="N77" s="163">
        <v>0.75</v>
      </c>
      <c r="Z77" s="31"/>
      <c r="AA77" s="31"/>
      <c r="AB77" s="31"/>
      <c r="AC77" s="31"/>
      <c r="AD77" s="31"/>
      <c r="AE77" s="31"/>
      <c r="AF77" s="31"/>
      <c r="AG77" s="31"/>
      <c r="AH77" s="31"/>
      <c r="AI77" s="31"/>
      <c r="AK77" s="389"/>
      <c r="AL77" s="452" t="s">
        <v>155</v>
      </c>
      <c r="AM77" s="369"/>
      <c r="AN77" s="217">
        <v>4</v>
      </c>
      <c r="AO77" s="218" t="e">
        <f ca="1">ROUND(AN77*_xludf.ifs(
AND(AU77=TRUE,AW77=TRUE),1,
AU77=TRUE,AV77,
AW77=TRUE,AX77,
TRUE,1),0)</f>
        <v>#NAME?</v>
      </c>
      <c r="AP77" s="57" t="e">
        <f ca="1">ROUND(AO77/SUM(AO$32:AO$252)*AM$27,0)</f>
        <v>#NAME?</v>
      </c>
      <c r="AQ77" s="5" t="str">
        <f ca="1">IFERROR(__xludf.DUMMYFUNCTION("if(O77=0,"""",
filter(I$32:I76,row(I$32:I76)=max(filter(arrayformula(row(I$32:I76)),I$32:I76&lt;&gt;"""")))+
filter(G$32:G76,row(G$32:G76)=max(filter(arrayformula(row(G$32:G76)),G$32:G76&lt;&gt;"""")))
)"),"")</f>
        <v/>
      </c>
      <c r="AR77" s="198" t="str">
        <f ca="1">IFERROR(__xludf.DUMMYFUNCTION("if(G77="""","""",G77-(
filter(G$32:G$252,row(G$32:G$252)=max(filter(arrayformula(row(G$32:G$252)),G$32:G$252&lt;&gt;"""")))
-(10001-
filter(I$32:I$252,row(I$32:I$252)=max(filter(arrayformula(row(I$32:I$252)),I$32:I$252&lt;&gt;""""))))))"),"")</f>
        <v/>
      </c>
      <c r="AS77" s="198" t="e">
        <f ca="1">IF(AY77=0,"",ROUND(AY77/AM$3*10000,0))</f>
        <v>#NAME?</v>
      </c>
      <c r="AT77" s="237" t="b">
        <v>0</v>
      </c>
      <c r="AU77" s="179" t="b">
        <f>OR(AM14)</f>
        <v>0</v>
      </c>
      <c r="AV77" s="220">
        <v>0.2</v>
      </c>
      <c r="AW77" s="82" t="b">
        <f>OR(AU10)</f>
        <v>0</v>
      </c>
      <c r="AX77" s="220">
        <v>2</v>
      </c>
      <c r="AY77" s="56" t="e">
        <f ca="1">MAX(ROUND(AP77*(AM$1/AM$27),0),IF(AT77=TRUE,1,0))</f>
        <v>#NAME?</v>
      </c>
      <c r="AZ77" s="220">
        <v>10</v>
      </c>
      <c r="BA77" s="221">
        <v>1</v>
      </c>
      <c r="BB77" s="227" t="b">
        <v>1</v>
      </c>
      <c r="BC77" s="223" t="b">
        <v>0</v>
      </c>
      <c r="BD77" s="223" t="b">
        <v>0</v>
      </c>
      <c r="BE77" s="229" t="b">
        <v>0</v>
      </c>
      <c r="BF77" s="179">
        <v>1</v>
      </c>
      <c r="BG77" s="225" t="str">
        <f>IF(BC77=FALSE,"",MIN(BH77:$BK77)-ROUND(($BK77-1-ROUND(80/$AZ77,0))/COUNTIF($BB77:$BE77,TRUE),0))</f>
        <v/>
      </c>
      <c r="BH77" s="225" t="str">
        <f>IF(BD77=FALSE,"",MIN(BI77:$BK77)-ROUND(($BK77-1-ROUND(80/$AZ77,0))/COUNTIF($BB77:$BE77,TRUE),0))</f>
        <v/>
      </c>
      <c r="BI77" s="225" t="str">
        <f>IF(BE77=FALSE,"",MIN(BJ77:$BK77)-ROUND(($BK77-1-ROUND(80/$AZ77,0))/COUNTIF($BB77:$BE77,TRUE),0))</f>
        <v/>
      </c>
      <c r="BJ77" s="225">
        <f>IF(BB77=FALSE,"",MIN($BK77:BK77)-ROUND(($BK77-1-ROUND(80/$AZ77,0))/COUNTIF($BB77:$BE77,TRUE),0))</f>
        <v>9</v>
      </c>
      <c r="BK77" s="107">
        <f>101-ROUND(Ag!BU$7*100,0)</f>
        <v>96</v>
      </c>
      <c r="BL77" s="63">
        <v>3</v>
      </c>
      <c r="BM77" s="82">
        <f t="array" ref="BM77">MIN(BL77,INDEX([1]Basic!L$26:L$34, MATCH([1]Basic!D$5,[1]Basic!B$26:B$34,0)))</f>
        <v>3</v>
      </c>
      <c r="BS77" s="478" t="s">
        <v>935</v>
      </c>
      <c r="BT77" s="360"/>
      <c r="BU77" s="361"/>
      <c r="BV77" s="66">
        <v>4</v>
      </c>
      <c r="BW77" s="66">
        <v>10</v>
      </c>
      <c r="BX77" s="83">
        <f>BV77*BX76+BW77</f>
        <v>5562</v>
      </c>
      <c r="BY77" s="426">
        <f ca="1">IFERROR(ROUND(BY76/BV77,0),0)</f>
        <v>0</v>
      </c>
      <c r="BZ77" s="361"/>
      <c r="CE77" s="82">
        <v>8</v>
      </c>
      <c r="CF77" s="57">
        <f ca="1"/>
        <v>0</v>
      </c>
      <c r="CG77" s="56" t="str">
        <f ca="1">IF(CF77=0,"",MAX(1,ROUND(CF77/BS$30*100,0)))</f>
        <v/>
      </c>
      <c r="CH77" s="107" t="e">
        <f ca="1">_xludf.ifs(CG77="","",CG78="",100,TRUE,CH78-CG77)</f>
        <v>#NAME?</v>
      </c>
      <c r="DT77" s="334" t="s">
        <v>110</v>
      </c>
      <c r="DU77" s="171" t="b">
        <v>1</v>
      </c>
      <c r="DV77" s="56">
        <f>IF(EJ43,5,1)</f>
        <v>1</v>
      </c>
      <c r="DW77" s="63">
        <v>0.05</v>
      </c>
      <c r="DY77" s="338" t="s">
        <v>1135</v>
      </c>
      <c r="DZ77" s="339">
        <v>7</v>
      </c>
      <c r="EA77" s="67" t="s">
        <v>1136</v>
      </c>
      <c r="EB77" s="67">
        <v>8</v>
      </c>
      <c r="EC77" s="67" t="s">
        <v>1137</v>
      </c>
      <c r="ED77" s="67">
        <v>7</v>
      </c>
      <c r="EE77" s="67" t="s">
        <v>1138</v>
      </c>
      <c r="EF77" s="67">
        <v>6</v>
      </c>
      <c r="EG77" s="67" t="s">
        <v>1139</v>
      </c>
      <c r="EH77" s="67">
        <v>9</v>
      </c>
      <c r="EI77" s="67" t="s">
        <v>1140</v>
      </c>
      <c r="EJ77" s="76">
        <v>10</v>
      </c>
      <c r="EK77" s="67" t="s">
        <v>1141</v>
      </c>
      <c r="EL77" s="67">
        <v>10</v>
      </c>
    </row>
    <row r="78" spans="1:143" ht="14.25" thickTop="1" thickBot="1">
      <c r="A78" s="39" t="str">
        <v>BWh</v>
      </c>
      <c r="B78" s="161" t="str">
        <v>Hot Desert</v>
      </c>
      <c r="C78" s="162">
        <v>0</v>
      </c>
      <c r="D78" s="162">
        <v>0</v>
      </c>
      <c r="E78" s="162">
        <v>0</v>
      </c>
      <c r="F78" s="162">
        <v>0</v>
      </c>
      <c r="G78" s="162">
        <v>0</v>
      </c>
      <c r="H78" s="162">
        <v>0</v>
      </c>
      <c r="I78" s="162">
        <v>0</v>
      </c>
      <c r="J78" s="162">
        <v>0</v>
      </c>
      <c r="K78" s="162">
        <v>0</v>
      </c>
      <c r="L78" s="162">
        <v>0</v>
      </c>
      <c r="M78" s="162">
        <v>0</v>
      </c>
      <c r="N78" s="163">
        <v>0.01</v>
      </c>
      <c r="Z78" s="31"/>
      <c r="AA78" s="31"/>
      <c r="AB78" s="31"/>
      <c r="AC78" s="31"/>
      <c r="AD78" s="31"/>
      <c r="AE78" s="31"/>
      <c r="AF78" s="31"/>
      <c r="AG78" s="31"/>
      <c r="AH78" s="31"/>
      <c r="AI78" s="31"/>
      <c r="AK78" s="389"/>
      <c r="AL78" s="452" t="s">
        <v>161</v>
      </c>
      <c r="AM78" s="369"/>
      <c r="AN78" s="217">
        <v>1</v>
      </c>
      <c r="AO78" s="218" t="e">
        <f ca="1">ROUND(AN78*_xludf.ifs(
AND(AU78=TRUE,AW78=TRUE),1,
AU78=TRUE,AV78,
AW78=TRUE,AX78,
TRUE,1),0)</f>
        <v>#NAME?</v>
      </c>
      <c r="AP78" s="57" t="e">
        <f ca="1">ROUND(AO78/SUM(AO$32:AO$252)*AM$27,0)</f>
        <v>#NAME?</v>
      </c>
      <c r="AQ78" s="5" t="str">
        <f ca="1">IFERROR(__xludf.DUMMYFUNCTION("if(O78=0,"""",
filter(I$32:I77,row(I$32:I77)=max(filter(arrayformula(row(I$32:I77)),I$32:I77&lt;&gt;"""")))+
filter(G$32:G77,row(G$32:G77)=max(filter(arrayformula(row(G$32:G77)),G$32:G77&lt;&gt;"""")))
)"),"")</f>
        <v/>
      </c>
      <c r="AR78" s="198" t="str">
        <f ca="1">IFERROR(__xludf.DUMMYFUNCTION("if(G78="""","""",G78-(
filter(G$32:G$252,row(G$32:G$252)=max(filter(arrayformula(row(G$32:G$252)),G$32:G$252&lt;&gt;"""")))
-(10001-
filter(I$32:I$252,row(I$32:I$252)=max(filter(arrayformula(row(I$32:I$252)),I$32:I$252&lt;&gt;""""))))))"),"")</f>
        <v/>
      </c>
      <c r="AS78" s="198" t="e">
        <f ca="1">IF(AY78=0,"",ROUND(AY78/AM$3*10000,0))</f>
        <v>#NAME?</v>
      </c>
      <c r="AT78" s="237" t="b">
        <v>0</v>
      </c>
      <c r="AU78" s="179" t="b">
        <f>OR(AM14)</f>
        <v>0</v>
      </c>
      <c r="AV78" s="220">
        <v>0.2</v>
      </c>
      <c r="AW78" s="82" t="b">
        <f>OR(AU11,AU10,AU24)</f>
        <v>0</v>
      </c>
      <c r="AX78" s="220">
        <v>3</v>
      </c>
      <c r="AY78" s="56" t="e">
        <f ca="1">MAX(ROUND(AP78*(AM$1/AM$27),0),IF(AT78=TRUE,1,0))</f>
        <v>#NAME?</v>
      </c>
      <c r="AZ78" s="220">
        <v>10</v>
      </c>
      <c r="BA78" s="221">
        <v>1</v>
      </c>
      <c r="BB78" s="227" t="b">
        <v>1</v>
      </c>
      <c r="BC78" s="223" t="b">
        <v>0</v>
      </c>
      <c r="BD78" s="223" t="b">
        <v>0</v>
      </c>
      <c r="BE78" s="229" t="b">
        <v>0</v>
      </c>
      <c r="BF78" s="179">
        <v>1</v>
      </c>
      <c r="BG78" s="225" t="str">
        <f>IF(BC78=FALSE,"",MIN(BH78:$BK78)-ROUND(($BK78-1-ROUND(80/$AZ78,0))/COUNTIF($BB78:$BE78,TRUE),0))</f>
        <v/>
      </c>
      <c r="BH78" s="225" t="str">
        <f>IF(BD78=FALSE,"",MIN(BI78:$BK78)-ROUND(($BK78-1-ROUND(80/$AZ78,0))/COUNTIF($BB78:$BE78,TRUE),0))</f>
        <v/>
      </c>
      <c r="BI78" s="225" t="str">
        <f>IF(BE78=FALSE,"",MIN(BJ78:$BK78)-ROUND(($BK78-1-ROUND(80/$AZ78,0))/COUNTIF($BB78:$BE78,TRUE),0))</f>
        <v/>
      </c>
      <c r="BJ78" s="225">
        <f>IF(BB78=FALSE,"",MIN($BK78:BK78)-ROUND(($BK78-1-ROUND(80/$AZ78,0))/COUNTIF($BB78:$BE78,TRUE),0))</f>
        <v>9</v>
      </c>
      <c r="BK78" s="107">
        <f>101-ROUND(Ag!BU$7*100,0)</f>
        <v>96</v>
      </c>
      <c r="BL78" s="63">
        <v>3</v>
      </c>
      <c r="BM78" s="82">
        <f t="array" ref="BM78">MIN(BL78,INDEX([1]Basic!L$26:L$34, MATCH([1]Basic!D$5,[1]Basic!B$26:B$34,0)))</f>
        <v>3</v>
      </c>
      <c r="BS78" s="319"/>
      <c r="CE78" s="82">
        <v>9</v>
      </c>
      <c r="CF78" s="57">
        <f ca="1"/>
        <v>0</v>
      </c>
      <c r="CG78" s="56" t="str">
        <f ca="1">IF(CF78=0,"",MAX(1,ROUND(CF78/BS$30*100,0)))</f>
        <v/>
      </c>
      <c r="CH78" s="107" t="e">
        <f ca="1">_xludf.ifs(CG78="","",CG79="",100,TRUE,CH79-CG78)</f>
        <v>#NAME?</v>
      </c>
      <c r="DT78" s="167" t="s">
        <v>710</v>
      </c>
      <c r="DU78" s="167" t="b">
        <f t="array" ref="DU78">OR(EB$16:EB$17=DT78)</f>
        <v>0</v>
      </c>
      <c r="DV78" s="56">
        <f>IF(EJ33,5,3)</f>
        <v>3</v>
      </c>
      <c r="DW78" s="63">
        <v>0.1</v>
      </c>
      <c r="DY78" s="338" t="s">
        <v>1142</v>
      </c>
      <c r="DZ78" s="339">
        <v>10</v>
      </c>
      <c r="EA78" s="67" t="s">
        <v>1143</v>
      </c>
      <c r="EB78" s="171">
        <f>IF(DZ72&lt;7,,11)</f>
        <v>0</v>
      </c>
      <c r="EC78" s="67" t="s">
        <v>1144</v>
      </c>
      <c r="ED78" s="67">
        <v>9</v>
      </c>
      <c r="EE78" s="67" t="s">
        <v>1145</v>
      </c>
      <c r="EF78" s="67">
        <v>8</v>
      </c>
      <c r="EG78" s="67" t="s">
        <v>1146</v>
      </c>
      <c r="EH78" s="67">
        <v>12</v>
      </c>
      <c r="EI78" s="67" t="s">
        <v>1147</v>
      </c>
      <c r="EJ78" s="76">
        <v>12</v>
      </c>
      <c r="EK78" s="67" t="s">
        <v>1148</v>
      </c>
      <c r="EL78" s="161"/>
    </row>
    <row r="79" spans="1:143" ht="14.25" thickTop="1" thickBot="1">
      <c r="A79" s="39" t="str">
        <v>BWk</v>
      </c>
      <c r="B79" s="161" t="str">
        <v>Cold Desert</v>
      </c>
      <c r="C79" s="162">
        <v>0</v>
      </c>
      <c r="D79" s="162">
        <v>0</v>
      </c>
      <c r="E79" s="162">
        <v>0.25</v>
      </c>
      <c r="F79" s="162">
        <v>0.1</v>
      </c>
      <c r="G79" s="162">
        <v>0.25</v>
      </c>
      <c r="H79" s="162">
        <v>0</v>
      </c>
      <c r="I79" s="162">
        <v>0</v>
      </c>
      <c r="J79" s="162">
        <v>0</v>
      </c>
      <c r="K79" s="162">
        <v>0</v>
      </c>
      <c r="L79" s="162">
        <v>0</v>
      </c>
      <c r="M79" s="162">
        <v>0.25</v>
      </c>
      <c r="N79" s="163">
        <v>0.05</v>
      </c>
      <c r="Z79" s="31"/>
      <c r="AA79" s="31"/>
      <c r="AB79" s="31"/>
      <c r="AC79" s="31"/>
      <c r="AD79" s="31"/>
      <c r="AE79" s="31"/>
      <c r="AF79" s="31"/>
      <c r="AG79" s="31"/>
      <c r="AH79" s="31"/>
      <c r="AI79" s="31"/>
      <c r="AK79" s="389"/>
      <c r="AL79" s="242" t="s">
        <v>166</v>
      </c>
      <c r="AM79" s="242"/>
      <c r="AN79" s="230">
        <v>3</v>
      </c>
      <c r="AO79" s="11" t="e">
        <f ca="1">ROUND(AN79*_xludf.ifs(
AND(AU79=TRUE,AW79=TRUE),1,
AU79=TRUE,AV79,
AW79=TRUE,AX79,
TRUE,1),0)</f>
        <v>#NAME?</v>
      </c>
      <c r="AP79" s="59" t="e">
        <f ca="1">ROUND(AO79/SUM(AO$32:AO$252)*AM$27,0)</f>
        <v>#NAME?</v>
      </c>
      <c r="AQ79" s="6" t="str">
        <f ca="1">IFERROR(__xludf.DUMMYFUNCTION("if(O79=0,"""",
filter(I$32:I78,row(I$32:I78)=max(filter(arrayformula(row(I$32:I78)),I$32:I78&lt;&gt;"""")))+
filter(G$32:G78,row(G$32:G78)=max(filter(arrayformula(row(G$32:G78)),G$32:G78&lt;&gt;"""")))
)"),"")</f>
        <v/>
      </c>
      <c r="AR79" s="206" t="str">
        <f ca="1">IFERROR(__xludf.DUMMYFUNCTION("if(G79="""","""",G79-(
filter(G$32:G$252,row(G$32:G$252)=max(filter(arrayformula(row(G$32:G$252)),G$32:G$252&lt;&gt;"""")))
-(10001-
filter(I$32:I$252,row(I$32:I$252)=max(filter(arrayformula(row(I$32:I$252)),I$32:I$252&lt;&gt;""""))))))"),"")</f>
        <v/>
      </c>
      <c r="AS79" s="206" t="e">
        <f ca="1">IF(AY79=0,"",ROUND(AY79/AM$3*10000,0))</f>
        <v>#NAME?</v>
      </c>
      <c r="AT79" s="239" t="b">
        <v>0</v>
      </c>
      <c r="AU79" s="59" t="b">
        <f>OR(AM14)</f>
        <v>0</v>
      </c>
      <c r="AV79" s="232">
        <v>0.2</v>
      </c>
      <c r="AW79" s="83" t="b">
        <f>OR(AU11)</f>
        <v>0</v>
      </c>
      <c r="AX79" s="232">
        <v>2</v>
      </c>
      <c r="AY79" s="58" t="e">
        <f ca="1">MAX(ROUND(AP79*(AM$1/AM$27),0),IF(AT79=TRUE,1,0))</f>
        <v>#NAME?</v>
      </c>
      <c r="AZ79" s="232">
        <v>3</v>
      </c>
      <c r="BA79" s="233">
        <v>1</v>
      </c>
      <c r="BB79" s="243" t="b">
        <v>1</v>
      </c>
      <c r="BC79" s="244" t="b">
        <v>0</v>
      </c>
      <c r="BD79" s="245" t="b">
        <v>1</v>
      </c>
      <c r="BE79" s="246" t="b">
        <v>0</v>
      </c>
      <c r="BF79" s="78">
        <v>1</v>
      </c>
      <c r="BG79" s="240" t="str">
        <f>IF(BC79=FALSE,"",MIN(BH79:$BK79)-ROUND(($BK79-1-ROUND(80/$AZ79,0))/COUNTIF($BB79:$BE79,TRUE),0))</f>
        <v/>
      </c>
      <c r="BH79" s="240">
        <f>IF(BD79=FALSE,"",MIN(BI79:$BK79)-ROUND(($BK79-1-ROUND(80/$AZ79,0))/COUNTIF($BB79:$BE79,TRUE),0))</f>
        <v>28</v>
      </c>
      <c r="BI79" s="240" t="str">
        <f>IF(BE79=FALSE,"",MIN(BJ79:$BK79)-ROUND(($BK79-1-ROUND(80/$AZ79,0))/COUNTIF($BB79:$BE79,TRUE),0))</f>
        <v/>
      </c>
      <c r="BJ79" s="240">
        <f>IF(BB79=FALSE,"",MIN($BK79:BK79)-ROUND(($BK79-1-ROUND(80/$AZ79,0))/COUNTIF($BB79:$BE79,TRUE),0))</f>
        <v>62</v>
      </c>
      <c r="BK79" s="192">
        <f>101-ROUND(Ag!BU$7*100,0)</f>
        <v>96</v>
      </c>
      <c r="BL79" s="66">
        <v>2</v>
      </c>
      <c r="BM79" s="82">
        <f t="array" ref="BM79">MIN(BL79,INDEX([1]Basic!L$26:L$34, MATCH([1]Basic!D$5,[1]Basic!B$26:B$34,0)))</f>
        <v>2</v>
      </c>
      <c r="BS79" s="388" t="s">
        <v>936</v>
      </c>
      <c r="BT79" s="358"/>
      <c r="BU79" s="49" t="s">
        <v>937</v>
      </c>
      <c r="BV79" s="49" t="s">
        <v>938</v>
      </c>
      <c r="BW79" s="49" t="s">
        <v>122</v>
      </c>
      <c r="BX79" s="49" t="s">
        <v>131</v>
      </c>
      <c r="CE79" s="83">
        <v>10</v>
      </c>
      <c r="CF79" s="59">
        <f ca="1"/>
        <v>0</v>
      </c>
      <c r="CG79" s="58" t="str">
        <f ca="1">IF(CF79=0,"",MAX(1,ROUND(CF79/BS$30*100,0)))</f>
        <v/>
      </c>
      <c r="CH79" s="192" t="e">
        <f ca="1">_xludf.ifs(CG79="","",CG80="",100,TRUE,CH80-CG79)</f>
        <v>#NAME?</v>
      </c>
      <c r="DT79" s="334" t="s">
        <v>112</v>
      </c>
      <c r="DU79" s="171" t="b">
        <v>1</v>
      </c>
      <c r="DV79" s="56">
        <f>IF(OR(EF37,EF38,EF39,EJ44,EJ40),5,1)</f>
        <v>1</v>
      </c>
      <c r="DW79" s="63">
        <v>0.05</v>
      </c>
      <c r="DY79" s="338" t="s">
        <v>1149</v>
      </c>
      <c r="DZ79" s="339">
        <v>12</v>
      </c>
      <c r="EA79" s="67" t="s">
        <v>1150</v>
      </c>
      <c r="EB79" s="171">
        <f>IF(DZ72&lt;7,,14)</f>
        <v>0</v>
      </c>
      <c r="EC79" s="67" t="s">
        <v>1151</v>
      </c>
      <c r="ED79" s="67">
        <v>11</v>
      </c>
      <c r="EE79" s="67" t="s">
        <v>1152</v>
      </c>
      <c r="EF79" s="67">
        <v>10</v>
      </c>
      <c r="EG79" s="67" t="s">
        <v>1153</v>
      </c>
      <c r="EH79" s="67">
        <v>14</v>
      </c>
      <c r="EI79" s="67" t="s">
        <v>1154</v>
      </c>
      <c r="EJ79" s="76">
        <v>14</v>
      </c>
      <c r="EK79" s="67" t="s">
        <v>1155</v>
      </c>
      <c r="EL79" s="161"/>
    </row>
    <row r="80" spans="1:143" ht="14.25" thickTop="1" thickBot="1">
      <c r="A80" s="39" t="str">
        <v>BSh</v>
      </c>
      <c r="B80" s="161" t="str">
        <v>Hot Semi-Arid</v>
      </c>
      <c r="C80" s="162">
        <v>0.25</v>
      </c>
      <c r="D80" s="162">
        <v>0</v>
      </c>
      <c r="E80" s="162">
        <v>0.1</v>
      </c>
      <c r="F80" s="162">
        <v>0.25</v>
      </c>
      <c r="G80" s="162">
        <v>0</v>
      </c>
      <c r="H80" s="162">
        <v>0</v>
      </c>
      <c r="I80" s="162">
        <v>0.5</v>
      </c>
      <c r="J80" s="162">
        <v>0</v>
      </c>
      <c r="K80" s="162">
        <v>0.75</v>
      </c>
      <c r="L80" s="162">
        <v>0</v>
      </c>
      <c r="M80" s="162">
        <v>1</v>
      </c>
      <c r="N80" s="163">
        <v>0.25</v>
      </c>
      <c r="Z80" s="31"/>
      <c r="AA80" s="31"/>
      <c r="AB80" s="31"/>
      <c r="AC80" s="31"/>
      <c r="AD80" s="31"/>
      <c r="AE80" s="31"/>
      <c r="AF80" s="31"/>
      <c r="AG80" s="31"/>
      <c r="AH80" s="31"/>
      <c r="AI80" s="31"/>
      <c r="AK80" s="389"/>
      <c r="AL80" s="452" t="s">
        <v>171</v>
      </c>
      <c r="AM80" s="369"/>
      <c r="AN80" s="217">
        <v>50</v>
      </c>
      <c r="AO80" s="218" t="e">
        <f ca="1">ROUND(AN80*_xludf.ifs(
AND(AU80=TRUE,AW80=TRUE),1,
AU80=TRUE,AV80,
AW80=TRUE,AX80,
TRUE,1),0)</f>
        <v>#NAME?</v>
      </c>
      <c r="AP80" s="57" t="e">
        <f ca="1">ROUND(AO80/SUM(AO$32:AO$252)*AM$27,0)</f>
        <v>#NAME?</v>
      </c>
      <c r="AQ80" s="5" t="str">
        <f ca="1">IFERROR(__xludf.DUMMYFUNCTION("if(O80=0,"""",
filter(I$32:I78,row(I$32:I78)=max(filter(arrayformula(row(I$32:I78)),I$32:I78&lt;&gt;"""")))+
filter(G$32:G78,row(G$32:G78)=max(filter(arrayformula(row(G$32:G78)),G$32:G78&lt;&gt;"""")))
)"),"")</f>
        <v/>
      </c>
      <c r="AR80" s="198" t="str">
        <f ca="1">IFERROR(__xludf.DUMMYFUNCTION("if(G80="""","""",G80-(
filter(G$32:G$252,row(G$32:G$252)=max(filter(arrayformula(row(G$32:G$252)),G$32:G$252&lt;&gt;"""")))
-(10001-
filter(I$32:I$252,row(I$32:I$252)=max(filter(arrayformula(row(I$32:I$252)),I$32:I$252&lt;&gt;""""))))))"),"")</f>
        <v/>
      </c>
      <c r="AS80" s="198" t="e">
        <f ca="1">IF(AY80=0,"",ROUND(AY80/AM$3*10000,0))</f>
        <v>#NAME?</v>
      </c>
      <c r="AT80" s="237" t="b">
        <v>0</v>
      </c>
      <c r="AU80" s="57"/>
      <c r="AV80" s="220">
        <v>0</v>
      </c>
      <c r="AW80" s="82" t="b">
        <f>OR(AM8,AM21,AU16,AU22)</f>
        <v>0</v>
      </c>
      <c r="AX80" s="220">
        <v>2</v>
      </c>
      <c r="AY80" s="56" t="e">
        <f ca="1">MAX(ROUND(AP80*(AM$1/AM$27),0),IF(AT80=TRUE,1,0))</f>
        <v>#NAME?</v>
      </c>
      <c r="AZ80" s="220">
        <v>1</v>
      </c>
      <c r="BA80" s="221">
        <v>0</v>
      </c>
      <c r="BB80" s="222" t="b">
        <v>0</v>
      </c>
      <c r="BC80" s="223" t="b">
        <v>0</v>
      </c>
      <c r="BD80" s="223" t="b">
        <v>0</v>
      </c>
      <c r="BE80" s="224" t="b">
        <v>0</v>
      </c>
      <c r="BF80" s="179">
        <v>1</v>
      </c>
      <c r="BG80" s="225" t="str">
        <f>IF(BC80=FALSE,"",MIN(BH80:$BK80)-ROUND(($BK80-1-ROUND(80/$AZ80,0))/COUNTIF($BB80:$BE80,TRUE),0))</f>
        <v/>
      </c>
      <c r="BH80" s="225" t="str">
        <f>IF(BD80=FALSE,"",MIN(BI80:$BK80)-ROUND(($BK80-1-ROUND(80/$AZ80,0))/COUNTIF($BB80:$BE80,TRUE),0))</f>
        <v/>
      </c>
      <c r="BI80" s="225" t="str">
        <f>IF(BE80=FALSE,"",MIN(BJ80:$BK80)-ROUND(($BK80-1-ROUND(80/$AZ80,0))/COUNTIF($BB80:$BE80,TRUE),0))</f>
        <v/>
      </c>
      <c r="BJ80" s="225" t="str">
        <f>IF(BB80=FALSE,"",MIN($BK80:BK80)-ROUND(($BK80-1-ROUND(80/$AZ80,0))/COUNTIF($BB80:$BE80,TRUE),0))</f>
        <v/>
      </c>
      <c r="BK80" s="107">
        <f>101-ROUND(Ag!BU$7*100,0)</f>
        <v>96</v>
      </c>
      <c r="BL80" s="63">
        <v>1</v>
      </c>
      <c r="BM80" s="82">
        <f t="array" ref="BM80">MIN(BL80,INDEX([1]Basic!L$26:L$34, MATCH([1]Basic!D$5,[1]Basic!B$26:B$34,0)))</f>
        <v>1</v>
      </c>
      <c r="BS80" s="388" t="s">
        <v>939</v>
      </c>
      <c r="BT80" s="358"/>
      <c r="BU80" s="108" t="e">
        <f ca="1">BV61-SUM(BU81:BU86)</f>
        <v>#NAME?</v>
      </c>
      <c r="BV80" s="80">
        <v>0</v>
      </c>
      <c r="BW80" s="108" t="e">
        <f t="array" aca="1" ref="BW80:BW86" ca="1">BU80:BU86+BV80:BV86</f>
        <v>#NAME?</v>
      </c>
      <c r="BX80" s="80" t="s">
        <v>132</v>
      </c>
      <c r="DT80" s="334" t="s">
        <v>672</v>
      </c>
      <c r="DU80" s="167" t="e">
        <f t="array" aca="1" ref="DU80" ca="1">IF(ED$16=FALSE,FALSE,OR(EC$16:EC$18=DT80))</f>
        <v>#N/A</v>
      </c>
      <c r="DV80" s="82">
        <v>2</v>
      </c>
      <c r="DW80" s="63">
        <v>0</v>
      </c>
      <c r="DY80" s="338" t="s">
        <v>1156</v>
      </c>
      <c r="DZ80" s="339">
        <v>13</v>
      </c>
      <c r="EA80" s="74" t="s">
        <v>1157</v>
      </c>
      <c r="EB80" s="74">
        <v>17</v>
      </c>
      <c r="EC80" s="67" t="s">
        <v>1158</v>
      </c>
      <c r="ED80" s="67">
        <v>13</v>
      </c>
      <c r="EE80" s="67" t="s">
        <v>1159</v>
      </c>
      <c r="EF80" s="67">
        <v>12</v>
      </c>
      <c r="EG80" s="67" t="s">
        <v>1160</v>
      </c>
      <c r="EH80" s="67">
        <v>16</v>
      </c>
      <c r="EI80" s="67" t="s">
        <v>1161</v>
      </c>
      <c r="EJ80" s="76">
        <v>16</v>
      </c>
      <c r="EK80" s="67" t="s">
        <v>1162</v>
      </c>
      <c r="EL80" s="161"/>
    </row>
    <row r="81" spans="1:142" ht="14.25" thickTop="1" thickBot="1">
      <c r="A81" s="39" t="str">
        <v>BSk</v>
      </c>
      <c r="B81" s="161" t="str">
        <v>Cold Semi-Arid</v>
      </c>
      <c r="C81" s="162">
        <v>0.75</v>
      </c>
      <c r="D81" s="162">
        <v>0</v>
      </c>
      <c r="E81" s="162">
        <v>0.5</v>
      </c>
      <c r="F81" s="162">
        <v>0.25</v>
      </c>
      <c r="G81" s="162">
        <v>0.25</v>
      </c>
      <c r="H81" s="162">
        <v>0</v>
      </c>
      <c r="I81" s="162">
        <v>0.25</v>
      </c>
      <c r="J81" s="162">
        <v>0</v>
      </c>
      <c r="K81" s="162">
        <v>0.25</v>
      </c>
      <c r="L81" s="162">
        <v>0</v>
      </c>
      <c r="M81" s="162">
        <v>0.5</v>
      </c>
      <c r="N81" s="163">
        <v>0.25</v>
      </c>
      <c r="Z81" s="31"/>
      <c r="AA81" s="31"/>
      <c r="AB81" s="31"/>
      <c r="AC81" s="31"/>
      <c r="AD81" s="31"/>
      <c r="AE81" s="31"/>
      <c r="AF81" s="31"/>
      <c r="AG81" s="31"/>
      <c r="AH81" s="31"/>
      <c r="AI81" s="31"/>
      <c r="AK81" s="389"/>
      <c r="AL81" s="452" t="s">
        <v>176</v>
      </c>
      <c r="AM81" s="369"/>
      <c r="AN81" s="217">
        <v>6</v>
      </c>
      <c r="AO81" s="218" t="e">
        <f ca="1">ROUND(AN81*_xludf.ifs(
AND(AU81=TRUE,AW81=TRUE),1,
AU81=TRUE,AV81,
AW81=TRUE,AX81,
TRUE,1),0)</f>
        <v>#NAME?</v>
      </c>
      <c r="AP81" s="57" t="e">
        <f ca="1">ROUND(AO81/SUM(AO$32:AO$252)*AM$27,0)</f>
        <v>#NAME?</v>
      </c>
      <c r="AQ81" s="5" t="str">
        <f ca="1">IFERROR(__xludf.DUMMYFUNCTION("if(O81=0,"""",
filter(I$32:I80,row(I$32:I80)=max(filter(arrayformula(row(I$32:I80)),I$32:I80&lt;&gt;"""")))+
filter(G$32:G80,row(G$32:G80)=max(filter(arrayformula(row(G$32:G80)),G$32:G80&lt;&gt;"""")))
)"),"")</f>
        <v/>
      </c>
      <c r="AR81" s="198" t="str">
        <f ca="1">IFERROR(__xludf.DUMMYFUNCTION("if(G81="""","""",G81-(
filter(G$32:G$252,row(G$32:G$252)=max(filter(arrayformula(row(G$32:G$252)),G$32:G$252&lt;&gt;"""")))
-(10001-
filter(I$32:I$252,row(I$32:I$252)=max(filter(arrayformula(row(I$32:I$252)),I$32:I$252&lt;&gt;""""))))))"),"")</f>
        <v/>
      </c>
      <c r="AS81" s="198" t="e">
        <f ca="1">IF(AY81=0,"",ROUND(AY81/AM$3*10000,0))</f>
        <v>#NAME?</v>
      </c>
      <c r="AT81" s="237" t="b">
        <v>0</v>
      </c>
      <c r="AU81" s="57"/>
      <c r="AV81" s="220">
        <v>0</v>
      </c>
      <c r="AW81" s="82" t="b">
        <f>OR(AU25,BB14:BB15,AQ18)</f>
        <v>0</v>
      </c>
      <c r="AX81" s="220">
        <v>2</v>
      </c>
      <c r="AY81" s="56" t="e">
        <f ca="1">MAX(ROUND(AP81*(AM$1/AM$27),0),IF(AT81=TRUE,1,0))</f>
        <v>#NAME?</v>
      </c>
      <c r="AZ81" s="220">
        <v>10</v>
      </c>
      <c r="BA81" s="221">
        <v>0</v>
      </c>
      <c r="BB81" s="227" t="b">
        <v>1</v>
      </c>
      <c r="BC81" s="223" t="b">
        <v>0</v>
      </c>
      <c r="BD81" s="228" t="b">
        <v>1</v>
      </c>
      <c r="BE81" s="229" t="b">
        <v>1</v>
      </c>
      <c r="BF81" s="179">
        <v>1</v>
      </c>
      <c r="BG81" s="225" t="str">
        <f>IF(BC81=FALSE,"",MIN(BH81:$BK81)-ROUND(($BK81-1-ROUND(80/$AZ81,0))/COUNTIF($BB81:$BE81,TRUE),0))</f>
        <v/>
      </c>
      <c r="BH81" s="225">
        <f>IF(BD81=FALSE,"",MIN(BI81:$BK81)-ROUND(($BK81-1-ROUND(80/$AZ81,0))/COUNTIF($BB81:$BE81,TRUE),0))</f>
        <v>9</v>
      </c>
      <c r="BI81" s="225">
        <f>IF(BE81=FALSE,"",MIN(BJ81:$BK81)-ROUND(($BK81-1-ROUND(80/$AZ81,0))/COUNTIF($BB81:$BE81,TRUE),0))</f>
        <v>38</v>
      </c>
      <c r="BJ81" s="225">
        <f>IF(BB81=FALSE,"",MIN($BK81:BK81)-ROUND(($BK81-1-ROUND(80/$AZ81,0))/COUNTIF($BB81:$BE81,TRUE),0))</f>
        <v>67</v>
      </c>
      <c r="BK81" s="107">
        <f>101-ROUND(Ag!BU$7*100,0)</f>
        <v>96</v>
      </c>
      <c r="BL81" s="63">
        <v>3</v>
      </c>
      <c r="BM81" s="82">
        <f t="array" ref="BM81">MIN(BL81,INDEX([1]Basic!L$26:L$34, MATCH([1]Basic!D$5,[1]Basic!B$26:B$34,0)))</f>
        <v>3</v>
      </c>
      <c r="BS81" s="371" t="s">
        <v>133</v>
      </c>
      <c r="BT81" s="369"/>
      <c r="BU81" s="56">
        <f ca="1">BY72+((BW73-1)*BY73)</f>
        <v>0</v>
      </c>
      <c r="BV81" s="56" t="e">
        <f ca="1">BV60-SUM(BV82:BV86)</f>
        <v>#NAME?</v>
      </c>
      <c r="BW81" s="56" t="e">
        <f ca="1"/>
        <v>#NAME?</v>
      </c>
      <c r="BX81" s="82" t="s">
        <v>134</v>
      </c>
      <c r="DT81" s="171" t="s">
        <v>1163</v>
      </c>
      <c r="DU81" s="167" t="e">
        <f ca="1">[1]Entry!E34&gt;0.5</f>
        <v>#NAME?</v>
      </c>
      <c r="DV81" s="82">
        <v>3</v>
      </c>
      <c r="DW81" s="63">
        <v>0</v>
      </c>
      <c r="DY81" s="338" t="s">
        <v>1164</v>
      </c>
      <c r="DZ81" s="339">
        <v>15</v>
      </c>
      <c r="EC81" s="67" t="s">
        <v>1165</v>
      </c>
      <c r="ED81" s="67">
        <v>16</v>
      </c>
      <c r="EE81" s="67" t="s">
        <v>1166</v>
      </c>
      <c r="EF81" s="67">
        <v>14</v>
      </c>
      <c r="EG81" s="67" t="s">
        <v>1167</v>
      </c>
      <c r="EH81" s="67">
        <v>18</v>
      </c>
      <c r="EI81" s="67" t="s">
        <v>1168</v>
      </c>
      <c r="EJ81" s="76">
        <v>18</v>
      </c>
      <c r="EK81" s="74" t="s">
        <v>1169</v>
      </c>
      <c r="EL81" s="74">
        <v>15</v>
      </c>
    </row>
    <row r="82" spans="1:142" ht="14.25" thickTop="1" thickBot="1">
      <c r="A82" s="39" t="str">
        <v>Cfa</v>
      </c>
      <c r="B82" s="161" t="str">
        <v>Humid Subtropical</v>
      </c>
      <c r="C82" s="162">
        <v>0.9</v>
      </c>
      <c r="D82" s="162">
        <v>0.9</v>
      </c>
      <c r="E82" s="162">
        <v>1</v>
      </c>
      <c r="F82" s="162">
        <v>0.5</v>
      </c>
      <c r="G82" s="162">
        <v>0.75</v>
      </c>
      <c r="H82" s="162">
        <v>1</v>
      </c>
      <c r="I82" s="162">
        <v>1</v>
      </c>
      <c r="J82" s="162">
        <v>0.75</v>
      </c>
      <c r="K82" s="162">
        <v>0.5</v>
      </c>
      <c r="L82" s="162">
        <v>0.5</v>
      </c>
      <c r="M82" s="162">
        <v>0.75</v>
      </c>
      <c r="N82" s="163">
        <v>1</v>
      </c>
      <c r="Z82" s="31"/>
      <c r="AA82" s="31"/>
      <c r="AB82" s="31"/>
      <c r="AC82" s="31"/>
      <c r="AD82" s="31"/>
      <c r="AE82" s="31"/>
      <c r="AF82" s="31"/>
      <c r="AG82" s="31"/>
      <c r="AH82" s="31"/>
      <c r="AI82" s="31"/>
      <c r="AK82" s="389"/>
      <c r="AL82" s="452" t="s">
        <v>181</v>
      </c>
      <c r="AM82" s="369"/>
      <c r="AN82" s="217">
        <v>25</v>
      </c>
      <c r="AO82" s="218" t="e">
        <f ca="1">ROUND(AN82*_xludf.ifs(
AND(AU82=TRUE,AW82=TRUE),1,
AU82=TRUE,AV82,
AW82=TRUE,AX82,
TRUE,1),0)</f>
        <v>#NAME?</v>
      </c>
      <c r="AP82" s="57" t="e">
        <f ca="1">ROUND(AO82/SUM(AO$32:AO$252)*AM$27,0)</f>
        <v>#NAME?</v>
      </c>
      <c r="AQ82" s="5" t="str">
        <f ca="1">IFERROR(__xludf.DUMMYFUNCTION("if(O82=0,"""",
filter(I$32:I81,row(I$32:I81)=max(filter(arrayformula(row(I$32:I81)),I$32:I81&lt;&gt;"""")))+
filter(G$32:G81,row(G$32:G81)=max(filter(arrayformula(row(G$32:G81)),G$32:G81&lt;&gt;"""")))
)"),"")</f>
        <v/>
      </c>
      <c r="AR82" s="198" t="str">
        <f ca="1">IFERROR(__xludf.DUMMYFUNCTION("if(G82="""","""",G82-(
filter(G$32:G$252,row(G$32:G$252)=max(filter(arrayformula(row(G$32:G$252)),G$32:G$252&lt;&gt;"""")))
-(10001-
filter(I$32:I$252,row(I$32:I$252)=max(filter(arrayformula(row(I$32:I$252)),I$32:I$252&lt;&gt;""""))))))"),"")</f>
        <v/>
      </c>
      <c r="AS82" s="198" t="e">
        <f ca="1">IF(AY82=0,"",ROUND(AY82/AM$3*10000,0))</f>
        <v>#NAME?</v>
      </c>
      <c r="AT82" s="237" t="b">
        <v>0</v>
      </c>
      <c r="AU82" s="57"/>
      <c r="AV82" s="220">
        <v>0</v>
      </c>
      <c r="AW82" s="82" t="b">
        <f>OR(AU22,AU7:AU9,AQ13)</f>
        <v>0</v>
      </c>
      <c r="AX82" s="220">
        <v>2</v>
      </c>
      <c r="AY82" s="56" t="e">
        <f ca="1">MAX(ROUND(AP82*(AM$1/AM$27),0),IF(AT82=TRUE,1,0))</f>
        <v>#NAME?</v>
      </c>
      <c r="AZ82" s="220">
        <v>3</v>
      </c>
      <c r="BA82" s="221">
        <v>0</v>
      </c>
      <c r="BB82" s="222" t="b">
        <v>0</v>
      </c>
      <c r="BC82" s="223" t="b">
        <v>0</v>
      </c>
      <c r="BD82" s="223" t="b">
        <v>0</v>
      </c>
      <c r="BE82" s="224" t="b">
        <v>0</v>
      </c>
      <c r="BF82" s="179">
        <v>1</v>
      </c>
      <c r="BG82" s="225" t="str">
        <f>IF(BC82=FALSE,"",MIN(BH82:$BK82)-ROUND(($BK82-1-ROUND(80/$AZ82,0))/COUNTIF($BB82:$BE82,TRUE),0))</f>
        <v/>
      </c>
      <c r="BH82" s="225" t="str">
        <f>IF(BD82=FALSE,"",MIN(BI82:$BK82)-ROUND(($BK82-1-ROUND(80/$AZ82,0))/COUNTIF($BB82:$BE82,TRUE),0))</f>
        <v/>
      </c>
      <c r="BI82" s="225" t="str">
        <f>IF(BE82=FALSE,"",MIN(BJ82:$BK82)-ROUND(($BK82-1-ROUND(80/$AZ82,0))/COUNTIF($BB82:$BE82,TRUE),0))</f>
        <v/>
      </c>
      <c r="BJ82" s="225" t="str">
        <f>IF(BB82=FALSE,"",MIN($BK82:BK82)-ROUND(($BK82-1-ROUND(80/$AZ82,0))/COUNTIF($BB82:$BE82,TRUE),0))</f>
        <v/>
      </c>
      <c r="BK82" s="107">
        <f>101-ROUND(Ag!BU$7*100,0)</f>
        <v>96</v>
      </c>
      <c r="BL82" s="63">
        <v>2</v>
      </c>
      <c r="BM82" s="82">
        <f t="array" ref="BM82">MIN(BL82,INDEX([1]Basic!L$26:L$34, MATCH([1]Basic!D$5,[1]Basic!B$26:B$34,0)))</f>
        <v>2</v>
      </c>
      <c r="BS82" s="371" t="s">
        <v>135</v>
      </c>
      <c r="BT82" s="369"/>
      <c r="BU82" s="56">
        <f ca="1">BY73+((BW74-1)*BY74)</f>
        <v>0</v>
      </c>
      <c r="BV82" s="56" t="e">
        <f ca="1">_xludf.ifs(AND(BU82=0,BU81=0),0,
BU82=0,1,
AND(SUM(BV83:BV$86)=1,BV$60&gt;1),1,
SUM(BV83:BV$86)&gt;=BV$60,0,
SUM(BV83:BV$86)&lt;BV$60,MIN(BV$60-SUM(BV83:BV$86),2))</f>
        <v>#NAME?</v>
      </c>
      <c r="BW82" s="56" t="e">
        <f ca="1"/>
        <v>#NAME?</v>
      </c>
      <c r="BX82" s="82" t="s">
        <v>136</v>
      </c>
      <c r="DT82" s="171" t="s">
        <v>62</v>
      </c>
      <c r="DU82" s="167" t="e">
        <f t="array" aca="1" ref="DU82" ca="1">AND(IF(OR(DZ16={"ET","EF"}),FALSE,TRUE),EB26=FALSE)</f>
        <v>#NAME?</v>
      </c>
      <c r="DV82" s="56">
        <f>IF(EJ27,5,2)</f>
        <v>2</v>
      </c>
      <c r="DW82" s="63">
        <v>0.05</v>
      </c>
      <c r="DY82" s="338" t="s">
        <v>1170</v>
      </c>
      <c r="DZ82" s="339">
        <v>17</v>
      </c>
      <c r="EC82" s="67" t="s">
        <v>1171</v>
      </c>
      <c r="ED82" s="67">
        <v>18</v>
      </c>
      <c r="EE82" s="67" t="s">
        <v>1172</v>
      </c>
      <c r="EF82" s="67">
        <v>16</v>
      </c>
      <c r="EG82" s="74" t="s">
        <v>1173</v>
      </c>
      <c r="EH82" s="74">
        <v>20</v>
      </c>
      <c r="EI82" s="67" t="s">
        <v>1174</v>
      </c>
      <c r="EJ82" s="67">
        <v>19</v>
      </c>
    </row>
    <row r="83" spans="1:142" ht="14.25" thickTop="1" thickBot="1">
      <c r="A83" s="39" t="str">
        <v>Cfb</v>
      </c>
      <c r="B83" s="161" t="str">
        <v>Temperate Oceanic</v>
      </c>
      <c r="C83" s="162">
        <v>0.8</v>
      </c>
      <c r="D83" s="162">
        <v>0.75</v>
      </c>
      <c r="E83" s="162">
        <v>0.9</v>
      </c>
      <c r="F83" s="162">
        <v>1</v>
      </c>
      <c r="G83" s="162">
        <v>1</v>
      </c>
      <c r="H83" s="162">
        <v>1</v>
      </c>
      <c r="I83" s="162">
        <v>0.5</v>
      </c>
      <c r="J83" s="162">
        <v>0.25</v>
      </c>
      <c r="K83" s="162">
        <v>0.25</v>
      </c>
      <c r="L83" s="162">
        <v>0</v>
      </c>
      <c r="M83" s="162">
        <v>0</v>
      </c>
      <c r="N83" s="163">
        <v>1</v>
      </c>
      <c r="Z83" s="31"/>
      <c r="AA83" s="31"/>
      <c r="AB83" s="31"/>
      <c r="AC83" s="31"/>
      <c r="AD83" s="31"/>
      <c r="AE83" s="31"/>
      <c r="AF83" s="31"/>
      <c r="AG83" s="31"/>
      <c r="AH83" s="31"/>
      <c r="AI83" s="31"/>
      <c r="AK83" s="389"/>
      <c r="AL83" s="452" t="s">
        <v>186</v>
      </c>
      <c r="AM83" s="369"/>
      <c r="AN83" s="217">
        <v>40</v>
      </c>
      <c r="AO83" s="218" t="e">
        <f ca="1">ROUND(AN83*_xludf.ifs(
AND(AU83=TRUE,AW83=TRUE),1,
AU83=TRUE,AV83,
AW83=TRUE,AX83,
TRUE,1),0)</f>
        <v>#NAME?</v>
      </c>
      <c r="AP83" s="57" t="e">
        <f ca="1">ROUND(AO83/SUM(AO$32:AO$252)*AM$27,0)</f>
        <v>#NAME?</v>
      </c>
      <c r="AQ83" s="5" t="str">
        <f ca="1">IFERROR(__xludf.DUMMYFUNCTION("if(O83=0,"""",
filter(I$32:I82,row(I$32:I82)=max(filter(arrayformula(row(I$32:I82)),I$32:I82&lt;&gt;"""")))+
filter(G$32:G82,row(G$32:G82)=max(filter(arrayformula(row(G$32:G82)),G$32:G82&lt;&gt;"""")))
)"),"")</f>
        <v/>
      </c>
      <c r="AR83" s="198" t="str">
        <f ca="1">IFERROR(__xludf.DUMMYFUNCTION("if(G83="""","""",G83-(
filter(G$32:G$252,row(G$32:G$252)=max(filter(arrayformula(row(G$32:G$252)),G$32:G$252&lt;&gt;"""")))
-(10001-
filter(I$32:I$252,row(I$32:I$252)=max(filter(arrayformula(row(I$32:I$252)),I$32:I$252&lt;&gt;""""))))))"),"")</f>
        <v/>
      </c>
      <c r="AS83" s="198" t="e">
        <f ca="1">IF(AY83=0,"",ROUND(AY83/AM$3*10000,0))</f>
        <v>#NAME?</v>
      </c>
      <c r="AT83" s="237" t="b">
        <v>0</v>
      </c>
      <c r="AU83" s="57"/>
      <c r="AV83" s="220">
        <v>0</v>
      </c>
      <c r="AW83" s="82"/>
      <c r="AX83" s="220">
        <v>2</v>
      </c>
      <c r="AY83" s="56" t="e">
        <f ca="1">MAX(ROUND(AP83*(AM$1/AM$27),0),IF(AT83=TRUE,1,0))</f>
        <v>#NAME?</v>
      </c>
      <c r="AZ83" s="220">
        <v>3</v>
      </c>
      <c r="BA83" s="221">
        <v>0</v>
      </c>
      <c r="BB83" s="222" t="b">
        <v>0</v>
      </c>
      <c r="BC83" s="223" t="b">
        <v>0</v>
      </c>
      <c r="BD83" s="223" t="b">
        <v>0</v>
      </c>
      <c r="BE83" s="224" t="b">
        <v>0</v>
      </c>
      <c r="BF83" s="179">
        <v>1</v>
      </c>
      <c r="BG83" s="225" t="str">
        <f>IF(BC83=FALSE,"",MIN(BH83:$BK83)-ROUND(($BK83-1-ROUND(80/$AZ83,0))/COUNTIF($BB83:$BE83,TRUE),0))</f>
        <v/>
      </c>
      <c r="BH83" s="225" t="str">
        <f>IF(BD83=FALSE,"",MIN(BI83:$BK83)-ROUND(($BK83-1-ROUND(80/$AZ83,0))/COUNTIF($BB83:$BE83,TRUE),0))</f>
        <v/>
      </c>
      <c r="BI83" s="225" t="str">
        <f>IF(BE83=FALSE,"",MIN(BJ83:$BK83)-ROUND(($BK83-1-ROUND(80/$AZ83,0))/COUNTIF($BB83:$BE83,TRUE),0))</f>
        <v/>
      </c>
      <c r="BJ83" s="225" t="str">
        <f>IF(BB83=FALSE,"",MIN($BK83:BK83)-ROUND(($BK83-1-ROUND(80/$AZ83,0))/COUNTIF($BB83:$BE83,TRUE),0))</f>
        <v/>
      </c>
      <c r="BK83" s="107">
        <f>101-ROUND(Ag!BU$7*100,0)</f>
        <v>96</v>
      </c>
      <c r="BL83" s="63">
        <v>2</v>
      </c>
      <c r="BM83" s="82">
        <f t="array" ref="BM83">MIN(BL83,INDEX([1]Basic!L$26:L$34, MATCH([1]Basic!D$5,[1]Basic!B$26:B$34,0)))</f>
        <v>2</v>
      </c>
      <c r="BS83" s="371" t="s">
        <v>137</v>
      </c>
      <c r="BT83" s="369"/>
      <c r="BU83" s="56">
        <f ca="1">BY74+((BW75-1)*BY75)</f>
        <v>0</v>
      </c>
      <c r="BV83" s="56" t="e">
        <f ca="1">_xludf.ifs(AND(BU83=0,BU82=0),0,
BU83=0,1,
AND(SUM(BV84:BV$86)=1,BV$60&gt;1),1,
SUM(BV84:BV$86)&gt;=BV$60,0,
SUM(BV84:BV$86)&lt;BV$60,MIN(BV$60-SUM(BV84:BV$86),2))</f>
        <v>#NAME?</v>
      </c>
      <c r="BW83" s="56" t="e">
        <f ca="1"/>
        <v>#NAME?</v>
      </c>
      <c r="BX83" s="82" t="s">
        <v>138</v>
      </c>
      <c r="DT83" s="171" t="s">
        <v>1175</v>
      </c>
      <c r="DU83" s="167" t="b">
        <f t="array" ref="DU83">OR(EC19:EC21="Sheep")</f>
        <v>1</v>
      </c>
      <c r="DV83" s="82">
        <v>3</v>
      </c>
      <c r="DW83" s="63">
        <v>0</v>
      </c>
      <c r="DY83" s="338" t="s">
        <v>1176</v>
      </c>
      <c r="DZ83" s="339">
        <v>18</v>
      </c>
      <c r="EC83" s="74" t="s">
        <v>1177</v>
      </c>
      <c r="ED83" s="74">
        <v>20</v>
      </c>
      <c r="EE83" s="67" t="s">
        <v>1178</v>
      </c>
      <c r="EF83" s="67">
        <v>18</v>
      </c>
      <c r="EI83" s="74" t="s">
        <v>1179</v>
      </c>
      <c r="EJ83" s="74">
        <v>20</v>
      </c>
    </row>
    <row r="84" spans="1:142" ht="13.5" thickTop="1">
      <c r="A84" s="39" t="str">
        <v>Cfc</v>
      </c>
      <c r="B84" s="161" t="str">
        <v>Subpolar Oceanic</v>
      </c>
      <c r="C84" s="162">
        <v>0.5</v>
      </c>
      <c r="D84" s="162">
        <v>0</v>
      </c>
      <c r="E84" s="162">
        <v>0.1</v>
      </c>
      <c r="F84" s="162">
        <v>0.5</v>
      </c>
      <c r="G84" s="162">
        <v>0.25</v>
      </c>
      <c r="H84" s="162">
        <v>0.75</v>
      </c>
      <c r="I84" s="162">
        <v>0</v>
      </c>
      <c r="J84" s="162">
        <v>0</v>
      </c>
      <c r="K84" s="162">
        <v>0</v>
      </c>
      <c r="L84" s="162">
        <v>0</v>
      </c>
      <c r="M84" s="162">
        <v>0</v>
      </c>
      <c r="N84" s="163">
        <v>0.25</v>
      </c>
      <c r="Z84" s="31"/>
      <c r="AA84" s="31"/>
      <c r="AB84" s="31"/>
      <c r="AC84" s="31"/>
      <c r="AD84" s="31"/>
      <c r="AE84" s="31"/>
      <c r="AF84" s="31"/>
      <c r="AG84" s="31"/>
      <c r="AH84" s="31"/>
      <c r="AI84" s="31"/>
      <c r="AK84" s="389"/>
      <c r="AL84" s="452" t="s">
        <v>192</v>
      </c>
      <c r="AM84" s="369"/>
      <c r="AN84" s="217">
        <v>100</v>
      </c>
      <c r="AO84" s="218" t="e">
        <f ca="1">ROUND(AN84*_xludf.ifs(
AND(AU84=TRUE,AW84=TRUE),1,
AU84=TRUE,AV84,
AW84=TRUE,AX84,
TRUE,1),0)</f>
        <v>#NAME?</v>
      </c>
      <c r="AP84" s="57" t="e">
        <f ca="1">ROUND(AO84/SUM(AO$32:AO$252)*AM$27,0)</f>
        <v>#NAME?</v>
      </c>
      <c r="AQ84" s="5" t="str">
        <f ca="1">IFERROR(__xludf.DUMMYFUNCTION("if(O84=0,"""",
filter(I$32:I83,row(I$32:I83)=max(filter(arrayformula(row(I$32:I83)),I$32:I83&lt;&gt;"""")))+
filter(G$32:G83,row(G$32:G83)=max(filter(arrayformula(row(G$32:G83)),G$32:G83&lt;&gt;"""")))
)"),"")</f>
        <v/>
      </c>
      <c r="AR84" s="198" t="str">
        <f ca="1">IFERROR(__xludf.DUMMYFUNCTION("if(G84="""","""",G84-(
filter(G$32:G$252,row(G$32:G$252)=max(filter(arrayformula(row(G$32:G$252)),G$32:G$252&lt;&gt;"""")))
-(10001-
filter(I$32:I$252,row(I$32:I$252)=max(filter(arrayformula(row(I$32:I$252)),I$32:I$252&lt;&gt;""""))))))"),"")</f>
        <v/>
      </c>
      <c r="AS84" s="198" t="e">
        <f ca="1">IF(AY84=0,"",ROUND(AY84/AM$3*10000,0))</f>
        <v>#NAME?</v>
      </c>
      <c r="AT84" s="237" t="b">
        <v>0</v>
      </c>
      <c r="AU84" s="57"/>
      <c r="AV84" s="220">
        <v>0</v>
      </c>
      <c r="AW84" s="82" t="b">
        <f>OR(AQ22,AU16)</f>
        <v>0</v>
      </c>
      <c r="AX84" s="220">
        <v>2</v>
      </c>
      <c r="AY84" s="56" t="e">
        <f ca="1">MAX(ROUND(AP84*(AM$1/AM$27),0),IF(AT84=TRUE,1,0))</f>
        <v>#NAME?</v>
      </c>
      <c r="AZ84" s="220">
        <v>5</v>
      </c>
      <c r="BA84" s="221">
        <v>0</v>
      </c>
      <c r="BB84" s="222" t="b">
        <v>0</v>
      </c>
      <c r="BC84" s="223" t="b">
        <v>0</v>
      </c>
      <c r="BD84" s="228" t="b">
        <v>1</v>
      </c>
      <c r="BE84" s="224" t="b">
        <v>0</v>
      </c>
      <c r="BF84" s="179">
        <v>1</v>
      </c>
      <c r="BG84" s="225" t="str">
        <f>IF(BC84=FALSE,"",MIN(BH84:$BK84)-ROUND(($BK84-1-ROUND(80/$AZ84,0))/COUNTIF($BB84:$BE84,TRUE),0))</f>
        <v/>
      </c>
      <c r="BH84" s="225">
        <f>IF(BD84=FALSE,"",MIN(BI84:$BK84)-ROUND(($BK84-1-ROUND(80/$AZ84,0))/COUNTIF($BB84:$BE84,TRUE),0))</f>
        <v>17</v>
      </c>
      <c r="BI84" s="225" t="str">
        <f>IF(BE84=FALSE,"",MIN(BJ84:$BK84)-ROUND(($BK84-1-ROUND(80/$AZ84,0))/COUNTIF($BB84:$BE84,TRUE),0))</f>
        <v/>
      </c>
      <c r="BJ84" s="225" t="str">
        <f>IF(BB84=FALSE,"",MIN($BK84:BK84)-ROUND(($BK84-1-ROUND(80/$AZ84,0))/COUNTIF($BB84:$BE84,TRUE),0))</f>
        <v/>
      </c>
      <c r="BK84" s="107">
        <f>101-ROUND(Ag!BU$7*100,0)</f>
        <v>96</v>
      </c>
      <c r="BL84" s="63">
        <v>3</v>
      </c>
      <c r="BM84" s="82">
        <f t="array" ref="BM84">MIN(BL84,INDEX([1]Basic!L$26:L$34, MATCH([1]Basic!D$5,[1]Basic!B$26:B$34,0)))</f>
        <v>3</v>
      </c>
      <c r="BS84" s="371" t="s">
        <v>139</v>
      </c>
      <c r="BT84" s="369"/>
      <c r="BU84" s="56">
        <f ca="1">BY75+((BW76-1)*BY76)</f>
        <v>0</v>
      </c>
      <c r="BV84" s="56" t="e">
        <f ca="1">_xludf.ifs(AND(BU84=0,BU83=0),0,
BU84=0,1,
AND(SUM(BV85:BV$86)=1,BV$60&gt;1),1,
SUM(BV85:BV$86)&gt;=BV$60,0,
SUM(BV85:BV$86)&lt;BV$60,MIN(BV$60-SUM(BV85:BV$86),2))</f>
        <v>#NAME?</v>
      </c>
      <c r="BW84" s="56" t="e">
        <f ca="1"/>
        <v>#NAME?</v>
      </c>
      <c r="BX84" s="82" t="s">
        <v>140</v>
      </c>
      <c r="DT84" s="334" t="s">
        <v>684</v>
      </c>
      <c r="DU84" s="167" t="e">
        <f t="array" aca="1" ref="DU84" ca="1">IF(ED$16=FALSE,FALSE,OR(EC$16:EC$18=DT84))</f>
        <v>#N/A</v>
      </c>
      <c r="DV84" s="82">
        <v>2</v>
      </c>
      <c r="DW84" s="63">
        <v>0</v>
      </c>
      <c r="DY84" s="338" t="s">
        <v>1180</v>
      </c>
      <c r="DZ84" s="339">
        <v>19</v>
      </c>
      <c r="EE84" s="67" t="s">
        <v>1181</v>
      </c>
      <c r="EF84" s="67">
        <v>19</v>
      </c>
    </row>
    <row r="85" spans="1:142" ht="13.5" thickBot="1">
      <c r="A85" s="39" t="str">
        <v>Cwa</v>
      </c>
      <c r="B85" s="161" t="str">
        <v>Subtropical Humid Monsoon</v>
      </c>
      <c r="C85" s="162">
        <v>0.75</v>
      </c>
      <c r="D85" s="162">
        <v>0.9</v>
      </c>
      <c r="E85" s="162">
        <v>1</v>
      </c>
      <c r="F85" s="162">
        <v>1</v>
      </c>
      <c r="G85" s="162">
        <v>0.75</v>
      </c>
      <c r="H85" s="162">
        <v>0.75</v>
      </c>
      <c r="I85" s="162">
        <v>1</v>
      </c>
      <c r="J85" s="162">
        <v>1</v>
      </c>
      <c r="K85" s="162">
        <v>0.5</v>
      </c>
      <c r="L85" s="162">
        <v>0</v>
      </c>
      <c r="M85" s="162">
        <v>1</v>
      </c>
      <c r="N85" s="163">
        <v>1</v>
      </c>
      <c r="Z85" s="31"/>
      <c r="AA85" s="31"/>
      <c r="AB85" s="31"/>
      <c r="AC85" s="31"/>
      <c r="AD85" s="31"/>
      <c r="AE85" s="31"/>
      <c r="AF85" s="31"/>
      <c r="AG85" s="31"/>
      <c r="AH85" s="31"/>
      <c r="AI85" s="31"/>
      <c r="AK85" s="389"/>
      <c r="AL85" s="452" t="s">
        <v>197</v>
      </c>
      <c r="AM85" s="369"/>
      <c r="AN85" s="217">
        <v>65</v>
      </c>
      <c r="AO85" s="218" t="e">
        <f ca="1">ROUND(AN85*_xludf.ifs(
AND(AU85=TRUE,AW85=TRUE),1,
AU85=TRUE,AV85,
AW85=TRUE,AX85,
TRUE,1),0)</f>
        <v>#NAME?</v>
      </c>
      <c r="AP85" s="57" t="e">
        <f ca="1">ROUND(AO85/SUM(AO$32:AO$252)*AM$27,0)</f>
        <v>#NAME?</v>
      </c>
      <c r="AQ85" s="5">
        <f ca="1">IFERROR(__xludf.DUMMYFUNCTION("if(O85=0,"""",
filter(I$32:I84,row(I$32:I84)=max(filter(arrayformula(row(I$32:I84)),I$32:I84&lt;&gt;"""")))+
filter(G$32:G84,row(G$32:G84)=max(filter(arrayformula(row(G$32:G84)),G$32:G84&lt;&gt;"""")))
)"),5004)</f>
        <v>5004</v>
      </c>
      <c r="AR85" s="198">
        <f ca="1">IFERROR(__xludf.DUMMYFUNCTION("if(G85="""","""",G85-(
filter(G$32:G$252,row(G$32:G$252)=max(filter(arrayformula(row(G$32:G$252)),G$32:G$252&lt;&gt;"""")))
-(10001-
filter(I$32:I$252,row(I$32:I$252)=max(filter(arrayformula(row(I$32:I$252)),I$32:I$252&lt;&gt;""""))))))"),4997)</f>
        <v>4997</v>
      </c>
      <c r="AS85" s="198" t="e">
        <f ca="1">IF(AY85=0,"",ROUND(AY85/AM$3*10000,0))</f>
        <v>#NAME?</v>
      </c>
      <c r="AT85" s="219" t="b">
        <v>1</v>
      </c>
      <c r="AU85" s="57"/>
      <c r="AV85" s="220">
        <v>0</v>
      </c>
      <c r="AW85" s="82" t="b">
        <f>OR(AU24)</f>
        <v>0</v>
      </c>
      <c r="AX85" s="220">
        <v>2</v>
      </c>
      <c r="AY85" s="56" t="e">
        <f ca="1">MAX(ROUND(AP85*(AM$1/AM$27),0),IF(AT85=TRUE,1,0))</f>
        <v>#NAME?</v>
      </c>
      <c r="AZ85" s="220">
        <v>5</v>
      </c>
      <c r="BA85" s="221">
        <v>0</v>
      </c>
      <c r="BB85" s="222" t="b">
        <v>0</v>
      </c>
      <c r="BC85" s="223" t="b">
        <v>0</v>
      </c>
      <c r="BD85" s="228" t="b">
        <v>1</v>
      </c>
      <c r="BE85" s="224" t="b">
        <v>0</v>
      </c>
      <c r="BF85" s="179">
        <v>1</v>
      </c>
      <c r="BG85" s="225" t="str">
        <f>IF(BC85=FALSE,"",MIN(BH85:$BK85)-ROUND(($BK85-1-ROUND(80/$AZ85,0))/COUNTIF($BB85:$BE85,TRUE),0))</f>
        <v/>
      </c>
      <c r="BH85" s="225">
        <f>IF(BD85=FALSE,"",MIN(BI85:$BK85)-ROUND(($BK85-1-ROUND(80/$AZ85,0))/COUNTIF($BB85:$BE85,TRUE),0))</f>
        <v>17</v>
      </c>
      <c r="BI85" s="225" t="str">
        <f>IF(BE85=FALSE,"",MIN(BJ85:$BK85)-ROUND(($BK85-1-ROUND(80/$AZ85,0))/COUNTIF($BB85:$BE85,TRUE),0))</f>
        <v/>
      </c>
      <c r="BJ85" s="225" t="str">
        <f>IF(BB85=FALSE,"",MIN($BK85:BK85)-ROUND(($BK85-1-ROUND(80/$AZ85,0))/COUNTIF($BB85:$BE85,TRUE),0))</f>
        <v/>
      </c>
      <c r="BK85" s="107">
        <f>101-ROUND(Ag!BU$7*100,0)</f>
        <v>96</v>
      </c>
      <c r="BL85" s="63">
        <v>3</v>
      </c>
      <c r="BM85" s="82">
        <f t="array" ref="BM85">MIN(BL85,INDEX([1]Basic!L$26:L$34, MATCH([1]Basic!D$5,[1]Basic!B$26:B$34,0)))</f>
        <v>3</v>
      </c>
      <c r="BS85" s="371" t="s">
        <v>141</v>
      </c>
      <c r="BT85" s="369"/>
      <c r="BU85" s="56">
        <f ca="1">BY76+((BW77-1)*BY77)</f>
        <v>0</v>
      </c>
      <c r="BV85" s="56" t="e">
        <f ca="1">_xludf.ifs(AND(BU85=0,BU84=0),0,
BU85=0,1,
AND(SUM(BV86:BV$86)=1,BV$60&gt;1),1,
SUM(BV86:BV$86)&gt;=BV$60,0,
SUM(BV86:BV$86)&lt;BV$60,MIN(BV$60-SUM(BV86:BV$86),2))</f>
        <v>#NAME?</v>
      </c>
      <c r="BW85" s="56" t="e">
        <f ca="1"/>
        <v>#NAME?</v>
      </c>
      <c r="BX85" s="82" t="s">
        <v>142</v>
      </c>
      <c r="DT85" s="171" t="s">
        <v>1182</v>
      </c>
      <c r="DU85" s="171" t="b">
        <v>1</v>
      </c>
      <c r="DV85" s="82">
        <v>2</v>
      </c>
      <c r="DW85" s="63">
        <v>0.05</v>
      </c>
      <c r="DY85" s="340" t="s">
        <v>1183</v>
      </c>
      <c r="DZ85" s="341">
        <v>20</v>
      </c>
      <c r="EE85" s="74" t="s">
        <v>1184</v>
      </c>
      <c r="EF85" s="74">
        <v>20</v>
      </c>
    </row>
    <row r="86" spans="1:142" ht="14.25" thickTop="1" thickBot="1">
      <c r="A86" s="39" t="str">
        <v>Cwb</v>
      </c>
      <c r="B86" s="161" t="str">
        <v>Subtropical Highland</v>
      </c>
      <c r="C86" s="162">
        <v>0.5</v>
      </c>
      <c r="D86" s="162">
        <v>0.75</v>
      </c>
      <c r="E86" s="162">
        <v>0.9</v>
      </c>
      <c r="F86" s="162">
        <v>0.9</v>
      </c>
      <c r="G86" s="162">
        <v>1</v>
      </c>
      <c r="H86" s="162">
        <v>0.75</v>
      </c>
      <c r="I86" s="162">
        <v>0.5</v>
      </c>
      <c r="J86" s="162">
        <v>0.5</v>
      </c>
      <c r="K86" s="162">
        <v>0.75</v>
      </c>
      <c r="L86" s="162">
        <v>0</v>
      </c>
      <c r="M86" s="162">
        <v>1</v>
      </c>
      <c r="N86" s="163">
        <v>1</v>
      </c>
      <c r="Z86" s="31"/>
      <c r="AA86" s="31"/>
      <c r="AB86" s="31"/>
      <c r="AC86" s="31"/>
      <c r="AD86" s="31"/>
      <c r="AE86" s="31"/>
      <c r="AF86" s="31"/>
      <c r="AG86" s="31"/>
      <c r="AH86" s="31"/>
      <c r="AI86" s="31"/>
      <c r="AK86" s="389"/>
      <c r="AL86" s="452" t="s">
        <v>203</v>
      </c>
      <c r="AM86" s="369"/>
      <c r="AN86" s="217">
        <v>2</v>
      </c>
      <c r="AO86" s="218" t="e">
        <f ca="1">ROUND(AN86*_xludf.ifs(
AND(AU86=TRUE,AW86=TRUE),1,
AU86=TRUE,AV86,
AW86=TRUE,AX86,
TRUE,1),0)</f>
        <v>#NAME?</v>
      </c>
      <c r="AP86" s="57" t="e">
        <f ca="1">ROUND(AO86/SUM(AO$32:AO$252)*AM$27,0)</f>
        <v>#NAME?</v>
      </c>
      <c r="AQ86" s="5" t="str">
        <f ca="1">IFERROR(__xludf.DUMMYFUNCTION("if(O86=0,"""",
filter(I$32:I85,row(I$32:I85)=max(filter(arrayformula(row(I$32:I85)),I$32:I85&lt;&gt;"""")))+
filter(G$32:G85,row(G$32:G85)=max(filter(arrayformula(row(G$32:G85)),G$32:G85&lt;&gt;"""")))
)"),"")</f>
        <v/>
      </c>
      <c r="AR86" s="198" t="str">
        <f ca="1">IFERROR(__xludf.DUMMYFUNCTION("if(G86="""","""",G86-(
filter(G$32:G$252,row(G$32:G$252)=max(filter(arrayformula(row(G$32:G$252)),G$32:G$252&lt;&gt;"""")))
-(10001-
filter(I$32:I$252,row(I$32:I$252)=max(filter(arrayformula(row(I$32:I$252)),I$32:I$252&lt;&gt;""""))))))"),"")</f>
        <v/>
      </c>
      <c r="AS86" s="198" t="e">
        <f ca="1">IF(AY86=0,"",ROUND(AY86/AM$3*10000,0))</f>
        <v>#NAME?</v>
      </c>
      <c r="AT86" s="237" t="b">
        <v>0</v>
      </c>
      <c r="AU86" s="57"/>
      <c r="AV86" s="220">
        <v>0</v>
      </c>
      <c r="AW86" s="82" t="b">
        <f>OR(AQ8:AQ9,AQ22,AQ13)</f>
        <v>0</v>
      </c>
      <c r="AX86" s="220">
        <v>3</v>
      </c>
      <c r="AY86" s="56" t="e">
        <f ca="1">MAX(ROUND(AP86*(AM$1/AM$27),0),IF(AT86=TRUE,1,0))</f>
        <v>#NAME?</v>
      </c>
      <c r="AZ86" s="220">
        <v>10</v>
      </c>
      <c r="BA86" s="221">
        <v>0</v>
      </c>
      <c r="BB86" s="227" t="b">
        <v>1</v>
      </c>
      <c r="BC86" s="223" t="b">
        <v>0</v>
      </c>
      <c r="BD86" s="228" t="b">
        <v>1</v>
      </c>
      <c r="BE86" s="229" t="b">
        <v>0</v>
      </c>
      <c r="BF86" s="179">
        <v>1</v>
      </c>
      <c r="BG86" s="225" t="str">
        <f>IF(BC86=FALSE,"",MIN(BH86:$BK86)-ROUND(($BK86-1-ROUND(80/$AZ86,0))/COUNTIF($BB86:$BE86,TRUE),0))</f>
        <v/>
      </c>
      <c r="BH86" s="225">
        <f>IF(BD86=FALSE,"",MIN(BI86:$BK86)-ROUND(($BK86-1-ROUND(80/$AZ86,0))/COUNTIF($BB86:$BE86,TRUE),0))</f>
        <v>8</v>
      </c>
      <c r="BI86" s="225" t="str">
        <f>IF(BE86=FALSE,"",MIN(BJ86:$BK86)-ROUND(($BK86-1-ROUND(80/$AZ86,0))/COUNTIF($BB86:$BE86,TRUE),0))</f>
        <v/>
      </c>
      <c r="BJ86" s="225">
        <f>IF(BB86=FALSE,"",MIN($BK86:BK86)-ROUND(($BK86-1-ROUND(80/$AZ86,0))/COUNTIF($BB86:$BE86,TRUE),0))</f>
        <v>52</v>
      </c>
      <c r="BK86" s="107">
        <f>101-ROUND(Ag!BU$7*100,0)</f>
        <v>96</v>
      </c>
      <c r="BL86" s="63">
        <v>3</v>
      </c>
      <c r="BM86" s="82">
        <f t="array" ref="BM86">MIN(BL86,INDEX([1]Basic!L$26:L$34, MATCH([1]Basic!D$5,[1]Basic!B$26:B$34,0)))</f>
        <v>3</v>
      </c>
      <c r="BS86" s="405" t="s">
        <v>143</v>
      </c>
      <c r="BT86" s="361"/>
      <c r="BU86" s="58">
        <f ca="1">BY77+((BW78-1)*BY78)</f>
        <v>0</v>
      </c>
      <c r="BV86" s="58" t="e">
        <f ca="1">_xludf.ifs(AND(BU86=0,BU85=0),0,
BU86=0,1,
AND(SUM(Ag!BV87:BV$86)=1,BV$60&gt;1),1,
SUM(Ag!BV87:BV$86)&gt;=BV$60,0,
SUM(Ag!BV87:BV$86)&lt;BV$60,MIN(BV$60-SUM(Ag!BV87:BV$86),2))</f>
        <v>#NAME?</v>
      </c>
      <c r="BW86" s="58" t="e">
        <f ca="1"/>
        <v>#NAME?</v>
      </c>
      <c r="BX86" s="83" t="s">
        <v>144</v>
      </c>
      <c r="DT86" s="185" t="s">
        <v>26</v>
      </c>
      <c r="DU86" s="185" t="b">
        <v>1</v>
      </c>
      <c r="DV86" s="83">
        <v>0</v>
      </c>
      <c r="DW86" s="66">
        <v>-0.05</v>
      </c>
    </row>
    <row r="87" spans="1:142" ht="14.25" thickTop="1" thickBot="1">
      <c r="A87" s="39" t="str">
        <v>Cwc</v>
      </c>
      <c r="B87" s="161" t="str">
        <v>Cold Subtropical Highland</v>
      </c>
      <c r="C87" s="162">
        <v>0.15</v>
      </c>
      <c r="D87" s="162">
        <v>0</v>
      </c>
      <c r="E87" s="162">
        <v>0.1</v>
      </c>
      <c r="F87" s="162">
        <v>0.25</v>
      </c>
      <c r="G87" s="162">
        <v>0</v>
      </c>
      <c r="H87" s="162">
        <v>0.5</v>
      </c>
      <c r="I87" s="162">
        <v>0.5</v>
      </c>
      <c r="J87" s="162">
        <v>0</v>
      </c>
      <c r="K87" s="162">
        <v>0</v>
      </c>
      <c r="L87" s="162">
        <v>0</v>
      </c>
      <c r="M87" s="162">
        <v>0</v>
      </c>
      <c r="N87" s="163">
        <v>0.25</v>
      </c>
      <c r="Z87" s="31"/>
      <c r="AA87" s="31"/>
      <c r="AB87" s="31"/>
      <c r="AC87" s="31"/>
      <c r="AD87" s="31"/>
      <c r="AE87" s="31"/>
      <c r="AF87" s="31"/>
      <c r="AG87" s="31"/>
      <c r="AH87" s="31"/>
      <c r="AI87" s="31"/>
      <c r="AK87" s="389"/>
      <c r="AL87" s="452" t="s">
        <v>208</v>
      </c>
      <c r="AM87" s="369"/>
      <c r="AN87" s="217">
        <v>25</v>
      </c>
      <c r="AO87" s="218" t="e">
        <f ca="1">ROUND(AN87*_xludf.ifs(
AND(AU87=TRUE,AW87=TRUE),1,
AU87=TRUE,AV87,
AW87=TRUE,AX87,
TRUE,1),0)</f>
        <v>#NAME?</v>
      </c>
      <c r="AP87" s="57" t="e">
        <f ca="1">ROUND(AO87/SUM(AO$32:AO$252)*AM$27,0)</f>
        <v>#NAME?</v>
      </c>
      <c r="AQ87" s="5" t="str">
        <f ca="1">IFERROR(__xludf.DUMMYFUNCTION("if(O87=0,"""",
filter(I$32:I86,row(I$32:I86)=max(filter(arrayformula(row(I$32:I86)),I$32:I86&lt;&gt;"""")))+
filter(G$32:G86,row(G$32:G86)=max(filter(arrayformula(row(G$32:G86)),G$32:G86&lt;&gt;"""")))
)"),"")</f>
        <v/>
      </c>
      <c r="AR87" s="198" t="str">
        <f ca="1">IFERROR(__xludf.DUMMYFUNCTION("if(G87="""","""",G87-(
filter(G$32:G$252,row(G$32:G$252)=max(filter(arrayformula(row(G$32:G$252)),G$32:G$252&lt;&gt;"""")))
-(10001-
filter(I$32:I$252,row(I$32:I$252)=max(filter(arrayformula(row(I$32:I$252)),I$32:I$252&lt;&gt;""""))))))"),"")</f>
        <v/>
      </c>
      <c r="AS87" s="198" t="e">
        <f ca="1">IF(AY87=0,"",ROUND(AY87/AM$3*10000,0))</f>
        <v>#NAME?</v>
      </c>
      <c r="AT87" s="237" t="b">
        <v>0</v>
      </c>
      <c r="AU87" s="57"/>
      <c r="AV87" s="220">
        <v>0</v>
      </c>
      <c r="AW87" s="82" t="b">
        <f>OR(AM8,AM21,AU16,AU22)</f>
        <v>0</v>
      </c>
      <c r="AX87" s="220">
        <v>2</v>
      </c>
      <c r="AY87" s="56" t="e">
        <f ca="1">MAX(ROUND(AP87*(AM$1/AM$27),0),IF(AT87=TRUE,1,0))</f>
        <v>#NAME?</v>
      </c>
      <c r="AZ87" s="220">
        <v>2</v>
      </c>
      <c r="BA87" s="221">
        <v>0</v>
      </c>
      <c r="BB87" s="222" t="b">
        <v>0</v>
      </c>
      <c r="BC87" s="223" t="b">
        <v>0</v>
      </c>
      <c r="BD87" s="223" t="b">
        <v>0</v>
      </c>
      <c r="BE87" s="224" t="b">
        <v>0</v>
      </c>
      <c r="BF87" s="179">
        <v>1</v>
      </c>
      <c r="BG87" s="225" t="str">
        <f>IF(BC87=FALSE,"",MIN(BH87:$BK87)-ROUND(($BK87-1-ROUND(80/$AZ87,0))/COUNTIF($BB87:$BE87,TRUE),0))</f>
        <v/>
      </c>
      <c r="BH87" s="225" t="str">
        <f>IF(BD87=FALSE,"",MIN(BI87:$BK87)-ROUND(($BK87-1-ROUND(80/$AZ87,0))/COUNTIF($BB87:$BE87,TRUE),0))</f>
        <v/>
      </c>
      <c r="BI87" s="225" t="str">
        <f>IF(BE87=FALSE,"",MIN(BJ87:$BK87)-ROUND(($BK87-1-ROUND(80/$AZ87,0))/COUNTIF($BB87:$BE87,TRUE),0))</f>
        <v/>
      </c>
      <c r="BJ87" s="225" t="str">
        <f>IF(BB87=FALSE,"",MIN($BK87:BK87)-ROUND(($BK87-1-ROUND(80/$AZ87,0))/COUNTIF($BB87:$BE87,TRUE),0))</f>
        <v/>
      </c>
      <c r="BK87" s="107">
        <f>101-ROUND(Ag!BU$7*100,0)</f>
        <v>96</v>
      </c>
      <c r="BL87" s="63">
        <v>2</v>
      </c>
      <c r="BM87" s="82">
        <f t="array" ref="BM87">MIN(BL87,INDEX([1]Basic!L$26:L$34, MATCH([1]Basic!D$5,[1]Basic!B$26:B$34,0)))</f>
        <v>2</v>
      </c>
      <c r="DY87" s="398" t="s">
        <v>1185</v>
      </c>
      <c r="DZ87" s="354"/>
      <c r="EA87" s="354"/>
      <c r="EB87" s="354"/>
      <c r="EC87" s="354"/>
      <c r="ED87" s="354"/>
      <c r="EE87" s="354"/>
      <c r="EF87" s="354"/>
      <c r="EG87" s="354"/>
      <c r="EH87" s="354"/>
      <c r="EI87" s="355"/>
    </row>
    <row r="88" spans="1:142" ht="14.25" thickTop="1" thickBot="1">
      <c r="A88" s="39" t="str">
        <v>Csa</v>
      </c>
      <c r="B88" s="161" t="str">
        <v>Hot Mediterranean</v>
      </c>
      <c r="C88" s="162">
        <v>0.5</v>
      </c>
      <c r="D88" s="162">
        <v>0.5</v>
      </c>
      <c r="E88" s="162">
        <v>0.9</v>
      </c>
      <c r="F88" s="162">
        <v>0.9</v>
      </c>
      <c r="G88" s="162">
        <v>0.75</v>
      </c>
      <c r="H88" s="162">
        <v>0.5</v>
      </c>
      <c r="I88" s="162">
        <v>0.5</v>
      </c>
      <c r="J88" s="162">
        <v>0.25</v>
      </c>
      <c r="K88" s="162">
        <v>0.25</v>
      </c>
      <c r="L88" s="162">
        <v>0</v>
      </c>
      <c r="M88" s="162">
        <v>0</v>
      </c>
      <c r="N88" s="163">
        <v>1</v>
      </c>
      <c r="Z88" s="31"/>
      <c r="AA88" s="31"/>
      <c r="AB88" s="31"/>
      <c r="AC88" s="31"/>
      <c r="AD88" s="31"/>
      <c r="AE88" s="31"/>
      <c r="AF88" s="31"/>
      <c r="AG88" s="31"/>
      <c r="AH88" s="31"/>
      <c r="AI88" s="31"/>
      <c r="AK88" s="389"/>
      <c r="AL88" s="452" t="s">
        <v>214</v>
      </c>
      <c r="AM88" s="369"/>
      <c r="AN88" s="217">
        <v>2</v>
      </c>
      <c r="AO88" s="218" t="e">
        <f ca="1">ROUND(AN88*_xludf.ifs(
AND(AU88=TRUE,AW88=TRUE),1,
AU88=TRUE,AV88,
AW88=TRUE,AX88,
TRUE,1),0)</f>
        <v>#NAME?</v>
      </c>
      <c r="AP88" s="57" t="e">
        <f ca="1">ROUND(AO88/SUM(AO$32:AO$252)*AM$27,0)</f>
        <v>#NAME?</v>
      </c>
      <c r="AQ88" s="5" t="str">
        <f ca="1">IFERROR(__xludf.DUMMYFUNCTION("if(O88=0,"""",
filter(I$32:I87,row(I$32:I87)=max(filter(arrayformula(row(I$32:I87)),I$32:I87&lt;&gt;"""")))+
filter(G$32:G87,row(G$32:G87)=max(filter(arrayformula(row(G$32:G87)),G$32:G87&lt;&gt;"""")))
)"),"")</f>
        <v/>
      </c>
      <c r="AR88" s="198" t="str">
        <f ca="1">IFERROR(__xludf.DUMMYFUNCTION("if(G88="""","""",G88-(
filter(G$32:G$252,row(G$32:G$252)=max(filter(arrayformula(row(G$32:G$252)),G$32:G$252&lt;&gt;"""")))
-(10001-
filter(I$32:I$252,row(I$32:I$252)=max(filter(arrayformula(row(I$32:I$252)),I$32:I$252&lt;&gt;""""))))))"),"")</f>
        <v/>
      </c>
      <c r="AS88" s="198" t="e">
        <f ca="1">IF(AY88=0,"",ROUND(AY88/AM$3*10000,0))</f>
        <v>#NAME?</v>
      </c>
      <c r="AT88" s="237" t="b">
        <v>0</v>
      </c>
      <c r="AU88" s="57"/>
      <c r="AV88" s="220">
        <v>0</v>
      </c>
      <c r="AW88" s="82" t="b">
        <f>OR(AQ8:AQ9,AQ22,AQ13)</f>
        <v>0</v>
      </c>
      <c r="AX88" s="220">
        <v>3</v>
      </c>
      <c r="AY88" s="56" t="e">
        <f ca="1">MAX(ROUND(AP88*(AM$1/AM$27),0),IF(AT88=TRUE,1,0))</f>
        <v>#NAME?</v>
      </c>
      <c r="AZ88" s="220">
        <v>10</v>
      </c>
      <c r="BA88" s="221">
        <v>0</v>
      </c>
      <c r="BB88" s="227" t="b">
        <v>1</v>
      </c>
      <c r="BC88" s="223" t="b">
        <v>0</v>
      </c>
      <c r="BD88" s="228" t="b">
        <v>1</v>
      </c>
      <c r="BE88" s="229" t="b">
        <v>0</v>
      </c>
      <c r="BF88" s="179">
        <v>1</v>
      </c>
      <c r="BG88" s="225" t="str">
        <f>IF(BC88=FALSE,"",MIN(BH88:$BK88)-ROUND(($BK88-1-ROUND(80/$AZ88,0))/COUNTIF($BB88:$BE88,TRUE),0))</f>
        <v/>
      </c>
      <c r="BH88" s="225">
        <f>IF(BD88=FALSE,"",MIN(BI88:$BK88)-ROUND(($BK88-1-ROUND(80/$AZ88,0))/COUNTIF($BB88:$BE88,TRUE),0))</f>
        <v>8</v>
      </c>
      <c r="BI88" s="225" t="str">
        <f>IF(BE88=FALSE,"",MIN(BJ88:$BK88)-ROUND(($BK88-1-ROUND(80/$AZ88,0))/COUNTIF($BB88:$BE88,TRUE),0))</f>
        <v/>
      </c>
      <c r="BJ88" s="225">
        <f>IF(BB88=FALSE,"",MIN($BK88:BK88)-ROUND(($BK88-1-ROUND(80/$AZ88,0))/COUNTIF($BB88:$BE88,TRUE),0))</f>
        <v>52</v>
      </c>
      <c r="BK88" s="107">
        <f>101-ROUND(Ag!BU$7*100,0)</f>
        <v>96</v>
      </c>
      <c r="BL88" s="63">
        <v>3</v>
      </c>
      <c r="BM88" s="82">
        <f t="array" ref="BM88">MIN(BL88,INDEX([1]Basic!L$26:L$34, MATCH([1]Basic!D$5,[1]Basic!B$26:B$34,0)))</f>
        <v>3</v>
      </c>
      <c r="DT88" s="398" t="s">
        <v>1186</v>
      </c>
      <c r="DU88" s="355"/>
      <c r="DW88" s="94"/>
      <c r="DY88" s="494" t="e">
        <f ca="1">"Many of structures in the city are "&amp;DZ73&amp;", often using the locally available "&amp;EE47&amp;" "&amp;LOWER(EA47)&amp;" in their foundations and walls. 
They are mainly of "&amp;EB73&amp;" with a "&amp;EJ73&amp;" floor plan. 
The "&amp;EF73&amp;" style roofs are typically covered in "&amp;ED73&amp;", and the buildings are decorated in "&amp;EH73&amp;" style. 
The main thoroughfares in the city are "&amp;EL73&amp;"."</f>
        <v>#N/A</v>
      </c>
      <c r="DZ88" s="354"/>
      <c r="EA88" s="354"/>
      <c r="EB88" s="354"/>
      <c r="EC88" s="354"/>
      <c r="ED88" s="354"/>
      <c r="EE88" s="354"/>
      <c r="EF88" s="354"/>
      <c r="EG88" s="354"/>
      <c r="EH88" s="354"/>
      <c r="EI88" s="355"/>
    </row>
    <row r="89" spans="1:142" ht="13.5" thickTop="1">
      <c r="A89" s="39" t="str">
        <v>Csb</v>
      </c>
      <c r="B89" s="161" t="str">
        <v>Warm Mediterranean</v>
      </c>
      <c r="C89" s="162">
        <v>0.75</v>
      </c>
      <c r="D89" s="162">
        <v>0.5</v>
      </c>
      <c r="E89" s="162">
        <v>0.75</v>
      </c>
      <c r="F89" s="162">
        <v>0.9</v>
      </c>
      <c r="G89" s="162">
        <v>1</v>
      </c>
      <c r="H89" s="162">
        <v>0.75</v>
      </c>
      <c r="I89" s="162">
        <v>0.25</v>
      </c>
      <c r="J89" s="162">
        <v>0</v>
      </c>
      <c r="K89" s="162">
        <v>0</v>
      </c>
      <c r="L89" s="162">
        <v>0</v>
      </c>
      <c r="M89" s="162">
        <v>0</v>
      </c>
      <c r="N89" s="163">
        <v>1</v>
      </c>
      <c r="Z89" s="31"/>
      <c r="AA89" s="31"/>
      <c r="AB89" s="31"/>
      <c r="AC89" s="31"/>
      <c r="AD89" s="31"/>
      <c r="AE89" s="31"/>
      <c r="AF89" s="31"/>
      <c r="AG89" s="31"/>
      <c r="AH89" s="31"/>
      <c r="AI89" s="31"/>
      <c r="AK89" s="389"/>
      <c r="AL89" s="452" t="s">
        <v>220</v>
      </c>
      <c r="AM89" s="369"/>
      <c r="AN89" s="217">
        <v>50</v>
      </c>
      <c r="AO89" s="218" t="e">
        <f ca="1">ROUND(AN89*_xludf.ifs(
AND(AU89=TRUE,AW89=TRUE),1,
AU89=TRUE,AV89,
AW89=TRUE,AX89,
TRUE,1),0)</f>
        <v>#NAME?</v>
      </c>
      <c r="AP89" s="57" t="e">
        <f ca="1">ROUND(AO89/SUM(AO$32:AO$252)*AM$27,0)</f>
        <v>#NAME?</v>
      </c>
      <c r="AQ89" s="5" t="str">
        <f ca="1">IFERROR(__xludf.DUMMYFUNCTION("if(O89=0,"""",
filter(I$32:I88,row(I$32:I88)=max(filter(arrayformula(row(I$32:I88)),I$32:I88&lt;&gt;"""")))+
filter(G$32:G88,row(G$32:G88)=max(filter(arrayformula(row(G$32:G88)),G$32:G88&lt;&gt;"""")))
)"),"")</f>
        <v/>
      </c>
      <c r="AR89" s="198" t="str">
        <f ca="1">IFERROR(__xludf.DUMMYFUNCTION("if(G89="""","""",G89-(
filter(G$32:G$252,row(G$32:G$252)=max(filter(arrayformula(row(G$32:G$252)),G$32:G$252&lt;&gt;"""")))
-(10001-
filter(I$32:I$252,row(I$32:I$252)=max(filter(arrayformula(row(I$32:I$252)),I$32:I$252&lt;&gt;""""))))))"),"")</f>
        <v/>
      </c>
      <c r="AS89" s="198" t="e">
        <f ca="1">IF(AY89=0,"",ROUND(AY89/AM$3*10000,0))</f>
        <v>#NAME?</v>
      </c>
      <c r="AT89" s="237" t="b">
        <v>0</v>
      </c>
      <c r="AU89" s="57"/>
      <c r="AV89" s="220">
        <v>0</v>
      </c>
      <c r="AW89" s="82" t="b">
        <f>OR(AQ18:AQ22,AU11,AQ13)</f>
        <v>0</v>
      </c>
      <c r="AX89" s="220">
        <v>2</v>
      </c>
      <c r="AY89" s="56" t="e">
        <f ca="1">MAX(ROUND(AP89*(AM$1/AM$27),0),IF(AT89=TRUE,1,0))</f>
        <v>#NAME?</v>
      </c>
      <c r="AZ89" s="220">
        <v>5</v>
      </c>
      <c r="BA89" s="221">
        <v>0</v>
      </c>
      <c r="BB89" s="222" t="b">
        <v>0</v>
      </c>
      <c r="BC89" s="223" t="b">
        <v>0</v>
      </c>
      <c r="BD89" s="228" t="b">
        <v>1</v>
      </c>
      <c r="BE89" s="224" t="b">
        <v>0</v>
      </c>
      <c r="BF89" s="179">
        <v>1</v>
      </c>
      <c r="BG89" s="225" t="str">
        <f>IF(BC89=FALSE,"",MIN(BH89:$BK89)-ROUND(($BK89-1-ROUND(80/$AZ89,0))/COUNTIF($BB89:$BE89,TRUE),0))</f>
        <v/>
      </c>
      <c r="BH89" s="225">
        <f>IF(BD89=FALSE,"",MIN(BI89:$BK89)-ROUND(($BK89-1-ROUND(80/$AZ89,0))/COUNTIF($BB89:$BE89,TRUE),0))</f>
        <v>17</v>
      </c>
      <c r="BI89" s="225" t="str">
        <f>IF(BE89=FALSE,"",MIN(BJ89:$BK89)-ROUND(($BK89-1-ROUND(80/$AZ89,0))/COUNTIF($BB89:$BE89,TRUE),0))</f>
        <v/>
      </c>
      <c r="BJ89" s="225" t="str">
        <f>IF(BB89=FALSE,"",MIN($BK89:BK89)-ROUND(($BK89-1-ROUND(80/$AZ89,0))/COUNTIF($BB89:$BE89,TRUE),0))</f>
        <v/>
      </c>
      <c r="BK89" s="107">
        <f>101-ROUND(Ag!BU$7*100,0)</f>
        <v>96</v>
      </c>
      <c r="BL89" s="63">
        <v>3</v>
      </c>
      <c r="BM89" s="82">
        <f t="array" ref="BM89">MIN(BL89,INDEX([1]Basic!L$26:L$34, MATCH([1]Basic!D$5,[1]Basic!B$26:B$34,0)))</f>
        <v>3</v>
      </c>
      <c r="DT89" s="476" t="str">
        <f ca="1">IFERROR(__xludf.DUMMYFUNCTION("filter(A13:A84,B13:B84=TRUE)"),"Adamantine/Adamantine Ore")</f>
        <v>Adamantine/Adamantine Ore</v>
      </c>
      <c r="DU89" s="358"/>
      <c r="DW89" s="94"/>
    </row>
    <row r="90" spans="1:142" ht="12.75">
      <c r="A90" s="39" t="str">
        <v>Csc</v>
      </c>
      <c r="B90" s="161" t="str">
        <v>Cold Mediterranean</v>
      </c>
      <c r="C90" s="162">
        <v>0.5</v>
      </c>
      <c r="D90" s="162">
        <v>0</v>
      </c>
      <c r="E90" s="162">
        <v>0.1</v>
      </c>
      <c r="F90" s="162">
        <v>0.1</v>
      </c>
      <c r="G90" s="162">
        <v>0</v>
      </c>
      <c r="H90" s="162">
        <v>0.5</v>
      </c>
      <c r="I90" s="162">
        <v>0</v>
      </c>
      <c r="J90" s="162">
        <v>0</v>
      </c>
      <c r="K90" s="162">
        <v>0</v>
      </c>
      <c r="L90" s="162">
        <v>0</v>
      </c>
      <c r="M90" s="162">
        <v>0</v>
      </c>
      <c r="N90" s="163">
        <v>0.25</v>
      </c>
      <c r="Z90" s="31"/>
      <c r="AA90" s="31"/>
      <c r="AB90" s="31"/>
      <c r="AC90" s="31"/>
      <c r="AD90" s="31"/>
      <c r="AE90" s="31"/>
      <c r="AF90" s="31"/>
      <c r="AG90" s="31"/>
      <c r="AH90" s="31"/>
      <c r="AI90" s="31"/>
      <c r="AK90" s="389"/>
      <c r="AL90" s="452" t="s">
        <v>225</v>
      </c>
      <c r="AM90" s="369"/>
      <c r="AN90" s="217">
        <v>20</v>
      </c>
      <c r="AO90" s="218" t="e">
        <f ca="1">ROUND(AN90*_xludf.ifs(
AND(AU90=TRUE,AW90=TRUE),1,
AU90=TRUE,AV90,
AW90=TRUE,AX90,
TRUE,1),0)</f>
        <v>#NAME?</v>
      </c>
      <c r="AP90" s="57" t="e">
        <f ca="1">ROUND(AO90/SUM(AO$32:AO$252)*AM$27,0)</f>
        <v>#NAME?</v>
      </c>
      <c r="AQ90" s="5" t="str">
        <f ca="1">IFERROR(__xludf.DUMMYFUNCTION("if(O90=0,"""",
filter(I$32:I89,row(I$32:I89)=max(filter(arrayformula(row(I$32:I89)),I$32:I89&lt;&gt;"""")))+
filter(G$32:G89,row(G$32:G89)=max(filter(arrayformula(row(G$32:G89)),G$32:G89&lt;&gt;"""")))
)"),"")</f>
        <v/>
      </c>
      <c r="AR90" s="198" t="str">
        <f ca="1">IFERROR(__xludf.DUMMYFUNCTION("if(G90="""","""",G90-(
filter(G$32:G$252,row(G$32:G$252)=max(filter(arrayformula(row(G$32:G$252)),G$32:G$252&lt;&gt;"""")))
-(10001-
filter(I$32:I$252,row(I$32:I$252)=max(filter(arrayformula(row(I$32:I$252)),I$32:I$252&lt;&gt;""""))))))"),"")</f>
        <v/>
      </c>
      <c r="AS90" s="198" t="e">
        <f ca="1">IF(AY90=0,"",ROUND(AY90/AM$3*10000,0))</f>
        <v>#NAME?</v>
      </c>
      <c r="AT90" s="237" t="b">
        <v>0</v>
      </c>
      <c r="AU90" s="57"/>
      <c r="AV90" s="220">
        <v>0</v>
      </c>
      <c r="AW90" s="82"/>
      <c r="AX90" s="220">
        <v>2</v>
      </c>
      <c r="AY90" s="56" t="e">
        <f ca="1">MAX(ROUND(AP90*(AM$1/AM$27),0),IF(AT90=TRUE,1,0))</f>
        <v>#NAME?</v>
      </c>
      <c r="AZ90" s="220">
        <v>3</v>
      </c>
      <c r="BA90" s="221">
        <v>0</v>
      </c>
      <c r="BB90" s="222" t="b">
        <v>0</v>
      </c>
      <c r="BC90" s="223" t="b">
        <v>0</v>
      </c>
      <c r="BD90" s="223" t="b">
        <v>0</v>
      </c>
      <c r="BE90" s="224" t="b">
        <v>0</v>
      </c>
      <c r="BF90" s="179">
        <v>1</v>
      </c>
      <c r="BG90" s="225" t="str">
        <f>IF(BC90=FALSE,"",MIN(BH90:$BK90)-ROUND(($BK90-1-ROUND(80/$AZ90,0))/COUNTIF($BB90:$BE90,TRUE),0))</f>
        <v/>
      </c>
      <c r="BH90" s="225" t="str">
        <f>IF(BD90=FALSE,"",MIN(BI90:$BK90)-ROUND(($BK90-1-ROUND(80/$AZ90,0))/COUNTIF($BB90:$BE90,TRUE),0))</f>
        <v/>
      </c>
      <c r="BI90" s="225" t="str">
        <f>IF(BE90=FALSE,"",MIN(BJ90:$BK90)-ROUND(($BK90-1-ROUND(80/$AZ90,0))/COUNTIF($BB90:$BE90,TRUE),0))</f>
        <v/>
      </c>
      <c r="BJ90" s="225" t="str">
        <f>IF(BB90=FALSE,"",MIN($BK90:BK90)-ROUND(($BK90-1-ROUND(80/$AZ90,0))/COUNTIF($BB90:$BE90,TRUE),0))</f>
        <v/>
      </c>
      <c r="BK90" s="107">
        <f>101-ROUND(Ag!BU$7*100,0)</f>
        <v>96</v>
      </c>
      <c r="BL90" s="63">
        <v>2</v>
      </c>
      <c r="BM90" s="82">
        <f t="array" ref="BM90">MIN(BL90,INDEX([1]Basic!L$26:L$34, MATCH([1]Basic!D$5,[1]Basic!B$26:B$34,0)))</f>
        <v>2</v>
      </c>
      <c r="DT90" s="472" t="str">
        <f ca="1">IFERROR(__xludf.DUMMYFUNCTION("""COMPUTED_VALUE"""),"Armor")</f>
        <v>Armor</v>
      </c>
      <c r="DU90" s="369"/>
      <c r="DW90" s="94"/>
    </row>
    <row r="91" spans="1:142" ht="12.75">
      <c r="A91" s="39" t="str">
        <v>Dfa</v>
      </c>
      <c r="B91" s="161" t="str">
        <v>Hot Humid Continental</v>
      </c>
      <c r="C91" s="162">
        <v>1</v>
      </c>
      <c r="D91" s="162">
        <v>0.9</v>
      </c>
      <c r="E91" s="162">
        <v>1</v>
      </c>
      <c r="F91" s="162">
        <v>1</v>
      </c>
      <c r="G91" s="162">
        <v>0.75</v>
      </c>
      <c r="H91" s="162">
        <v>1</v>
      </c>
      <c r="I91" s="162">
        <v>0.5</v>
      </c>
      <c r="J91" s="162">
        <v>1</v>
      </c>
      <c r="K91" s="162">
        <v>0</v>
      </c>
      <c r="L91" s="162">
        <v>0</v>
      </c>
      <c r="M91" s="162">
        <v>0</v>
      </c>
      <c r="N91" s="163">
        <v>1</v>
      </c>
      <c r="Z91" s="31"/>
      <c r="AA91" s="31"/>
      <c r="AB91" s="31"/>
      <c r="AC91" s="31"/>
      <c r="AD91" s="31"/>
      <c r="AE91" s="31"/>
      <c r="AF91" s="31"/>
      <c r="AG91" s="31"/>
      <c r="AH91" s="31"/>
      <c r="AI91" s="31"/>
      <c r="AK91" s="389"/>
      <c r="AL91" s="452" t="s">
        <v>230</v>
      </c>
      <c r="AM91" s="369"/>
      <c r="AN91" s="217">
        <v>10</v>
      </c>
      <c r="AO91" s="218" t="e">
        <f ca="1">ROUND(AN91*_xludf.ifs(
AND(AU91=TRUE,AW91=TRUE),1,
AU91=TRUE,AV91,
AW91=TRUE,AX91,
TRUE,1),0)</f>
        <v>#NAME?</v>
      </c>
      <c r="AP91" s="57" t="e">
        <f ca="1">ROUND(AO91/SUM(AO$32:AO$252)*AM$27,0)</f>
        <v>#NAME?</v>
      </c>
      <c r="AQ91" s="5" t="str">
        <f ca="1">IFERROR(__xludf.DUMMYFUNCTION("if(O91=0,"""",
filter(I$32:I90,row(I$32:I90)=max(filter(arrayformula(row(I$32:I90)),I$32:I90&lt;&gt;"""")))+
filter(G$32:G90,row(G$32:G90)=max(filter(arrayformula(row(G$32:G90)),G$32:G90&lt;&gt;"""")))
)"),"")</f>
        <v/>
      </c>
      <c r="AR91" s="198" t="str">
        <f ca="1">IFERROR(__xludf.DUMMYFUNCTION("if(G91="""","""",G91-(
filter(G$32:G$252,row(G$32:G$252)=max(filter(arrayformula(row(G$32:G$252)),G$32:G$252&lt;&gt;"""")))
-(10001-
filter(I$32:I$252,row(I$32:I$252)=max(filter(arrayformula(row(I$32:I$252)),I$32:I$252&lt;&gt;""""))))))"),"")</f>
        <v/>
      </c>
      <c r="AS91" s="198" t="e">
        <f ca="1">IF(AY91=0,"",ROUND(AY91/AM$3*10000,0))</f>
        <v>#NAME?</v>
      </c>
      <c r="AT91" s="237" t="b">
        <v>0</v>
      </c>
      <c r="AU91" s="179" t="b">
        <f>OR(AM23)</f>
        <v>0</v>
      </c>
      <c r="AV91" s="220">
        <v>0</v>
      </c>
      <c r="AW91" s="82" t="b">
        <f>IF(AM23=TRUE,FALSE,OR(AU22,AQ18))</f>
        <v>0</v>
      </c>
      <c r="AX91" s="220">
        <v>2</v>
      </c>
      <c r="AY91" s="56" t="e">
        <f ca="1">MAX(ROUND(AP91*(AM$1/AM$27),0),IF(AT91=TRUE,1,0))</f>
        <v>#NAME?</v>
      </c>
      <c r="AZ91" s="220">
        <v>5</v>
      </c>
      <c r="BA91" s="221">
        <v>0</v>
      </c>
      <c r="BB91" s="222" t="b">
        <v>0</v>
      </c>
      <c r="BC91" s="223" t="b">
        <v>0</v>
      </c>
      <c r="BD91" s="228" t="b">
        <v>1</v>
      </c>
      <c r="BE91" s="224" t="b">
        <v>0</v>
      </c>
      <c r="BF91" s="179">
        <v>1</v>
      </c>
      <c r="BG91" s="225" t="str">
        <f>IF(BC91=FALSE,"",MIN(BH91:$BK91)-ROUND(($BK91-1-ROUND(80/$AZ91,0))/COUNTIF($BB91:$BE91,TRUE),0))</f>
        <v/>
      </c>
      <c r="BH91" s="225">
        <f>IF(BD91=FALSE,"",MIN(BI91:$BK91)-ROUND(($BK91-1-ROUND(80/$AZ91,0))/COUNTIF($BB91:$BE91,TRUE),0))</f>
        <v>17</v>
      </c>
      <c r="BI91" s="225" t="str">
        <f>IF(BE91=FALSE,"",MIN(BJ91:$BK91)-ROUND(($BK91-1-ROUND(80/$AZ91,0))/COUNTIF($BB91:$BE91,TRUE),0))</f>
        <v/>
      </c>
      <c r="BJ91" s="225" t="str">
        <f>IF(BB91=FALSE,"",MIN($BK91:BK91)-ROUND(($BK91-1-ROUND(80/$AZ91,0))/COUNTIF($BB91:$BE91,TRUE),0))</f>
        <v/>
      </c>
      <c r="BK91" s="107">
        <f>101-ROUND(Ag!BU$7*100,0)</f>
        <v>96</v>
      </c>
      <c r="BL91" s="63">
        <v>3</v>
      </c>
      <c r="BM91" s="82">
        <f t="array" ref="BM91">MIN(BL91,INDEX([1]Basic!L$26:L$34, MATCH([1]Basic!D$5,[1]Basic!B$26:B$34,0)))</f>
        <v>3</v>
      </c>
      <c r="DT91" s="472" t="str">
        <f ca="1">IFERROR(__xludf.DUMMYFUNCTION("""COMPUTED_VALUE"""),"Basalt")</f>
        <v>Basalt</v>
      </c>
      <c r="DU91" s="369"/>
      <c r="DW91" s="94"/>
    </row>
    <row r="92" spans="1:142" ht="12.75">
      <c r="A92" s="39" t="str">
        <v>Dfb</v>
      </c>
      <c r="B92" s="161" t="str">
        <v>Warm Humid Continental</v>
      </c>
      <c r="C92" s="162">
        <v>0.75</v>
      </c>
      <c r="D92" s="162">
        <v>0.75</v>
      </c>
      <c r="E92" s="162">
        <v>1</v>
      </c>
      <c r="F92" s="162">
        <v>1</v>
      </c>
      <c r="G92" s="162">
        <v>1</v>
      </c>
      <c r="H92" s="162">
        <v>1</v>
      </c>
      <c r="I92" s="162">
        <v>0.25</v>
      </c>
      <c r="J92" s="162">
        <v>0.75</v>
      </c>
      <c r="K92" s="162">
        <v>0</v>
      </c>
      <c r="L92" s="162">
        <v>0</v>
      </c>
      <c r="M92" s="162">
        <v>0</v>
      </c>
      <c r="N92" s="163">
        <v>1</v>
      </c>
      <c r="Z92" s="31"/>
      <c r="AA92" s="31"/>
      <c r="AB92" s="31"/>
      <c r="AC92" s="31"/>
      <c r="AD92" s="31"/>
      <c r="AE92" s="31"/>
      <c r="AF92" s="31"/>
      <c r="AG92" s="31"/>
      <c r="AH92" s="31"/>
      <c r="AI92" s="31"/>
      <c r="AK92" s="389"/>
      <c r="AL92" s="452" t="s">
        <v>235</v>
      </c>
      <c r="AM92" s="369"/>
      <c r="AN92" s="217">
        <v>15</v>
      </c>
      <c r="AO92" s="218" t="e">
        <f ca="1">ROUND(AN92*_xludf.ifs(
AND(AU92=TRUE,AW92=TRUE),1,
AU92=TRUE,AV92,
AW92=TRUE,AX92,
TRUE,1),0)</f>
        <v>#NAME?</v>
      </c>
      <c r="AP92" s="57" t="e">
        <f ca="1">ROUND(AO92/SUM(AO$32:AO$252)*AM$27,0)</f>
        <v>#NAME?</v>
      </c>
      <c r="AQ92" s="5" t="str">
        <f ca="1">IFERROR(__xludf.DUMMYFUNCTION("if(O92=0,"""",
filter(I$32:I91,row(I$32:I91)=max(filter(arrayformula(row(I$32:I91)),I$32:I91&lt;&gt;"""")))+
filter(G$32:G91,row(G$32:G91)=max(filter(arrayformula(row(G$32:G91)),G$32:G91&lt;&gt;"""")))
)"),"")</f>
        <v/>
      </c>
      <c r="AR92" s="198" t="str">
        <f ca="1">IFERROR(__xludf.DUMMYFUNCTION("if(G92="""","""",G92-(
filter(G$32:G$252,row(G$32:G$252)=max(filter(arrayformula(row(G$32:G$252)),G$32:G$252&lt;&gt;"""")))
-(10001-
filter(I$32:I$252,row(I$32:I$252)=max(filter(arrayformula(row(I$32:I$252)),I$32:I$252&lt;&gt;""""))))))"),"")</f>
        <v/>
      </c>
      <c r="AS92" s="198" t="e">
        <f ca="1">IF(AY92=0,"",ROUND(AY92/AM$3*10000,0))</f>
        <v>#NAME?</v>
      </c>
      <c r="AT92" s="237" t="b">
        <v>0</v>
      </c>
      <c r="AU92" s="57"/>
      <c r="AV92" s="220">
        <v>0</v>
      </c>
      <c r="AW92" s="82" t="b">
        <f>OR(AU24,AQ22)</f>
        <v>0</v>
      </c>
      <c r="AX92" s="220">
        <v>2</v>
      </c>
      <c r="AY92" s="56" t="e">
        <f ca="1">MAX(ROUND(AP92*(AM$1/AM$27),0),IF(AT92=TRUE,1,0))</f>
        <v>#NAME?</v>
      </c>
      <c r="AZ92" s="220">
        <v>5</v>
      </c>
      <c r="BA92" s="221">
        <v>0</v>
      </c>
      <c r="BB92" s="222" t="b">
        <v>0</v>
      </c>
      <c r="BC92" s="223" t="b">
        <v>0</v>
      </c>
      <c r="BD92" s="228" t="b">
        <v>1</v>
      </c>
      <c r="BE92" s="224" t="b">
        <v>0</v>
      </c>
      <c r="BF92" s="179">
        <v>1</v>
      </c>
      <c r="BG92" s="225" t="str">
        <f>IF(BC92=FALSE,"",MIN(BH92:$BK92)-ROUND(($BK92-1-ROUND(80/$AZ92,0))/COUNTIF($BB92:$BE92,TRUE),0))</f>
        <v/>
      </c>
      <c r="BH92" s="225">
        <f>IF(BD92=FALSE,"",MIN(BI92:$BK92)-ROUND(($BK92-1-ROUND(80/$AZ92,0))/COUNTIF($BB92:$BE92,TRUE),0))</f>
        <v>17</v>
      </c>
      <c r="BI92" s="225" t="str">
        <f>IF(BE92=FALSE,"",MIN(BJ92:$BK92)-ROUND(($BK92-1-ROUND(80/$AZ92,0))/COUNTIF($BB92:$BE92,TRUE),0))</f>
        <v/>
      </c>
      <c r="BJ92" s="225" t="str">
        <f>IF(BB92=FALSE,"",MIN($BK92:BK92)-ROUND(($BK92-1-ROUND(80/$AZ92,0))/COUNTIF($BB92:$BE92,TRUE),0))</f>
        <v/>
      </c>
      <c r="BK92" s="107">
        <f>101-ROUND(Ag!BU$7*100,0)</f>
        <v>96</v>
      </c>
      <c r="BL92" s="63">
        <v>2</v>
      </c>
      <c r="BM92" s="82">
        <f t="array" ref="BM92">MIN(BL92,INDEX([1]Basic!L$26:L$34, MATCH([1]Basic!D$5,[1]Basic!B$26:B$34,0)))</f>
        <v>2</v>
      </c>
      <c r="DT92" s="472" t="str">
        <f ca="1">IFERROR(__xludf.DUMMYFUNCTION("""COMPUTED_VALUE"""),"Brick")</f>
        <v>Brick</v>
      </c>
      <c r="DU92" s="369"/>
      <c r="DW92" s="94"/>
    </row>
    <row r="93" spans="1:142" ht="12.75">
      <c r="A93" s="39" t="str">
        <v>Dfc</v>
      </c>
      <c r="B93" s="161" t="str">
        <v>Subarctic</v>
      </c>
      <c r="C93" s="162">
        <v>0</v>
      </c>
      <c r="D93" s="162">
        <v>0</v>
      </c>
      <c r="E93" s="162">
        <v>0.1</v>
      </c>
      <c r="F93" s="162">
        <v>0.1</v>
      </c>
      <c r="G93" s="162">
        <v>0.1</v>
      </c>
      <c r="H93" s="162">
        <v>0</v>
      </c>
      <c r="I93" s="162">
        <v>0</v>
      </c>
      <c r="J93" s="162">
        <v>0</v>
      </c>
      <c r="K93" s="162">
        <v>0</v>
      </c>
      <c r="L93" s="162">
        <v>0</v>
      </c>
      <c r="M93" s="162">
        <v>0</v>
      </c>
      <c r="N93" s="163">
        <v>0.25</v>
      </c>
      <c r="Z93" s="31"/>
      <c r="AA93" s="31"/>
      <c r="AB93" s="31"/>
      <c r="AC93" s="31"/>
      <c r="AD93" s="31"/>
      <c r="AE93" s="31"/>
      <c r="AF93" s="31"/>
      <c r="AG93" s="31"/>
      <c r="AH93" s="31"/>
      <c r="AI93" s="31"/>
      <c r="AK93" s="389"/>
      <c r="AL93" s="452" t="s">
        <v>241</v>
      </c>
      <c r="AM93" s="369"/>
      <c r="AN93" s="217">
        <v>50</v>
      </c>
      <c r="AO93" s="218" t="e">
        <f ca="1">ROUND(AN93*_xludf.ifs(
AND(AU93=TRUE,AW93=TRUE),1,
AU93=TRUE,AV93,
AW93=TRUE,AX93,
TRUE,1),0)</f>
        <v>#NAME?</v>
      </c>
      <c r="AP93" s="57" t="e">
        <f ca="1">ROUND(AO93/SUM(AO$32:AO$252)*AM$27,0)</f>
        <v>#NAME?</v>
      </c>
      <c r="AQ93" s="5" t="str">
        <f ca="1">IFERROR(__xludf.DUMMYFUNCTION("if(O93=0,"""",
filter(I$32:I92,row(I$32:I92)=max(filter(arrayformula(row(I$32:I92)),I$32:I92&lt;&gt;"""")))+
filter(G$32:G92,row(G$32:G92)=max(filter(arrayformula(row(G$32:G92)),G$32:G92&lt;&gt;"""")))
)"),"")</f>
        <v/>
      </c>
      <c r="AR93" s="198" t="str">
        <f ca="1">IFERROR(__xludf.DUMMYFUNCTION("if(G93="""","""",G93-(
filter(G$32:G$252,row(G$32:G$252)=max(filter(arrayformula(row(G$32:G$252)),G$32:G$252&lt;&gt;"""")))
-(10001-
filter(I$32:I$252,row(I$32:I$252)=max(filter(arrayformula(row(I$32:I$252)),I$32:I$252&lt;&gt;""""))))))"),"")</f>
        <v/>
      </c>
      <c r="AS93" s="198" t="e">
        <f ca="1">IF(AY93=0,"",ROUND(AY93/AM$3*10000,0))</f>
        <v>#NAME?</v>
      </c>
      <c r="AT93" s="237" t="b">
        <v>0</v>
      </c>
      <c r="AU93" s="57"/>
      <c r="AV93" s="220">
        <v>0</v>
      </c>
      <c r="AW93" s="82" t="b">
        <f>OR(AQ19,AQ18,AQ13,AQ14)</f>
        <v>0</v>
      </c>
      <c r="AX93" s="220">
        <v>2</v>
      </c>
      <c r="AY93" s="56" t="e">
        <f ca="1">MAX(ROUND(AP93*(AM$1/AM$27),0),IF(AT93=TRUE,1,0))</f>
        <v>#NAME?</v>
      </c>
      <c r="AZ93" s="220">
        <v>3</v>
      </c>
      <c r="BA93" s="221">
        <v>0</v>
      </c>
      <c r="BB93" s="222" t="b">
        <v>0</v>
      </c>
      <c r="BC93" s="223" t="b">
        <v>0</v>
      </c>
      <c r="BD93" s="223" t="b">
        <v>0</v>
      </c>
      <c r="BE93" s="224" t="b">
        <v>0</v>
      </c>
      <c r="BF93" s="179">
        <v>1</v>
      </c>
      <c r="BG93" s="225" t="str">
        <f>IF(BC93=FALSE,"",MIN(BH93:$BK93)-ROUND(($BK93-1-ROUND(80/$AZ93,0))/COUNTIF($BB93:$BE93,TRUE),0))</f>
        <v/>
      </c>
      <c r="BH93" s="225" t="str">
        <f>IF(BD93=FALSE,"",MIN(BI93:$BK93)-ROUND(($BK93-1-ROUND(80/$AZ93,0))/COUNTIF($BB93:$BE93,TRUE),0))</f>
        <v/>
      </c>
      <c r="BI93" s="225" t="str">
        <f>IF(BE93=FALSE,"",MIN(BJ93:$BK93)-ROUND(($BK93-1-ROUND(80/$AZ93,0))/COUNTIF($BB93:$BE93,TRUE),0))</f>
        <v/>
      </c>
      <c r="BJ93" s="225" t="str">
        <f>IF(BB93=FALSE,"",MIN($BK93:BK93)-ROUND(($BK93-1-ROUND(80/$AZ93,0))/COUNTIF($BB93:$BE93,TRUE),0))</f>
        <v/>
      </c>
      <c r="BK93" s="107">
        <f>101-ROUND(Ag!BU$7*100,0)</f>
        <v>96</v>
      </c>
      <c r="BL93" s="63">
        <v>3</v>
      </c>
      <c r="BM93" s="82">
        <f t="array" ref="BM93">MIN(BL93,INDEX([1]Basic!L$26:L$34, MATCH([1]Basic!D$5,[1]Basic!B$26:B$34,0)))</f>
        <v>3</v>
      </c>
      <c r="DT93" s="472" t="str">
        <f ca="1">IFERROR(__xludf.DUMMYFUNCTION("""COMPUTED_VALUE"""),"Celestial Steel/Meteorites")</f>
        <v>Celestial Steel/Meteorites</v>
      </c>
      <c r="DU93" s="369"/>
    </row>
    <row r="94" spans="1:142" ht="13.5" thickBot="1">
      <c r="A94" s="39" t="str">
        <v>Dfd</v>
      </c>
      <c r="B94" s="161" t="str">
        <v>Extremely Cold Subarctic</v>
      </c>
      <c r="C94" s="162">
        <v>0</v>
      </c>
      <c r="D94" s="162">
        <v>0</v>
      </c>
      <c r="E94" s="162">
        <v>0</v>
      </c>
      <c r="F94" s="162">
        <v>0</v>
      </c>
      <c r="G94" s="162">
        <v>0</v>
      </c>
      <c r="H94" s="162">
        <v>0</v>
      </c>
      <c r="I94" s="162">
        <v>0</v>
      </c>
      <c r="J94" s="162">
        <v>0</v>
      </c>
      <c r="K94" s="162">
        <v>0</v>
      </c>
      <c r="L94" s="162">
        <v>0</v>
      </c>
      <c r="M94" s="162">
        <v>0</v>
      </c>
      <c r="N94" s="163">
        <v>0.05</v>
      </c>
      <c r="Z94" s="31"/>
      <c r="AA94" s="31"/>
      <c r="AB94" s="31"/>
      <c r="AC94" s="31"/>
      <c r="AD94" s="31"/>
      <c r="AE94" s="31"/>
      <c r="AF94" s="31"/>
      <c r="AG94" s="31"/>
      <c r="AH94" s="31"/>
      <c r="AI94" s="31"/>
      <c r="AK94" s="389"/>
      <c r="AL94" s="451" t="s">
        <v>246</v>
      </c>
      <c r="AM94" s="361"/>
      <c r="AN94" s="230">
        <v>10</v>
      </c>
      <c r="AO94" s="11" t="e">
        <f ca="1">ROUND(AN94*_xludf.ifs(
AND(AU94=TRUE,AW94=TRUE),1,
AU94=TRUE,AV94,
AW94=TRUE,AX94,
TRUE,1),0)</f>
        <v>#NAME?</v>
      </c>
      <c r="AP94" s="59" t="e">
        <f ca="1">ROUND(AO94/SUM(AO$32:AO$252)*AM$27,0)</f>
        <v>#NAME?</v>
      </c>
      <c r="AQ94" s="6" t="str">
        <f ca="1">IFERROR(__xludf.DUMMYFUNCTION("if(O94=0,"""",
filter(I$32:I93,row(I$32:I93)=max(filter(arrayformula(row(I$32:I93)),I$32:I93&lt;&gt;"""")))+
filter(G$32:G93,row(G$32:G93)=max(filter(arrayformula(row(G$32:G93)),G$32:G93&lt;&gt;"""")))
)"),"")</f>
        <v/>
      </c>
      <c r="AR94" s="206" t="str">
        <f ca="1">IFERROR(__xludf.DUMMYFUNCTION("if(G94="""","""",G94-(
filter(G$32:G$252,row(G$32:G$252)=max(filter(arrayformula(row(G$32:G$252)),G$32:G$252&lt;&gt;"""")))
-(10001-
filter(I$32:I$252,row(I$32:I$252)=max(filter(arrayformula(row(I$32:I$252)),I$32:I$252&lt;&gt;""""))))))"),"")</f>
        <v/>
      </c>
      <c r="AS94" s="206" t="e">
        <f ca="1">IF(AY94=0,"",ROUND(AY94/AM$3*10000,0))</f>
        <v>#NAME?</v>
      </c>
      <c r="AT94" s="239" t="b">
        <v>0</v>
      </c>
      <c r="AU94" s="59"/>
      <c r="AV94" s="232">
        <v>0</v>
      </c>
      <c r="AW94" s="83"/>
      <c r="AX94" s="232">
        <v>2</v>
      </c>
      <c r="AY94" s="58" t="e">
        <f ca="1">MAX(ROUND(AP94*(AM$1/AM$27),0),IF(AT94=TRUE,1,0))</f>
        <v>#NAME?</v>
      </c>
      <c r="AZ94" s="232">
        <v>5</v>
      </c>
      <c r="BA94" s="233">
        <v>0</v>
      </c>
      <c r="BB94" s="247" t="b">
        <v>0</v>
      </c>
      <c r="BC94" s="244" t="b">
        <v>0</v>
      </c>
      <c r="BD94" s="245" t="b">
        <v>1</v>
      </c>
      <c r="BE94" s="246" t="b">
        <v>0</v>
      </c>
      <c r="BF94" s="179">
        <v>1</v>
      </c>
      <c r="BG94" s="225" t="str">
        <f>IF(BC94=FALSE,"",MIN(BH94:$BK94)-ROUND(($BK94-1-ROUND(80/$AZ94,0))/COUNTIF($BB94:$BE94,TRUE),0))</f>
        <v/>
      </c>
      <c r="BH94" s="225">
        <f>IF(BD94=FALSE,"",MIN(BI94:$BK94)-ROUND(($BK94-1-ROUND(80/$AZ94,0))/COUNTIF($BB94:$BE94,TRUE),0))</f>
        <v>17</v>
      </c>
      <c r="BI94" s="225" t="str">
        <f>IF(BE94=FALSE,"",MIN(BJ94:$BK94)-ROUND(($BK94-1-ROUND(80/$AZ94,0))/COUNTIF($BB94:$BE94,TRUE),0))</f>
        <v/>
      </c>
      <c r="BJ94" s="225" t="str">
        <f>IF(BB94=FALSE,"",MIN($BK94:BK94)-ROUND(($BK94-1-ROUND(80/$AZ94,0))/COUNTIF($BB94:$BE94,TRUE),0))</f>
        <v/>
      </c>
      <c r="BK94" s="107">
        <f>101-ROUND(Ag!BU$7*100,0)</f>
        <v>96</v>
      </c>
      <c r="BL94" s="63">
        <v>2</v>
      </c>
      <c r="BM94" s="82">
        <f t="array" ref="BM94">MIN(BL94,INDEX([1]Basic!L$26:L$34, MATCH([1]Basic!D$5,[1]Basic!B$26:B$34,0)))</f>
        <v>2</v>
      </c>
      <c r="DT94" s="472" t="str">
        <f ca="1">IFERROR(__xludf.DUMMYFUNCTION("""COMPUTED_VALUE"""),"Ceramics/Pottery")</f>
        <v>Ceramics/Pottery</v>
      </c>
      <c r="DU94" s="369"/>
    </row>
    <row r="95" spans="1:142" ht="13.5" thickTop="1">
      <c r="A95" s="39" t="str">
        <v>Dwa</v>
      </c>
      <c r="B95" s="161" t="str">
        <v>Hot Humid Continental Monsoon</v>
      </c>
      <c r="C95" s="162">
        <v>0.9</v>
      </c>
      <c r="D95" s="162">
        <v>0.9</v>
      </c>
      <c r="E95" s="162">
        <v>1</v>
      </c>
      <c r="F95" s="162">
        <v>1</v>
      </c>
      <c r="G95" s="162">
        <v>0.25</v>
      </c>
      <c r="H95" s="162">
        <v>0.5</v>
      </c>
      <c r="I95" s="162">
        <v>0.25</v>
      </c>
      <c r="J95" s="162">
        <v>1</v>
      </c>
      <c r="K95" s="162">
        <v>0</v>
      </c>
      <c r="L95" s="162">
        <v>0</v>
      </c>
      <c r="M95" s="162">
        <v>1</v>
      </c>
      <c r="N95" s="163">
        <v>1</v>
      </c>
      <c r="Z95" s="31"/>
      <c r="AA95" s="31"/>
      <c r="AB95" s="31"/>
      <c r="AC95" s="31"/>
      <c r="AD95" s="31"/>
      <c r="AE95" s="31"/>
      <c r="AF95" s="31"/>
      <c r="AG95" s="31"/>
      <c r="AH95" s="31"/>
      <c r="AI95" s="31"/>
      <c r="AK95" s="389"/>
      <c r="AL95" s="452" t="s">
        <v>251</v>
      </c>
      <c r="AM95" s="369"/>
      <c r="AN95" s="217">
        <v>4</v>
      </c>
      <c r="AO95" s="218" t="e">
        <f ca="1">ROUND(AN95*_xludf.ifs(
AND(AU95=TRUE,AW95=TRUE),1,
AU95=TRUE,AV95,
AW95=TRUE,AX95,
TRUE,1),0)</f>
        <v>#NAME?</v>
      </c>
      <c r="AP95" s="57" t="e">
        <f ca="1">ROUND(AO95/SUM(AO$32:AO$252)*AM$27,0)</f>
        <v>#NAME?</v>
      </c>
      <c r="AQ95" s="5" t="str">
        <f ca="1">IFERROR(__xludf.DUMMYFUNCTION("if(O95=0,"""",
filter(I$32:I94,row(I$32:I94)=max(filter(arrayformula(row(I$32:I94)),I$32:I94&lt;&gt;"""")))+
filter(G$32:G94,row(G$32:G94)=max(filter(arrayformula(row(G$32:G94)),G$32:G94&lt;&gt;"""")))
)"),"")</f>
        <v/>
      </c>
      <c r="AR95" s="198" t="str">
        <f ca="1">IFERROR(__xludf.DUMMYFUNCTION("if(G95="""","""",G95-(
filter(G$32:G$252,row(G$32:G$252)=max(filter(arrayformula(row(G$32:G$252)),G$32:G$252&lt;&gt;"""")))
-(10001-
filter(I$32:I$252,row(I$32:I$252)=max(filter(arrayformula(row(I$32:I$252)),I$32:I$252&lt;&gt;""""))))))"),"")</f>
        <v/>
      </c>
      <c r="AS95" s="198" t="e">
        <f ca="1">IF(AY95=0,"",ROUND(AY95/AM$3*10000,0))</f>
        <v>#NAME?</v>
      </c>
      <c r="AT95" s="237" t="b">
        <v>0</v>
      </c>
      <c r="AU95" s="57"/>
      <c r="AV95" s="220">
        <v>0</v>
      </c>
      <c r="AW95" s="82"/>
      <c r="AX95" s="220">
        <v>2</v>
      </c>
      <c r="AY95" s="56" t="e">
        <f ca="1">MAX(ROUND(AP95*(AM$1/AM$27),0),IF(AT95=TRUE,1,0))</f>
        <v>#NAME?</v>
      </c>
      <c r="AZ95" s="220">
        <v>1</v>
      </c>
      <c r="BA95" s="221">
        <v>0</v>
      </c>
      <c r="BB95" s="222" t="b">
        <v>0</v>
      </c>
      <c r="BC95" s="223" t="b">
        <v>0</v>
      </c>
      <c r="BD95" s="223" t="b">
        <v>0</v>
      </c>
      <c r="BE95" s="224" t="b">
        <v>0</v>
      </c>
      <c r="BF95" s="180">
        <v>1</v>
      </c>
      <c r="BG95" s="216" t="str">
        <f>IF(BC95=FALSE,"",MIN(BH95:$BK95)-ROUND(($BK95-1-ROUND(80/$AZ95,0))/COUNTIF($BB95:$BE95,TRUE),0))</f>
        <v/>
      </c>
      <c r="BH95" s="216" t="str">
        <f>IF(BD95=FALSE,"",MIN(BI95:$BK95)-ROUND(($BK95-1-ROUND(80/$AZ95,0))/COUNTIF($BB95:$BE95,TRUE),0))</f>
        <v/>
      </c>
      <c r="BI95" s="216" t="str">
        <f>IF(BE95=FALSE,"",MIN(BJ95:$BK95)-ROUND(($BK95-1-ROUND(80/$AZ95,0))/COUNTIF($BB95:$BE95,TRUE),0))</f>
        <v/>
      </c>
      <c r="BJ95" s="216" t="str">
        <f>IF(BB95=FALSE,"",MIN($BK95:BK95)-ROUND(($BK95-1-ROUND(80/$AZ95,0))/COUNTIF($BB95:$BE95,TRUE),0))</f>
        <v/>
      </c>
      <c r="BK95" s="177">
        <f>101-ROUND(Ag!BU$7*100,0)</f>
        <v>96</v>
      </c>
      <c r="BL95" s="61">
        <v>1</v>
      </c>
      <c r="BM95" s="82">
        <f t="array" ref="BM95">MIN(BL95,INDEX([1]Basic!L$26:L$34, MATCH([1]Basic!D$5,[1]Basic!B$26:B$34,0)))</f>
        <v>1</v>
      </c>
      <c r="DT95" s="472" t="str">
        <f ca="1">IFERROR(__xludf.DUMMYFUNCTION("""COMPUTED_VALUE"""),"Cloth/Clothing")</f>
        <v>Cloth/Clothing</v>
      </c>
      <c r="DU95" s="369"/>
    </row>
    <row r="96" spans="1:142" ht="12.75">
      <c r="A96" s="39" t="str">
        <v>Dwb</v>
      </c>
      <c r="B96" s="161" t="str">
        <v>Warm Humid Continental Monsoon</v>
      </c>
      <c r="C96" s="162">
        <v>0.75</v>
      </c>
      <c r="D96" s="162">
        <v>0.75</v>
      </c>
      <c r="E96" s="162">
        <v>0.9</v>
      </c>
      <c r="F96" s="162">
        <v>0.6</v>
      </c>
      <c r="G96" s="162">
        <v>0.5</v>
      </c>
      <c r="H96" s="162">
        <v>0.25</v>
      </c>
      <c r="I96" s="162">
        <v>0</v>
      </c>
      <c r="J96" s="162">
        <v>0.5</v>
      </c>
      <c r="K96" s="162">
        <v>0</v>
      </c>
      <c r="L96" s="162">
        <v>0</v>
      </c>
      <c r="M96" s="162">
        <v>0.5</v>
      </c>
      <c r="N96" s="163">
        <v>1</v>
      </c>
      <c r="Z96" s="31"/>
      <c r="AA96" s="31"/>
      <c r="AB96" s="31"/>
      <c r="AC96" s="31"/>
      <c r="AD96" s="31"/>
      <c r="AE96" s="31"/>
      <c r="AF96" s="31"/>
      <c r="AG96" s="31"/>
      <c r="AH96" s="31"/>
      <c r="AI96" s="31"/>
      <c r="AK96" s="389"/>
      <c r="AL96" s="452" t="s">
        <v>256</v>
      </c>
      <c r="AM96" s="369"/>
      <c r="AN96" s="217">
        <v>24</v>
      </c>
      <c r="AO96" s="218" t="e">
        <f ca="1">ROUND(AN96*_xludf.ifs(
AND(AU96=TRUE,AW96=TRUE),1,
AU96=TRUE,AV96,
AW96=TRUE,AX96,
TRUE,1),0)</f>
        <v>#NAME?</v>
      </c>
      <c r="AP96" s="57" t="e">
        <f ca="1">ROUND(AO96/SUM(AO$32:AO$252)*AM$27,0)</f>
        <v>#NAME?</v>
      </c>
      <c r="AQ96" s="5" t="str">
        <f ca="1">IFERROR(__xludf.DUMMYFUNCTION("if(O96=0,"""",
filter(I$32:I95,row(I$32:I95)=max(filter(arrayformula(row(I$32:I95)),I$32:I95&lt;&gt;"""")))+
filter(G$32:G95,row(G$32:G95)=max(filter(arrayformula(row(G$32:G95)),G$32:G95&lt;&gt;"""")))
)"),"")</f>
        <v/>
      </c>
      <c r="AR96" s="198" t="str">
        <f ca="1">IFERROR(__xludf.DUMMYFUNCTION("if(G96="""","""",G96-(
filter(G$32:G$252,row(G$32:G$252)=max(filter(arrayformula(row(G$32:G$252)),G$32:G$252&lt;&gt;"""")))
-(10001-
filter(I$32:I$252,row(I$32:I$252)=max(filter(arrayformula(row(I$32:I$252)),I$32:I$252&lt;&gt;""""))))))"),"")</f>
        <v/>
      </c>
      <c r="AS96" s="198" t="e">
        <f ca="1">IF(AY96=0,"",ROUND(AY96/AM$3*10000,0))</f>
        <v>#NAME?</v>
      </c>
      <c r="AT96" s="237" t="b">
        <v>0</v>
      </c>
      <c r="AU96" s="57"/>
      <c r="AV96" s="220">
        <v>0</v>
      </c>
      <c r="AW96" s="82"/>
      <c r="AX96" s="220">
        <v>2</v>
      </c>
      <c r="AY96" s="56" t="e">
        <f ca="1">MAX(ROUND(AP96*(AM$1/AM$27),0),IF(AT96=TRUE,1,0))</f>
        <v>#NAME?</v>
      </c>
      <c r="AZ96" s="220">
        <v>3</v>
      </c>
      <c r="BA96" s="221">
        <v>0</v>
      </c>
      <c r="BB96" s="222" t="b">
        <v>0</v>
      </c>
      <c r="BC96" s="223" t="b">
        <v>0</v>
      </c>
      <c r="BD96" s="223" t="b">
        <v>0</v>
      </c>
      <c r="BE96" s="224" t="b">
        <v>0</v>
      </c>
      <c r="BF96" s="179">
        <v>1</v>
      </c>
      <c r="BG96" s="225" t="str">
        <f>IF(BC96=FALSE,"",MIN(BH96:$BK96)-ROUND(($BK96-1-ROUND(80/$AZ96,0))/COUNTIF($BB96:$BE96,TRUE),0))</f>
        <v/>
      </c>
      <c r="BH96" s="225" t="str">
        <f>IF(BD96=FALSE,"",MIN(BI96:$BK96)-ROUND(($BK96-1-ROUND(80/$AZ96,0))/COUNTIF($BB96:$BE96,TRUE),0))</f>
        <v/>
      </c>
      <c r="BI96" s="225" t="str">
        <f>IF(BE96=FALSE,"",MIN(BJ96:$BK96)-ROUND(($BK96-1-ROUND(80/$AZ96,0))/COUNTIF($BB96:$BE96,TRUE),0))</f>
        <v/>
      </c>
      <c r="BJ96" s="225" t="str">
        <f>IF(BB96=FALSE,"",MIN($BK96:BK96)-ROUND(($BK96-1-ROUND(80/$AZ96,0))/COUNTIF($BB96:$BE96,TRUE),0))</f>
        <v/>
      </c>
      <c r="BK96" s="107">
        <f>101-ROUND(Ag!BU$7*100,0)</f>
        <v>96</v>
      </c>
      <c r="BL96" s="63">
        <v>2</v>
      </c>
      <c r="BM96" s="82">
        <f t="array" ref="BM96">MIN(BL96,INDEX([1]Basic!L$26:L$34, MATCH([1]Basic!D$5,[1]Basic!B$26:B$34,0)))</f>
        <v>2</v>
      </c>
      <c r="DT96" s="472" t="str">
        <f ca="1">IFERROR(__xludf.DUMMYFUNCTION("""COMPUTED_VALUE"""),"Coal")</f>
        <v>Coal</v>
      </c>
      <c r="DU96" s="369"/>
    </row>
    <row r="97" spans="1:125" ht="12.75">
      <c r="A97" s="39" t="str">
        <v>Dwc</v>
      </c>
      <c r="B97" s="161" t="str">
        <v>Subarctic Monsoon</v>
      </c>
      <c r="C97" s="162">
        <v>0</v>
      </c>
      <c r="D97" s="162">
        <v>0</v>
      </c>
      <c r="E97" s="162">
        <v>0</v>
      </c>
      <c r="F97" s="162">
        <v>0.2</v>
      </c>
      <c r="G97" s="162">
        <v>0</v>
      </c>
      <c r="H97" s="162">
        <v>0</v>
      </c>
      <c r="I97" s="162">
        <v>0</v>
      </c>
      <c r="J97" s="162">
        <v>0</v>
      </c>
      <c r="K97" s="162">
        <v>0</v>
      </c>
      <c r="L97" s="162">
        <v>0</v>
      </c>
      <c r="M97" s="162">
        <v>0</v>
      </c>
      <c r="N97" s="163">
        <v>0.25</v>
      </c>
      <c r="Z97" s="31"/>
      <c r="AA97" s="31"/>
      <c r="AB97" s="31"/>
      <c r="AC97" s="31"/>
      <c r="AD97" s="31"/>
      <c r="AE97" s="31"/>
      <c r="AF97" s="31"/>
      <c r="AG97" s="31"/>
      <c r="AH97" s="31"/>
      <c r="AI97" s="31"/>
      <c r="AK97" s="389"/>
      <c r="AL97" s="452" t="s">
        <v>260</v>
      </c>
      <c r="AM97" s="369"/>
      <c r="AN97" s="217">
        <v>2</v>
      </c>
      <c r="AO97" s="218" t="e">
        <f ca="1">ROUND(AN97*_xludf.ifs(
AND(AU97=TRUE,AW97=TRUE),1,
AU97=TRUE,AV97,
AW97=TRUE,AX97,
TRUE,1),0)</f>
        <v>#NAME?</v>
      </c>
      <c r="AP97" s="57" t="e">
        <f ca="1">ROUND(AO97/SUM(AO$32:AO$252)*AM$27,0)</f>
        <v>#NAME?</v>
      </c>
      <c r="AQ97" s="5" t="str">
        <f ca="1">IFERROR(__xludf.DUMMYFUNCTION("if(O97=0,"""",
filter(I$32:I96,row(I$32:I96)=max(filter(arrayformula(row(I$32:I96)),I$32:I96&lt;&gt;"""")))+
filter(G$32:G96,row(G$32:G96)=max(filter(arrayformula(row(G$32:G96)),G$32:G96&lt;&gt;"""")))
)"),"")</f>
        <v/>
      </c>
      <c r="AR97" s="198" t="str">
        <f ca="1">IFERROR(__xludf.DUMMYFUNCTION("if(G97="""","""",G97-(
filter(G$32:G$252,row(G$32:G$252)=max(filter(arrayformula(row(G$32:G$252)),G$32:G$252&lt;&gt;"""")))
-(10001-
filter(I$32:I$252,row(I$32:I$252)=max(filter(arrayformula(row(I$32:I$252)),I$32:I$252&lt;&gt;""""))))))"),"")</f>
        <v/>
      </c>
      <c r="AS97" s="198" t="e">
        <f ca="1">IF(AY97=0,"",ROUND(AY97/AM$3*10000,0))</f>
        <v>#NAME?</v>
      </c>
      <c r="AT97" s="237" t="b">
        <v>0</v>
      </c>
      <c r="AU97" s="57"/>
      <c r="AV97" s="220">
        <v>0</v>
      </c>
      <c r="AW97" s="82"/>
      <c r="AX97" s="220">
        <v>2</v>
      </c>
      <c r="AY97" s="56" t="e">
        <f ca="1">MAX(ROUND(AP97*(AM$1/AM$27),0),IF(AT97=TRUE,1,0))</f>
        <v>#NAME?</v>
      </c>
      <c r="AZ97" s="220">
        <v>2</v>
      </c>
      <c r="BA97" s="221">
        <v>0</v>
      </c>
      <c r="BB97" s="222" t="b">
        <v>0</v>
      </c>
      <c r="BC97" s="223" t="b">
        <v>0</v>
      </c>
      <c r="BD97" s="223" t="b">
        <v>0</v>
      </c>
      <c r="BE97" s="224" t="b">
        <v>0</v>
      </c>
      <c r="BF97" s="179">
        <v>1</v>
      </c>
      <c r="BG97" s="225" t="str">
        <f>IF(BC97=FALSE,"",MIN(BH97:$BK97)-ROUND(($BK97-1-ROUND(80/$AZ97,0))/COUNTIF($BB97:$BE97,TRUE),0))</f>
        <v/>
      </c>
      <c r="BH97" s="225" t="str">
        <f>IF(BD97=FALSE,"",MIN(BI97:$BK97)-ROUND(($BK97-1-ROUND(80/$AZ97,0))/COUNTIF($BB97:$BE97,TRUE),0))</f>
        <v/>
      </c>
      <c r="BI97" s="225" t="str">
        <f>IF(BE97=FALSE,"",MIN(BJ97:$BK97)-ROUND(($BK97-1-ROUND(80/$AZ97,0))/COUNTIF($BB97:$BE97,TRUE),0))</f>
        <v/>
      </c>
      <c r="BJ97" s="225" t="str">
        <f>IF(BB97=FALSE,"",MIN($BK97:BK97)-ROUND(($BK97-1-ROUND(80/$AZ97,0))/COUNTIF($BB97:$BE97,TRUE),0))</f>
        <v/>
      </c>
      <c r="BK97" s="107">
        <f>101-ROUND(Ag!BU$7*100,0)</f>
        <v>96</v>
      </c>
      <c r="BL97" s="63">
        <v>2</v>
      </c>
      <c r="BM97" s="82">
        <f t="array" ref="BM97">MIN(BL97,INDEX([1]Basic!L$26:L$34, MATCH([1]Basic!D$5,[1]Basic!B$26:B$34,0)))</f>
        <v>2</v>
      </c>
      <c r="DT97" s="472" t="str">
        <f ca="1">IFERROR(__xludf.DUMMYFUNCTION("""COMPUTED_VALUE"""),"Concrete")</f>
        <v>Concrete</v>
      </c>
      <c r="DU97" s="369"/>
    </row>
    <row r="98" spans="1:125" ht="13.5" thickBot="1">
      <c r="A98" s="39" t="str">
        <v>Dwd</v>
      </c>
      <c r="B98" s="161" t="str">
        <v>Extremely Cold Subarctic Monsoon</v>
      </c>
      <c r="C98" s="162">
        <v>0</v>
      </c>
      <c r="D98" s="162">
        <v>0</v>
      </c>
      <c r="E98" s="162">
        <v>0</v>
      </c>
      <c r="F98" s="162">
        <v>0</v>
      </c>
      <c r="G98" s="162">
        <v>0</v>
      </c>
      <c r="H98" s="162">
        <v>0</v>
      </c>
      <c r="I98" s="162">
        <v>0</v>
      </c>
      <c r="J98" s="162">
        <v>0</v>
      </c>
      <c r="K98" s="162">
        <v>0</v>
      </c>
      <c r="L98" s="162">
        <v>0</v>
      </c>
      <c r="M98" s="162">
        <v>0</v>
      </c>
      <c r="N98" s="163">
        <v>0.05</v>
      </c>
      <c r="Z98" s="31"/>
      <c r="AA98" s="31"/>
      <c r="AB98" s="31"/>
      <c r="AC98" s="31"/>
      <c r="AD98" s="31"/>
      <c r="AE98" s="31"/>
      <c r="AF98" s="31"/>
      <c r="AG98" s="31"/>
      <c r="AH98" s="31"/>
      <c r="AI98" s="31"/>
      <c r="AK98" s="389"/>
      <c r="AL98" s="451" t="s">
        <v>265</v>
      </c>
      <c r="AM98" s="361"/>
      <c r="AN98" s="230">
        <v>32</v>
      </c>
      <c r="AO98" s="11" t="e">
        <f ca="1">ROUND(AN98*_xludf.ifs(
AND(AU98=TRUE,AW98=TRUE),1,
AU98=TRUE,AV98,
AW98=TRUE,AX98,
TRUE,1),0)</f>
        <v>#NAME?</v>
      </c>
      <c r="AP98" s="59" t="e">
        <f ca="1">ROUND(AO98/SUM(AO$32:AO$252)*AM$27,0)</f>
        <v>#NAME?</v>
      </c>
      <c r="AQ98" s="6">
        <f ca="1">IFERROR(__xludf.DUMMYFUNCTION("if(O98=0,"""",
filter(I$32:I97,row(I$32:I97)=max(filter(arrayformula(row(I$32:I97)),I$32:I97&lt;&gt;"""")))+
filter(G$32:G97,row(G$32:G97)=max(filter(arrayformula(row(G$32:G97)),G$32:G97&lt;&gt;"""")))
)"),5560)</f>
        <v>5560</v>
      </c>
      <c r="AR98" s="206">
        <f ca="1">IFERROR(__xludf.DUMMYFUNCTION("if(G98="""","""",G98-(
filter(G$32:G$252,row(G$32:G$252)=max(filter(arrayformula(row(G$32:G$252)),G$32:G$252&lt;&gt;"""")))
-(10001-
filter(I$32:I$252,row(I$32:I$252)=max(filter(arrayformula(row(I$32:I$252)),I$32:I$252&lt;&gt;""""))))))"),5553)</f>
        <v>5553</v>
      </c>
      <c r="AS98" s="206" t="e">
        <f ca="1">IF(AY98=0,"",ROUND(AY98/AM$3*10000,0))</f>
        <v>#NAME?</v>
      </c>
      <c r="AT98" s="231" t="b">
        <v>1</v>
      </c>
      <c r="AU98" s="59"/>
      <c r="AV98" s="232">
        <v>0</v>
      </c>
      <c r="AW98" s="83" t="b">
        <f>OR(AQ22)</f>
        <v>0</v>
      </c>
      <c r="AX98" s="232">
        <v>1.5</v>
      </c>
      <c r="AY98" s="58" t="e">
        <f ca="1">MAX(ROUND(AP98*(AM$1/AM$27),0),IF(AT98=TRUE,1,0))</f>
        <v>#NAME?</v>
      </c>
      <c r="AZ98" s="232">
        <v>3</v>
      </c>
      <c r="BA98" s="233">
        <v>0</v>
      </c>
      <c r="BB98" s="247" t="b">
        <v>0</v>
      </c>
      <c r="BC98" s="244" t="b">
        <v>0</v>
      </c>
      <c r="BD98" s="244" t="b">
        <v>0</v>
      </c>
      <c r="BE98" s="246" t="b">
        <v>0</v>
      </c>
      <c r="BF98" s="78">
        <v>1</v>
      </c>
      <c r="BG98" s="240" t="str">
        <f>IF(BC98=FALSE,"",MIN(BH98:$BK98)-ROUND(($BK98-1-ROUND(80/$AZ98,0))/COUNTIF($BB98:$BE98,TRUE),0))</f>
        <v/>
      </c>
      <c r="BH98" s="240" t="str">
        <f>IF(BD98=FALSE,"",MIN(BI98:$BK98)-ROUND(($BK98-1-ROUND(80/$AZ98,0))/COUNTIF($BB98:$BE98,TRUE),0))</f>
        <v/>
      </c>
      <c r="BI98" s="240" t="str">
        <f>IF(BE98=FALSE,"",MIN(BJ98:$BK98)-ROUND(($BK98-1-ROUND(80/$AZ98,0))/COUNTIF($BB98:$BE98,TRUE),0))</f>
        <v/>
      </c>
      <c r="BJ98" s="240" t="str">
        <f>IF(BB98=FALSE,"",MIN($BK98:BK98)-ROUND(($BK98-1-ROUND(80/$AZ98,0))/COUNTIF($BB98:$BE98,TRUE),0))</f>
        <v/>
      </c>
      <c r="BK98" s="192">
        <f>101-ROUND(Ag!BU$7*100,0)</f>
        <v>96</v>
      </c>
      <c r="BL98" s="66">
        <v>2</v>
      </c>
      <c r="BM98" s="82">
        <f t="array" ref="BM98">MIN(BL98,INDEX([1]Basic!L$26:L$34, MATCH([1]Basic!D$5,[1]Basic!B$26:B$34,0)))</f>
        <v>2</v>
      </c>
      <c r="DT98" s="472" t="str">
        <f ca="1">IFERROR(__xludf.DUMMYFUNCTION("""COMPUTED_VALUE"""),"Copper/Copper Ore")</f>
        <v>Copper/Copper Ore</v>
      </c>
      <c r="DU98" s="369"/>
    </row>
    <row r="99" spans="1:125" ht="13.5" thickTop="1">
      <c r="A99" s="39" t="str">
        <v>Dsa</v>
      </c>
      <c r="B99" s="161" t="str">
        <v>Hot Humid Continental Mediterranean</v>
      </c>
      <c r="C99" s="162">
        <v>0.5</v>
      </c>
      <c r="D99" s="162">
        <v>0.75</v>
      </c>
      <c r="E99" s="162">
        <v>0.9</v>
      </c>
      <c r="F99" s="162">
        <v>0.9</v>
      </c>
      <c r="G99" s="162">
        <v>0.25</v>
      </c>
      <c r="H99" s="162">
        <v>0.5</v>
      </c>
      <c r="I99" s="162">
        <v>0.25</v>
      </c>
      <c r="J99" s="162">
        <v>1</v>
      </c>
      <c r="K99" s="162">
        <v>0</v>
      </c>
      <c r="L99" s="162">
        <v>0</v>
      </c>
      <c r="M99" s="162">
        <v>0</v>
      </c>
      <c r="N99" s="163">
        <v>1</v>
      </c>
      <c r="Z99" s="31"/>
      <c r="AA99" s="31"/>
      <c r="AB99" s="31"/>
      <c r="AC99" s="31"/>
      <c r="AD99" s="31"/>
      <c r="AE99" s="31"/>
      <c r="AF99" s="31"/>
      <c r="AG99" s="31"/>
      <c r="AH99" s="31"/>
      <c r="AI99" s="31"/>
      <c r="AK99" s="389"/>
      <c r="AL99" s="452" t="s">
        <v>271</v>
      </c>
      <c r="AM99" s="369"/>
      <c r="AN99" s="217">
        <v>28</v>
      </c>
      <c r="AO99" s="218" t="e">
        <f ca="1">ROUND(AN99*_xludf.ifs(
AND(AU99=TRUE,AW99=TRUE),1,
AU99=TRUE,AV99,
AW99=TRUE,AX99,
TRUE,1),0)</f>
        <v>#NAME?</v>
      </c>
      <c r="AP99" s="57" t="e">
        <f ca="1">ROUND(AO99/SUM(AO$32:AO$252)*AM$27,0)</f>
        <v>#NAME?</v>
      </c>
      <c r="AQ99" s="5" t="str">
        <f ca="1">IFERROR(__xludf.DUMMYFUNCTION("if(O99=0,"""",
filter(I$32:I98,row(I$32:I98)=max(filter(arrayformula(row(I$32:I98)),I$32:I98&lt;&gt;"""")))+
filter(G$32:G98,row(G$32:G98)=max(filter(arrayformula(row(G$32:G98)),G$32:G98&lt;&gt;"""")))
)"),"")</f>
        <v/>
      </c>
      <c r="AR99" s="198" t="str">
        <f ca="1">IFERROR(__xludf.DUMMYFUNCTION("if(G99="""","""",G99-(
filter(G$32:G$252,row(G$32:G$252)=max(filter(arrayformula(row(G$32:G$252)),G$32:G$252&lt;&gt;"""")))
-(10001-
filter(I$32:I$252,row(I$32:I$252)=max(filter(arrayformula(row(I$32:I$252)),I$32:I$252&lt;&gt;""""))))))"),"")</f>
        <v/>
      </c>
      <c r="AS99" s="198" t="e">
        <f ca="1">IF(AY99=0,"",ROUND(AY99/AM$3*10000,0))</f>
        <v>#NAME?</v>
      </c>
      <c r="AT99" s="237" t="b">
        <v>0</v>
      </c>
      <c r="AU99" s="57"/>
      <c r="AV99" s="220">
        <v>0</v>
      </c>
      <c r="AW99" s="82" t="b">
        <f>OR(AU13,AQ22)</f>
        <v>0</v>
      </c>
      <c r="AX99" s="220">
        <v>2</v>
      </c>
      <c r="AY99" s="56" t="e">
        <f ca="1">MAX(ROUND(AP99*(AM$1/AM$27),0),IF(AT99=TRUE,1,0))</f>
        <v>#NAME?</v>
      </c>
      <c r="AZ99" s="220">
        <v>1</v>
      </c>
      <c r="BA99" s="221">
        <v>0</v>
      </c>
      <c r="BB99" s="222" t="b">
        <v>0</v>
      </c>
      <c r="BC99" s="223" t="b">
        <v>0</v>
      </c>
      <c r="BD99" s="223" t="b">
        <v>0</v>
      </c>
      <c r="BE99" s="224" t="b">
        <v>0</v>
      </c>
      <c r="BF99" s="179">
        <v>1</v>
      </c>
      <c r="BG99" s="225" t="str">
        <f>IF(BC99=FALSE,"",MIN(BH99:$BK99)-ROUND(($BK99-1-ROUND(80/$AZ99,0))/COUNTIF($BB99:$BE99,TRUE),0))</f>
        <v/>
      </c>
      <c r="BH99" s="225" t="str">
        <f>IF(BD99=FALSE,"",MIN(BI99:$BK99)-ROUND(($BK99-1-ROUND(80/$AZ99,0))/COUNTIF($BB99:$BE99,TRUE),0))</f>
        <v/>
      </c>
      <c r="BI99" s="225" t="str">
        <f>IF(BE99=FALSE,"",MIN(BJ99:$BK99)-ROUND(($BK99-1-ROUND(80/$AZ99,0))/COUNTIF($BB99:$BE99,TRUE),0))</f>
        <v/>
      </c>
      <c r="BJ99" s="225" t="str">
        <f>IF(BB99=FALSE,"",MIN($BK99:BK99)-ROUND(($BK99-1-ROUND(80/$AZ99,0))/COUNTIF($BB99:$BE99,TRUE),0))</f>
        <v/>
      </c>
      <c r="BK99" s="107">
        <f>101-ROUND(Ag!BU$7*100,0)</f>
        <v>96</v>
      </c>
      <c r="BL99" s="63">
        <v>1</v>
      </c>
      <c r="BM99" s="82">
        <f t="array" ref="BM99">MIN(BL99,INDEX([1]Basic!L$26:L$34, MATCH([1]Basic!D$5,[1]Basic!B$26:B$34,0)))</f>
        <v>1</v>
      </c>
      <c r="DT99" s="472" t="str">
        <f ca="1">IFERROR(__xludf.DUMMYFUNCTION("""COMPUTED_VALUE"""),"Enchanted Objects")</f>
        <v>Enchanted Objects</v>
      </c>
      <c r="DU99" s="369"/>
    </row>
    <row r="100" spans="1:125" ht="12.75">
      <c r="A100" s="39" t="str">
        <v>Dsb</v>
      </c>
      <c r="B100" s="161" t="str">
        <v>Warm Humid Continental Mediterranean</v>
      </c>
      <c r="C100" s="162">
        <v>0.25</v>
      </c>
      <c r="D100" s="162">
        <v>0.75</v>
      </c>
      <c r="E100" s="162">
        <v>0.9</v>
      </c>
      <c r="F100" s="162">
        <v>0.9</v>
      </c>
      <c r="G100" s="162">
        <v>0.5</v>
      </c>
      <c r="H100" s="162">
        <v>0.25</v>
      </c>
      <c r="I100" s="162">
        <v>0</v>
      </c>
      <c r="J100" s="162">
        <v>0.5</v>
      </c>
      <c r="K100" s="162">
        <v>0</v>
      </c>
      <c r="L100" s="162">
        <v>0</v>
      </c>
      <c r="M100" s="162">
        <v>0</v>
      </c>
      <c r="N100" s="163">
        <v>1</v>
      </c>
      <c r="Z100" s="31"/>
      <c r="AA100" s="31"/>
      <c r="AB100" s="31"/>
      <c r="AC100" s="31"/>
      <c r="AD100" s="31"/>
      <c r="AE100" s="31"/>
      <c r="AF100" s="31"/>
      <c r="AG100" s="31"/>
      <c r="AH100" s="31"/>
      <c r="AI100" s="31"/>
      <c r="AK100" s="389"/>
      <c r="AL100" s="452" t="s">
        <v>276</v>
      </c>
      <c r="AM100" s="369"/>
      <c r="AN100" s="217">
        <v>50</v>
      </c>
      <c r="AO100" s="218" t="e">
        <f ca="1">ROUND(AN100*_xludf.ifs(
AND(AU100=TRUE,AW100=TRUE),1,
AU100=TRUE,AV100,
AW100=TRUE,AX100,
TRUE,1),0)</f>
        <v>#NAME?</v>
      </c>
      <c r="AP100" s="57" t="e">
        <f ca="1">ROUND(AO100/SUM(AO$32:AO$252)*AM$27,0)</f>
        <v>#NAME?</v>
      </c>
      <c r="AQ100" s="5" t="str">
        <f ca="1">IFERROR(__xludf.DUMMYFUNCTION("if(O100=0,"""",
filter(I$32:I99,row(I$32:I99)=max(filter(arrayformula(row(I$32:I99)),I$32:I99&lt;&gt;"""")))+
filter(G$32:G99,row(G$32:G99)=max(filter(arrayformula(row(G$32:G99)),G$32:G99&lt;&gt;"""")))
)"),"")</f>
        <v/>
      </c>
      <c r="AR100" s="198" t="str">
        <f ca="1">IFERROR(__xludf.DUMMYFUNCTION("if(G100="""","""",G100-(
filter(G$32:G$252,row(G$32:G$252)=max(filter(arrayformula(row(G$32:G$252)),G$32:G$252&lt;&gt;"""")))
-(10001-
filter(I$32:I$252,row(I$32:I$252)=max(filter(arrayformula(row(I$32:I$252)),I$32:I$252&lt;&gt;""""))))))"),"")</f>
        <v/>
      </c>
      <c r="AS100" s="198" t="e">
        <f ca="1">IF(AY100=0,"",ROUND(AY100/AM$3*10000,0))</f>
        <v>#NAME?</v>
      </c>
      <c r="AT100" s="237" t="b">
        <v>0</v>
      </c>
      <c r="AU100" s="57"/>
      <c r="AV100" s="220">
        <v>0</v>
      </c>
      <c r="AW100" s="82"/>
      <c r="AX100" s="220">
        <v>2</v>
      </c>
      <c r="AY100" s="56" t="e">
        <f ca="1">MAX(ROUND(AP100*(AM$1/AM$27),0),IF(AT100=TRUE,1,0))</f>
        <v>#NAME?</v>
      </c>
      <c r="AZ100" s="220">
        <v>3</v>
      </c>
      <c r="BA100" s="221">
        <v>0</v>
      </c>
      <c r="BB100" s="222" t="b">
        <v>0</v>
      </c>
      <c r="BC100" s="223" t="b">
        <v>0</v>
      </c>
      <c r="BD100" s="223" t="b">
        <v>0</v>
      </c>
      <c r="BE100" s="224" t="b">
        <v>0</v>
      </c>
      <c r="BF100" s="179">
        <v>1</v>
      </c>
      <c r="BG100" s="225" t="str">
        <f>IF(BC100=FALSE,"",MIN(BH100:$BK100)-ROUND(($BK100-1-ROUND(80/$AZ100,0))/COUNTIF($BB100:$BE100,TRUE),0))</f>
        <v/>
      </c>
      <c r="BH100" s="225" t="str">
        <f>IF(BD100=FALSE,"",MIN(BI100:$BK100)-ROUND(($BK100-1-ROUND(80/$AZ100,0))/COUNTIF($BB100:$BE100,TRUE),0))</f>
        <v/>
      </c>
      <c r="BI100" s="225" t="str">
        <f>IF(BE100=FALSE,"",MIN(BJ100:$BK100)-ROUND(($BK100-1-ROUND(80/$AZ100,0))/COUNTIF($BB100:$BE100,TRUE),0))</f>
        <v/>
      </c>
      <c r="BJ100" s="225" t="str">
        <f>IF(BB100=FALSE,"",MIN($BK100:BK100)-ROUND(($BK100-1-ROUND(80/$AZ100,0))/COUNTIF($BB100:$BE100,TRUE),0))</f>
        <v/>
      </c>
      <c r="BK100" s="107">
        <f>101-ROUND(Ag!BU$7*100,0)</f>
        <v>96</v>
      </c>
      <c r="BL100" s="63">
        <v>2</v>
      </c>
      <c r="BM100" s="82">
        <f t="array" ref="BM100">MIN(BL100,INDEX([1]Basic!L$26:L$34, MATCH([1]Basic!D$5,[1]Basic!B$26:B$34,0)))</f>
        <v>2</v>
      </c>
      <c r="DT100" s="472" t="str">
        <f ca="1">IFERROR(__xludf.DUMMYFUNCTION("""COMPUTED_VALUE"""),"Fish")</f>
        <v>Fish</v>
      </c>
      <c r="DU100" s="369"/>
    </row>
    <row r="101" spans="1:125" ht="12.75">
      <c r="A101" s="39" t="str">
        <v>Dsc</v>
      </c>
      <c r="B101" s="161" t="str">
        <v>Subarctic Continental Mediterranean</v>
      </c>
      <c r="C101" s="162">
        <v>0</v>
      </c>
      <c r="D101" s="162">
        <v>0</v>
      </c>
      <c r="E101" s="162">
        <v>0</v>
      </c>
      <c r="F101" s="162">
        <v>0</v>
      </c>
      <c r="G101" s="162">
        <v>0.1</v>
      </c>
      <c r="H101" s="162">
        <v>0</v>
      </c>
      <c r="I101" s="162">
        <v>0</v>
      </c>
      <c r="J101" s="162">
        <v>0</v>
      </c>
      <c r="K101" s="162">
        <v>0</v>
      </c>
      <c r="L101" s="162">
        <v>0</v>
      </c>
      <c r="M101" s="162">
        <v>0</v>
      </c>
      <c r="N101" s="163">
        <v>0.25</v>
      </c>
      <c r="Z101" s="31"/>
      <c r="AA101" s="31"/>
      <c r="AB101" s="31"/>
      <c r="AC101" s="31"/>
      <c r="AD101" s="31"/>
      <c r="AE101" s="31"/>
      <c r="AF101" s="31"/>
      <c r="AG101" s="31"/>
      <c r="AH101" s="31"/>
      <c r="AI101" s="31"/>
      <c r="AK101" s="389"/>
      <c r="AL101" s="452" t="s">
        <v>282</v>
      </c>
      <c r="AM101" s="369"/>
      <c r="AN101" s="217">
        <v>8</v>
      </c>
      <c r="AO101" s="218" t="e">
        <f ca="1">ROUND(AN101*_xludf.ifs(
AND(AU101=TRUE,AW101=TRUE),1,
AU101=TRUE,AV101,
AW101=TRUE,AX101,
TRUE,1),0)</f>
        <v>#NAME?</v>
      </c>
      <c r="AP101" s="57" t="e">
        <f ca="1">ROUND(AO101/SUM(AO$32:AO$252)*AM$27,0)</f>
        <v>#NAME?</v>
      </c>
      <c r="AQ101" s="5" t="str">
        <f ca="1">IFERROR(__xludf.DUMMYFUNCTION("if(O101=0,"""",
filter(I$32:I100,row(I$32:I100)=max(filter(arrayformula(row(I$32:I100)),I$32:I100&lt;&gt;"""")))+
filter(G$32:G100,row(G$32:G100)=max(filter(arrayformula(row(G$32:G100)),G$32:G100&lt;&gt;"""")))
)"),"")</f>
        <v/>
      </c>
      <c r="AR101" s="198" t="str">
        <f ca="1">IFERROR(__xludf.DUMMYFUNCTION("if(G101="""","""",G101-(
filter(G$32:G$252,row(G$32:G$252)=max(filter(arrayformula(row(G$32:G$252)),G$32:G$252&lt;&gt;"""")))
-(10001-
filter(I$32:I$252,row(I$32:I$252)=max(filter(arrayformula(row(I$32:I$252)),I$32:I$252&lt;&gt;""""))))))"),"")</f>
        <v/>
      </c>
      <c r="AS101" s="198" t="e">
        <f ca="1">IF(AY101=0,"",ROUND(AY101/AM$3*10000,0))</f>
        <v>#NAME?</v>
      </c>
      <c r="AT101" s="237" t="b">
        <v>0</v>
      </c>
      <c r="AU101" s="57"/>
      <c r="AV101" s="220">
        <v>0</v>
      </c>
      <c r="AW101" s="82" t="b">
        <f>OR(AU22)</f>
        <v>0</v>
      </c>
      <c r="AX101" s="220">
        <v>2</v>
      </c>
      <c r="AY101" s="56" t="e">
        <f ca="1">MAX(ROUND(AP101*(AM$1/AM$27),0),IF(AT101=TRUE,1,0))</f>
        <v>#NAME?</v>
      </c>
      <c r="AZ101" s="220">
        <v>3</v>
      </c>
      <c r="BA101" s="221">
        <v>0</v>
      </c>
      <c r="BB101" s="222" t="b">
        <v>0</v>
      </c>
      <c r="BC101" s="223" t="b">
        <v>0</v>
      </c>
      <c r="BD101" s="223" t="b">
        <v>0</v>
      </c>
      <c r="BE101" s="224" t="b">
        <v>0</v>
      </c>
      <c r="BF101" s="179">
        <v>1</v>
      </c>
      <c r="BG101" s="225" t="str">
        <f>IF(BC101=FALSE,"",MIN(BH101:$BK101)-ROUND(($BK101-1-ROUND(80/$AZ101,0))/COUNTIF($BB101:$BE101,TRUE),0))</f>
        <v/>
      </c>
      <c r="BH101" s="225" t="str">
        <f>IF(BD101=FALSE,"",MIN(BI101:$BK101)-ROUND(($BK101-1-ROUND(80/$AZ101,0))/COUNTIF($BB101:$BE101,TRUE),0))</f>
        <v/>
      </c>
      <c r="BI101" s="225" t="str">
        <f>IF(BE101=FALSE,"",MIN(BJ101:$BK101)-ROUND(($BK101-1-ROUND(80/$AZ101,0))/COUNTIF($BB101:$BE101,TRUE),0))</f>
        <v/>
      </c>
      <c r="BJ101" s="225" t="str">
        <f>IF(BB101=FALSE,"",MIN($BK101:BK101)-ROUND(($BK101-1-ROUND(80/$AZ101,0))/COUNTIF($BB101:$BE101,TRUE),0))</f>
        <v/>
      </c>
      <c r="BK101" s="107">
        <f>101-ROUND(Ag!BU$7*100,0)</f>
        <v>96</v>
      </c>
      <c r="BL101" s="63">
        <v>2</v>
      </c>
      <c r="BM101" s="82">
        <f t="array" ref="BM101">MIN(BL101,INDEX([1]Basic!L$26:L$34, MATCH([1]Basic!D$5,[1]Basic!B$26:B$34,0)))</f>
        <v>2</v>
      </c>
      <c r="DT101" s="472" t="str">
        <f ca="1">IFERROR(__xludf.DUMMYFUNCTION("""COMPUTED_VALUE"""),"Furniture")</f>
        <v>Furniture</v>
      </c>
      <c r="DU101" s="369"/>
    </row>
    <row r="102" spans="1:125" ht="12.75">
      <c r="A102" s="39" t="str">
        <v>ET</v>
      </c>
      <c r="B102" s="161" t="str">
        <v>Tundra</v>
      </c>
      <c r="C102" s="162">
        <v>0</v>
      </c>
      <c r="D102" s="162">
        <v>0</v>
      </c>
      <c r="E102" s="162">
        <v>0</v>
      </c>
      <c r="F102" s="162">
        <v>0</v>
      </c>
      <c r="G102" s="162">
        <v>0</v>
      </c>
      <c r="H102" s="162">
        <v>0</v>
      </c>
      <c r="I102" s="162">
        <v>0</v>
      </c>
      <c r="J102" s="162">
        <v>0</v>
      </c>
      <c r="K102" s="162">
        <v>0</v>
      </c>
      <c r="L102" s="162">
        <v>0</v>
      </c>
      <c r="M102" s="162">
        <v>0</v>
      </c>
      <c r="N102" s="163">
        <v>0.05</v>
      </c>
      <c r="Z102" s="31"/>
      <c r="AA102" s="31"/>
      <c r="AB102" s="31"/>
      <c r="AC102" s="31"/>
      <c r="AD102" s="31"/>
      <c r="AE102" s="31"/>
      <c r="AF102" s="31"/>
      <c r="AG102" s="31"/>
      <c r="AH102" s="31"/>
      <c r="AI102" s="31"/>
      <c r="AK102" s="389"/>
      <c r="AL102" s="452" t="s">
        <v>288</v>
      </c>
      <c r="AM102" s="369"/>
      <c r="AN102" s="217">
        <v>4</v>
      </c>
      <c r="AO102" s="218" t="e">
        <f ca="1">ROUND(AN102*_xludf.ifs(
AND(AU102=TRUE,AW102=TRUE),1,
AU102=TRUE,AV102,
AW102=TRUE,AX102,
TRUE,1),0)</f>
        <v>#NAME?</v>
      </c>
      <c r="AP102" s="57" t="e">
        <f ca="1">ROUND(AO102/SUM(AO$32:AO$252)*AM$27,0)</f>
        <v>#NAME?</v>
      </c>
      <c r="AQ102" s="5" t="str">
        <f ca="1">IFERROR(__xludf.DUMMYFUNCTION("if(O102=0,"""",
filter(I$32:I101,row(I$32:I101)=max(filter(arrayformula(row(I$32:I101)),I$32:I101&lt;&gt;"""")))+
filter(G$32:G101,row(G$32:G101)=max(filter(arrayformula(row(G$32:G101)),G$32:G101&lt;&gt;"""")))
)"),"")</f>
        <v/>
      </c>
      <c r="AR102" s="198" t="str">
        <f ca="1">IFERROR(__xludf.DUMMYFUNCTION("if(G102="""","""",G102-(
filter(G$32:G$252,row(G$32:G$252)=max(filter(arrayformula(row(G$32:G$252)),G$32:G$252&lt;&gt;"""")))
-(10001-
filter(I$32:I$252,row(I$32:I$252)=max(filter(arrayformula(row(I$32:I$252)),I$32:I$252&lt;&gt;""""))))))"),"")</f>
        <v/>
      </c>
      <c r="AS102" s="198" t="e">
        <f ca="1">IF(AY102=0,"",ROUND(AY102/AM$3*10000,0))</f>
        <v>#NAME?</v>
      </c>
      <c r="AT102" s="237" t="b">
        <v>0</v>
      </c>
      <c r="AU102" s="57"/>
      <c r="AV102" s="220">
        <v>0</v>
      </c>
      <c r="AW102" s="82" t="b">
        <f>OR(AU13)</f>
        <v>0</v>
      </c>
      <c r="AX102" s="220">
        <v>2</v>
      </c>
      <c r="AY102" s="56" t="e">
        <f ca="1">MAX(ROUND(AP102*(AM$1/AM$27),0),IF(AT102=TRUE,1,0))</f>
        <v>#NAME?</v>
      </c>
      <c r="AZ102" s="220">
        <v>5</v>
      </c>
      <c r="BA102" s="221">
        <v>0</v>
      </c>
      <c r="BB102" s="222" t="b">
        <v>0</v>
      </c>
      <c r="BC102" s="223" t="b">
        <v>0</v>
      </c>
      <c r="BD102" s="228" t="b">
        <v>1</v>
      </c>
      <c r="BE102" s="224" t="b">
        <v>0</v>
      </c>
      <c r="BF102" s="179">
        <v>1</v>
      </c>
      <c r="BG102" s="225" t="str">
        <f>IF(BC102=FALSE,"",MIN(BH102:$BK102)-ROUND(($BK102-1-ROUND(80/$AZ102,0))/COUNTIF($BB102:$BE102,TRUE),0))</f>
        <v/>
      </c>
      <c r="BH102" s="225">
        <f>IF(BD102=FALSE,"",MIN(BI102:$BK102)-ROUND(($BK102-1-ROUND(80/$AZ102,0))/COUNTIF($BB102:$BE102,TRUE),0))</f>
        <v>17</v>
      </c>
      <c r="BI102" s="225" t="str">
        <f>IF(BE102=FALSE,"",MIN(BJ102:$BK102)-ROUND(($BK102-1-ROUND(80/$AZ102,0))/COUNTIF($BB102:$BE102,TRUE),0))</f>
        <v/>
      </c>
      <c r="BJ102" s="225" t="str">
        <f>IF(BB102=FALSE,"",MIN($BK102:BK102)-ROUND(($BK102-1-ROUND(80/$AZ102,0))/COUNTIF($BB102:$BE102,TRUE),0))</f>
        <v/>
      </c>
      <c r="BK102" s="107">
        <f>101-ROUND(Ag!BU$7*100,0)</f>
        <v>96</v>
      </c>
      <c r="BL102" s="63">
        <v>2</v>
      </c>
      <c r="BM102" s="82">
        <f t="array" ref="BM102">MIN(BL102,INDEX([1]Basic!L$26:L$34, MATCH([1]Basic!D$5,[1]Basic!B$26:B$34,0)))</f>
        <v>2</v>
      </c>
      <c r="DT102" s="472" t="str">
        <f ca="1">IFERROR(__xludf.DUMMYFUNCTION("""COMPUTED_VALUE"""),"Gemstones")</f>
        <v>Gemstones</v>
      </c>
      <c r="DU102" s="369"/>
    </row>
    <row r="103" spans="1:125" ht="13.5" thickBot="1">
      <c r="A103" s="44" t="str">
        <v>EF</v>
      </c>
      <c r="B103" s="164" t="str">
        <v>Ice Cap</v>
      </c>
      <c r="C103" s="165">
        <v>0</v>
      </c>
      <c r="D103" s="165">
        <v>0</v>
      </c>
      <c r="E103" s="165">
        <v>0</v>
      </c>
      <c r="F103" s="165">
        <v>0</v>
      </c>
      <c r="G103" s="165">
        <v>0</v>
      </c>
      <c r="H103" s="165">
        <v>0</v>
      </c>
      <c r="I103" s="165">
        <v>0</v>
      </c>
      <c r="J103" s="165">
        <v>0</v>
      </c>
      <c r="K103" s="165">
        <v>0</v>
      </c>
      <c r="L103" s="165">
        <v>0</v>
      </c>
      <c r="M103" s="165">
        <v>0</v>
      </c>
      <c r="N103" s="166">
        <v>0.01</v>
      </c>
      <c r="Z103" s="31"/>
      <c r="AA103" s="31"/>
      <c r="AB103" s="31"/>
      <c r="AC103" s="31"/>
      <c r="AD103" s="31"/>
      <c r="AE103" s="31"/>
      <c r="AF103" s="31"/>
      <c r="AG103" s="31"/>
      <c r="AH103" s="31"/>
      <c r="AI103" s="31"/>
      <c r="AK103" s="389"/>
      <c r="AL103" s="452" t="s">
        <v>294</v>
      </c>
      <c r="AM103" s="369"/>
      <c r="AN103" s="217">
        <v>10</v>
      </c>
      <c r="AO103" s="218" t="e">
        <f ca="1">ROUND(AN103*_xludf.ifs(
AND(AU103=TRUE,AW103=TRUE),1,
AU103=TRUE,AV103,
AW103=TRUE,AX103,
TRUE,1),0)</f>
        <v>#NAME?</v>
      </c>
      <c r="AP103" s="57" t="e">
        <f ca="1">ROUND(AO103/SUM(AO$32:AO$252)*AM$27,0)</f>
        <v>#NAME?</v>
      </c>
      <c r="AQ103" s="5" t="str">
        <f ca="1">IFERROR(__xludf.DUMMYFUNCTION("if(O103=0,"""",
filter(I$32:I102,row(I$32:I102)=max(filter(arrayformula(row(I$32:I102)),I$32:I102&lt;&gt;"""")))+
filter(G$32:G102,row(G$32:G102)=max(filter(arrayformula(row(G$32:G102)),G$32:G102&lt;&gt;"""")))
)"),"")</f>
        <v/>
      </c>
      <c r="AR103" s="198" t="str">
        <f ca="1">IFERROR(__xludf.DUMMYFUNCTION("if(G103="""","""",G103-(
filter(G$32:G$252,row(G$32:G$252)=max(filter(arrayformula(row(G$32:G$252)),G$32:G$252&lt;&gt;"""")))
-(10001-
filter(I$32:I$252,row(I$32:I$252)=max(filter(arrayformula(row(I$32:I$252)),I$32:I$252&lt;&gt;""""))))))"),"")</f>
        <v/>
      </c>
      <c r="AS103" s="198" t="e">
        <f ca="1">IF(AY103=0,"",ROUND(AY103/AM$3*10000,0))</f>
        <v>#NAME?</v>
      </c>
      <c r="AT103" s="237" t="b">
        <v>0</v>
      </c>
      <c r="AU103" s="57"/>
      <c r="AV103" s="220">
        <v>0</v>
      </c>
      <c r="AW103" s="82"/>
      <c r="AX103" s="220">
        <v>2</v>
      </c>
      <c r="AY103" s="56" t="e">
        <f ca="1">MAX(ROUND(AP103*(AM$1/AM$27),0),IF(AT103=TRUE,1,0))</f>
        <v>#NAME?</v>
      </c>
      <c r="AZ103" s="220">
        <v>3</v>
      </c>
      <c r="BA103" s="221">
        <v>0</v>
      </c>
      <c r="BB103" s="222" t="b">
        <v>0</v>
      </c>
      <c r="BC103" s="223" t="b">
        <v>0</v>
      </c>
      <c r="BD103" s="223" t="b">
        <v>0</v>
      </c>
      <c r="BE103" s="224" t="b">
        <v>0</v>
      </c>
      <c r="BF103" s="179">
        <v>1</v>
      </c>
      <c r="BG103" s="225" t="str">
        <f>IF(BC103=FALSE,"",MIN(BH103:$BK103)-ROUND(($BK103-1-ROUND(80/$AZ103,0))/COUNTIF($BB103:$BE103,TRUE),0))</f>
        <v/>
      </c>
      <c r="BH103" s="225" t="str">
        <f>IF(BD103=FALSE,"",MIN(BI103:$BK103)-ROUND(($BK103-1-ROUND(80/$AZ103,0))/COUNTIF($BB103:$BE103,TRUE),0))</f>
        <v/>
      </c>
      <c r="BI103" s="225" t="str">
        <f>IF(BE103=FALSE,"",MIN(BJ103:$BK103)-ROUND(($BK103-1-ROUND(80/$AZ103,0))/COUNTIF($BB103:$BE103,TRUE),0))</f>
        <v/>
      </c>
      <c r="BJ103" s="225" t="str">
        <f>IF(BB103=FALSE,"",MIN($BK103:BK103)-ROUND(($BK103-1-ROUND(80/$AZ103,0))/COUNTIF($BB103:$BE103,TRUE),0))</f>
        <v/>
      </c>
      <c r="BK103" s="107">
        <f>101-ROUND(Ag!BU$7*100,0)</f>
        <v>96</v>
      </c>
      <c r="BL103" s="63">
        <v>2</v>
      </c>
      <c r="BM103" s="82">
        <f t="array" ref="BM103">MIN(BL103,INDEX([1]Basic!L$26:L$34, MATCH([1]Basic!D$5,[1]Basic!B$26:B$34,0)))</f>
        <v>2</v>
      </c>
      <c r="DT103" s="472" t="str">
        <f ca="1">IFERROR(__xludf.DUMMYFUNCTION("""COMPUTED_VALUE"""),"Glasswares")</f>
        <v>Glasswares</v>
      </c>
      <c r="DU103" s="369"/>
    </row>
    <row r="104" spans="1:125" ht="15.75" customHeight="1" thickTop="1" thickBot="1">
      <c r="Z104" s="31"/>
      <c r="AA104" s="31"/>
      <c r="AB104" s="31"/>
      <c r="AC104" s="31"/>
      <c r="AD104" s="31"/>
      <c r="AE104" s="31"/>
      <c r="AF104" s="31"/>
      <c r="AG104" s="31"/>
      <c r="AH104" s="31"/>
      <c r="AI104" s="31"/>
      <c r="AK104" s="389"/>
      <c r="AL104" s="452" t="s">
        <v>299</v>
      </c>
      <c r="AM104" s="369"/>
      <c r="AN104" s="217">
        <v>6</v>
      </c>
      <c r="AO104" s="218" t="e">
        <f ca="1">ROUND(AN104*_xludf.ifs(
AND(AU104=TRUE,AW104=TRUE),1,
AU104=TRUE,AV104,
AW104=TRUE,AX104,
TRUE,1),0)</f>
        <v>#NAME?</v>
      </c>
      <c r="AP104" s="57" t="e">
        <f ca="1">ROUND(AO104/SUM(AO$32:AO$252)*AM$27,0)</f>
        <v>#NAME?</v>
      </c>
      <c r="AQ104" s="5" t="str">
        <f ca="1">IFERROR(__xludf.DUMMYFUNCTION("if(O104=0,"""",
filter(I$32:I103,row(I$32:I103)=max(filter(arrayformula(row(I$32:I103)),I$32:I103&lt;&gt;"""")))+
filter(G$32:G103,row(G$32:G103)=max(filter(arrayformula(row(G$32:G103)),G$32:G103&lt;&gt;"""")))
)"),"")</f>
        <v/>
      </c>
      <c r="AR104" s="198" t="str">
        <f ca="1">IFERROR(__xludf.DUMMYFUNCTION("if(G104="""","""",G104-(
filter(G$32:G$252,row(G$32:G$252)=max(filter(arrayformula(row(G$32:G$252)),G$32:G$252&lt;&gt;"""")))
-(10001-
filter(I$32:I$252,row(I$32:I$252)=max(filter(arrayformula(row(I$32:I$252)),I$32:I$252&lt;&gt;""""))))))"),"")</f>
        <v/>
      </c>
      <c r="AS104" s="198" t="e">
        <f ca="1">IF(AY104=0,"",ROUND(AY104/AM$3*10000,0))</f>
        <v>#NAME?</v>
      </c>
      <c r="AT104" s="237" t="b">
        <v>0</v>
      </c>
      <c r="AU104" s="57"/>
      <c r="AV104" s="220">
        <v>0</v>
      </c>
      <c r="AW104" s="82" t="b">
        <f>OR(AQ22,AU13)</f>
        <v>0</v>
      </c>
      <c r="AX104" s="220">
        <v>2</v>
      </c>
      <c r="AY104" s="56" t="e">
        <f ca="1">MAX(ROUND(AP104*(AM$1/AM$27),0),IF(AT104=TRUE,1,0))</f>
        <v>#NAME?</v>
      </c>
      <c r="AZ104" s="220">
        <v>5</v>
      </c>
      <c r="BA104" s="221">
        <v>0</v>
      </c>
      <c r="BB104" s="222" t="b">
        <v>0</v>
      </c>
      <c r="BC104" s="223" t="b">
        <v>0</v>
      </c>
      <c r="BD104" s="228" t="b">
        <v>1</v>
      </c>
      <c r="BE104" s="224" t="b">
        <v>0</v>
      </c>
      <c r="BF104" s="179">
        <v>1</v>
      </c>
      <c r="BG104" s="225" t="str">
        <f>IF(BC104=FALSE,"",MIN(BH104:$BK104)-ROUND(($BK104-1-ROUND(80/$AZ104,0))/COUNTIF($BB104:$BE104,TRUE),0))</f>
        <v/>
      </c>
      <c r="BH104" s="225">
        <f>IF(BD104=FALSE,"",MIN(BI104:$BK104)-ROUND(($BK104-1-ROUND(80/$AZ104,0))/COUNTIF($BB104:$BE104,TRUE),0))</f>
        <v>17</v>
      </c>
      <c r="BI104" s="225" t="str">
        <f>IF(BE104=FALSE,"",MIN(BJ104:$BK104)-ROUND(($BK104-1-ROUND(80/$AZ104,0))/COUNTIF($BB104:$BE104,TRUE),0))</f>
        <v/>
      </c>
      <c r="BJ104" s="225" t="str">
        <f>IF(BB104=FALSE,"",MIN($BK104:BK104)-ROUND(($BK104-1-ROUND(80/$AZ104,0))/COUNTIF($BB104:$BE104,TRUE),0))</f>
        <v/>
      </c>
      <c r="BK104" s="107">
        <f>101-ROUND(Ag!BU$7*100,0)</f>
        <v>96</v>
      </c>
      <c r="BL104" s="63">
        <v>3</v>
      </c>
      <c r="BM104" s="82">
        <f t="array" ref="BM104">MIN(BL104,INDEX([1]Basic!L$26:L$34, MATCH([1]Basic!D$5,[1]Basic!B$26:B$34,0)))</f>
        <v>3</v>
      </c>
      <c r="DT104" s="472" t="str">
        <f ca="1">IFERROR(__xludf.DUMMYFUNCTION("""COMPUTED_VALUE"""),"Gold/Gold Ore")</f>
        <v>Gold/Gold Ore</v>
      </c>
      <c r="DU104" s="369"/>
    </row>
    <row r="105" spans="1:125" ht="14.25" thickTop="1" thickBot="1">
      <c r="A105" s="400" t="s">
        <v>81</v>
      </c>
      <c r="B105" s="354"/>
      <c r="C105" s="354"/>
      <c r="D105" s="354"/>
      <c r="E105" s="354"/>
      <c r="F105" s="354"/>
      <c r="G105" s="354"/>
      <c r="H105" s="354"/>
      <c r="I105" s="354"/>
      <c r="J105" s="354"/>
      <c r="K105" s="354"/>
      <c r="L105" s="354"/>
      <c r="M105" s="354"/>
      <c r="N105" s="354"/>
      <c r="O105" s="355"/>
      <c r="Z105" s="31"/>
      <c r="AA105" s="31"/>
      <c r="AB105" s="31"/>
      <c r="AC105" s="31"/>
      <c r="AD105" s="31"/>
      <c r="AE105" s="31"/>
      <c r="AF105" s="31"/>
      <c r="AG105" s="31"/>
      <c r="AH105" s="31"/>
      <c r="AI105" s="31"/>
      <c r="AK105" s="389"/>
      <c r="AL105" s="452" t="s">
        <v>304</v>
      </c>
      <c r="AM105" s="369"/>
      <c r="AN105" s="217">
        <v>16</v>
      </c>
      <c r="AO105" s="218" t="e">
        <f ca="1">ROUND(AN105*_xludf.ifs(
AND(AU105=TRUE,AW105=TRUE),1,
AU105=TRUE,AV105,
AW105=TRUE,AX105,
TRUE,1),0)</f>
        <v>#NAME?</v>
      </c>
      <c r="AP105" s="57" t="e">
        <f ca="1">ROUND(AO105/SUM(AO$32:AO$252)*AM$27,0)</f>
        <v>#NAME?</v>
      </c>
      <c r="AQ105" s="5" t="str">
        <f ca="1">IFERROR(__xludf.DUMMYFUNCTION("if(O105=0,"""",
filter(I$32:I104,row(I$32:I104)=max(filter(arrayformula(row(I$32:I104)),I$32:I104&lt;&gt;"""")))+
filter(G$32:G104,row(G$32:G104)=max(filter(arrayformula(row(G$32:G104)),G$32:G104&lt;&gt;"""")))
)"),"")</f>
        <v/>
      </c>
      <c r="AR105" s="198" t="str">
        <f ca="1">IFERROR(__xludf.DUMMYFUNCTION("if(G105="""","""",G105-(
filter(G$32:G$252,row(G$32:G$252)=max(filter(arrayformula(row(G$32:G$252)),G$32:G$252&lt;&gt;"""")))
-(10001-
filter(I$32:I$252,row(I$32:I$252)=max(filter(arrayformula(row(I$32:I$252)),I$32:I$252&lt;&gt;""""))))))"),"")</f>
        <v/>
      </c>
      <c r="AS105" s="198" t="e">
        <f ca="1">IF(AY105=0,"",ROUND(AY105/AM$3*10000,0))</f>
        <v>#NAME?</v>
      </c>
      <c r="AT105" s="237" t="b">
        <v>0</v>
      </c>
      <c r="AU105" s="57"/>
      <c r="AV105" s="220">
        <v>0</v>
      </c>
      <c r="AW105" s="82" t="b">
        <f>OR(AQ22,AU13)</f>
        <v>0</v>
      </c>
      <c r="AX105" s="220">
        <v>2</v>
      </c>
      <c r="AY105" s="56" t="e">
        <f ca="1">MAX(ROUND(AP105*(AM$1/AM$27),0),IF(AT105=TRUE,1,0))</f>
        <v>#NAME?</v>
      </c>
      <c r="AZ105" s="220">
        <v>5</v>
      </c>
      <c r="BA105" s="221">
        <v>0</v>
      </c>
      <c r="BB105" s="222" t="b">
        <v>0</v>
      </c>
      <c r="BC105" s="223" t="b">
        <v>0</v>
      </c>
      <c r="BD105" s="228" t="b">
        <v>1</v>
      </c>
      <c r="BE105" s="224" t="b">
        <v>0</v>
      </c>
      <c r="BF105" s="179">
        <v>1</v>
      </c>
      <c r="BG105" s="225" t="str">
        <f>IF(BC105=FALSE,"",MIN(BH105:$BK105)-ROUND(($BK105-1-ROUND(80/$AZ105,0))/COUNTIF($BB105:$BE105,TRUE),0))</f>
        <v/>
      </c>
      <c r="BH105" s="225">
        <f>IF(BD105=FALSE,"",MIN(BI105:$BK105)-ROUND(($BK105-1-ROUND(80/$AZ105,0))/COUNTIF($BB105:$BE105,TRUE),0))</f>
        <v>17</v>
      </c>
      <c r="BI105" s="225" t="str">
        <f>IF(BE105=FALSE,"",MIN(BJ105:$BK105)-ROUND(($BK105-1-ROUND(80/$AZ105,0))/COUNTIF($BB105:$BE105,TRUE),0))</f>
        <v/>
      </c>
      <c r="BJ105" s="225" t="str">
        <f>IF(BB105=FALSE,"",MIN($BK105:BK105)-ROUND(($BK105-1-ROUND(80/$AZ105,0))/COUNTIF($BB105:$BE105,TRUE),0))</f>
        <v/>
      </c>
      <c r="BK105" s="107">
        <f>101-ROUND(Ag!BU$7*100,0)</f>
        <v>96</v>
      </c>
      <c r="BL105" s="63">
        <v>3</v>
      </c>
      <c r="BM105" s="82">
        <f t="array" ref="BM105">MIN(BL105,INDEX([1]Basic!L$26:L$34, MATCH([1]Basic!D$5,[1]Basic!B$26:B$34,0)))</f>
        <v>3</v>
      </c>
      <c r="DT105" s="472" t="str">
        <f ca="1">IFERROR(__xludf.DUMMYFUNCTION("""COMPUTED_VALUE"""),"Granite")</f>
        <v>Granite</v>
      </c>
      <c r="DU105" s="369"/>
    </row>
    <row r="106" spans="1:125" ht="14.25" thickTop="1" thickBot="1">
      <c r="A106" s="26" t="s">
        <v>500</v>
      </c>
      <c r="B106" s="26" t="s">
        <v>706</v>
      </c>
      <c r="C106" s="68" t="s">
        <v>707</v>
      </c>
      <c r="D106" s="68" t="s">
        <v>708</v>
      </c>
      <c r="E106" s="68" t="s">
        <v>709</v>
      </c>
      <c r="F106" s="68" t="s">
        <v>710</v>
      </c>
      <c r="G106" s="68" t="s">
        <v>711</v>
      </c>
      <c r="H106" s="68" t="s">
        <v>712</v>
      </c>
      <c r="I106" s="68" t="s">
        <v>713</v>
      </c>
      <c r="J106" s="68" t="s">
        <v>714</v>
      </c>
      <c r="K106" s="68" t="s">
        <v>715</v>
      </c>
      <c r="L106" s="68" t="s">
        <v>716</v>
      </c>
      <c r="M106" s="68" t="s">
        <v>717</v>
      </c>
      <c r="N106" s="26" t="s">
        <v>718</v>
      </c>
      <c r="O106" s="26" t="s">
        <v>719</v>
      </c>
      <c r="Z106" s="31"/>
      <c r="AA106" s="31"/>
      <c r="AB106" s="31"/>
      <c r="AC106" s="31"/>
      <c r="AD106" s="31"/>
      <c r="AE106" s="31"/>
      <c r="AF106" s="31"/>
      <c r="AG106" s="31"/>
      <c r="AH106" s="31"/>
      <c r="AI106" s="31"/>
      <c r="AK106" s="389"/>
      <c r="AL106" s="452" t="s">
        <v>309</v>
      </c>
      <c r="AM106" s="369"/>
      <c r="AN106" s="217">
        <v>14</v>
      </c>
      <c r="AO106" s="218" t="e">
        <f ca="1">ROUND(AN106*_xludf.ifs(
AND(AU106=TRUE,AW106=TRUE),1,
AU106=TRUE,AV106,
AW106=TRUE,AX106,
TRUE,1),0)</f>
        <v>#NAME?</v>
      </c>
      <c r="AP106" s="57" t="e">
        <f ca="1">ROUND(AO106/SUM(AO$32:AO$252)*AM$27,0)</f>
        <v>#NAME?</v>
      </c>
      <c r="AQ106" s="5" t="str">
        <f ca="1">IFERROR(__xludf.DUMMYFUNCTION("if(O106=0,"""",
filter(I$32:I105,row(I$32:I105)=max(filter(arrayformula(row(I$32:I105)),I$32:I105&lt;&gt;"""")))+
filter(G$32:G105,row(G$32:G105)=max(filter(arrayformula(row(G$32:G105)),G$32:G105&lt;&gt;"""")))
)"),"")</f>
        <v/>
      </c>
      <c r="AR106" s="198" t="str">
        <f ca="1">IFERROR(__xludf.DUMMYFUNCTION("if(G106="""","""",G106-(
filter(G$32:G$252,row(G$32:G$252)=max(filter(arrayformula(row(G$32:G$252)),G$32:G$252&lt;&gt;"""")))
-(10001-
filter(I$32:I$252,row(I$32:I$252)=max(filter(arrayformula(row(I$32:I$252)),I$32:I$252&lt;&gt;""""))))))"),"")</f>
        <v/>
      </c>
      <c r="AS106" s="198" t="e">
        <f ca="1">IF(AY106=0,"",ROUND(AY106/AM$3*10000,0))</f>
        <v>#NAME?</v>
      </c>
      <c r="AT106" s="237" t="b">
        <v>0</v>
      </c>
      <c r="AU106" s="57"/>
      <c r="AV106" s="220">
        <v>0</v>
      </c>
      <c r="AW106" s="82" t="b">
        <f>OR(AQ22,AU13)</f>
        <v>0</v>
      </c>
      <c r="AX106" s="220">
        <v>2</v>
      </c>
      <c r="AY106" s="56" t="e">
        <f ca="1">MAX(ROUND(AP106*(AM$1/AM$27),0),IF(AT106=TRUE,1,0))</f>
        <v>#NAME?</v>
      </c>
      <c r="AZ106" s="220">
        <v>2</v>
      </c>
      <c r="BA106" s="221">
        <v>0</v>
      </c>
      <c r="BB106" s="222" t="b">
        <v>0</v>
      </c>
      <c r="BC106" s="223" t="b">
        <v>0</v>
      </c>
      <c r="BD106" s="223" t="b">
        <v>0</v>
      </c>
      <c r="BE106" s="224" t="b">
        <v>0</v>
      </c>
      <c r="BF106" s="179">
        <v>1</v>
      </c>
      <c r="BG106" s="225" t="str">
        <f>IF(BC106=FALSE,"",MIN(BH106:$BK106)-ROUND(($BK106-1-ROUND(80/$AZ106,0))/COUNTIF($BB106:$BE106,TRUE),0))</f>
        <v/>
      </c>
      <c r="BH106" s="225" t="str">
        <f>IF(BD106=FALSE,"",MIN(BI106:$BK106)-ROUND(($BK106-1-ROUND(80/$AZ106,0))/COUNTIF($BB106:$BE106,TRUE),0))</f>
        <v/>
      </c>
      <c r="BI106" s="225" t="str">
        <f>IF(BE106=FALSE,"",MIN(BJ106:$BK106)-ROUND(($BK106-1-ROUND(80/$AZ106,0))/COUNTIF($BB106:$BE106,TRUE),0))</f>
        <v/>
      </c>
      <c r="BJ106" s="225" t="str">
        <f>IF(BB106=FALSE,"",MIN($BK106:BK106)-ROUND(($BK106-1-ROUND(80/$AZ106,0))/COUNTIF($BB106:$BE106,TRUE),0))</f>
        <v/>
      </c>
      <c r="BK106" s="107">
        <f>101-ROUND(Ag!BU$7*100,0)</f>
        <v>96</v>
      </c>
      <c r="BL106" s="63">
        <v>2</v>
      </c>
      <c r="BM106" s="82">
        <f t="array" ref="BM106">MIN(BL106,INDEX([1]Basic!L$26:L$34, MATCH([1]Basic!D$5,[1]Basic!B$26:B$34,0)))</f>
        <v>2</v>
      </c>
      <c r="DT106" s="472" t="str">
        <f ca="1">IFERROR(__xludf.DUMMYFUNCTION("""COMPUTED_VALUE"""),"Iron/Iron Ore")</f>
        <v>Iron/Iron Ore</v>
      </c>
      <c r="DU106" s="369"/>
    </row>
    <row r="107" spans="1:125" ht="13.5" thickTop="1">
      <c r="A107" s="157" t="str">
        <f t="array" ref="A107:B135">Climate!A79:B107</f>
        <v>Af</v>
      </c>
      <c r="B107" s="158" t="str">
        <v>Tropical Rainforest</v>
      </c>
      <c r="C107" s="159">
        <v>0</v>
      </c>
      <c r="D107" s="159">
        <v>0</v>
      </c>
      <c r="E107" s="159">
        <v>0</v>
      </c>
      <c r="F107" s="159">
        <v>0.75</v>
      </c>
      <c r="G107" s="159">
        <v>0.75</v>
      </c>
      <c r="H107" s="159">
        <v>0.5</v>
      </c>
      <c r="I107" s="159">
        <v>1</v>
      </c>
      <c r="J107" s="159">
        <v>1</v>
      </c>
      <c r="K107" s="159">
        <v>0</v>
      </c>
      <c r="L107" s="159">
        <v>0</v>
      </c>
      <c r="M107" s="159">
        <v>0</v>
      </c>
      <c r="N107" s="159">
        <v>0.5</v>
      </c>
      <c r="O107" s="159">
        <v>0</v>
      </c>
      <c r="Z107" s="31"/>
      <c r="AA107" s="31"/>
      <c r="AB107" s="31"/>
      <c r="AC107" s="31"/>
      <c r="AD107" s="31"/>
      <c r="AE107" s="31"/>
      <c r="AF107" s="31"/>
      <c r="AG107" s="31"/>
      <c r="AH107" s="31"/>
      <c r="AI107" s="31"/>
      <c r="AK107" s="389"/>
      <c r="AL107" s="452" t="s">
        <v>314</v>
      </c>
      <c r="AM107" s="369"/>
      <c r="AN107" s="217">
        <v>12</v>
      </c>
      <c r="AO107" s="218" t="e">
        <f ca="1">ROUND(AN107*_xludf.ifs(
AND(AU107=TRUE,AW107=TRUE),1,
AU107=TRUE,AV107,
AW107=TRUE,AX107,
TRUE,1),0)</f>
        <v>#NAME?</v>
      </c>
      <c r="AP107" s="57" t="e">
        <f ca="1">ROUND(AO107/SUM(AO$32:AO$252)*AM$27,0)</f>
        <v>#NAME?</v>
      </c>
      <c r="AQ107" s="5" t="str">
        <f ca="1">IFERROR(__xludf.DUMMYFUNCTION("if(O107=0,"""",
filter(I$32:I106,row(I$32:I106)=max(filter(arrayformula(row(I$32:I106)),I$32:I106&lt;&gt;"""")))+
filter(G$32:G106,row(G$32:G106)=max(filter(arrayformula(row(G$32:G106)),G$32:G106&lt;&gt;"""")))
)"),"")</f>
        <v/>
      </c>
      <c r="AR107" s="198" t="str">
        <f ca="1">IFERROR(__xludf.DUMMYFUNCTION("if(G107="""","""",G107-(
filter(G$32:G$252,row(G$32:G$252)=max(filter(arrayformula(row(G$32:G$252)),G$32:G$252&lt;&gt;"""")))
-(10001-
filter(I$32:I$252,row(I$32:I$252)=max(filter(arrayformula(row(I$32:I$252)),I$32:I$252&lt;&gt;""""))))))"),"")</f>
        <v/>
      </c>
      <c r="AS107" s="198" t="e">
        <f ca="1">IF(AY107=0,"",ROUND(AY107/AM$3*10000,0))</f>
        <v>#NAME?</v>
      </c>
      <c r="AT107" s="237" t="b">
        <v>0</v>
      </c>
      <c r="AU107" s="57"/>
      <c r="AV107" s="220">
        <v>0</v>
      </c>
      <c r="AW107" s="82" t="b">
        <f>OR(AU22)</f>
        <v>0</v>
      </c>
      <c r="AX107" s="220">
        <v>2</v>
      </c>
      <c r="AY107" s="56" t="e">
        <f ca="1">MAX(ROUND(AP107*(AM$1/AM$27),0),IF(AT107=TRUE,1,0))</f>
        <v>#NAME?</v>
      </c>
      <c r="AZ107" s="220">
        <v>3</v>
      </c>
      <c r="BA107" s="221">
        <v>0</v>
      </c>
      <c r="BB107" s="222" t="b">
        <v>0</v>
      </c>
      <c r="BC107" s="223" t="b">
        <v>0</v>
      </c>
      <c r="BD107" s="223" t="b">
        <v>0</v>
      </c>
      <c r="BE107" s="224" t="b">
        <v>0</v>
      </c>
      <c r="BF107" s="179">
        <v>1</v>
      </c>
      <c r="BG107" s="225" t="str">
        <f>IF(BC107=FALSE,"",MIN(BH107:$BK107)-ROUND(($BK107-1-ROUND(80/$AZ107,0))/COUNTIF($BB107:$BE107,TRUE),0))</f>
        <v/>
      </c>
      <c r="BH107" s="225" t="str">
        <f>IF(BD107=FALSE,"",MIN(BI107:$BK107)-ROUND(($BK107-1-ROUND(80/$AZ107,0))/COUNTIF($BB107:$BE107,TRUE),0))</f>
        <v/>
      </c>
      <c r="BI107" s="225" t="str">
        <f>IF(BE107=FALSE,"",MIN(BJ107:$BK107)-ROUND(($BK107-1-ROUND(80/$AZ107,0))/COUNTIF($BB107:$BE107,TRUE),0))</f>
        <v/>
      </c>
      <c r="BJ107" s="225" t="str">
        <f>IF(BB107=FALSE,"",MIN($BK107:BK107)-ROUND(($BK107-1-ROUND(80/$AZ107,0))/COUNTIF($BB107:$BE107,TRUE),0))</f>
        <v/>
      </c>
      <c r="BK107" s="107">
        <f>101-ROUND(Ag!BU$7*100,0)</f>
        <v>96</v>
      </c>
      <c r="BL107" s="63">
        <v>2</v>
      </c>
      <c r="BM107" s="82">
        <f t="array" ref="BM107">MIN(BL107,INDEX([1]Basic!L$26:L$34, MATCH([1]Basic!D$5,[1]Basic!B$26:B$34,0)))</f>
        <v>2</v>
      </c>
      <c r="DT107" s="472" t="str">
        <f ca="1">IFERROR(__xludf.DUMMYFUNCTION("""COMPUTED_VALUE"""),"Jewelry")</f>
        <v>Jewelry</v>
      </c>
      <c r="DU107" s="369"/>
    </row>
    <row r="108" spans="1:125" ht="12.75">
      <c r="A108" s="39" t="str">
        <v>Am</v>
      </c>
      <c r="B108" s="161" t="str">
        <v>Tropical Monsoon</v>
      </c>
      <c r="C108" s="162">
        <v>0</v>
      </c>
      <c r="D108" s="162">
        <v>0</v>
      </c>
      <c r="E108" s="162">
        <v>0</v>
      </c>
      <c r="F108" s="162">
        <v>0.75</v>
      </c>
      <c r="G108" s="162">
        <v>1</v>
      </c>
      <c r="H108" s="162">
        <v>0</v>
      </c>
      <c r="I108" s="162">
        <v>0.75</v>
      </c>
      <c r="J108" s="162">
        <v>1</v>
      </c>
      <c r="K108" s="162">
        <v>0.75</v>
      </c>
      <c r="L108" s="162">
        <v>0</v>
      </c>
      <c r="M108" s="162">
        <v>0</v>
      </c>
      <c r="N108" s="162">
        <v>0.5</v>
      </c>
      <c r="O108" s="162">
        <v>0</v>
      </c>
      <c r="Z108" s="31"/>
      <c r="AA108" s="31"/>
      <c r="AB108" s="31"/>
      <c r="AC108" s="31"/>
      <c r="AD108" s="31"/>
      <c r="AE108" s="31"/>
      <c r="AF108" s="31"/>
      <c r="AG108" s="31"/>
      <c r="AH108" s="31"/>
      <c r="AI108" s="31"/>
      <c r="AK108" s="389"/>
      <c r="AL108" s="452" t="s">
        <v>319</v>
      </c>
      <c r="AM108" s="369"/>
      <c r="AN108" s="217">
        <v>8</v>
      </c>
      <c r="AO108" s="218" t="e">
        <f ca="1">ROUND(AN108*_xludf.ifs(
AND(AU108=TRUE,AW108=TRUE),1,
AU108=TRUE,AV108,
AW108=TRUE,AX108,
TRUE,1),0)</f>
        <v>#NAME?</v>
      </c>
      <c r="AP108" s="57" t="e">
        <f ca="1">ROUND(AO108/SUM(AO$32:AO$252)*AM$27,0)</f>
        <v>#NAME?</v>
      </c>
      <c r="AQ108" s="5" t="str">
        <f ca="1">IFERROR(__xludf.DUMMYFUNCTION("if(O108=0,"""",
filter(I$32:I107,row(I$32:I107)=max(filter(arrayformula(row(I$32:I107)),I$32:I107&lt;&gt;"""")))+
filter(G$32:G107,row(G$32:G107)=max(filter(arrayformula(row(G$32:G107)),G$32:G107&lt;&gt;"""")))
)"),"")</f>
        <v/>
      </c>
      <c r="AR108" s="198" t="str">
        <f ca="1">IFERROR(__xludf.DUMMYFUNCTION("if(G108="""","""",G108-(
filter(G$32:G$252,row(G$32:G$252)=max(filter(arrayformula(row(G$32:G$252)),G$32:G$252&lt;&gt;"""")))
-(10001-
filter(I$32:I$252,row(I$32:I$252)=max(filter(arrayformula(row(I$32:I$252)),I$32:I$252&lt;&gt;""""))))))"),"")</f>
        <v/>
      </c>
      <c r="AS108" s="198" t="e">
        <f ca="1">IF(AY108=0,"",ROUND(AY108/AM$3*10000,0))</f>
        <v>#NAME?</v>
      </c>
      <c r="AT108" s="237" t="b">
        <v>0</v>
      </c>
      <c r="AU108" s="57"/>
      <c r="AV108" s="220">
        <v>0</v>
      </c>
      <c r="AW108" s="82" t="b">
        <f>OR(AQ22)</f>
        <v>0</v>
      </c>
      <c r="AX108" s="220">
        <v>2</v>
      </c>
      <c r="AY108" s="56" t="e">
        <f ca="1">MAX(ROUND(AP108*(AM$1/AM$27),0),IF(AT108=TRUE,1,0))</f>
        <v>#NAME?</v>
      </c>
      <c r="AZ108" s="220">
        <v>3</v>
      </c>
      <c r="BA108" s="221">
        <v>0</v>
      </c>
      <c r="BB108" s="222" t="b">
        <v>0</v>
      </c>
      <c r="BC108" s="223" t="b">
        <v>0</v>
      </c>
      <c r="BD108" s="223" t="b">
        <v>0</v>
      </c>
      <c r="BE108" s="224" t="b">
        <v>0</v>
      </c>
      <c r="BF108" s="179">
        <v>1</v>
      </c>
      <c r="BG108" s="225" t="str">
        <f>IF(BC108=FALSE,"",MIN(BH108:$BK108)-ROUND(($BK108-1-ROUND(80/$AZ108,0))/COUNTIF($BB108:$BE108,TRUE),0))</f>
        <v/>
      </c>
      <c r="BH108" s="225" t="str">
        <f>IF(BD108=FALSE,"",MIN(BI108:$BK108)-ROUND(($BK108-1-ROUND(80/$AZ108,0))/COUNTIF($BB108:$BE108,TRUE),0))</f>
        <v/>
      </c>
      <c r="BI108" s="225" t="str">
        <f>IF(BE108=FALSE,"",MIN(BJ108:$BK108)-ROUND(($BK108-1-ROUND(80/$AZ108,0))/COUNTIF($BB108:$BE108,TRUE),0))</f>
        <v/>
      </c>
      <c r="BJ108" s="225" t="str">
        <f>IF(BB108=FALSE,"",MIN($BK108:BK108)-ROUND(($BK108-1-ROUND(80/$AZ108,0))/COUNTIF($BB108:$BE108,TRUE),0))</f>
        <v/>
      </c>
      <c r="BK108" s="107">
        <f>101-ROUND(Ag!BU$7*100,0)</f>
        <v>96</v>
      </c>
      <c r="BL108" s="63">
        <v>2</v>
      </c>
      <c r="BM108" s="82">
        <f t="array" ref="BM108">MIN(BL108,INDEX([1]Basic!L$26:L$34, MATCH([1]Basic!D$5,[1]Basic!B$26:B$34,0)))</f>
        <v>2</v>
      </c>
      <c r="DT108" s="472" t="str">
        <f ca="1">IFERROR(__xludf.DUMMYFUNCTION("""COMPUTED_VALUE"""),"Laterite")</f>
        <v>Laterite</v>
      </c>
      <c r="DU108" s="369"/>
    </row>
    <row r="109" spans="1:125" ht="12.75">
      <c r="A109" s="39" t="str">
        <v>Aw</v>
      </c>
      <c r="B109" s="161" t="str">
        <v>Savannah</v>
      </c>
      <c r="C109" s="162">
        <v>0</v>
      </c>
      <c r="D109" s="162">
        <v>0</v>
      </c>
      <c r="E109" s="162">
        <v>0.5</v>
      </c>
      <c r="F109" s="162">
        <v>0.5</v>
      </c>
      <c r="G109" s="162">
        <v>0</v>
      </c>
      <c r="H109" s="162">
        <v>0</v>
      </c>
      <c r="I109" s="162">
        <v>0.5</v>
      </c>
      <c r="J109" s="162">
        <v>0.75</v>
      </c>
      <c r="K109" s="162">
        <v>1</v>
      </c>
      <c r="L109" s="162">
        <v>0.5</v>
      </c>
      <c r="M109" s="162">
        <v>1</v>
      </c>
      <c r="N109" s="162">
        <v>0.5</v>
      </c>
      <c r="O109" s="162">
        <v>1</v>
      </c>
      <c r="Z109" s="31"/>
      <c r="AA109" s="31"/>
      <c r="AB109" s="31"/>
      <c r="AC109" s="31"/>
      <c r="AD109" s="31"/>
      <c r="AE109" s="31"/>
      <c r="AF109" s="31"/>
      <c r="AG109" s="31"/>
      <c r="AH109" s="31"/>
      <c r="AI109" s="31"/>
      <c r="AK109" s="389"/>
      <c r="AL109" s="452" t="s">
        <v>325</v>
      </c>
      <c r="AM109" s="369"/>
      <c r="AN109" s="217">
        <v>60</v>
      </c>
      <c r="AO109" s="218" t="e">
        <f ca="1">ROUND(AN109*_xludf.ifs(
AND(AU109=TRUE,AW109=TRUE),1,
AU109=TRUE,AV109,
AW109=TRUE,AX109,
TRUE,1),0)</f>
        <v>#NAME?</v>
      </c>
      <c r="AP109" s="57" t="e">
        <f ca="1">ROUND(AO109/SUM(AO$32:AO$252)*AM$27,0)</f>
        <v>#NAME?</v>
      </c>
      <c r="AQ109" s="5" t="str">
        <f ca="1">IFERROR(__xludf.DUMMYFUNCTION("if(O109=0,"""",
filter(I$32:I108,row(I$32:I108)=max(filter(arrayformula(row(I$32:I108)),I$32:I108&lt;&gt;"""")))+
filter(G$32:G108,row(G$32:G108)=max(filter(arrayformula(row(G$32:G108)),G$32:G108&lt;&gt;"""")))
)"),"")</f>
        <v/>
      </c>
      <c r="AR109" s="198" t="str">
        <f ca="1">IFERROR(__xludf.DUMMYFUNCTION("if(G109="""","""",G109-(
filter(G$32:G$252,row(G$32:G$252)=max(filter(arrayformula(row(G$32:G$252)),G$32:G$252&lt;&gt;"""")))
-(10001-
filter(I$32:I$252,row(I$32:I$252)=max(filter(arrayformula(row(I$32:I$252)),I$32:I$252&lt;&gt;""""))))))"),"")</f>
        <v/>
      </c>
      <c r="AS109" s="198" t="e">
        <f ca="1">IF(AY109=0,"",ROUND(AY109/AM$3*10000,0))</f>
        <v>#NAME?</v>
      </c>
      <c r="AT109" s="237" t="b">
        <v>0</v>
      </c>
      <c r="AU109" s="57"/>
      <c r="AV109" s="220">
        <v>0</v>
      </c>
      <c r="AW109" s="82" t="b">
        <f>OR(AQ22,AU13)</f>
        <v>0</v>
      </c>
      <c r="AX109" s="220">
        <v>1.5</v>
      </c>
      <c r="AY109" s="56" t="e">
        <f ca="1">MAX(ROUND(AP109*(AM$1/AM$27),0),IF(AT109=TRUE,1,0))</f>
        <v>#NAME?</v>
      </c>
      <c r="AZ109" s="220">
        <v>5</v>
      </c>
      <c r="BA109" s="221">
        <v>0</v>
      </c>
      <c r="BB109" s="222" t="b">
        <v>0</v>
      </c>
      <c r="BC109" s="223" t="b">
        <v>0</v>
      </c>
      <c r="BD109" s="228" t="b">
        <v>1</v>
      </c>
      <c r="BE109" s="224" t="b">
        <v>0</v>
      </c>
      <c r="BF109" s="179">
        <v>1</v>
      </c>
      <c r="BG109" s="225" t="str">
        <f>IF(BC109=FALSE,"",MIN(BH109:$BK109)-ROUND(($BK109-1-ROUND(80/$AZ109,0))/COUNTIF($BB109:$BE109,TRUE),0))</f>
        <v/>
      </c>
      <c r="BH109" s="225">
        <f>IF(BD109=FALSE,"",MIN(BI109:$BK109)-ROUND(($BK109-1-ROUND(80/$AZ109,0))/COUNTIF($BB109:$BE109,TRUE),0))</f>
        <v>17</v>
      </c>
      <c r="BI109" s="225" t="str">
        <f>IF(BE109=FALSE,"",MIN(BJ109:$BK109)-ROUND(($BK109-1-ROUND(80/$AZ109,0))/COUNTIF($BB109:$BE109,TRUE),0))</f>
        <v/>
      </c>
      <c r="BJ109" s="225" t="str">
        <f>IF(BB109=FALSE,"",MIN($BK109:BK109)-ROUND(($BK109-1-ROUND(80/$AZ109,0))/COUNTIF($BB109:$BE109,TRUE),0))</f>
        <v/>
      </c>
      <c r="BK109" s="107">
        <f>101-ROUND(Ag!BU$7*100,0)</f>
        <v>96</v>
      </c>
      <c r="BL109" s="63">
        <v>3</v>
      </c>
      <c r="BM109" s="82">
        <f t="array" ref="BM109">MIN(BL109,INDEX([1]Basic!L$26:L$34, MATCH([1]Basic!D$5,[1]Basic!B$26:B$34,0)))</f>
        <v>3</v>
      </c>
      <c r="DT109" s="472" t="str">
        <f ca="1">IFERROR(__xludf.DUMMYFUNCTION("""COMPUTED_VALUE"""),"Licquor")</f>
        <v>Licquor</v>
      </c>
      <c r="DU109" s="369"/>
    </row>
    <row r="110" spans="1:125" ht="12.75">
      <c r="A110" s="39" t="str">
        <v>BWh</v>
      </c>
      <c r="B110" s="161" t="str">
        <v>Hot Desert</v>
      </c>
      <c r="C110" s="162">
        <v>0</v>
      </c>
      <c r="D110" s="162">
        <v>0</v>
      </c>
      <c r="E110" s="162">
        <v>0</v>
      </c>
      <c r="F110" s="162">
        <v>0</v>
      </c>
      <c r="G110" s="162">
        <v>0</v>
      </c>
      <c r="H110" s="162">
        <v>0</v>
      </c>
      <c r="I110" s="162">
        <v>0</v>
      </c>
      <c r="J110" s="162">
        <v>0</v>
      </c>
      <c r="K110" s="162">
        <v>0</v>
      </c>
      <c r="L110" s="162">
        <v>0</v>
      </c>
      <c r="M110" s="162">
        <v>0</v>
      </c>
      <c r="N110" s="162">
        <v>0.1</v>
      </c>
      <c r="O110" s="162">
        <v>0</v>
      </c>
      <c r="Z110" s="31"/>
      <c r="AA110" s="31"/>
      <c r="AB110" s="31"/>
      <c r="AC110" s="31"/>
      <c r="AD110" s="31"/>
      <c r="AE110" s="31"/>
      <c r="AF110" s="31"/>
      <c r="AG110" s="31"/>
      <c r="AH110" s="31"/>
      <c r="AI110" s="31"/>
      <c r="AK110" s="389"/>
      <c r="AL110" s="452" t="s">
        <v>331</v>
      </c>
      <c r="AM110" s="369"/>
      <c r="AN110" s="217">
        <v>6</v>
      </c>
      <c r="AO110" s="218" t="e">
        <f ca="1">ROUND(AN110*_xludf.ifs(
AND(AU110=TRUE,AW110=TRUE),1,
AU110=TRUE,AV110,
AW110=TRUE,AX110,
TRUE,1),0)</f>
        <v>#NAME?</v>
      </c>
      <c r="AP110" s="57" t="e">
        <f ca="1">ROUND(AO110/SUM(AO$32:AO$252)*AM$27,0)</f>
        <v>#NAME?</v>
      </c>
      <c r="AQ110" s="5" t="str">
        <f ca="1">IFERROR(__xludf.DUMMYFUNCTION("if(O110=0,"""",
filter(I$32:I109,row(I$32:I109)=max(filter(arrayformula(row(I$32:I109)),I$32:I109&lt;&gt;"""")))+
filter(G$32:G109,row(G$32:G109)=max(filter(arrayformula(row(G$32:G109)),G$32:G109&lt;&gt;"""")))
)"),"")</f>
        <v/>
      </c>
      <c r="AR110" s="198" t="str">
        <f ca="1">IFERROR(__xludf.DUMMYFUNCTION("if(G110="""","""",G110-(
filter(G$32:G$252,row(G$32:G$252)=max(filter(arrayformula(row(G$32:G$252)),G$32:G$252&lt;&gt;"""")))
-(10001-
filter(I$32:I$252,row(I$32:I$252)=max(filter(arrayformula(row(I$32:I$252)),I$32:I$252&lt;&gt;""""))))))"),"")</f>
        <v/>
      </c>
      <c r="AS110" s="198" t="e">
        <f ca="1">IF(AY110=0,"",ROUND(AY110/AM$3*10000,0))</f>
        <v>#NAME?</v>
      </c>
      <c r="AT110" s="237" t="b">
        <v>0</v>
      </c>
      <c r="AU110" s="57"/>
      <c r="AV110" s="220">
        <v>0</v>
      </c>
      <c r="AW110" s="82" t="b">
        <f>OR(AQ18:AQ20)</f>
        <v>0</v>
      </c>
      <c r="AX110" s="220">
        <v>2</v>
      </c>
      <c r="AY110" s="56" t="e">
        <f ca="1">MAX(ROUND(AP110*(AM$1/AM$27),0),IF(AT110=TRUE,1,0))</f>
        <v>#NAME?</v>
      </c>
      <c r="AZ110" s="220">
        <v>5</v>
      </c>
      <c r="BA110" s="221">
        <v>0</v>
      </c>
      <c r="BB110" s="222" t="b">
        <v>0</v>
      </c>
      <c r="BC110" s="223" t="b">
        <v>0</v>
      </c>
      <c r="BD110" s="228" t="b">
        <v>1</v>
      </c>
      <c r="BE110" s="224" t="b">
        <v>0</v>
      </c>
      <c r="BF110" s="179">
        <v>1</v>
      </c>
      <c r="BG110" s="225" t="str">
        <f>IF(BC110=FALSE,"",MIN(BH110:$BK110)-ROUND(($BK110-1-ROUND(80/$AZ110,0))/COUNTIF($BB110:$BE110,TRUE),0))</f>
        <v/>
      </c>
      <c r="BH110" s="225">
        <f>IF(BD110=FALSE,"",MIN(BI110:$BK110)-ROUND(($BK110-1-ROUND(80/$AZ110,0))/COUNTIF($BB110:$BE110,TRUE),0))</f>
        <v>17</v>
      </c>
      <c r="BI110" s="225" t="str">
        <f>IF(BE110=FALSE,"",MIN(BJ110:$BK110)-ROUND(($BK110-1-ROUND(80/$AZ110,0))/COUNTIF($BB110:$BE110,TRUE),0))</f>
        <v/>
      </c>
      <c r="BJ110" s="225" t="str">
        <f>IF(BB110=FALSE,"",MIN($BK110:BK110)-ROUND(($BK110-1-ROUND(80/$AZ110,0))/COUNTIF($BB110:$BE110,TRUE),0))</f>
        <v/>
      </c>
      <c r="BK110" s="107">
        <f>101-ROUND(Ag!BU$7*100,0)</f>
        <v>96</v>
      </c>
      <c r="BL110" s="63">
        <v>3</v>
      </c>
      <c r="BM110" s="82">
        <f t="array" ref="BM110">MIN(BL110,INDEX([1]Basic!L$26:L$34, MATCH([1]Basic!D$5,[1]Basic!B$26:B$34,0)))</f>
        <v>3</v>
      </c>
      <c r="DT110" s="472" t="str">
        <f ca="1">IFERROR(__xludf.DUMMYFUNCTION("""COMPUTED_VALUE"""),"Limestone")</f>
        <v>Limestone</v>
      </c>
      <c r="DU110" s="369"/>
    </row>
    <row r="111" spans="1:125" ht="12.75">
      <c r="A111" s="39" t="str">
        <v>BWk</v>
      </c>
      <c r="B111" s="161" t="str">
        <v>Cold Desert</v>
      </c>
      <c r="C111" s="162">
        <v>0</v>
      </c>
      <c r="D111" s="162">
        <v>0</v>
      </c>
      <c r="E111" s="162">
        <v>0</v>
      </c>
      <c r="F111" s="162">
        <v>0</v>
      </c>
      <c r="G111" s="162">
        <v>0</v>
      </c>
      <c r="H111" s="162">
        <v>0</v>
      </c>
      <c r="I111" s="162">
        <v>0</v>
      </c>
      <c r="J111" s="162">
        <v>0</v>
      </c>
      <c r="K111" s="162">
        <v>0</v>
      </c>
      <c r="L111" s="162">
        <v>0.5</v>
      </c>
      <c r="M111" s="162">
        <v>0</v>
      </c>
      <c r="N111" s="162">
        <v>0.5</v>
      </c>
      <c r="O111" s="162">
        <v>0</v>
      </c>
      <c r="Z111" s="31"/>
      <c r="AA111" s="31"/>
      <c r="AB111" s="31"/>
      <c r="AC111" s="31"/>
      <c r="AD111" s="31"/>
      <c r="AE111" s="31"/>
      <c r="AF111" s="31"/>
      <c r="AG111" s="31"/>
      <c r="AH111" s="31"/>
      <c r="AI111" s="31"/>
      <c r="AK111" s="389"/>
      <c r="AL111" s="452" t="s">
        <v>336</v>
      </c>
      <c r="AM111" s="369"/>
      <c r="AN111" s="217">
        <v>4</v>
      </c>
      <c r="AO111" s="218" t="e">
        <f ca="1">ROUND(AN111*_xludf.ifs(
AND(AU111=TRUE,AW111=TRUE),1,
AU111=TRUE,AV111,
AW111=TRUE,AX111,
TRUE,1),0)</f>
        <v>#NAME?</v>
      </c>
      <c r="AP111" s="57" t="e">
        <f ca="1">ROUND(AO111/SUM(AO$32:AO$252)*AM$27,0)</f>
        <v>#NAME?</v>
      </c>
      <c r="AQ111" s="5" t="str">
        <f ca="1">IFERROR(__xludf.DUMMYFUNCTION("if(O111=0,"""",
filter(I$32:I110,row(I$32:I110)=max(filter(arrayformula(row(I$32:I110)),I$32:I110&lt;&gt;"""")))+
filter(G$32:G110,row(G$32:G110)=max(filter(arrayformula(row(G$32:G110)),G$32:G110&lt;&gt;"""")))
)"),"")</f>
        <v/>
      </c>
      <c r="AR111" s="198" t="str">
        <f ca="1">IFERROR(__xludf.DUMMYFUNCTION("if(G111="""","""",G111-(
filter(G$32:G$252,row(G$32:G$252)=max(filter(arrayformula(row(G$32:G$252)),G$32:G$252&lt;&gt;"""")))
-(10001-
filter(I$32:I$252,row(I$32:I$252)=max(filter(arrayformula(row(I$32:I$252)),I$32:I$252&lt;&gt;""""))))))"),"")</f>
        <v/>
      </c>
      <c r="AS111" s="198" t="e">
        <f ca="1">IF(AY111=0,"",ROUND(AY111/AM$3*10000,0))</f>
        <v>#NAME?</v>
      </c>
      <c r="AT111" s="237" t="b">
        <v>0</v>
      </c>
      <c r="AU111" s="179" t="b">
        <f>OR(AM18)</f>
        <v>0</v>
      </c>
      <c r="AV111" s="220">
        <v>0.25</v>
      </c>
      <c r="AW111" s="82" t="b">
        <f>OR(AQ22,AQ16,AU13)</f>
        <v>0</v>
      </c>
      <c r="AX111" s="220">
        <v>2</v>
      </c>
      <c r="AY111" s="56" t="e">
        <f ca="1">MAX(ROUND(AP111*(AM$1/AM$27),0),IF(AT111=TRUE,1,0))</f>
        <v>#NAME?</v>
      </c>
      <c r="AZ111" s="220">
        <v>5</v>
      </c>
      <c r="BA111" s="221">
        <v>0</v>
      </c>
      <c r="BB111" s="222" t="b">
        <v>0</v>
      </c>
      <c r="BC111" s="223" t="b">
        <v>0</v>
      </c>
      <c r="BD111" s="228" t="b">
        <v>1</v>
      </c>
      <c r="BE111" s="224" t="b">
        <v>0</v>
      </c>
      <c r="BF111" s="179">
        <v>1</v>
      </c>
      <c r="BG111" s="225" t="str">
        <f>IF(BC111=FALSE,"",MIN(BH111:$BK111)-ROUND(($BK111-1-ROUND(80/$AZ111,0))/COUNTIF($BB111:$BE111,TRUE),0))</f>
        <v/>
      </c>
      <c r="BH111" s="225">
        <f>IF(BD111=FALSE,"",MIN(BI111:$BK111)-ROUND(($BK111-1-ROUND(80/$AZ111,0))/COUNTIF($BB111:$BE111,TRUE),0))</f>
        <v>17</v>
      </c>
      <c r="BI111" s="225" t="str">
        <f>IF(BE111=FALSE,"",MIN(BJ111:$BK111)-ROUND(($BK111-1-ROUND(80/$AZ111,0))/COUNTIF($BB111:$BE111,TRUE),0))</f>
        <v/>
      </c>
      <c r="BJ111" s="225" t="str">
        <f>IF(BB111=FALSE,"",MIN($BK111:BK111)-ROUND(($BK111-1-ROUND(80/$AZ111,0))/COUNTIF($BB111:$BE111,TRUE),0))</f>
        <v/>
      </c>
      <c r="BK111" s="107">
        <f>101-ROUND(Ag!BU$7*100,0)</f>
        <v>96</v>
      </c>
      <c r="BL111" s="63">
        <v>3</v>
      </c>
      <c r="BM111" s="82">
        <f t="array" ref="BM111">MIN(BL111,INDEX([1]Basic!L$26:L$34, MATCH([1]Basic!D$5,[1]Basic!B$26:B$34,0)))</f>
        <v>3</v>
      </c>
      <c r="DT111" s="472" t="str">
        <f ca="1">IFERROR(__xludf.DUMMYFUNCTION("""COMPUTED_VALUE"""),"Marble")</f>
        <v>Marble</v>
      </c>
      <c r="DU111" s="369"/>
    </row>
    <row r="112" spans="1:125" ht="13.5" thickBot="1">
      <c r="A112" s="39" t="str">
        <v>BSh</v>
      </c>
      <c r="B112" s="161" t="str">
        <v>Hot Semi-Arid</v>
      </c>
      <c r="C112" s="162">
        <v>0</v>
      </c>
      <c r="D112" s="162">
        <v>0</v>
      </c>
      <c r="E112" s="162">
        <v>0</v>
      </c>
      <c r="F112" s="162">
        <v>0</v>
      </c>
      <c r="G112" s="162">
        <v>0</v>
      </c>
      <c r="H112" s="162">
        <v>0</v>
      </c>
      <c r="I112" s="162">
        <v>0</v>
      </c>
      <c r="J112" s="162">
        <v>0</v>
      </c>
      <c r="K112" s="162">
        <v>0</v>
      </c>
      <c r="L112" s="162">
        <v>0.5</v>
      </c>
      <c r="M112" s="162">
        <v>0</v>
      </c>
      <c r="N112" s="162">
        <v>0.5</v>
      </c>
      <c r="O112" s="162">
        <v>0</v>
      </c>
      <c r="Z112" s="31"/>
      <c r="AA112" s="31"/>
      <c r="AB112" s="31"/>
      <c r="AC112" s="31"/>
      <c r="AD112" s="31"/>
      <c r="AE112" s="31"/>
      <c r="AF112" s="31"/>
      <c r="AG112" s="31"/>
      <c r="AH112" s="31"/>
      <c r="AI112" s="31"/>
      <c r="AK112" s="389"/>
      <c r="AL112" s="451" t="s">
        <v>341</v>
      </c>
      <c r="AM112" s="361"/>
      <c r="AN112" s="230">
        <v>55</v>
      </c>
      <c r="AO112" s="11" t="e">
        <f ca="1">ROUND(AN112*_xludf.ifs(
AND(AU112=TRUE,AW112=TRUE),1,
AU112=TRUE,AV112,
AW112=TRUE,AX112,
TRUE,1),0)</f>
        <v>#NAME?</v>
      </c>
      <c r="AP112" s="59" t="e">
        <f ca="1">ROUND(AO112/SUM(AO$32:AO$252)*AM$27,0)</f>
        <v>#NAME?</v>
      </c>
      <c r="AQ112" s="6" t="str">
        <f ca="1">IFERROR(__xludf.DUMMYFUNCTION("if(O112=0,"""",
filter(I$32:I111,row(I$32:I111)=max(filter(arrayformula(row(I$32:I111)),I$32:I111&lt;&gt;"""")))+
filter(G$32:G111,row(G$32:G111)=max(filter(arrayformula(row(G$32:G111)),G$32:G111&lt;&gt;"""")))
)"),"")</f>
        <v/>
      </c>
      <c r="AR112" s="206" t="str">
        <f ca="1">IFERROR(__xludf.DUMMYFUNCTION("if(G112="""","""",G112-(
filter(G$32:G$252,row(G$32:G$252)=max(filter(arrayformula(row(G$32:G$252)),G$32:G$252&lt;&gt;"""")))
-(10001-
filter(I$32:I$252,row(I$32:I$252)=max(filter(arrayformula(row(I$32:I$252)),I$32:I$252&lt;&gt;""""))))))"),"")</f>
        <v/>
      </c>
      <c r="AS112" s="206" t="e">
        <f ca="1">IF(AY112=0,"",ROUND(AY112/AM$3*10000,0))</f>
        <v>#NAME?</v>
      </c>
      <c r="AT112" s="239" t="b">
        <v>0</v>
      </c>
      <c r="AU112" s="59"/>
      <c r="AV112" s="232">
        <v>0</v>
      </c>
      <c r="AW112" s="83" t="b">
        <f>OR(AU22,AQ10)</f>
        <v>0</v>
      </c>
      <c r="AX112" s="232">
        <v>1.5</v>
      </c>
      <c r="AY112" s="58" t="e">
        <f ca="1">MAX(ROUND(AP112*(AM$1/AM$27),0),IF(AT112=TRUE,1,0))</f>
        <v>#NAME?</v>
      </c>
      <c r="AZ112" s="232">
        <v>3</v>
      </c>
      <c r="BA112" s="233">
        <v>0</v>
      </c>
      <c r="BB112" s="247" t="b">
        <v>0</v>
      </c>
      <c r="BC112" s="244" t="b">
        <v>0</v>
      </c>
      <c r="BD112" s="244" t="b">
        <v>0</v>
      </c>
      <c r="BE112" s="246" t="b">
        <v>0</v>
      </c>
      <c r="BF112" s="179">
        <v>1</v>
      </c>
      <c r="BG112" s="225" t="str">
        <f>IF(BC112=FALSE,"",MIN(BH112:$BK112)-ROUND(($BK112-1-ROUND(80/$AZ112,0))/COUNTIF($BB112:$BE112,TRUE),0))</f>
        <v/>
      </c>
      <c r="BH112" s="225" t="str">
        <f>IF(BD112=FALSE,"",MIN(BI112:$BK112)-ROUND(($BK112-1-ROUND(80/$AZ112,0))/COUNTIF($BB112:$BE112,TRUE),0))</f>
        <v/>
      </c>
      <c r="BI112" s="225" t="str">
        <f>IF(BE112=FALSE,"",MIN(BJ112:$BK112)-ROUND(($BK112-1-ROUND(80/$AZ112,0))/COUNTIF($BB112:$BE112,TRUE),0))</f>
        <v/>
      </c>
      <c r="BJ112" s="225" t="str">
        <f>IF(BB112=FALSE,"",MIN($BK112:BK112)-ROUND(($BK112-1-ROUND(80/$AZ112,0))/COUNTIF($BB112:$BE112,TRUE),0))</f>
        <v/>
      </c>
      <c r="BK112" s="107">
        <f>101-ROUND(Ag!BU$7*100,0)</f>
        <v>96</v>
      </c>
      <c r="BL112" s="63">
        <v>2</v>
      </c>
      <c r="BM112" s="82">
        <f t="array" ref="BM112">MIN(BL112,INDEX([1]Basic!L$26:L$34, MATCH([1]Basic!D$5,[1]Basic!B$26:B$34,0)))</f>
        <v>2</v>
      </c>
      <c r="DT112" s="472" t="str">
        <f ca="1">IFERROR(__xludf.DUMMYFUNCTION("""COMPUTED_VALUE"""),"Medicine")</f>
        <v>Medicine</v>
      </c>
      <c r="DU112" s="369"/>
    </row>
    <row r="113" spans="1:125" ht="13.5" thickTop="1">
      <c r="A113" s="39" t="str">
        <v>BSk</v>
      </c>
      <c r="B113" s="161" t="str">
        <v>Cold Semi-Arid</v>
      </c>
      <c r="C113" s="162">
        <v>0</v>
      </c>
      <c r="D113" s="162">
        <v>0</v>
      </c>
      <c r="E113" s="162">
        <v>0</v>
      </c>
      <c r="F113" s="162">
        <v>0</v>
      </c>
      <c r="G113" s="162">
        <v>0</v>
      </c>
      <c r="H113" s="162">
        <v>0</v>
      </c>
      <c r="I113" s="162">
        <v>0</v>
      </c>
      <c r="J113" s="162">
        <v>0</v>
      </c>
      <c r="K113" s="162">
        <v>0</v>
      </c>
      <c r="L113" s="162">
        <v>0.5</v>
      </c>
      <c r="M113" s="162">
        <v>0</v>
      </c>
      <c r="N113" s="162">
        <v>0.5</v>
      </c>
      <c r="O113" s="162">
        <v>0</v>
      </c>
      <c r="Z113" s="31"/>
      <c r="AA113" s="31"/>
      <c r="AB113" s="31"/>
      <c r="AC113" s="31"/>
      <c r="AD113" s="31"/>
      <c r="AE113" s="31"/>
      <c r="AF113" s="31"/>
      <c r="AG113" s="31"/>
      <c r="AH113" s="31"/>
      <c r="AI113" s="31"/>
      <c r="AK113" s="389"/>
      <c r="AL113" s="452" t="s">
        <v>346</v>
      </c>
      <c r="AM113" s="369"/>
      <c r="AN113" s="217">
        <v>30</v>
      </c>
      <c r="AO113" s="218" t="e">
        <f ca="1">ROUND(AN113*_xludf.ifs(
AND(AU113=TRUE,AW113=TRUE),1,
AU113=TRUE,AV113,
AW113=TRUE,AX113,
TRUE,1),0)</f>
        <v>#NAME?</v>
      </c>
      <c r="AP113" s="57" t="e">
        <f ca="1">ROUND(AO113/SUM(AO$32:AO$252)*AM$27,0)</f>
        <v>#NAME?</v>
      </c>
      <c r="AQ113" s="5" t="str">
        <f ca="1">IFERROR(__xludf.DUMMYFUNCTION("if(O113=0,"""",
filter(I$32:I112,row(I$32:I112)=max(filter(arrayformula(row(I$32:I112)),I$32:I112&lt;&gt;"""")))+
filter(G$32:G112,row(G$32:G112)=max(filter(arrayformula(row(G$32:G112)),G$32:G112&lt;&gt;"""")))
)"),"")</f>
        <v/>
      </c>
      <c r="AR113" s="198" t="str">
        <f ca="1">IFERROR(__xludf.DUMMYFUNCTION("if(G113="""","""",G113-(
filter(G$32:G$252,row(G$32:G$252)=max(filter(arrayformula(row(G$32:G$252)),G$32:G$252&lt;&gt;"""")))
-(10001-
filter(I$32:I$252,row(I$32:I$252)=max(filter(arrayformula(row(I$32:I$252)),I$32:I$252&lt;&gt;""""))))))"),"")</f>
        <v/>
      </c>
      <c r="AS113" s="198" t="e">
        <f ca="1">IF(AY113=0,"",ROUND(AY113/AM$3*10000,0))</f>
        <v>#NAME?</v>
      </c>
      <c r="AT113" s="237" t="b">
        <v>0</v>
      </c>
      <c r="AU113" s="57"/>
      <c r="AV113" s="220">
        <v>0</v>
      </c>
      <c r="AW113" s="82" t="b">
        <f>OR(AU13,AU16)</f>
        <v>0</v>
      </c>
      <c r="AX113" s="220">
        <v>2</v>
      </c>
      <c r="AY113" s="56" t="e">
        <f ca="1">MAX(ROUND(AP113*(AM$1/AM$27),0),IF(AT113=TRUE,1,0))</f>
        <v>#NAME?</v>
      </c>
      <c r="AZ113" s="220">
        <v>1</v>
      </c>
      <c r="BA113" s="212">
        <v>0</v>
      </c>
      <c r="BB113" s="222" t="b">
        <v>0</v>
      </c>
      <c r="BC113" s="223" t="b">
        <v>0</v>
      </c>
      <c r="BD113" s="223" t="b">
        <v>0</v>
      </c>
      <c r="BE113" s="224" t="b">
        <v>0</v>
      </c>
      <c r="BF113" s="180">
        <v>1</v>
      </c>
      <c r="BG113" s="216" t="str">
        <f>IF(BC113=FALSE,"",MIN(BH113:$BK113)-ROUND(($BK113-1-ROUND(80/$AZ113,0))/COUNTIF($BB113:$BE113,TRUE),0))</f>
        <v/>
      </c>
      <c r="BH113" s="216" t="str">
        <f>IF(BD113=FALSE,"",MIN(BI113:$BK113)-ROUND(($BK113-1-ROUND(80/$AZ113,0))/COUNTIF($BB113:$BE113,TRUE),0))</f>
        <v/>
      </c>
      <c r="BI113" s="216" t="str">
        <f>IF(BE113=FALSE,"",MIN(BJ113:$BK113)-ROUND(($BK113-1-ROUND(80/$AZ113,0))/COUNTIF($BB113:$BE113,TRUE),0))</f>
        <v/>
      </c>
      <c r="BJ113" s="216" t="str">
        <f>IF(BB113=FALSE,"",MIN($BK113:BK113)-ROUND(($BK113-1-ROUND(80/$AZ113,0))/COUNTIF($BB113:$BE113,TRUE),0))</f>
        <v/>
      </c>
      <c r="BK113" s="177">
        <f>101-ROUND(Ag!BU$7*100,0)</f>
        <v>96</v>
      </c>
      <c r="BL113" s="61">
        <v>1</v>
      </c>
      <c r="BM113" s="82">
        <f t="array" ref="BM113">MIN(BL113,INDEX([1]Basic!L$26:L$34, MATCH([1]Basic!D$5,[1]Basic!B$26:B$34,0)))</f>
        <v>1</v>
      </c>
      <c r="DT113" s="472" t="str">
        <f ca="1">IFERROR(__xludf.DUMMYFUNCTION("""COMPUTED_VALUE"""),"Metalwork")</f>
        <v>Metalwork</v>
      </c>
      <c r="DU113" s="369"/>
    </row>
    <row r="114" spans="1:125" ht="12.75">
      <c r="A114" s="39" t="str">
        <v>Cfa</v>
      </c>
      <c r="B114" s="161" t="str">
        <v>Humid Subtropical</v>
      </c>
      <c r="C114" s="162">
        <v>0</v>
      </c>
      <c r="D114" s="162">
        <v>1</v>
      </c>
      <c r="E114" s="162">
        <v>1</v>
      </c>
      <c r="F114" s="162">
        <v>0</v>
      </c>
      <c r="G114" s="162">
        <v>0.75</v>
      </c>
      <c r="H114" s="162">
        <v>0.75</v>
      </c>
      <c r="I114" s="162">
        <v>0</v>
      </c>
      <c r="J114" s="162">
        <v>0</v>
      </c>
      <c r="K114" s="162">
        <v>0</v>
      </c>
      <c r="L114" s="162">
        <v>0</v>
      </c>
      <c r="M114" s="162">
        <v>1</v>
      </c>
      <c r="N114" s="162">
        <v>0.5</v>
      </c>
      <c r="O114" s="162">
        <v>0.75</v>
      </c>
      <c r="Z114" s="31"/>
      <c r="AA114" s="31"/>
      <c r="AB114" s="31"/>
      <c r="AC114" s="31"/>
      <c r="AD114" s="31"/>
      <c r="AE114" s="31"/>
      <c r="AF114" s="31"/>
      <c r="AG114" s="31"/>
      <c r="AH114" s="31"/>
      <c r="AI114" s="31"/>
      <c r="AK114" s="389"/>
      <c r="AL114" s="452" t="s">
        <v>352</v>
      </c>
      <c r="AM114" s="369"/>
      <c r="AN114" s="217">
        <v>10</v>
      </c>
      <c r="AO114" s="218" t="e">
        <f ca="1">ROUND(AN114*_xludf.ifs(
AND(AU114=TRUE,AW114=TRUE),1,
AU114=TRUE,AV114,
AW114=TRUE,AX114,
TRUE,1),0)</f>
        <v>#NAME?</v>
      </c>
      <c r="AP114" s="57" t="e">
        <f ca="1">ROUND(AO114/SUM(AO$32:AO$252)*AM$27,0)</f>
        <v>#NAME?</v>
      </c>
      <c r="AQ114" s="5" t="str">
        <f ca="1">IFERROR(__xludf.DUMMYFUNCTION("if(O114=0,"""",
filter(I$32:I113,row(I$32:I113)=max(filter(arrayformula(row(I$32:I113)),I$32:I113&lt;&gt;"""")))+
filter(G$32:G113,row(G$32:G113)=max(filter(arrayformula(row(G$32:G113)),G$32:G113&lt;&gt;"""")))
)"),"")</f>
        <v/>
      </c>
      <c r="AR114" s="198" t="str">
        <f ca="1">IFERROR(__xludf.DUMMYFUNCTION("if(G114="""","""",G114-(
filter(G$32:G$252,row(G$32:G$252)=max(filter(arrayformula(row(G$32:G$252)),G$32:G$252&lt;&gt;"""")))
-(10001-
filter(I$32:I$252,row(I$32:I$252)=max(filter(arrayformula(row(I$32:I$252)),I$32:I$252&lt;&gt;""""))))))"),"")</f>
        <v/>
      </c>
      <c r="AS114" s="198" t="e">
        <f ca="1">IF(AY114=0,"",ROUND(AY114/AM$3*10000,0))</f>
        <v>#NAME?</v>
      </c>
      <c r="AT114" s="237" t="b">
        <v>0</v>
      </c>
      <c r="AU114" s="57"/>
      <c r="AV114" s="220">
        <v>0</v>
      </c>
      <c r="AW114" s="82" t="b">
        <f>OR(AQ18:AQ22)</f>
        <v>0</v>
      </c>
      <c r="AX114" s="220">
        <v>2</v>
      </c>
      <c r="AY114" s="56" t="e">
        <f ca="1">MAX(ROUND(AP114*(AM$1/AM$27),0),IF(AT114=TRUE,1,0))</f>
        <v>#NAME?</v>
      </c>
      <c r="AZ114" s="220">
        <v>5</v>
      </c>
      <c r="BA114" s="221">
        <v>0</v>
      </c>
      <c r="BB114" s="227" t="b">
        <v>1</v>
      </c>
      <c r="BC114" s="223" t="b">
        <v>0</v>
      </c>
      <c r="BD114" s="228" t="b">
        <v>1</v>
      </c>
      <c r="BE114" s="224" t="b">
        <v>0</v>
      </c>
      <c r="BF114" s="179">
        <v>1</v>
      </c>
      <c r="BG114" s="225" t="str">
        <f>IF(BC114=FALSE,"",MIN(BH114:$BK114)-ROUND(($BK114-1-ROUND(80/$AZ114,0))/COUNTIF($BB114:$BE114,TRUE),0))</f>
        <v/>
      </c>
      <c r="BH114" s="225">
        <f>IF(BD114=FALSE,"",MIN(BI114:$BK114)-ROUND(($BK114-1-ROUND(80/$AZ114,0))/COUNTIF($BB114:$BE114,TRUE),0))</f>
        <v>16</v>
      </c>
      <c r="BI114" s="225" t="str">
        <f>IF(BE114=FALSE,"",MIN(BJ114:$BK114)-ROUND(($BK114-1-ROUND(80/$AZ114,0))/COUNTIF($BB114:$BE114,TRUE),0))</f>
        <v/>
      </c>
      <c r="BJ114" s="225">
        <f>IF(BB114=FALSE,"",MIN($BK114:BK114)-ROUND(($BK114-1-ROUND(80/$AZ114,0))/COUNTIF($BB114:$BE114,TRUE),0))</f>
        <v>56</v>
      </c>
      <c r="BK114" s="107">
        <f>101-ROUND(Ag!BU$7*100,0)</f>
        <v>96</v>
      </c>
      <c r="BL114" s="63">
        <v>3</v>
      </c>
      <c r="BM114" s="82">
        <f t="array" ref="BM114">MIN(BL114,INDEX([1]Basic!L$26:L$34, MATCH([1]Basic!D$5,[1]Basic!B$26:B$34,0)))</f>
        <v>3</v>
      </c>
      <c r="DT114" s="472" t="str">
        <f ca="1">IFERROR(__xludf.DUMMYFUNCTION("""COMPUTED_VALUE"""),"Mithral/Mithral Ore")</f>
        <v>Mithral/Mithral Ore</v>
      </c>
      <c r="DU114" s="369"/>
    </row>
    <row r="115" spans="1:125" ht="12.75">
      <c r="A115" s="39" t="str">
        <v>Cfb</v>
      </c>
      <c r="B115" s="161" t="str">
        <v>Temperate Oceanic</v>
      </c>
      <c r="C115" s="162">
        <v>0</v>
      </c>
      <c r="D115" s="162">
        <v>1</v>
      </c>
      <c r="E115" s="162">
        <v>0</v>
      </c>
      <c r="F115" s="162">
        <v>0</v>
      </c>
      <c r="G115" s="162">
        <v>0.75</v>
      </c>
      <c r="H115" s="162">
        <v>1</v>
      </c>
      <c r="I115" s="162">
        <v>0</v>
      </c>
      <c r="J115" s="162">
        <v>0.5</v>
      </c>
      <c r="K115" s="162">
        <v>0</v>
      </c>
      <c r="L115" s="162">
        <v>1</v>
      </c>
      <c r="M115" s="162">
        <v>1</v>
      </c>
      <c r="N115" s="162">
        <v>0.5</v>
      </c>
      <c r="O115" s="162">
        <v>0.75</v>
      </c>
      <c r="Z115" s="31"/>
      <c r="AA115" s="31"/>
      <c r="AB115" s="31"/>
      <c r="AC115" s="31"/>
      <c r="AD115" s="31"/>
      <c r="AE115" s="31"/>
      <c r="AF115" s="31"/>
      <c r="AG115" s="31"/>
      <c r="AH115" s="31"/>
      <c r="AI115" s="31"/>
      <c r="AK115" s="389"/>
      <c r="AL115" s="452" t="s">
        <v>356</v>
      </c>
      <c r="AM115" s="369"/>
      <c r="AN115" s="217">
        <v>6</v>
      </c>
      <c r="AO115" s="218" t="e">
        <f ca="1">ROUND(AN115*_xludf.ifs(
AND(AU115=TRUE,AW115=TRUE),1,
AU115=TRUE,AV115,
AW115=TRUE,AX115,
TRUE,1),0)</f>
        <v>#NAME?</v>
      </c>
      <c r="AP115" s="57" t="e">
        <f ca="1">ROUND(AO115/SUM(AO$32:AO$252)*AM$27,0)</f>
        <v>#NAME?</v>
      </c>
      <c r="AQ115" s="5" t="str">
        <f ca="1">IFERROR(__xludf.DUMMYFUNCTION("if(O115=0,"""",
filter(I$32:I114,row(I$32:I114)=max(filter(arrayformula(row(I$32:I114)),I$32:I114&lt;&gt;"""")))+
filter(G$32:G114,row(G$32:G114)=max(filter(arrayformula(row(G$32:G114)),G$32:G114&lt;&gt;"""")))
)"),"")</f>
        <v/>
      </c>
      <c r="AR115" s="198" t="str">
        <f ca="1">IFERROR(__xludf.DUMMYFUNCTION("if(G115="""","""",G115-(
filter(G$32:G$252,row(G$32:G$252)=max(filter(arrayformula(row(G$32:G$252)),G$32:G$252&lt;&gt;"""")))
-(10001-
filter(I$32:I$252,row(I$32:I$252)=max(filter(arrayformula(row(I$32:I$252)),I$32:I$252&lt;&gt;""""))))))"),"")</f>
        <v/>
      </c>
      <c r="AS115" s="198" t="e">
        <f ca="1">IF(AY115=0,"",ROUND(AY115/AM$3*10000,0))</f>
        <v>#NAME?</v>
      </c>
      <c r="AT115" s="237" t="b">
        <v>0</v>
      </c>
      <c r="AU115" s="57" t="b">
        <f>OR(AM7)</f>
        <v>0</v>
      </c>
      <c r="AV115" s="220">
        <v>0.3</v>
      </c>
      <c r="AW115" s="82" t="b">
        <f>OR(AU7,AU8,AQ20,AQ19)</f>
        <v>0</v>
      </c>
      <c r="AX115" s="220">
        <v>2</v>
      </c>
      <c r="AY115" s="56" t="e">
        <f ca="1">MAX(ROUND(AP115*(AM$1/AM$27),0),IF(AT115=TRUE,1,0))</f>
        <v>#NAME?</v>
      </c>
      <c r="AZ115" s="220">
        <v>3</v>
      </c>
      <c r="BA115" s="221">
        <v>0</v>
      </c>
      <c r="BB115" s="222" t="b">
        <v>0</v>
      </c>
      <c r="BC115" s="223" t="b">
        <v>0</v>
      </c>
      <c r="BD115" s="223" t="b">
        <v>0</v>
      </c>
      <c r="BE115" s="224" t="b">
        <v>0</v>
      </c>
      <c r="BF115" s="179">
        <v>1</v>
      </c>
      <c r="BG115" s="225" t="str">
        <f>IF(BC115=FALSE,"",MIN(BH115:$BK115)-ROUND(($BK115-1-ROUND(80/$AZ115,0))/COUNTIF($BB115:$BE115,TRUE),0))</f>
        <v/>
      </c>
      <c r="BH115" s="225" t="str">
        <f>IF(BD115=FALSE,"",MIN(BI115:$BK115)-ROUND(($BK115-1-ROUND(80/$AZ115,0))/COUNTIF($BB115:$BE115,TRUE),0))</f>
        <v/>
      </c>
      <c r="BI115" s="225" t="str">
        <f>IF(BE115=FALSE,"",MIN(BJ115:$BK115)-ROUND(($BK115-1-ROUND(80/$AZ115,0))/COUNTIF($BB115:$BE115,TRUE),0))</f>
        <v/>
      </c>
      <c r="BJ115" s="225" t="str">
        <f>IF(BB115=FALSE,"",MIN($BK115:BK115)-ROUND(($BK115-1-ROUND(80/$AZ115,0))/COUNTIF($BB115:$BE115,TRUE),0))</f>
        <v/>
      </c>
      <c r="BK115" s="107">
        <f>101-ROUND(Ag!BU$7*100,0)</f>
        <v>96</v>
      </c>
      <c r="BL115" s="63">
        <v>3</v>
      </c>
      <c r="BM115" s="82">
        <f t="array" ref="BM115">MIN(BL115,INDEX([1]Basic!L$26:L$34, MATCH([1]Basic!D$5,[1]Basic!B$26:B$34,0)))</f>
        <v>3</v>
      </c>
      <c r="DT115" s="472" t="str">
        <f ca="1">IFERROR(__xludf.DUMMYFUNCTION("""COMPUTED_VALUE"""),"Pearls")</f>
        <v>Pearls</v>
      </c>
      <c r="DU115" s="369"/>
    </row>
    <row r="116" spans="1:125" ht="12.75">
      <c r="A116" s="39" t="str">
        <v>Cfc</v>
      </c>
      <c r="B116" s="161" t="str">
        <v>Subpolar Oceanic</v>
      </c>
      <c r="C116" s="162">
        <v>0.5</v>
      </c>
      <c r="D116" s="162">
        <v>0</v>
      </c>
      <c r="E116" s="162">
        <v>0</v>
      </c>
      <c r="F116" s="162">
        <v>0</v>
      </c>
      <c r="G116" s="162">
        <v>0</v>
      </c>
      <c r="H116" s="162">
        <v>0</v>
      </c>
      <c r="I116" s="162">
        <v>0</v>
      </c>
      <c r="J116" s="162">
        <v>0</v>
      </c>
      <c r="K116" s="162">
        <v>0</v>
      </c>
      <c r="L116" s="162">
        <v>0</v>
      </c>
      <c r="M116" s="162">
        <v>0</v>
      </c>
      <c r="N116" s="162">
        <v>0.1</v>
      </c>
      <c r="O116" s="162">
        <v>0</v>
      </c>
      <c r="Z116" s="31"/>
      <c r="AA116" s="31"/>
      <c r="AB116" s="31"/>
      <c r="AC116" s="31"/>
      <c r="AD116" s="31"/>
      <c r="AE116" s="31"/>
      <c r="AF116" s="31"/>
      <c r="AG116" s="31"/>
      <c r="AH116" s="31"/>
      <c r="AI116" s="31"/>
      <c r="AK116" s="389"/>
      <c r="AL116" s="452" t="s">
        <v>360</v>
      </c>
      <c r="AM116" s="369"/>
      <c r="AN116" s="217">
        <v>100</v>
      </c>
      <c r="AO116" s="218" t="e">
        <f ca="1">ROUND(AN116*_xludf.ifs(
AND(AU116=TRUE,AW116=TRUE),1,
AU116=TRUE,AV116,
AW116=TRUE,AX116,
TRUE,1),0)</f>
        <v>#NAME?</v>
      </c>
      <c r="AP116" s="57" t="e">
        <f ca="1">ROUND(AO116/SUM(AO$32:AO$252)*AM$27,0)</f>
        <v>#NAME?</v>
      </c>
      <c r="AQ116" s="5" t="str">
        <f ca="1">IFERROR(__xludf.DUMMYFUNCTION("if(O116=0,"""",
filter(I$32:I115,row(I$32:I115)=max(filter(arrayformula(row(I$32:I115)),I$32:I115&lt;&gt;"""")))+
filter(G$32:G115,row(G$32:G115)=max(filter(arrayformula(row(G$32:G115)),G$32:G115&lt;&gt;"""")))
)"),"")</f>
        <v/>
      </c>
      <c r="AR116" s="198" t="str">
        <f ca="1">IFERROR(__xludf.DUMMYFUNCTION("if(G116="""","""",G116-(
filter(G$32:G$252,row(G$32:G$252)=max(filter(arrayformula(row(G$32:G$252)),G$32:G$252&lt;&gt;"""")))
-(10001-
filter(I$32:I$252,row(I$32:I$252)=max(filter(arrayformula(row(I$32:I$252)),I$32:I$252&lt;&gt;""""))))))"),"")</f>
        <v/>
      </c>
      <c r="AS116" s="198" t="e">
        <f ca="1">IF(AY116=0,"",ROUND(AY116/AM$3*10000,0))</f>
        <v>#NAME?</v>
      </c>
      <c r="AT116" s="237" t="b">
        <v>0</v>
      </c>
      <c r="AU116" s="57"/>
      <c r="AV116" s="220">
        <v>0</v>
      </c>
      <c r="AW116" s="82" t="b">
        <f>OR(AQ22,AU13)</f>
        <v>0</v>
      </c>
      <c r="AX116" s="220">
        <v>1.5</v>
      </c>
      <c r="AY116" s="56" t="e">
        <f ca="1">MAX(ROUND(AP116*(AM$1/AM$27),0),IF(AT116=TRUE,1,0))</f>
        <v>#NAME?</v>
      </c>
      <c r="AZ116" s="220">
        <v>5</v>
      </c>
      <c r="BA116" s="221">
        <v>0</v>
      </c>
      <c r="BB116" s="222" t="b">
        <v>0</v>
      </c>
      <c r="BC116" s="223" t="b">
        <v>0</v>
      </c>
      <c r="BD116" s="228" t="b">
        <v>1</v>
      </c>
      <c r="BE116" s="224" t="b">
        <v>0</v>
      </c>
      <c r="BF116" s="179">
        <v>1</v>
      </c>
      <c r="BG116" s="225" t="str">
        <f>IF(BC116=FALSE,"",MIN(BH116:$BK116)-ROUND(($BK116-1-ROUND(80/$AZ116,0))/COUNTIF($BB116:$BE116,TRUE),0))</f>
        <v/>
      </c>
      <c r="BH116" s="225">
        <f>IF(BD116=FALSE,"",MIN(BI116:$BK116)-ROUND(($BK116-1-ROUND(80/$AZ116,0))/COUNTIF($BB116:$BE116,TRUE),0))</f>
        <v>17</v>
      </c>
      <c r="BI116" s="225" t="str">
        <f>IF(BE116=FALSE,"",MIN(BJ116:$BK116)-ROUND(($BK116-1-ROUND(80/$AZ116,0))/COUNTIF($BB116:$BE116,TRUE),0))</f>
        <v/>
      </c>
      <c r="BJ116" s="225" t="str">
        <f>IF(BB116=FALSE,"",MIN($BK116:BK116)-ROUND(($BK116-1-ROUND(80/$AZ116,0))/COUNTIF($BB116:$BE116,TRUE),0))</f>
        <v/>
      </c>
      <c r="BK116" s="107">
        <f>101-ROUND(Ag!BU$7*100,0)</f>
        <v>96</v>
      </c>
      <c r="BL116" s="63">
        <v>3</v>
      </c>
      <c r="BM116" s="82">
        <f t="array" ref="BM116">MIN(BL116,INDEX([1]Basic!L$26:L$34, MATCH([1]Basic!D$5,[1]Basic!B$26:B$34,0)))</f>
        <v>3</v>
      </c>
      <c r="DT116" s="472" t="str">
        <f ca="1">IFERROR(__xludf.DUMMYFUNCTION("""COMPUTED_VALUE"""),"Platinum/Platinum Ore")</f>
        <v>Platinum/Platinum Ore</v>
      </c>
      <c r="DU116" s="369"/>
    </row>
    <row r="117" spans="1:125" ht="12.75">
      <c r="A117" s="39" t="str">
        <v>Cwa</v>
      </c>
      <c r="B117" s="161" t="str">
        <v>Subtropical Humid Monsoon</v>
      </c>
      <c r="C117" s="162">
        <v>0</v>
      </c>
      <c r="D117" s="162">
        <v>0</v>
      </c>
      <c r="E117" s="162">
        <v>0</v>
      </c>
      <c r="F117" s="162">
        <v>1</v>
      </c>
      <c r="G117" s="162">
        <v>0.75</v>
      </c>
      <c r="H117" s="162">
        <v>0</v>
      </c>
      <c r="I117" s="162">
        <v>0</v>
      </c>
      <c r="J117" s="162">
        <v>0</v>
      </c>
      <c r="K117" s="162">
        <v>0</v>
      </c>
      <c r="L117" s="162">
        <v>0</v>
      </c>
      <c r="M117" s="162">
        <v>1</v>
      </c>
      <c r="N117" s="162">
        <v>0.5</v>
      </c>
      <c r="O117" s="162">
        <v>1</v>
      </c>
      <c r="Z117" s="31"/>
      <c r="AA117" s="31"/>
      <c r="AB117" s="31"/>
      <c r="AC117" s="31"/>
      <c r="AD117" s="31"/>
      <c r="AE117" s="31"/>
      <c r="AF117" s="31"/>
      <c r="AG117" s="31"/>
      <c r="AH117" s="31"/>
      <c r="AI117" s="31"/>
      <c r="AK117" s="389"/>
      <c r="AL117" s="452" t="s">
        <v>364</v>
      </c>
      <c r="AM117" s="369"/>
      <c r="AN117" s="217">
        <v>12</v>
      </c>
      <c r="AO117" s="218" t="e">
        <f ca="1">ROUND(AN117*_xludf.ifs(
AND(AU117=TRUE,AW117=TRUE),1,
AU117=TRUE,AV117,
AW117=TRUE,AX117,
TRUE,1),0)</f>
        <v>#NAME?</v>
      </c>
      <c r="AP117" s="57" t="e">
        <f ca="1">ROUND(AO117/SUM(AO$32:AO$252)*AM$27,0)</f>
        <v>#NAME?</v>
      </c>
      <c r="AQ117" s="5">
        <f ca="1">IFERROR(__xludf.DUMMYFUNCTION("if(O117=0,"""",
filter(I$32:I116,row(I$32:I116)=max(filter(arrayformula(row(I$32:I116)),I$32:I116&lt;&gt;"""")))+
filter(G$32:G116,row(G$32:G116)=max(filter(arrayformula(row(G$32:G116)),G$32:G116&lt;&gt;"""")))
)"),6116)</f>
        <v>6116</v>
      </c>
      <c r="AR117" s="198">
        <f ca="1">IFERROR(__xludf.DUMMYFUNCTION("if(G117="""","""",G117-(
filter(G$32:G$252,row(G$32:G$252)=max(filter(arrayformula(row(G$32:G$252)),G$32:G$252&lt;&gt;"""")))
-(10001-
filter(I$32:I$252,row(I$32:I$252)=max(filter(arrayformula(row(I$32:I$252)),I$32:I$252&lt;&gt;""""))))))"),6109)</f>
        <v>6109</v>
      </c>
      <c r="AS117" s="198" t="e">
        <f ca="1">IF(AY117=0,"",ROUND(AY117/AM$3*10000,0))</f>
        <v>#NAME?</v>
      </c>
      <c r="AT117" s="219" t="b">
        <v>1</v>
      </c>
      <c r="AU117" s="57"/>
      <c r="AV117" s="220">
        <v>0</v>
      </c>
      <c r="AW117" s="82" t="b">
        <f>OR(AU13,AU16)</f>
        <v>0</v>
      </c>
      <c r="AX117" s="220">
        <v>2</v>
      </c>
      <c r="AY117" s="56" t="e">
        <f ca="1">MAX(ROUND(AP117*(AM$1/AM$27),0),IF(AT117=TRUE,1,0))</f>
        <v>#NAME?</v>
      </c>
      <c r="AZ117" s="220">
        <v>5</v>
      </c>
      <c r="BA117" s="221">
        <v>0</v>
      </c>
      <c r="BB117" s="222" t="b">
        <v>0</v>
      </c>
      <c r="BC117" s="223" t="b">
        <v>0</v>
      </c>
      <c r="BD117" s="228" t="b">
        <v>1</v>
      </c>
      <c r="BE117" s="224" t="b">
        <v>0</v>
      </c>
      <c r="BF117" s="179">
        <v>1</v>
      </c>
      <c r="BG117" s="225" t="str">
        <f>IF(BC117=FALSE,"",MIN(BH117:$BK117)-ROUND(($BK117-1-ROUND(80/$AZ117,0))/COUNTIF($BB117:$BE117,TRUE),0))</f>
        <v/>
      </c>
      <c r="BH117" s="225">
        <f>IF(BD117=FALSE,"",MIN(BI117:$BK117)-ROUND(($BK117-1-ROUND(80/$AZ117,0))/COUNTIF($BB117:$BE117,TRUE),0))</f>
        <v>17</v>
      </c>
      <c r="BI117" s="225" t="str">
        <f>IF(BE117=FALSE,"",MIN(BJ117:$BK117)-ROUND(($BK117-1-ROUND(80/$AZ117,0))/COUNTIF($BB117:$BE117,TRUE),0))</f>
        <v/>
      </c>
      <c r="BJ117" s="225" t="str">
        <f>IF(BB117=FALSE,"",MIN($BK117:BK117)-ROUND(($BK117-1-ROUND(80/$AZ117,0))/COUNTIF($BB117:$BE117,TRUE),0))</f>
        <v/>
      </c>
      <c r="BK117" s="107">
        <f>101-ROUND(Ag!BU$7*100,0)</f>
        <v>96</v>
      </c>
      <c r="BL117" s="63">
        <v>3</v>
      </c>
      <c r="BM117" s="82">
        <f t="array" ref="BM117">MIN(BL117,INDEX([1]Basic!L$26:L$34, MATCH([1]Basic!D$5,[1]Basic!B$26:B$34,0)))</f>
        <v>3</v>
      </c>
      <c r="DT117" s="472" t="str">
        <f ca="1">IFERROR(__xludf.DUMMYFUNCTION("""COMPUTED_VALUE"""),"Potions")</f>
        <v>Potions</v>
      </c>
      <c r="DU117" s="369"/>
    </row>
    <row r="118" spans="1:125" ht="12.75">
      <c r="A118" s="39" t="str">
        <v>Cwb</v>
      </c>
      <c r="B118" s="161" t="str">
        <v>Subtropical Highland</v>
      </c>
      <c r="C118" s="162">
        <v>0</v>
      </c>
      <c r="D118" s="162">
        <v>0</v>
      </c>
      <c r="E118" s="162">
        <v>0</v>
      </c>
      <c r="F118" s="162">
        <v>0</v>
      </c>
      <c r="G118" s="162">
        <v>0</v>
      </c>
      <c r="H118" s="162">
        <v>0</v>
      </c>
      <c r="I118" s="162">
        <v>0</v>
      </c>
      <c r="J118" s="162">
        <v>0</v>
      </c>
      <c r="K118" s="162">
        <v>0</v>
      </c>
      <c r="L118" s="162">
        <v>0</v>
      </c>
      <c r="M118" s="162">
        <v>1</v>
      </c>
      <c r="N118" s="162">
        <v>0.5</v>
      </c>
      <c r="O118" s="162">
        <v>1</v>
      </c>
      <c r="Z118" s="31"/>
      <c r="AA118" s="31"/>
      <c r="AB118" s="31"/>
      <c r="AC118" s="31"/>
      <c r="AD118" s="31"/>
      <c r="AE118" s="31"/>
      <c r="AF118" s="31"/>
      <c r="AG118" s="31"/>
      <c r="AH118" s="31"/>
      <c r="AI118" s="31"/>
      <c r="AK118" s="389"/>
      <c r="AL118" s="452" t="s">
        <v>369</v>
      </c>
      <c r="AM118" s="369"/>
      <c r="AN118" s="217">
        <v>6</v>
      </c>
      <c r="AO118" s="218" t="e">
        <f ca="1">ROUND(AN118*_xludf.ifs(
AND(AU118=TRUE,AW118=TRUE),1,
AU118=TRUE,AV118,
AW118=TRUE,AX118,
TRUE,1),0)</f>
        <v>#NAME?</v>
      </c>
      <c r="AP118" s="57" t="e">
        <f ca="1">ROUND(AO118/SUM(AO$32:AO$252)*AM$27,0)</f>
        <v>#NAME?</v>
      </c>
      <c r="AQ118" s="5" t="str">
        <f ca="1">IFERROR(__xludf.DUMMYFUNCTION("if(O118=0,"""",
filter(I$32:I117,row(I$32:I117)=max(filter(arrayformula(row(I$32:I117)),I$32:I117&lt;&gt;"""")))+
filter(G$32:G117,row(G$32:G117)=max(filter(arrayformula(row(G$32:G117)),G$32:G117&lt;&gt;"""")))
)"),"")</f>
        <v/>
      </c>
      <c r="AR118" s="198" t="str">
        <f ca="1">IFERROR(__xludf.DUMMYFUNCTION("if(G118="""","""",G118-(
filter(G$32:G$252,row(G$32:G$252)=max(filter(arrayformula(row(G$32:G$252)),G$32:G$252&lt;&gt;"""")))
-(10001-
filter(I$32:I$252,row(I$32:I$252)=max(filter(arrayformula(row(I$32:I$252)),I$32:I$252&lt;&gt;""""))))))"),"")</f>
        <v/>
      </c>
      <c r="AS118" s="198" t="e">
        <f ca="1">IF(AY118=0,"",ROUND(AY118/AM$3*10000,0))</f>
        <v>#NAME?</v>
      </c>
      <c r="AT118" s="237" t="b">
        <v>0</v>
      </c>
      <c r="AU118" s="57"/>
      <c r="AV118" s="220">
        <v>0</v>
      </c>
      <c r="AW118" s="82"/>
      <c r="AX118" s="220">
        <v>2</v>
      </c>
      <c r="AY118" s="56" t="e">
        <f ca="1">MAX(ROUND(AP118*(AM$1/AM$27),0),IF(AT118=TRUE,1,0))</f>
        <v>#NAME?</v>
      </c>
      <c r="AZ118" s="220">
        <v>3</v>
      </c>
      <c r="BA118" s="221">
        <v>0</v>
      </c>
      <c r="BB118" s="222" t="b">
        <v>0</v>
      </c>
      <c r="BC118" s="223" t="b">
        <v>0</v>
      </c>
      <c r="BD118" s="223" t="b">
        <v>0</v>
      </c>
      <c r="BE118" s="224" t="b">
        <v>0</v>
      </c>
      <c r="BF118" s="179">
        <v>1</v>
      </c>
      <c r="BG118" s="225" t="str">
        <f>IF(BC118=FALSE,"",MIN(BH118:$BK118)-ROUND(($BK118-1-ROUND(80/$AZ118,0))/COUNTIF($BB118:$BE118,TRUE),0))</f>
        <v/>
      </c>
      <c r="BH118" s="225" t="str">
        <f>IF(BD118=FALSE,"",MIN(BI118:$BK118)-ROUND(($BK118-1-ROUND(80/$AZ118,0))/COUNTIF($BB118:$BE118,TRUE),0))</f>
        <v/>
      </c>
      <c r="BI118" s="225" t="str">
        <f>IF(BE118=FALSE,"",MIN(BJ118:$BK118)-ROUND(($BK118-1-ROUND(80/$AZ118,0))/COUNTIF($BB118:$BE118,TRUE),0))</f>
        <v/>
      </c>
      <c r="BJ118" s="225" t="str">
        <f>IF(BB118=FALSE,"",MIN($BK118:BK118)-ROUND(($BK118-1-ROUND(80/$AZ118,0))/COUNTIF($BB118:$BE118,TRUE),0))</f>
        <v/>
      </c>
      <c r="BK118" s="107">
        <f>101-ROUND(Ag!BU$7*100,0)</f>
        <v>96</v>
      </c>
      <c r="BL118" s="63">
        <v>3</v>
      </c>
      <c r="BM118" s="82">
        <f t="array" ref="BM118">MIN(BL118,INDEX([1]Basic!L$26:L$34, MATCH([1]Basic!D$5,[1]Basic!B$26:B$34,0)))</f>
        <v>3</v>
      </c>
      <c r="DT118" s="472" t="str">
        <f ca="1">IFERROR(__xludf.DUMMYFUNCTION("""COMPUTED_VALUE"""),"Quartzite")</f>
        <v>Quartzite</v>
      </c>
      <c r="DU118" s="369"/>
    </row>
    <row r="119" spans="1:125" ht="12.75">
      <c r="A119" s="39" t="str">
        <v>Cwc</v>
      </c>
      <c r="B119" s="161" t="str">
        <v>Cold Subtropical Highland</v>
      </c>
      <c r="C119" s="162">
        <v>0.5</v>
      </c>
      <c r="D119" s="162">
        <v>0</v>
      </c>
      <c r="E119" s="162">
        <v>0</v>
      </c>
      <c r="F119" s="162">
        <v>0</v>
      </c>
      <c r="G119" s="162">
        <v>0</v>
      </c>
      <c r="H119" s="162">
        <v>0</v>
      </c>
      <c r="I119" s="162">
        <v>0</v>
      </c>
      <c r="J119" s="162">
        <v>0</v>
      </c>
      <c r="K119" s="162">
        <v>0</v>
      </c>
      <c r="L119" s="162">
        <v>0</v>
      </c>
      <c r="M119" s="162">
        <v>0</v>
      </c>
      <c r="N119" s="162">
        <v>0.1</v>
      </c>
      <c r="O119" s="162">
        <v>0</v>
      </c>
      <c r="Z119" s="31"/>
      <c r="AA119" s="31"/>
      <c r="AB119" s="31"/>
      <c r="AC119" s="31"/>
      <c r="AD119" s="31"/>
      <c r="AE119" s="31"/>
      <c r="AF119" s="31"/>
      <c r="AG119" s="31"/>
      <c r="AH119" s="31"/>
      <c r="AI119" s="31"/>
      <c r="AK119" s="389"/>
      <c r="AL119" s="452" t="s">
        <v>372</v>
      </c>
      <c r="AM119" s="369"/>
      <c r="AN119" s="217">
        <v>10</v>
      </c>
      <c r="AO119" s="218" t="e">
        <f ca="1">ROUND(AN119*_xludf.ifs(
AND(AU119=TRUE,AW119=TRUE),1,
AU119=TRUE,AV119,
AW119=TRUE,AX119,
TRUE,1),0)</f>
        <v>#NAME?</v>
      </c>
      <c r="AP119" s="57" t="e">
        <f ca="1">ROUND(AO119/SUM(AO$32:AO$252)*AM$27,0)</f>
        <v>#NAME?</v>
      </c>
      <c r="AQ119" s="5" t="str">
        <f ca="1">IFERROR(__xludf.DUMMYFUNCTION("if(O119=0,"""",
filter(I$32:I118,row(I$32:I118)=max(filter(arrayformula(row(I$32:I118)),I$32:I118&lt;&gt;"""")))+
filter(G$32:G118,row(G$32:G118)=max(filter(arrayformula(row(G$32:G118)),G$32:G118&lt;&gt;"""")))
)"),"")</f>
        <v/>
      </c>
      <c r="AR119" s="198" t="str">
        <f ca="1">IFERROR(__xludf.DUMMYFUNCTION("if(G119="""","""",G119-(
filter(G$32:G$252,row(G$32:G$252)=max(filter(arrayformula(row(G$32:G$252)),G$32:G$252&lt;&gt;"""")))
-(10001-
filter(I$32:I$252,row(I$32:I$252)=max(filter(arrayformula(row(I$32:I$252)),I$32:I$252&lt;&gt;""""))))))"),"")</f>
        <v/>
      </c>
      <c r="AS119" s="198" t="e">
        <f ca="1">IF(AY119=0,"",ROUND(AY119/AM$3*10000,0))</f>
        <v>#NAME?</v>
      </c>
      <c r="AT119" s="237" t="b">
        <v>0</v>
      </c>
      <c r="AU119" s="57"/>
      <c r="AV119" s="220">
        <v>0</v>
      </c>
      <c r="AW119" s="82" t="b">
        <f>OR(AQ18,AQ20,AQ19)</f>
        <v>0</v>
      </c>
      <c r="AX119" s="220">
        <v>2</v>
      </c>
      <c r="AY119" s="56" t="e">
        <f ca="1">MAX(ROUND(AP119*(AM$1/AM$27),0),IF(AT119=TRUE,1,0))</f>
        <v>#NAME?</v>
      </c>
      <c r="AZ119" s="220">
        <v>3</v>
      </c>
      <c r="BA119" s="221">
        <v>0</v>
      </c>
      <c r="BB119" s="222" t="b">
        <v>0</v>
      </c>
      <c r="BC119" s="223" t="b">
        <v>0</v>
      </c>
      <c r="BD119" s="223" t="b">
        <v>0</v>
      </c>
      <c r="BE119" s="224" t="b">
        <v>0</v>
      </c>
      <c r="BF119" s="179">
        <v>1</v>
      </c>
      <c r="BG119" s="225" t="str">
        <f>IF(BC119=FALSE,"",MIN(BH119:$BK119)-ROUND(($BK119-1-ROUND(80/$AZ119,0))/COUNTIF($BB119:$BE119,TRUE),0))</f>
        <v/>
      </c>
      <c r="BH119" s="225" t="str">
        <f>IF(BD119=FALSE,"",MIN(BI119:$BK119)-ROUND(($BK119-1-ROUND(80/$AZ119,0))/COUNTIF($BB119:$BE119,TRUE),0))</f>
        <v/>
      </c>
      <c r="BI119" s="225" t="str">
        <f>IF(BE119=FALSE,"",MIN(BJ119:$BK119)-ROUND(($BK119-1-ROUND(80/$AZ119,0))/COUNTIF($BB119:$BE119,TRUE),0))</f>
        <v/>
      </c>
      <c r="BJ119" s="225" t="str">
        <f>IF(BB119=FALSE,"",MIN($BK119:BK119)-ROUND(($BK119-1-ROUND(80/$AZ119,0))/COUNTIF($BB119:$BE119,TRUE),0))</f>
        <v/>
      </c>
      <c r="BK119" s="107">
        <f>101-ROUND(Ag!BU$7*100,0)</f>
        <v>96</v>
      </c>
      <c r="BL119" s="63">
        <v>2</v>
      </c>
      <c r="BM119" s="82">
        <f t="array" ref="BM119">MIN(BL119,INDEX([1]Basic!L$26:L$34, MATCH([1]Basic!D$5,[1]Basic!B$26:B$34,0)))</f>
        <v>2</v>
      </c>
      <c r="DT119" s="472" t="str">
        <f ca="1">IFERROR(__xludf.DUMMYFUNCTION("""COMPUTED_VALUE"""),"Salt")</f>
        <v>Salt</v>
      </c>
      <c r="DU119" s="369"/>
    </row>
    <row r="120" spans="1:125" ht="12.75">
      <c r="A120" s="39" t="str">
        <v>Csa</v>
      </c>
      <c r="B120" s="161" t="str">
        <v>Hot Mediterranean</v>
      </c>
      <c r="C120" s="162">
        <v>0</v>
      </c>
      <c r="D120" s="162">
        <v>1</v>
      </c>
      <c r="E120" s="162">
        <v>0.5</v>
      </c>
      <c r="F120" s="162">
        <v>0.5</v>
      </c>
      <c r="G120" s="162">
        <v>0.75</v>
      </c>
      <c r="H120" s="162">
        <v>0</v>
      </c>
      <c r="I120" s="162">
        <v>0</v>
      </c>
      <c r="J120" s="162">
        <v>0</v>
      </c>
      <c r="K120" s="162">
        <v>0</v>
      </c>
      <c r="L120" s="162">
        <v>1</v>
      </c>
      <c r="M120" s="162">
        <v>1</v>
      </c>
      <c r="N120" s="162">
        <v>0.5</v>
      </c>
      <c r="O120" s="162">
        <v>0.75</v>
      </c>
      <c r="Z120" s="31"/>
      <c r="AA120" s="31"/>
      <c r="AB120" s="31"/>
      <c r="AC120" s="31"/>
      <c r="AD120" s="31"/>
      <c r="AE120" s="31"/>
      <c r="AF120" s="31"/>
      <c r="AG120" s="31"/>
      <c r="AH120" s="31"/>
      <c r="AI120" s="31"/>
      <c r="AK120" s="389"/>
      <c r="AL120" s="452" t="s">
        <v>374</v>
      </c>
      <c r="AM120" s="369"/>
      <c r="AN120" s="217">
        <v>15</v>
      </c>
      <c r="AO120" s="218" t="e">
        <f ca="1">ROUND(AN120*_xludf.ifs(
AND(AU120=TRUE,AW120=TRUE),1,
AU120=TRUE,AV120,
AW120=TRUE,AX120,
TRUE,1),0)</f>
        <v>#NAME?</v>
      </c>
      <c r="AP120" s="57" t="e">
        <f ca="1">ROUND(AO120/SUM(AO$32:AO$252)*AM$27,0)</f>
        <v>#NAME?</v>
      </c>
      <c r="AQ120" s="5" t="str">
        <f ca="1">IFERROR(__xludf.DUMMYFUNCTION("if(O120=0,"""",
filter(I$32:I119,row(I$32:I119)=max(filter(arrayformula(row(I$32:I119)),I$32:I119&lt;&gt;"""")))+
filter(G$32:G119,row(G$32:G119)=max(filter(arrayformula(row(G$32:G119)),G$32:G119&lt;&gt;"""")))
)"),"")</f>
        <v/>
      </c>
      <c r="AR120" s="198" t="str">
        <f ca="1">IFERROR(__xludf.DUMMYFUNCTION("if(G120="""","""",G120-(
filter(G$32:G$252,row(G$32:G$252)=max(filter(arrayformula(row(G$32:G$252)),G$32:G$252&lt;&gt;"""")))
-(10001-
filter(I$32:I$252,row(I$32:I$252)=max(filter(arrayformula(row(I$32:I$252)),I$32:I$252&lt;&gt;""""))))))"),"")</f>
        <v/>
      </c>
      <c r="AS120" s="198" t="e">
        <f ca="1">IF(AY120=0,"",ROUND(AY120/AM$3*10000,0))</f>
        <v>#NAME?</v>
      </c>
      <c r="AT120" s="237" t="b">
        <v>0</v>
      </c>
      <c r="AU120" s="57"/>
      <c r="AV120" s="220">
        <v>0</v>
      </c>
      <c r="AW120" s="82" t="b">
        <f>OR(AU13,AU16)</f>
        <v>0</v>
      </c>
      <c r="AX120" s="220">
        <v>2</v>
      </c>
      <c r="AY120" s="56" t="e">
        <f ca="1">MAX(ROUND(AP120*(AM$1/AM$27),0),IF(AT120=TRUE,1,0))</f>
        <v>#NAME?</v>
      </c>
      <c r="AZ120" s="220">
        <v>2</v>
      </c>
      <c r="BA120" s="221">
        <v>0</v>
      </c>
      <c r="BB120" s="222" t="b">
        <v>0</v>
      </c>
      <c r="BC120" s="223" t="b">
        <v>0</v>
      </c>
      <c r="BD120" s="223" t="b">
        <v>0</v>
      </c>
      <c r="BE120" s="224" t="b">
        <v>0</v>
      </c>
      <c r="BF120" s="179">
        <v>1</v>
      </c>
      <c r="BG120" s="225" t="str">
        <f>IF(BC120=FALSE,"",MIN(BH120:$BK120)-ROUND(($BK120-1-ROUND(80/$AZ120,0))/COUNTIF($BB120:$BE120,TRUE),0))</f>
        <v/>
      </c>
      <c r="BH120" s="225" t="str">
        <f>IF(BD120=FALSE,"",MIN(BI120:$BK120)-ROUND(($BK120-1-ROUND(80/$AZ120,0))/COUNTIF($BB120:$BE120,TRUE),0))</f>
        <v/>
      </c>
      <c r="BI120" s="225" t="str">
        <f>IF(BE120=FALSE,"",MIN(BJ120:$BK120)-ROUND(($BK120-1-ROUND(80/$AZ120,0))/COUNTIF($BB120:$BE120,TRUE),0))</f>
        <v/>
      </c>
      <c r="BJ120" s="225" t="str">
        <f>IF(BB120=FALSE,"",MIN($BK120:BK120)-ROUND(($BK120-1-ROUND(80/$AZ120,0))/COUNTIF($BB120:$BE120,TRUE),0))</f>
        <v/>
      </c>
      <c r="BK120" s="107">
        <f>101-ROUND(Ag!BU$7*100,0)</f>
        <v>96</v>
      </c>
      <c r="BL120" s="63">
        <v>2</v>
      </c>
      <c r="BM120" s="82">
        <f t="array" ref="BM120">MIN(BL120,INDEX([1]Basic!L$26:L$34, MATCH([1]Basic!D$5,[1]Basic!B$26:B$34,0)))</f>
        <v>2</v>
      </c>
      <c r="DT120" s="472" t="str">
        <f ca="1">IFERROR(__xludf.DUMMYFUNCTION("""COMPUTED_VALUE"""),"Sandstone")</f>
        <v>Sandstone</v>
      </c>
      <c r="DU120" s="369"/>
    </row>
    <row r="121" spans="1:125" ht="12.75">
      <c r="A121" s="39" t="str">
        <v>Csb</v>
      </c>
      <c r="B121" s="161" t="str">
        <v>Warm Mediterranean</v>
      </c>
      <c r="C121" s="162">
        <v>0</v>
      </c>
      <c r="D121" s="162">
        <v>1</v>
      </c>
      <c r="E121" s="162">
        <v>0</v>
      </c>
      <c r="F121" s="162">
        <v>0</v>
      </c>
      <c r="G121" s="162">
        <v>0</v>
      </c>
      <c r="H121" s="162">
        <v>0</v>
      </c>
      <c r="I121" s="162">
        <v>0</v>
      </c>
      <c r="J121" s="162">
        <v>0</v>
      </c>
      <c r="K121" s="162">
        <v>0</v>
      </c>
      <c r="L121" s="162">
        <v>1</v>
      </c>
      <c r="M121" s="162">
        <v>1</v>
      </c>
      <c r="N121" s="162">
        <v>0.5</v>
      </c>
      <c r="O121" s="162">
        <v>0.75</v>
      </c>
      <c r="Z121" s="31"/>
      <c r="AA121" s="31"/>
      <c r="AB121" s="31"/>
      <c r="AC121" s="31"/>
      <c r="AD121" s="31"/>
      <c r="AE121" s="31"/>
      <c r="AF121" s="31"/>
      <c r="AG121" s="31"/>
      <c r="AH121" s="31"/>
      <c r="AI121" s="31"/>
      <c r="AK121" s="389"/>
      <c r="AL121" s="452" t="s">
        <v>376</v>
      </c>
      <c r="AM121" s="369"/>
      <c r="AN121" s="217">
        <v>10</v>
      </c>
      <c r="AO121" s="218" t="e">
        <f ca="1">ROUND(AN121*_xludf.ifs(
AND(AU121=TRUE,AW121=TRUE),1,
AU121=TRUE,AV121,
AW121=TRUE,AX121,
TRUE,1),0)</f>
        <v>#NAME?</v>
      </c>
      <c r="AP121" s="57" t="e">
        <f ca="1">ROUND(AO121/SUM(AO$32:AO$252)*AM$27,0)</f>
        <v>#NAME?</v>
      </c>
      <c r="AQ121" s="5" t="str">
        <f ca="1">IFERROR(__xludf.DUMMYFUNCTION("if(O121=0,"""",
filter(I$32:I120,row(I$32:I120)=max(filter(arrayformula(row(I$32:I120)),I$32:I120&lt;&gt;"""")))+
filter(G$32:G120,row(G$32:G120)=max(filter(arrayformula(row(G$32:G120)),G$32:G120&lt;&gt;"""")))
)"),"")</f>
        <v/>
      </c>
      <c r="AR121" s="198" t="str">
        <f ca="1">IFERROR(__xludf.DUMMYFUNCTION("if(G121="""","""",G121-(
filter(G$32:G$252,row(G$32:G$252)=max(filter(arrayformula(row(G$32:G$252)),G$32:G$252&lt;&gt;"""")))
-(10001-
filter(I$32:I$252,row(I$32:I$252)=max(filter(arrayformula(row(I$32:I$252)),I$32:I$252&lt;&gt;""""))))))"),"")</f>
        <v/>
      </c>
      <c r="AS121" s="198" t="e">
        <f ca="1">IF(AY121=0,"",ROUND(AY121/AM$3*10000,0))</f>
        <v>#NAME?</v>
      </c>
      <c r="AT121" s="237" t="b">
        <v>0</v>
      </c>
      <c r="AU121" s="57"/>
      <c r="AV121" s="220">
        <v>0</v>
      </c>
      <c r="AW121" s="82" t="b">
        <f>OR(AQ22,AU13)</f>
        <v>0</v>
      </c>
      <c r="AX121" s="220">
        <v>2</v>
      </c>
      <c r="AY121" s="56" t="e">
        <f ca="1">MAX(ROUND(AP121*(AM$1/AM$27),0),IF(AT121=TRUE,1,0))</f>
        <v>#NAME?</v>
      </c>
      <c r="AZ121" s="220">
        <v>5</v>
      </c>
      <c r="BA121" s="221">
        <v>0</v>
      </c>
      <c r="BB121" s="222" t="b">
        <v>0</v>
      </c>
      <c r="BC121" s="223" t="b">
        <v>0</v>
      </c>
      <c r="BD121" s="228" t="b">
        <v>1</v>
      </c>
      <c r="BE121" s="224" t="b">
        <v>0</v>
      </c>
      <c r="BF121" s="179">
        <v>1</v>
      </c>
      <c r="BG121" s="225" t="str">
        <f>IF(BC121=FALSE,"",MIN(BH121:$BK121)-ROUND(($BK121-1-ROUND(80/$AZ121,0))/COUNTIF($BB121:$BE121,TRUE),0))</f>
        <v/>
      </c>
      <c r="BH121" s="225">
        <f>IF(BD121=FALSE,"",MIN(BI121:$BK121)-ROUND(($BK121-1-ROUND(80/$AZ121,0))/COUNTIF($BB121:$BE121,TRUE),0))</f>
        <v>17</v>
      </c>
      <c r="BI121" s="225" t="str">
        <f>IF(BE121=FALSE,"",MIN(BJ121:$BK121)-ROUND(($BK121-1-ROUND(80/$AZ121,0))/COUNTIF($BB121:$BE121,TRUE),0))</f>
        <v/>
      </c>
      <c r="BJ121" s="225" t="str">
        <f>IF(BB121=FALSE,"",MIN($BK121:BK121)-ROUND(($BK121-1-ROUND(80/$AZ121,0))/COUNTIF($BB121:$BE121,TRUE),0))</f>
        <v/>
      </c>
      <c r="BK121" s="107">
        <f>101-ROUND(Ag!BU$7*100,0)</f>
        <v>96</v>
      </c>
      <c r="BL121" s="63">
        <v>3</v>
      </c>
      <c r="BM121" s="82">
        <f t="array" ref="BM121">MIN(BL121,INDEX([1]Basic!L$26:L$34, MATCH([1]Basic!D$5,[1]Basic!B$26:B$34,0)))</f>
        <v>3</v>
      </c>
      <c r="DT121" s="472" t="str">
        <f ca="1">IFERROR(__xludf.DUMMYFUNCTION("""COMPUTED_VALUE"""),"Silver/Silver Ore")</f>
        <v>Silver/Silver Ore</v>
      </c>
      <c r="DU121" s="369"/>
    </row>
    <row r="122" spans="1:125" ht="12.75">
      <c r="A122" s="39" t="str">
        <v>Csc</v>
      </c>
      <c r="B122" s="161" t="str">
        <v>Cold Mediterranean</v>
      </c>
      <c r="C122" s="162">
        <v>0.5</v>
      </c>
      <c r="D122" s="162">
        <v>0</v>
      </c>
      <c r="E122" s="162">
        <v>0</v>
      </c>
      <c r="F122" s="162">
        <v>0</v>
      </c>
      <c r="G122" s="162">
        <v>0</v>
      </c>
      <c r="H122" s="162">
        <v>0</v>
      </c>
      <c r="I122" s="162">
        <v>0</v>
      </c>
      <c r="J122" s="162">
        <v>0</v>
      </c>
      <c r="K122" s="162">
        <v>0</v>
      </c>
      <c r="L122" s="162">
        <v>0</v>
      </c>
      <c r="M122" s="162">
        <v>0</v>
      </c>
      <c r="N122" s="162">
        <v>0.1</v>
      </c>
      <c r="O122" s="162">
        <v>0</v>
      </c>
      <c r="Z122" s="31"/>
      <c r="AA122" s="31"/>
      <c r="AB122" s="31"/>
      <c r="AC122" s="31"/>
      <c r="AD122" s="31"/>
      <c r="AE122" s="31"/>
      <c r="AF122" s="31"/>
      <c r="AG122" s="31"/>
      <c r="AH122" s="31"/>
      <c r="AI122" s="31"/>
      <c r="AK122" s="389"/>
      <c r="AL122" s="452" t="s">
        <v>378</v>
      </c>
      <c r="AM122" s="369"/>
      <c r="AN122" s="217">
        <v>20</v>
      </c>
      <c r="AO122" s="218" t="e">
        <f ca="1">ROUND(AN122*_xludf.ifs(
AND(AU122=TRUE,AW122=TRUE),1,
AU122=TRUE,AV122,
AW122=TRUE,AX122,
TRUE,1),0)</f>
        <v>#NAME?</v>
      </c>
      <c r="AP122" s="57" t="e">
        <f ca="1">ROUND(AO122/SUM(AO$32:AO$252)*AM$27,0)</f>
        <v>#NAME?</v>
      </c>
      <c r="AQ122" s="5" t="str">
        <f ca="1">IFERROR(__xludf.DUMMYFUNCTION("if(O122=0,"""",
filter(I$32:I121,row(I$32:I121)=max(filter(arrayformula(row(I$32:I121)),I$32:I121&lt;&gt;"""")))+
filter(G$32:G121,row(G$32:G121)=max(filter(arrayformula(row(G$32:G121)),G$32:G121&lt;&gt;"""")))
)"),"")</f>
        <v/>
      </c>
      <c r="AR122" s="198" t="str">
        <f ca="1">IFERROR(__xludf.DUMMYFUNCTION("if(G122="""","""",G122-(
filter(G$32:G$252,row(G$32:G$252)=max(filter(arrayformula(row(G$32:G$252)),G$32:G$252&lt;&gt;"""")))
-(10001-
filter(I$32:I$252,row(I$32:I$252)=max(filter(arrayformula(row(I$32:I$252)),I$32:I$252&lt;&gt;""""))))))"),"")</f>
        <v/>
      </c>
      <c r="AS122" s="198" t="e">
        <f ca="1">IF(AY122=0,"",ROUND(AY122/AM$3*10000,0))</f>
        <v>#NAME?</v>
      </c>
      <c r="AT122" s="237" t="b">
        <v>0</v>
      </c>
      <c r="AU122" s="57"/>
      <c r="AV122" s="220">
        <v>0</v>
      </c>
      <c r="AW122" s="82" t="b">
        <f>OR(AQ18,AQ20,AQ19)</f>
        <v>0</v>
      </c>
      <c r="AX122" s="220">
        <v>2</v>
      </c>
      <c r="AY122" s="56" t="e">
        <f ca="1">MAX(ROUND(AP122*(AM$1/AM$27),0),IF(AT122=TRUE,1,0))</f>
        <v>#NAME?</v>
      </c>
      <c r="AZ122" s="220">
        <v>5</v>
      </c>
      <c r="BA122" s="221">
        <v>0</v>
      </c>
      <c r="BB122" s="222" t="b">
        <v>0</v>
      </c>
      <c r="BC122" s="223" t="b">
        <v>0</v>
      </c>
      <c r="BD122" s="228" t="b">
        <v>1</v>
      </c>
      <c r="BE122" s="224" t="b">
        <v>0</v>
      </c>
      <c r="BF122" s="179">
        <v>1</v>
      </c>
      <c r="BG122" s="225" t="str">
        <f>IF(BC122=FALSE,"",MIN(BH122:$BK122)-ROUND(($BK122-1-ROUND(80/$AZ122,0))/COUNTIF($BB122:$BE122,TRUE),0))</f>
        <v/>
      </c>
      <c r="BH122" s="225">
        <f>IF(BD122=FALSE,"",MIN(BI122:$BK122)-ROUND(($BK122-1-ROUND(80/$AZ122,0))/COUNTIF($BB122:$BE122,TRUE),0))</f>
        <v>17</v>
      </c>
      <c r="BI122" s="225" t="str">
        <f>IF(BE122=FALSE,"",MIN(BJ122:$BK122)-ROUND(($BK122-1-ROUND(80/$AZ122,0))/COUNTIF($BB122:$BE122,TRUE),0))</f>
        <v/>
      </c>
      <c r="BJ122" s="225" t="str">
        <f>IF(BB122=FALSE,"",MIN($BK122:BK122)-ROUND(($BK122-1-ROUND(80/$AZ122,0))/COUNTIF($BB122:$BE122,TRUE),0))</f>
        <v/>
      </c>
      <c r="BK122" s="107">
        <f>101-ROUND(Ag!BU$7*100,0)</f>
        <v>96</v>
      </c>
      <c r="BL122" s="63">
        <v>3</v>
      </c>
      <c r="BM122" s="82">
        <f t="array" ref="BM122">MIN(BL122,INDEX([1]Basic!L$26:L$34, MATCH([1]Basic!D$5,[1]Basic!B$26:B$34,0)))</f>
        <v>3</v>
      </c>
      <c r="DT122" s="472" t="str">
        <f ca="1">IFERROR(__xludf.DUMMYFUNCTION("""COMPUTED_VALUE"""),"Slate")</f>
        <v>Slate</v>
      </c>
      <c r="DU122" s="369"/>
    </row>
    <row r="123" spans="1:125" ht="12.75">
      <c r="A123" s="39" t="str">
        <v>Dfa</v>
      </c>
      <c r="B123" s="161" t="str">
        <v>Hot Humid Continental</v>
      </c>
      <c r="C123" s="162">
        <v>0</v>
      </c>
      <c r="D123" s="162">
        <v>0.5</v>
      </c>
      <c r="E123" s="162">
        <v>0</v>
      </c>
      <c r="F123" s="162">
        <v>0</v>
      </c>
      <c r="G123" s="162">
        <v>0</v>
      </c>
      <c r="H123" s="162">
        <v>0</v>
      </c>
      <c r="I123" s="162">
        <v>0</v>
      </c>
      <c r="J123" s="162">
        <v>0</v>
      </c>
      <c r="K123" s="162">
        <v>0</v>
      </c>
      <c r="L123" s="162">
        <v>0</v>
      </c>
      <c r="M123" s="162">
        <v>1</v>
      </c>
      <c r="N123" s="162">
        <v>0.5</v>
      </c>
      <c r="O123" s="162">
        <v>0.75</v>
      </c>
      <c r="Z123" s="31"/>
      <c r="AA123" s="31"/>
      <c r="AB123" s="31"/>
      <c r="AC123" s="31"/>
      <c r="AD123" s="31"/>
      <c r="AE123" s="31"/>
      <c r="AF123" s="31"/>
      <c r="AG123" s="31"/>
      <c r="AH123" s="31"/>
      <c r="AI123" s="31"/>
      <c r="AK123" s="389"/>
      <c r="AL123" s="452" t="s">
        <v>380</v>
      </c>
      <c r="AM123" s="369"/>
      <c r="AN123" s="217">
        <v>6</v>
      </c>
      <c r="AO123" s="218" t="e">
        <f ca="1">ROUND(AN123*_xludf.ifs(
AND(AU123=TRUE,AW123=TRUE),1,
AU123=TRUE,AV123,
AW123=TRUE,AX123,
TRUE,1),0)</f>
        <v>#NAME?</v>
      </c>
      <c r="AP123" s="57" t="e">
        <f ca="1">ROUND(AO123/SUM(AO$32:AO$252)*AM$27,0)</f>
        <v>#NAME?</v>
      </c>
      <c r="AQ123" s="5" t="str">
        <f ca="1">IFERROR(__xludf.DUMMYFUNCTION("if(O123=0,"""",
filter(I$32:I122,row(I$32:I122)=max(filter(arrayformula(row(I$32:I122)),I$32:I122&lt;&gt;"""")))+
filter(G$32:G122,row(G$32:G122)=max(filter(arrayformula(row(G$32:G122)),G$32:G122&lt;&gt;"""")))
)"),"")</f>
        <v/>
      </c>
      <c r="AR123" s="198" t="str">
        <f ca="1">IFERROR(__xludf.DUMMYFUNCTION("if(G123="""","""",G123-(
filter(G$32:G$252,row(G$32:G$252)=max(filter(arrayformula(row(G$32:G$252)),G$32:G$252&lt;&gt;"""")))
-(10001-
filter(I$32:I$252,row(I$32:I$252)=max(filter(arrayformula(row(I$32:I$252)),I$32:I$252&lt;&gt;""""))))))"),"")</f>
        <v/>
      </c>
      <c r="AS123" s="198" t="e">
        <f ca="1">IF(AY123=0,"",ROUND(AY123/AM$3*10000,0))</f>
        <v>#NAME?</v>
      </c>
      <c r="AT123" s="237" t="b">
        <v>0</v>
      </c>
      <c r="AU123" s="57"/>
      <c r="AV123" s="220">
        <v>0</v>
      </c>
      <c r="AW123" s="82" t="b">
        <f>OR(AU25,AQ18,AQ19)</f>
        <v>0</v>
      </c>
      <c r="AX123" s="220">
        <v>2</v>
      </c>
      <c r="AY123" s="56" t="e">
        <f ca="1">MAX(ROUND(AP123*(AM$1/AM$27),0),IF(AT123=TRUE,1,0))</f>
        <v>#NAME?</v>
      </c>
      <c r="AZ123" s="220">
        <v>5</v>
      </c>
      <c r="BA123" s="221">
        <v>0</v>
      </c>
      <c r="BB123" s="222" t="b">
        <v>0</v>
      </c>
      <c r="BC123" s="223" t="b">
        <v>0</v>
      </c>
      <c r="BD123" s="228" t="b">
        <v>1</v>
      </c>
      <c r="BE123" s="224" t="b">
        <v>0</v>
      </c>
      <c r="BF123" s="179">
        <v>1</v>
      </c>
      <c r="BG123" s="225" t="str">
        <f>IF(BC123=FALSE,"",MIN(BH123:$BK123)-ROUND(($BK123-1-ROUND(80/$AZ123,0))/COUNTIF($BB123:$BE123,TRUE),0))</f>
        <v/>
      </c>
      <c r="BH123" s="225">
        <f>IF(BD123=FALSE,"",MIN(BI123:$BK123)-ROUND(($BK123-1-ROUND(80/$AZ123,0))/COUNTIF($BB123:$BE123,TRUE),0))</f>
        <v>17</v>
      </c>
      <c r="BI123" s="225" t="str">
        <f>IF(BE123=FALSE,"",MIN(BJ123:$BK123)-ROUND(($BK123-1-ROUND(80/$AZ123,0))/COUNTIF($BB123:$BE123,TRUE),0))</f>
        <v/>
      </c>
      <c r="BJ123" s="225" t="str">
        <f>IF(BB123=FALSE,"",MIN($BK123:BK123)-ROUND(($BK123-1-ROUND(80/$AZ123,0))/COUNTIF($BB123:$BE123,TRUE),0))</f>
        <v/>
      </c>
      <c r="BK123" s="107">
        <f>101-ROUND(Ag!BU$7*100,0)</f>
        <v>96</v>
      </c>
      <c r="BL123" s="63">
        <v>3</v>
      </c>
      <c r="BM123" s="82">
        <f t="array" ref="BM123">MIN(BL123,INDEX([1]Basic!L$26:L$34, MATCH([1]Basic!D$5,[1]Basic!B$26:B$34,0)))</f>
        <v>3</v>
      </c>
      <c r="DT123" s="472" t="str">
        <f ca="1">IFERROR(__xludf.DUMMYFUNCTION("""COMPUTED_VALUE"""),"Slaves")</f>
        <v>Slaves</v>
      </c>
      <c r="DU123" s="369"/>
    </row>
    <row r="124" spans="1:125" ht="12.75">
      <c r="A124" s="39" t="str">
        <v>Dfb</v>
      </c>
      <c r="B124" s="161" t="str">
        <v>Warm Humid Continental</v>
      </c>
      <c r="C124" s="162">
        <v>0</v>
      </c>
      <c r="D124" s="162">
        <v>0</v>
      </c>
      <c r="E124" s="162">
        <v>0</v>
      </c>
      <c r="F124" s="162">
        <v>0</v>
      </c>
      <c r="G124" s="162">
        <v>0</v>
      </c>
      <c r="H124" s="162">
        <v>0</v>
      </c>
      <c r="I124" s="162">
        <v>0</v>
      </c>
      <c r="J124" s="162">
        <v>0</v>
      </c>
      <c r="K124" s="162">
        <v>0</v>
      </c>
      <c r="L124" s="162">
        <v>0</v>
      </c>
      <c r="M124" s="162">
        <v>1</v>
      </c>
      <c r="N124" s="162">
        <v>0.5</v>
      </c>
      <c r="O124" s="162">
        <v>0.75</v>
      </c>
      <c r="Z124" s="31"/>
      <c r="AA124" s="31"/>
      <c r="AB124" s="31"/>
      <c r="AC124" s="31"/>
      <c r="AD124" s="31"/>
      <c r="AE124" s="31"/>
      <c r="AF124" s="31"/>
      <c r="AG124" s="31"/>
      <c r="AH124" s="31"/>
      <c r="AI124" s="31"/>
      <c r="AK124" s="389"/>
      <c r="AL124" s="452" t="s">
        <v>381</v>
      </c>
      <c r="AM124" s="369"/>
      <c r="AN124" s="217">
        <v>12</v>
      </c>
      <c r="AO124" s="218" t="e">
        <f ca="1">ROUND(AN124*_xludf.ifs(
AND(AU124=TRUE,AW124=TRUE),1,
AU124=TRUE,AV124,
AW124=TRUE,AX124,
TRUE,1),0)</f>
        <v>#NAME?</v>
      </c>
      <c r="AP124" s="57" t="e">
        <f ca="1">ROUND(AO124/SUM(AO$32:AO$252)*AM$27,0)</f>
        <v>#NAME?</v>
      </c>
      <c r="AQ124" s="5" t="str">
        <f ca="1">IFERROR(__xludf.DUMMYFUNCTION("if(O124=0,"""",
filter(I$32:I123,row(I$32:I123)=max(filter(arrayformula(row(I$32:I123)),I$32:I123&lt;&gt;"""")))+
filter(G$32:G123,row(G$32:G123)=max(filter(arrayformula(row(G$32:G123)),G$32:G123&lt;&gt;"""")))
)"),"")</f>
        <v/>
      </c>
      <c r="AR124" s="198" t="str">
        <f ca="1">IFERROR(__xludf.DUMMYFUNCTION("if(G124="""","""",G124-(
filter(G$32:G$252,row(G$32:G$252)=max(filter(arrayformula(row(G$32:G$252)),G$32:G$252&lt;&gt;"""")))
-(10001-
filter(I$32:I$252,row(I$32:I$252)=max(filter(arrayformula(row(I$32:I$252)),I$32:I$252&lt;&gt;""""))))))"),"")</f>
        <v/>
      </c>
      <c r="AS124" s="198" t="e">
        <f ca="1">IF(AY124=0,"",ROUND(AY124/AM$3*10000,0))</f>
        <v>#NAME?</v>
      </c>
      <c r="AT124" s="237" t="b">
        <v>0</v>
      </c>
      <c r="AU124" s="57"/>
      <c r="AV124" s="220">
        <v>0</v>
      </c>
      <c r="AW124" s="82"/>
      <c r="AX124" s="220">
        <v>2</v>
      </c>
      <c r="AY124" s="56" t="e">
        <f ca="1">MAX(ROUND(AP124*(AM$1/AM$27),0),IF(AT124=TRUE,1,0))</f>
        <v>#NAME?</v>
      </c>
      <c r="AZ124" s="220">
        <v>3</v>
      </c>
      <c r="BA124" s="221">
        <v>0</v>
      </c>
      <c r="BB124" s="222" t="b">
        <v>0</v>
      </c>
      <c r="BC124" s="223" t="b">
        <v>0</v>
      </c>
      <c r="BD124" s="223" t="b">
        <v>0</v>
      </c>
      <c r="BE124" s="224" t="b">
        <v>0</v>
      </c>
      <c r="BF124" s="179">
        <v>1</v>
      </c>
      <c r="BG124" s="225" t="str">
        <f>IF(BC124=FALSE,"",MIN(BH124:$BK124)-ROUND(($BK124-1-ROUND(80/$AZ124,0))/COUNTIF($BB124:$BE124,TRUE),0))</f>
        <v/>
      </c>
      <c r="BH124" s="225" t="str">
        <f>IF(BD124=FALSE,"",MIN(BI124:$BK124)-ROUND(($BK124-1-ROUND(80/$AZ124,0))/COUNTIF($BB124:$BE124,TRUE),0))</f>
        <v/>
      </c>
      <c r="BI124" s="225" t="str">
        <f>IF(BE124=FALSE,"",MIN(BJ124:$BK124)-ROUND(($BK124-1-ROUND(80/$AZ124,0))/COUNTIF($BB124:$BE124,TRUE),0))</f>
        <v/>
      </c>
      <c r="BJ124" s="225" t="str">
        <f>IF(BB124=FALSE,"",MIN($BK124:BK124)-ROUND(($BK124-1-ROUND(80/$AZ124,0))/COUNTIF($BB124:$BE124,TRUE),0))</f>
        <v/>
      </c>
      <c r="BK124" s="107">
        <f>101-ROUND(Ag!BU$7*100,0)</f>
        <v>96</v>
      </c>
      <c r="BL124" s="63">
        <v>2</v>
      </c>
      <c r="BM124" s="82">
        <f t="array" ref="BM124">MIN(BL124,INDEX([1]Basic!L$26:L$34, MATCH([1]Basic!D$5,[1]Basic!B$26:B$34,0)))</f>
        <v>2</v>
      </c>
      <c r="DT124" s="472" t="str">
        <f ca="1">IFERROR(__xludf.DUMMYFUNCTION("""COMPUTED_VALUE"""),"Technology")</f>
        <v>Technology</v>
      </c>
      <c r="DU124" s="369"/>
    </row>
    <row r="125" spans="1:125" ht="12.75">
      <c r="A125" s="39" t="str">
        <v>Dfc</v>
      </c>
      <c r="B125" s="161" t="str">
        <v>Subarctic</v>
      </c>
      <c r="C125" s="162">
        <v>0.5</v>
      </c>
      <c r="D125" s="162">
        <v>0</v>
      </c>
      <c r="E125" s="162">
        <v>0</v>
      </c>
      <c r="F125" s="162">
        <v>0</v>
      </c>
      <c r="G125" s="162">
        <v>0</v>
      </c>
      <c r="H125" s="162">
        <v>0</v>
      </c>
      <c r="I125" s="162">
        <v>0</v>
      </c>
      <c r="J125" s="162">
        <v>0</v>
      </c>
      <c r="K125" s="162">
        <v>0</v>
      </c>
      <c r="L125" s="162">
        <v>0</v>
      </c>
      <c r="M125" s="162">
        <v>0</v>
      </c>
      <c r="N125" s="162">
        <v>0.1</v>
      </c>
      <c r="O125" s="162">
        <v>0</v>
      </c>
      <c r="Z125" s="31"/>
      <c r="AA125" s="31"/>
      <c r="AB125" s="31"/>
      <c r="AC125" s="31"/>
      <c r="AD125" s="31"/>
      <c r="AE125" s="31"/>
      <c r="AF125" s="31"/>
      <c r="AG125" s="31"/>
      <c r="AH125" s="31"/>
      <c r="AI125" s="31"/>
      <c r="AK125" s="389"/>
      <c r="AL125" s="452" t="s">
        <v>382</v>
      </c>
      <c r="AM125" s="369"/>
      <c r="AN125" s="217">
        <v>15</v>
      </c>
      <c r="AO125" s="218" t="e">
        <f ca="1">ROUND(AN125*_xludf.ifs(
AND(AU125=TRUE,AW125=TRUE),1,
AU125=TRUE,AV125,
AW125=TRUE,AX125,
TRUE,1),0)</f>
        <v>#NAME?</v>
      </c>
      <c r="AP125" s="57" t="e">
        <f ca="1">ROUND(AO125/SUM(AO$32:AO$252)*AM$27,0)</f>
        <v>#NAME?</v>
      </c>
      <c r="AQ125" s="5" t="str">
        <f ca="1">IFERROR(__xludf.DUMMYFUNCTION("if(O125=0,"""",
filter(I$32:I124,row(I$32:I124)=max(filter(arrayformula(row(I$32:I124)),I$32:I124&lt;&gt;"""")))+
filter(G$32:G124,row(G$32:G124)=max(filter(arrayformula(row(G$32:G124)),G$32:G124&lt;&gt;"""")))
)"),"")</f>
        <v/>
      </c>
      <c r="AR125" s="198" t="str">
        <f ca="1">IFERROR(__xludf.DUMMYFUNCTION("if(G125="""","""",G125-(
filter(G$32:G$252,row(G$32:G$252)=max(filter(arrayformula(row(G$32:G$252)),G$32:G$252&lt;&gt;"""")))
-(10001-
filter(I$32:I$252,row(I$32:I$252)=max(filter(arrayformula(row(I$32:I$252)),I$32:I$252&lt;&gt;""""))))))"),"")</f>
        <v/>
      </c>
      <c r="AS125" s="198" t="e">
        <f ca="1">IF(AY125=0,"",ROUND(AY125/AM$3*10000,0))</f>
        <v>#NAME?</v>
      </c>
      <c r="AT125" s="237" t="b">
        <v>0</v>
      </c>
      <c r="AU125" s="57"/>
      <c r="AV125" s="220">
        <v>0</v>
      </c>
      <c r="AW125" s="82"/>
      <c r="AX125" s="220">
        <v>2</v>
      </c>
      <c r="AY125" s="56" t="e">
        <f ca="1">MAX(ROUND(AP125*(AM$1/AM$27),0),IF(AT125=TRUE,1,0))</f>
        <v>#NAME?</v>
      </c>
      <c r="AZ125" s="220">
        <v>3</v>
      </c>
      <c r="BA125" s="221">
        <v>0</v>
      </c>
      <c r="BB125" s="222" t="b">
        <v>0</v>
      </c>
      <c r="BC125" s="223" t="b">
        <v>0</v>
      </c>
      <c r="BD125" s="223" t="b">
        <v>0</v>
      </c>
      <c r="BE125" s="224" t="b">
        <v>0</v>
      </c>
      <c r="BF125" s="179">
        <v>1</v>
      </c>
      <c r="BG125" s="225" t="str">
        <f>IF(BC125=FALSE,"",MIN(BH125:$BK125)-ROUND(($BK125-1-ROUND(80/$AZ125,0))/COUNTIF($BB125:$BE125,TRUE),0))</f>
        <v/>
      </c>
      <c r="BH125" s="225" t="str">
        <f>IF(BD125=FALSE,"",MIN(BI125:$BK125)-ROUND(($BK125-1-ROUND(80/$AZ125,0))/COUNTIF($BB125:$BE125,TRUE),0))</f>
        <v/>
      </c>
      <c r="BI125" s="225" t="str">
        <f>IF(BE125=FALSE,"",MIN(BJ125:$BK125)-ROUND(($BK125-1-ROUND(80/$AZ125,0))/COUNTIF($BB125:$BE125,TRUE),0))</f>
        <v/>
      </c>
      <c r="BJ125" s="225" t="str">
        <f>IF(BB125=FALSE,"",MIN($BK125:BK125)-ROUND(($BK125-1-ROUND(80/$AZ125,0))/COUNTIF($BB125:$BE125,TRUE),0))</f>
        <v/>
      </c>
      <c r="BK125" s="107">
        <f>101-ROUND(Ag!BU$7*100,0)</f>
        <v>96</v>
      </c>
      <c r="BL125" s="63">
        <v>2</v>
      </c>
      <c r="BM125" s="82">
        <f t="array" ref="BM125">MIN(BL125,INDEX([1]Basic!L$26:L$34, MATCH([1]Basic!D$5,[1]Basic!B$26:B$34,0)))</f>
        <v>2</v>
      </c>
      <c r="DT125" s="472" t="str">
        <f ca="1">IFERROR(__xludf.DUMMYFUNCTION("""COMPUTED_VALUE"""),"Weapons")</f>
        <v>Weapons</v>
      </c>
      <c r="DU125" s="369"/>
    </row>
    <row r="126" spans="1:125" ht="13.5" thickBot="1">
      <c r="A126" s="39" t="str">
        <v>Dfd</v>
      </c>
      <c r="B126" s="161" t="str">
        <v>Extremely Cold Subarctic</v>
      </c>
      <c r="C126" s="162">
        <v>0.25</v>
      </c>
      <c r="D126" s="162">
        <v>0</v>
      </c>
      <c r="E126" s="162">
        <v>0</v>
      </c>
      <c r="F126" s="162">
        <v>0</v>
      </c>
      <c r="G126" s="162">
        <v>0</v>
      </c>
      <c r="H126" s="162">
        <v>0</v>
      </c>
      <c r="I126" s="162">
        <v>0</v>
      </c>
      <c r="J126" s="162">
        <v>0</v>
      </c>
      <c r="K126" s="162">
        <v>0</v>
      </c>
      <c r="L126" s="162">
        <v>0</v>
      </c>
      <c r="M126" s="162">
        <v>0</v>
      </c>
      <c r="N126" s="162">
        <v>0.1</v>
      </c>
      <c r="O126" s="162">
        <v>0</v>
      </c>
      <c r="Z126" s="31"/>
      <c r="AA126" s="31"/>
      <c r="AB126" s="31"/>
      <c r="AC126" s="31"/>
      <c r="AD126" s="31"/>
      <c r="AE126" s="31"/>
      <c r="AF126" s="31"/>
      <c r="AG126" s="31"/>
      <c r="AH126" s="31"/>
      <c r="AI126" s="31"/>
      <c r="AK126" s="389"/>
      <c r="AL126" s="451" t="s">
        <v>383</v>
      </c>
      <c r="AM126" s="361"/>
      <c r="AN126" s="230">
        <v>4</v>
      </c>
      <c r="AO126" s="11" t="e">
        <f ca="1">ROUND(AN126*_xludf.ifs(
AND(AU126=TRUE,AW126=TRUE),1,
AU126=TRUE,AV126,
AW126=TRUE,AX126,
TRUE,1),0)</f>
        <v>#NAME?</v>
      </c>
      <c r="AP126" s="59" t="e">
        <f ca="1">ROUND(AO126/SUM(AO$32:AO$252)*AM$27,0)</f>
        <v>#NAME?</v>
      </c>
      <c r="AQ126" s="6" t="str">
        <f ca="1">IFERROR(__xludf.DUMMYFUNCTION("if(O126=0,"""",
filter(I$32:I125,row(I$32:I125)=max(filter(arrayformula(row(I$32:I125)),I$32:I125&lt;&gt;"""")))+
filter(G$32:G125,row(G$32:G125)=max(filter(arrayformula(row(G$32:G125)),G$32:G125&lt;&gt;"""")))
)"),"")</f>
        <v/>
      </c>
      <c r="AR126" s="206" t="str">
        <f ca="1">IFERROR(__xludf.DUMMYFUNCTION("if(G126="""","""",G126-(
filter(G$32:G$252,row(G$32:G$252)=max(filter(arrayformula(row(G$32:G$252)),G$32:G$252&lt;&gt;"""")))
-(10001-
filter(I$32:I$252,row(I$32:I$252)=max(filter(arrayformula(row(I$32:I$252)),I$32:I$252&lt;&gt;""""))))))"),"")</f>
        <v/>
      </c>
      <c r="AS126" s="206" t="e">
        <f ca="1">IF(AY126=0,"",ROUND(AY126/AM$3*10000,0))</f>
        <v>#NAME?</v>
      </c>
      <c r="AT126" s="239" t="b">
        <v>0</v>
      </c>
      <c r="AU126" s="59"/>
      <c r="AV126" s="232">
        <v>0</v>
      </c>
      <c r="AW126" s="83" t="b">
        <f>OR(AQ22)</f>
        <v>0</v>
      </c>
      <c r="AX126" s="232">
        <v>2</v>
      </c>
      <c r="AY126" s="58" t="e">
        <f ca="1">MAX(ROUND(AP126*(AM$1/AM$27),0),IF(AT126=TRUE,1,0))</f>
        <v>#NAME?</v>
      </c>
      <c r="AZ126" s="232">
        <v>5</v>
      </c>
      <c r="BA126" s="233">
        <v>0</v>
      </c>
      <c r="BB126" s="247" t="b">
        <v>0</v>
      </c>
      <c r="BC126" s="244" t="b">
        <v>0</v>
      </c>
      <c r="BD126" s="245" t="b">
        <v>1</v>
      </c>
      <c r="BE126" s="246" t="b">
        <v>0</v>
      </c>
      <c r="BF126" s="78">
        <v>1</v>
      </c>
      <c r="BG126" s="240" t="str">
        <f>IF(BC126=FALSE,"",MIN(BH126:$BK126)-ROUND(($BK126-1-ROUND(80/$AZ126,0))/COUNTIF($BB126:$BE126,TRUE),0))</f>
        <v/>
      </c>
      <c r="BH126" s="240">
        <f>IF(BD126=FALSE,"",MIN(BI126:$BK126)-ROUND(($BK126-1-ROUND(80/$AZ126,0))/COUNTIF($BB126:$BE126,TRUE),0))</f>
        <v>17</v>
      </c>
      <c r="BI126" s="240" t="str">
        <f>IF(BE126=FALSE,"",MIN(BJ126:$BK126)-ROUND(($BK126-1-ROUND(80/$AZ126,0))/COUNTIF($BB126:$BE126,TRUE),0))</f>
        <v/>
      </c>
      <c r="BJ126" s="240" t="str">
        <f>IF(BB126=FALSE,"",MIN($BK126:BK126)-ROUND(($BK126-1-ROUND(80/$AZ126,0))/COUNTIF($BB126:$BE126,TRUE),0))</f>
        <v/>
      </c>
      <c r="BK126" s="192">
        <f>101-ROUND(Ag!BU$7*100,0)</f>
        <v>96</v>
      </c>
      <c r="BL126" s="66">
        <v>3</v>
      </c>
      <c r="BM126" s="82">
        <f t="array" ref="BM126">MIN(BL126,INDEX([1]Basic!L$26:L$34, MATCH([1]Basic!D$5,[1]Basic!B$26:B$34,0)))</f>
        <v>3</v>
      </c>
      <c r="DT126" s="472" t="str">
        <f ca="1">IFERROR(__xludf.DUMMYFUNCTION("""COMPUTED_VALUE"""),"Wild Animal Pelts/Trophies")</f>
        <v>Wild Animal Pelts/Trophies</v>
      </c>
      <c r="DU126" s="369"/>
    </row>
    <row r="127" spans="1:125" ht="13.5" thickTop="1">
      <c r="A127" s="39" t="str">
        <v>Dwa</v>
      </c>
      <c r="B127" s="161" t="str">
        <v>Hot Humid Continental Monsoon</v>
      </c>
      <c r="C127" s="162">
        <v>0</v>
      </c>
      <c r="D127" s="162">
        <v>0</v>
      </c>
      <c r="E127" s="162">
        <v>0.5</v>
      </c>
      <c r="F127" s="162">
        <v>0</v>
      </c>
      <c r="G127" s="162">
        <v>0.5</v>
      </c>
      <c r="H127" s="162">
        <v>0</v>
      </c>
      <c r="I127" s="162">
        <v>0</v>
      </c>
      <c r="J127" s="162">
        <v>0</v>
      </c>
      <c r="K127" s="162">
        <v>0</v>
      </c>
      <c r="L127" s="162">
        <v>1</v>
      </c>
      <c r="M127" s="162">
        <v>0.5</v>
      </c>
      <c r="N127" s="162">
        <v>0.5</v>
      </c>
      <c r="O127" s="162">
        <v>0.5</v>
      </c>
      <c r="Z127" s="31"/>
      <c r="AA127" s="31"/>
      <c r="AB127" s="31"/>
      <c r="AC127" s="31"/>
      <c r="AD127" s="31"/>
      <c r="AE127" s="31"/>
      <c r="AF127" s="31"/>
      <c r="AG127" s="31"/>
      <c r="AH127" s="31"/>
      <c r="AI127" s="31"/>
      <c r="AK127" s="389"/>
      <c r="AL127" s="452" t="s">
        <v>789</v>
      </c>
      <c r="AM127" s="369"/>
      <c r="AN127" s="217">
        <v>2</v>
      </c>
      <c r="AO127" s="218" t="e">
        <f ca="1">ROUND(AN127*_xludf.ifs(
AND(AU127=TRUE,AW127=TRUE),1,
AU127=TRUE,AV127,
AW127=TRUE,AX127,
TRUE,1),0)</f>
        <v>#NAME?</v>
      </c>
      <c r="AP127" s="57" t="e">
        <f ca="1">ROUND(AO127/SUM(AO$32:AO$252)*AM$27,0)</f>
        <v>#NAME?</v>
      </c>
      <c r="AQ127" s="5" t="str">
        <f ca="1">IFERROR(__xludf.DUMMYFUNCTION("if(O127=0,"""",
filter(I$32:I126,row(I$32:I126)=max(filter(arrayformula(row(I$32:I126)),I$32:I126&lt;&gt;"""")))+
filter(G$32:G126,row(G$32:G126)=max(filter(arrayformula(row(G$32:G126)),G$32:G126&lt;&gt;"""")))
)"),"")</f>
        <v/>
      </c>
      <c r="AR127" s="198" t="str">
        <f ca="1">IFERROR(__xludf.DUMMYFUNCTION("if(G127="""","""",G127-(
filter(G$32:G$252,row(G$32:G$252)=max(filter(arrayformula(row(G$32:G$252)),G$32:G$252&lt;&gt;"""")))
-(10001-
filter(I$32:I$252,row(I$32:I$252)=max(filter(arrayformula(row(I$32:I$252)),I$32:I$252&lt;&gt;""""))))))"),"")</f>
        <v/>
      </c>
      <c r="AS127" s="198" t="e">
        <f ca="1">IF(AY127=0,"",ROUND(AY127/AM$3*10000,0))</f>
        <v>#NAME?</v>
      </c>
      <c r="AT127" s="237" t="b">
        <v>0</v>
      </c>
      <c r="AU127" s="179" t="b">
        <f>OR(AM7,AM14)</f>
        <v>0</v>
      </c>
      <c r="AV127" s="220">
        <v>0.2</v>
      </c>
      <c r="AW127" s="82" t="b">
        <f>OR(AU10,AU24)</f>
        <v>0</v>
      </c>
      <c r="AX127" s="220">
        <v>2</v>
      </c>
      <c r="AY127" s="56" t="e">
        <f ca="1">MAX(ROUND(AP127*(AM$1/AM$27),0),IF(AT127=TRUE,1,0))</f>
        <v>#NAME?</v>
      </c>
      <c r="AZ127" s="220">
        <v>5</v>
      </c>
      <c r="BA127" s="212">
        <v>1</v>
      </c>
      <c r="BB127" s="227" t="b">
        <v>1</v>
      </c>
      <c r="BC127" s="223" t="b">
        <v>0</v>
      </c>
      <c r="BD127" s="228" t="b">
        <v>1</v>
      </c>
      <c r="BE127" s="224" t="b">
        <v>0</v>
      </c>
      <c r="BF127" s="179">
        <v>1</v>
      </c>
      <c r="BG127" s="225" t="str">
        <f>IF(BC127=FALSE,"",MIN(BH127:$BK127)-ROUND(($BK127-1-ROUND(80/$AZ127,0))/COUNTIF($BB127:$BE127,TRUE),0))</f>
        <v/>
      </c>
      <c r="BH127" s="225">
        <f>IF(BD127=FALSE,"",MIN(BI127:$BK127)-ROUND(($BK127-1-ROUND(80/$AZ127,0))/COUNTIF($BB127:$BE127,TRUE),0))</f>
        <v>16</v>
      </c>
      <c r="BI127" s="225" t="str">
        <f>IF(BE127=FALSE,"",MIN(BJ127:$BK127)-ROUND(($BK127-1-ROUND(80/$AZ127,0))/COUNTIF($BB127:$BE127,TRUE),0))</f>
        <v/>
      </c>
      <c r="BJ127" s="225">
        <f>IF(BB127=FALSE,"",MIN($BK127:BK127)-ROUND(($BK127-1-ROUND(80/$AZ127,0))/COUNTIF($BB127:$BE127,TRUE),0))</f>
        <v>56</v>
      </c>
      <c r="BK127" s="107">
        <f>101-ROUND(Ag!BU$7*100,0)</f>
        <v>96</v>
      </c>
      <c r="BL127" s="63">
        <v>3</v>
      </c>
      <c r="BM127" s="82">
        <f t="array" ref="BM127">MIN(BL127,INDEX([1]Basic!L$26:L$34, MATCH([1]Basic!D$5,[1]Basic!B$26:B$34,0)))</f>
        <v>3</v>
      </c>
      <c r="DT127" s="472" t="str">
        <f ca="1">IFERROR(__xludf.DUMMYFUNCTION("""COMPUTED_VALUE"""),"Wine/Mead")</f>
        <v>Wine/Mead</v>
      </c>
      <c r="DU127" s="369"/>
    </row>
    <row r="128" spans="1:125" ht="12.75">
      <c r="A128" s="39" t="str">
        <v>Dwb</v>
      </c>
      <c r="B128" s="161" t="str">
        <v>Warm Humid Continental Monsoon</v>
      </c>
      <c r="C128" s="162">
        <v>0</v>
      </c>
      <c r="D128" s="162">
        <v>0</v>
      </c>
      <c r="E128" s="162">
        <v>0.5</v>
      </c>
      <c r="F128" s="162">
        <v>0</v>
      </c>
      <c r="G128" s="162">
        <v>0.5</v>
      </c>
      <c r="H128" s="162">
        <v>0</v>
      </c>
      <c r="I128" s="162">
        <v>0</v>
      </c>
      <c r="J128" s="162">
        <v>0</v>
      </c>
      <c r="K128" s="162">
        <v>0</v>
      </c>
      <c r="L128" s="162">
        <v>1</v>
      </c>
      <c r="M128" s="162">
        <v>0.5</v>
      </c>
      <c r="N128" s="162">
        <v>0.5</v>
      </c>
      <c r="O128" s="162">
        <v>0</v>
      </c>
      <c r="Z128" s="31"/>
      <c r="AA128" s="31"/>
      <c r="AB128" s="31"/>
      <c r="AC128" s="31"/>
      <c r="AD128" s="31"/>
      <c r="AE128" s="31"/>
      <c r="AF128" s="31"/>
      <c r="AG128" s="31"/>
      <c r="AH128" s="31"/>
      <c r="AI128" s="31"/>
      <c r="AK128" s="389"/>
      <c r="AL128" s="452" t="s">
        <v>156</v>
      </c>
      <c r="AM128" s="369"/>
      <c r="AN128" s="217">
        <v>3</v>
      </c>
      <c r="AO128" s="218" t="e">
        <f ca="1">ROUND(AN128*_xludf.ifs(
AND(AU128=TRUE,AW128=TRUE),1,
AU128=TRUE,AV128,
AW128=TRUE,AX128,
TRUE,1),0)</f>
        <v>#NAME?</v>
      </c>
      <c r="AP128" s="57" t="e">
        <f ca="1">ROUND(AO128/SUM(AO$32:AO$252)*AM$27,0)</f>
        <v>#NAME?</v>
      </c>
      <c r="AQ128" s="5" t="str">
        <f ca="1">IFERROR(__xludf.DUMMYFUNCTION("if(O128=0,"""",
filter(I$32:I127,row(I$32:I127)=max(filter(arrayformula(row(I$32:I127)),I$32:I127&lt;&gt;"""")))+
filter(G$32:G127,row(G$32:G127)=max(filter(arrayformula(row(G$32:G127)),G$32:G127&lt;&gt;"""")))
)"),"")</f>
        <v/>
      </c>
      <c r="AR128" s="198" t="str">
        <f ca="1">IFERROR(__xludf.DUMMYFUNCTION("if(G128="""","""",G128-(
filter(G$32:G$252,row(G$32:G$252)=max(filter(arrayformula(row(G$32:G$252)),G$32:G$252&lt;&gt;"""")))
-(10001-
filter(I$32:I$252,row(I$32:I$252)=max(filter(arrayformula(row(I$32:I$252)),I$32:I$252&lt;&gt;""""))))))"),"")</f>
        <v/>
      </c>
      <c r="AS128" s="198" t="e">
        <f ca="1">IF(AY128=0,"",ROUND(AY128/AM$3*10000,0))</f>
        <v>#NAME?</v>
      </c>
      <c r="AT128" s="237" t="b">
        <v>0</v>
      </c>
      <c r="AU128" s="179" t="b">
        <f>OR(AM7)</f>
        <v>0</v>
      </c>
      <c r="AV128" s="220">
        <v>0</v>
      </c>
      <c r="AW128" s="82"/>
      <c r="AX128" s="220">
        <v>2</v>
      </c>
      <c r="AY128" s="56" t="e">
        <f ca="1">MAX(ROUND(AP128*(AM$1/AM$27),0),IF(AT128=TRUE,1,0))</f>
        <v>#NAME?</v>
      </c>
      <c r="AZ128" s="220">
        <v>1</v>
      </c>
      <c r="BA128" s="221">
        <v>0</v>
      </c>
      <c r="BB128" s="222" t="b">
        <v>0</v>
      </c>
      <c r="BC128" s="223" t="b">
        <v>0</v>
      </c>
      <c r="BD128" s="223" t="b">
        <v>0</v>
      </c>
      <c r="BE128" s="224" t="b">
        <v>0</v>
      </c>
      <c r="BF128" s="179">
        <v>1</v>
      </c>
      <c r="BG128" s="225" t="str">
        <f>IF(BC128=FALSE,"",MIN(BH128:$BK128)-ROUND(($BK128-1-ROUND(80/$AZ128,0))/COUNTIF($BB128:$BE128,TRUE),0))</f>
        <v/>
      </c>
      <c r="BH128" s="225" t="str">
        <f>IF(BD128=FALSE,"",MIN(BI128:$BK128)-ROUND(($BK128-1-ROUND(80/$AZ128,0))/COUNTIF($BB128:$BE128,TRUE),0))</f>
        <v/>
      </c>
      <c r="BI128" s="225" t="str">
        <f>IF(BE128=FALSE,"",MIN(BJ128:$BK128)-ROUND(($BK128-1-ROUND(80/$AZ128,0))/COUNTIF($BB128:$BE128,TRUE),0))</f>
        <v/>
      </c>
      <c r="BJ128" s="225" t="str">
        <f>IF(BB128=FALSE,"",MIN($BK128:BK128)-ROUND(($BK128-1-ROUND(80/$AZ128,0))/COUNTIF($BB128:$BE128,TRUE),0))</f>
        <v/>
      </c>
      <c r="BK128" s="107">
        <f>101-ROUND(Ag!BU$7*100,0)</f>
        <v>96</v>
      </c>
      <c r="BL128" s="63">
        <v>1</v>
      </c>
      <c r="BM128" s="82">
        <f t="array" ref="BM128">MIN(BL128,INDEX([1]Basic!L$26:L$34, MATCH([1]Basic!D$5,[1]Basic!B$26:B$34,0)))</f>
        <v>1</v>
      </c>
      <c r="DT128" s="472" t="str">
        <f ca="1">IFERROR(__xludf.DUMMYFUNCTION("""COMPUTED_VALUE"""),"Wool")</f>
        <v>Wool</v>
      </c>
      <c r="DU128" s="369"/>
    </row>
    <row r="129" spans="1:125" ht="12.75">
      <c r="A129" s="39" t="str">
        <v>Dwc</v>
      </c>
      <c r="B129" s="161" t="str">
        <v>Subarctic Monsoon</v>
      </c>
      <c r="C129" s="162">
        <v>0.5</v>
      </c>
      <c r="D129" s="162">
        <v>0</v>
      </c>
      <c r="E129" s="162">
        <v>0</v>
      </c>
      <c r="F129" s="162">
        <v>0</v>
      </c>
      <c r="G129" s="162">
        <v>0.25</v>
      </c>
      <c r="H129" s="162">
        <v>0</v>
      </c>
      <c r="I129" s="162">
        <v>0</v>
      </c>
      <c r="J129" s="162">
        <v>0</v>
      </c>
      <c r="K129" s="162">
        <v>0</v>
      </c>
      <c r="L129" s="162">
        <v>0.25</v>
      </c>
      <c r="M129" s="162">
        <v>0.25</v>
      </c>
      <c r="N129" s="162">
        <v>0.1</v>
      </c>
      <c r="O129" s="162">
        <v>0</v>
      </c>
      <c r="Z129" s="31"/>
      <c r="AA129" s="31"/>
      <c r="AB129" s="31"/>
      <c r="AC129" s="31"/>
      <c r="AD129" s="31"/>
      <c r="AE129" s="31"/>
      <c r="AF129" s="31"/>
      <c r="AG129" s="31"/>
      <c r="AH129" s="31"/>
      <c r="AI129" s="31"/>
      <c r="AK129" s="389"/>
      <c r="AL129" s="452" t="s">
        <v>162</v>
      </c>
      <c r="AM129" s="369"/>
      <c r="AN129" s="217">
        <v>6</v>
      </c>
      <c r="AO129" s="218" t="e">
        <f ca="1">ROUND(AN129*_xludf.ifs(
AND(AU129=TRUE,AW129=TRUE),1,
AU129=TRUE,AV129,
AW129=TRUE,AX129,
TRUE,1),0)</f>
        <v>#NAME?</v>
      </c>
      <c r="AP129" s="57" t="e">
        <f ca="1">ROUND(AO129/SUM(AO$32:AO$252)*AM$27,0)</f>
        <v>#NAME?</v>
      </c>
      <c r="AQ129" s="5" t="str">
        <f ca="1">IFERROR(__xludf.DUMMYFUNCTION("if(O129=0,"""",
filter(I$32:I128,row(I$32:I128)=max(filter(arrayformula(row(I$32:I128)),I$32:I128&lt;&gt;"""")))+
filter(G$32:G128,row(G$32:G128)=max(filter(arrayformula(row(G$32:G128)),G$32:G128&lt;&gt;"""")))
)"),"")</f>
        <v/>
      </c>
      <c r="AR129" s="198" t="str">
        <f ca="1">IFERROR(__xludf.DUMMYFUNCTION("if(G129="""","""",G129-(
filter(G$32:G$252,row(G$32:G$252)=max(filter(arrayformula(row(G$32:G$252)),G$32:G$252&lt;&gt;"""")))
-(10001-
filter(I$32:I$252,row(I$32:I$252)=max(filter(arrayformula(row(I$32:I$252)),I$32:I$252&lt;&gt;""""))))))"),"")</f>
        <v/>
      </c>
      <c r="AS129" s="198" t="e">
        <f ca="1">IF(AY129=0,"",ROUND(AY129/AM$3*10000,0))</f>
        <v>#NAME?</v>
      </c>
      <c r="AT129" s="237" t="b">
        <v>0</v>
      </c>
      <c r="AU129" s="179" t="b">
        <f>OR(AM7)</f>
        <v>0</v>
      </c>
      <c r="AV129" s="220">
        <v>0.1</v>
      </c>
      <c r="AW129" s="82" t="b">
        <f>OR(AU7,AU22)</f>
        <v>0</v>
      </c>
      <c r="AX129" s="220">
        <v>3</v>
      </c>
      <c r="AY129" s="56" t="e">
        <f ca="1">MAX(ROUND(AP129*(AM$1/AM$27),0),IF(AT129=TRUE,1,0))</f>
        <v>#NAME?</v>
      </c>
      <c r="AZ129" s="220">
        <v>5</v>
      </c>
      <c r="BA129" s="221">
        <v>0</v>
      </c>
      <c r="BB129" s="227" t="b">
        <v>1</v>
      </c>
      <c r="BC129" s="223" t="b">
        <v>0</v>
      </c>
      <c r="BD129" s="228" t="b">
        <v>1</v>
      </c>
      <c r="BE129" s="224" t="b">
        <v>0</v>
      </c>
      <c r="BF129" s="179">
        <v>1</v>
      </c>
      <c r="BG129" s="225" t="str">
        <f>IF(BC129=FALSE,"",MIN(BH129:$BK129)-ROUND(($BK129-1-ROUND(80/$AZ129,0))/COUNTIF($BB129:$BE129,TRUE),0))</f>
        <v/>
      </c>
      <c r="BH129" s="225">
        <f>IF(BD129=FALSE,"",MIN(BI129:$BK129)-ROUND(($BK129-1-ROUND(80/$AZ129,0))/COUNTIF($BB129:$BE129,TRUE),0))</f>
        <v>16</v>
      </c>
      <c r="BI129" s="225" t="str">
        <f>IF(BE129=FALSE,"",MIN(BJ129:$BK129)-ROUND(($BK129-1-ROUND(80/$AZ129,0))/COUNTIF($BB129:$BE129,TRUE),0))</f>
        <v/>
      </c>
      <c r="BJ129" s="225">
        <f>IF(BB129=FALSE,"",MIN($BK129:BK129)-ROUND(($BK129-1-ROUND(80/$AZ129,0))/COUNTIF($BB129:$BE129,TRUE),0))</f>
        <v>56</v>
      </c>
      <c r="BK129" s="107">
        <f>101-ROUND(Ag!BU$7*100,0)</f>
        <v>96</v>
      </c>
      <c r="BL129" s="63">
        <v>3</v>
      </c>
      <c r="BM129" s="82">
        <f t="array" ref="BM129">MIN(BL129,INDEX([1]Basic!L$26:L$34, MATCH([1]Basic!D$5,[1]Basic!B$26:B$34,0)))</f>
        <v>3</v>
      </c>
      <c r="DT129" s="472" t="str">
        <f ca="1">IFERROR(__xludf.DUMMYFUNCTION("""COMPUTED_VALUE"""),"Zinc/Zinc Ore")</f>
        <v>Zinc/Zinc Ore</v>
      </c>
      <c r="DU129" s="369"/>
    </row>
    <row r="130" spans="1:125" ht="12.75">
      <c r="A130" s="39" t="str">
        <v>Dwd</v>
      </c>
      <c r="B130" s="161" t="str">
        <v>Extremely Cold Subarctic Monsoon</v>
      </c>
      <c r="C130" s="162">
        <v>1</v>
      </c>
      <c r="D130" s="162">
        <v>0</v>
      </c>
      <c r="E130" s="162">
        <v>0</v>
      </c>
      <c r="F130" s="162">
        <v>0</v>
      </c>
      <c r="G130" s="162">
        <v>0</v>
      </c>
      <c r="H130" s="162">
        <v>0</v>
      </c>
      <c r="I130" s="162">
        <v>0</v>
      </c>
      <c r="J130" s="162">
        <v>0</v>
      </c>
      <c r="K130" s="162">
        <v>0</v>
      </c>
      <c r="L130" s="162">
        <v>0</v>
      </c>
      <c r="M130" s="162">
        <v>0</v>
      </c>
      <c r="N130" s="162">
        <v>0.1</v>
      </c>
      <c r="O130" s="162">
        <v>0</v>
      </c>
      <c r="Z130" s="31"/>
      <c r="AA130" s="31"/>
      <c r="AB130" s="31"/>
      <c r="AC130" s="31"/>
      <c r="AD130" s="31"/>
      <c r="AE130" s="31"/>
      <c r="AF130" s="31"/>
      <c r="AG130" s="31"/>
      <c r="AH130" s="31"/>
      <c r="AI130" s="31"/>
      <c r="AK130" s="389"/>
      <c r="AL130" s="452" t="s">
        <v>167</v>
      </c>
      <c r="AM130" s="369"/>
      <c r="AN130" s="217">
        <v>5</v>
      </c>
      <c r="AO130" s="218" t="e">
        <f ca="1">ROUND(AN130*_xludf.ifs(
AND(AU130=TRUE,AW130=TRUE),1,
AU130=TRUE,AV130,
AW130=TRUE,AX130,
TRUE,1),0)</f>
        <v>#NAME?</v>
      </c>
      <c r="AP130" s="57" t="e">
        <f ca="1">ROUND(AO130/SUM(AO$32:AO$252)*AM$27,0)</f>
        <v>#NAME?</v>
      </c>
      <c r="AQ130" s="5" t="str">
        <f ca="1">IFERROR(__xludf.DUMMYFUNCTION("if(O130=0,"""",
filter(I$32:I129,row(I$32:I129)=max(filter(arrayformula(row(I$32:I129)),I$32:I129&lt;&gt;"""")))+
filter(G$32:G129,row(G$32:G129)=max(filter(arrayformula(row(G$32:G129)),G$32:G129&lt;&gt;"""")))
)"),"")</f>
        <v/>
      </c>
      <c r="AR130" s="198" t="str">
        <f ca="1">IFERROR(__xludf.DUMMYFUNCTION("if(G130="""","""",G130-(
filter(G$32:G$252,row(G$32:G$252)=max(filter(arrayformula(row(G$32:G$252)),G$32:G$252&lt;&gt;"""")))
-(10001-
filter(I$32:I$252,row(I$32:I$252)=max(filter(arrayformula(row(I$32:I$252)),I$32:I$252&lt;&gt;""""))))))"),"")</f>
        <v/>
      </c>
      <c r="AS130" s="198" t="e">
        <f ca="1">IF(AY130=0,"",ROUND(AY130/AM$3*10000,0))</f>
        <v>#NAME?</v>
      </c>
      <c r="AT130" s="237" t="b">
        <v>0</v>
      </c>
      <c r="AU130" s="179" t="b">
        <f>OR(AM7)</f>
        <v>0</v>
      </c>
      <c r="AV130" s="220">
        <v>0.05</v>
      </c>
      <c r="AW130" s="82" t="b">
        <f>OR(AU9,AU22)</f>
        <v>0</v>
      </c>
      <c r="AX130" s="220">
        <v>3</v>
      </c>
      <c r="AY130" s="56" t="e">
        <f ca="1">MAX(ROUND(AP130*(AM$1/AM$27),0),IF(AT130=TRUE,1,0))</f>
        <v>#NAME?</v>
      </c>
      <c r="AZ130" s="220">
        <v>5</v>
      </c>
      <c r="BA130" s="221">
        <v>0</v>
      </c>
      <c r="BB130" s="227" t="b">
        <v>1</v>
      </c>
      <c r="BC130" s="223" t="b">
        <v>0</v>
      </c>
      <c r="BD130" s="228" t="b">
        <v>1</v>
      </c>
      <c r="BE130" s="224" t="b">
        <v>0</v>
      </c>
      <c r="BF130" s="179">
        <v>1</v>
      </c>
      <c r="BG130" s="225" t="str">
        <f>IF(BC130=FALSE,"",MIN(BH130:$BK130)-ROUND(($BK130-1-ROUND(80/$AZ130,0))/COUNTIF($BB130:$BE130,TRUE),0))</f>
        <v/>
      </c>
      <c r="BH130" s="225">
        <f>IF(BD130=FALSE,"",MIN(BI130:$BK130)-ROUND(($BK130-1-ROUND(80/$AZ130,0))/COUNTIF($BB130:$BE130,TRUE),0))</f>
        <v>16</v>
      </c>
      <c r="BI130" s="225" t="str">
        <f>IF(BE130=FALSE,"",MIN(BJ130:$BK130)-ROUND(($BK130-1-ROUND(80/$AZ130,0))/COUNTIF($BB130:$BE130,TRUE),0))</f>
        <v/>
      </c>
      <c r="BJ130" s="225">
        <f>IF(BB130=FALSE,"",MIN($BK130:BK130)-ROUND(($BK130-1-ROUND(80/$AZ130,0))/COUNTIF($BB130:$BE130,TRUE),0))</f>
        <v>56</v>
      </c>
      <c r="BK130" s="107">
        <f>101-ROUND(Ag!BU$7*100,0)</f>
        <v>96</v>
      </c>
      <c r="BL130" s="63">
        <v>3</v>
      </c>
      <c r="BM130" s="82">
        <f t="array" ref="BM130">MIN(BL130,INDEX([1]Basic!L$26:L$34, MATCH([1]Basic!D$5,[1]Basic!B$26:B$34,0)))</f>
        <v>3</v>
      </c>
      <c r="DT130" s="472" t="str">
        <f ca="1">IFERROR(__xludf.DUMMYFUNCTION("""COMPUTED_VALUE"""),"None")</f>
        <v>None</v>
      </c>
      <c r="DU130" s="369"/>
    </row>
    <row r="131" spans="1:125" ht="12.75">
      <c r="A131" s="39" t="str">
        <v>Dsa</v>
      </c>
      <c r="B131" s="161" t="str">
        <v>Hot Humid Continental Mediterranean</v>
      </c>
      <c r="C131" s="162">
        <v>0</v>
      </c>
      <c r="D131" s="162">
        <v>0</v>
      </c>
      <c r="E131" s="162">
        <v>0</v>
      </c>
      <c r="F131" s="162">
        <v>0</v>
      </c>
      <c r="G131" s="162">
        <v>0</v>
      </c>
      <c r="H131" s="162">
        <v>0</v>
      </c>
      <c r="I131" s="162">
        <v>0</v>
      </c>
      <c r="J131" s="162">
        <v>0</v>
      </c>
      <c r="K131" s="162">
        <v>0</v>
      </c>
      <c r="L131" s="162">
        <v>0</v>
      </c>
      <c r="M131" s="162">
        <v>0</v>
      </c>
      <c r="N131" s="162">
        <v>0.5</v>
      </c>
      <c r="O131" s="162">
        <v>0.5</v>
      </c>
      <c r="Z131" s="31"/>
      <c r="AA131" s="31"/>
      <c r="AB131" s="31"/>
      <c r="AC131" s="31"/>
      <c r="AD131" s="31"/>
      <c r="AE131" s="31"/>
      <c r="AF131" s="31"/>
      <c r="AG131" s="31"/>
      <c r="AH131" s="31"/>
      <c r="AI131" s="31"/>
      <c r="AK131" s="389"/>
      <c r="AL131" s="452" t="s">
        <v>172</v>
      </c>
      <c r="AM131" s="369"/>
      <c r="AN131" s="217">
        <v>12</v>
      </c>
      <c r="AO131" s="218" t="e">
        <f ca="1">ROUND(AN131*_xludf.ifs(
AND(AU131=TRUE,AW131=TRUE),1,
AU131=TRUE,AV131,
AW131=TRUE,AX131,
TRUE,1),0)</f>
        <v>#NAME?</v>
      </c>
      <c r="AP131" s="57" t="e">
        <f ca="1">ROUND(AO131/SUM(AO$32:AO$252)*AM$27,0)</f>
        <v>#NAME?</v>
      </c>
      <c r="AQ131" s="5" t="str">
        <f ca="1">IFERROR(__xludf.DUMMYFUNCTION("if(O131=0,"""",
filter(I$32:I130,row(I$32:I130)=max(filter(arrayformula(row(I$32:I130)),I$32:I130&lt;&gt;"""")))+
filter(G$32:G130,row(G$32:G130)=max(filter(arrayformula(row(G$32:G130)),G$32:G130&lt;&gt;"""")))
)"),"")</f>
        <v/>
      </c>
      <c r="AR131" s="198" t="str">
        <f ca="1">IFERROR(__xludf.DUMMYFUNCTION("if(G131="""","""",G131-(
filter(G$32:G$252,row(G$32:G$252)=max(filter(arrayformula(row(G$32:G$252)),G$32:G$252&lt;&gt;"""")))
-(10001-
filter(I$32:I$252,row(I$32:I$252)=max(filter(arrayformula(row(I$32:I$252)),I$32:I$252&lt;&gt;""""))))))"),"")</f>
        <v/>
      </c>
      <c r="AS131" s="198" t="e">
        <f ca="1">IF(AY131=0,"",ROUND(AY131/AM$3*10000,0))</f>
        <v>#NAME?</v>
      </c>
      <c r="AT131" s="237" t="b">
        <v>0</v>
      </c>
      <c r="AU131" s="57"/>
      <c r="AV131" s="220">
        <v>0</v>
      </c>
      <c r="AW131" s="82" t="b">
        <f>OR(AM7,AM14,AU20)</f>
        <v>0</v>
      </c>
      <c r="AX131" s="220">
        <f>IF(AU20=TRUE,5,2)</f>
        <v>2</v>
      </c>
      <c r="AY131" s="56" t="e">
        <f ca="1">MAX(ROUND(AP131*(AM$1/AM$27),0),IF(AT131=TRUE,1,0))</f>
        <v>#NAME?</v>
      </c>
      <c r="AZ131" s="220">
        <v>5</v>
      </c>
      <c r="BA131" s="221">
        <v>1</v>
      </c>
      <c r="BB131" s="227" t="b">
        <v>1</v>
      </c>
      <c r="BC131" s="223" t="b">
        <v>0</v>
      </c>
      <c r="BD131" s="228" t="b">
        <v>1</v>
      </c>
      <c r="BE131" s="224" t="b">
        <v>0</v>
      </c>
      <c r="BF131" s="179">
        <v>1</v>
      </c>
      <c r="BG131" s="225" t="str">
        <f>IF(BC131=FALSE,"",MIN(BH131:$BK131)-ROUND(($BK131-1-ROUND(80/$AZ131,0))/COUNTIF($BB131:$BE131,TRUE),0))</f>
        <v/>
      </c>
      <c r="BH131" s="225">
        <f>IF(BD131=FALSE,"",MIN(BI131:$BK131)-ROUND(($BK131-1-ROUND(80/$AZ131,0))/COUNTIF($BB131:$BE131,TRUE),0))</f>
        <v>16</v>
      </c>
      <c r="BI131" s="225" t="str">
        <f>IF(BE131=FALSE,"",MIN(BJ131:$BK131)-ROUND(($BK131-1-ROUND(80/$AZ131,0))/COUNTIF($BB131:$BE131,TRUE),0))</f>
        <v/>
      </c>
      <c r="BJ131" s="225">
        <f>IF(BB131=FALSE,"",MIN($BK131:BK131)-ROUND(($BK131-1-ROUND(80/$AZ131,0))/COUNTIF($BB131:$BE131,TRUE),0))</f>
        <v>56</v>
      </c>
      <c r="BK131" s="107">
        <f>101-ROUND(Ag!BU$7*100,0)</f>
        <v>96</v>
      </c>
      <c r="BL131" s="63">
        <v>3</v>
      </c>
      <c r="BM131" s="82">
        <f t="array" ref="BM131">MIN(BL131,INDEX([1]Basic!L$26:L$34, MATCH([1]Basic!D$5,[1]Basic!B$26:B$34,0)))</f>
        <v>3</v>
      </c>
      <c r="DT131" s="472"/>
      <c r="DU131" s="369"/>
    </row>
    <row r="132" spans="1:125" ht="12.75">
      <c r="A132" s="39" t="str">
        <v>Dsb</v>
      </c>
      <c r="B132" s="161" t="str">
        <v>Warm Humid Continental Mediterranean</v>
      </c>
      <c r="C132" s="162">
        <v>0</v>
      </c>
      <c r="D132" s="162">
        <v>0</v>
      </c>
      <c r="E132" s="162">
        <v>0</v>
      </c>
      <c r="F132" s="162">
        <v>0</v>
      </c>
      <c r="G132" s="162">
        <v>0</v>
      </c>
      <c r="H132" s="162">
        <v>0</v>
      </c>
      <c r="I132" s="162">
        <v>0</v>
      </c>
      <c r="J132" s="162">
        <v>0</v>
      </c>
      <c r="K132" s="162">
        <v>0</v>
      </c>
      <c r="L132" s="162">
        <v>0</v>
      </c>
      <c r="M132" s="162">
        <v>0</v>
      </c>
      <c r="N132" s="162">
        <v>0.5</v>
      </c>
      <c r="O132" s="162">
        <v>0</v>
      </c>
      <c r="Z132" s="31"/>
      <c r="AA132" s="31"/>
      <c r="AB132" s="31"/>
      <c r="AC132" s="31"/>
      <c r="AD132" s="31"/>
      <c r="AE132" s="31"/>
      <c r="AF132" s="31"/>
      <c r="AG132" s="31"/>
      <c r="AH132" s="31"/>
      <c r="AI132" s="31"/>
      <c r="AK132" s="389"/>
      <c r="AL132" s="452" t="s">
        <v>177</v>
      </c>
      <c r="AM132" s="369"/>
      <c r="AN132" s="217">
        <v>2</v>
      </c>
      <c r="AO132" s="218" t="e">
        <f ca="1">ROUND(AN132*_xludf.ifs(
AND(AU132=TRUE,AW132=TRUE),1,
AU132=TRUE,AV132,
AW132=TRUE,AX132,
TRUE,1),0)</f>
        <v>#NAME?</v>
      </c>
      <c r="AP132" s="57" t="e">
        <f ca="1">ROUND(AO132/SUM(AO$32:AO$252)*AM$27,0)</f>
        <v>#NAME?</v>
      </c>
      <c r="AQ132" s="5" t="str">
        <f ca="1">IFERROR(__xludf.DUMMYFUNCTION("if(O132=0,"""",
filter(I$32:I131,row(I$32:I131)=max(filter(arrayformula(row(I$32:I131)),I$32:I131&lt;&gt;"""")))+
filter(G$32:G131,row(G$32:G131)=max(filter(arrayformula(row(G$32:G131)),G$32:G131&lt;&gt;"""")))
)"),"")</f>
        <v/>
      </c>
      <c r="AR132" s="198" t="str">
        <f ca="1">IFERROR(__xludf.DUMMYFUNCTION("if(G132="""","""",G132-(
filter(G$32:G$252,row(G$32:G$252)=max(filter(arrayformula(row(G$32:G$252)),G$32:G$252&lt;&gt;"""")))
-(10001-
filter(I$32:I$252,row(I$32:I$252)=max(filter(arrayformula(row(I$32:I$252)),I$32:I$252&lt;&gt;""""))))))"),"")</f>
        <v/>
      </c>
      <c r="AS132" s="198" t="e">
        <f ca="1">IF(AY132=0,"",ROUND(AY132/AM$3*10000,0))</f>
        <v>#NAME?</v>
      </c>
      <c r="AT132" s="237" t="b">
        <v>0</v>
      </c>
      <c r="AU132" s="179" t="b">
        <f>OR(AM7)</f>
        <v>0</v>
      </c>
      <c r="AV132" s="220">
        <v>0</v>
      </c>
      <c r="AW132" s="82"/>
      <c r="AX132" s="220">
        <v>2</v>
      </c>
      <c r="AY132" s="56" t="e">
        <f ca="1">MAX(ROUND(AP132*(AM$1/AM$27),0),IF(AT132=TRUE,1,0))</f>
        <v>#NAME?</v>
      </c>
      <c r="AZ132" s="220">
        <v>2</v>
      </c>
      <c r="BA132" s="221">
        <v>0</v>
      </c>
      <c r="BB132" s="222" t="b">
        <v>0</v>
      </c>
      <c r="BC132" s="223" t="b">
        <v>0</v>
      </c>
      <c r="BD132" s="223" t="b">
        <v>0</v>
      </c>
      <c r="BE132" s="224" t="b">
        <v>0</v>
      </c>
      <c r="BF132" s="179">
        <v>1</v>
      </c>
      <c r="BG132" s="225" t="str">
        <f>IF(BC132=FALSE,"",MIN(BH132:$BK132)-ROUND(($BK132-1-ROUND(80/$AZ132,0))/COUNTIF($BB132:$BE132,TRUE),0))</f>
        <v/>
      </c>
      <c r="BH132" s="225" t="str">
        <f>IF(BD132=FALSE,"",MIN(BI132:$BK132)-ROUND(($BK132-1-ROUND(80/$AZ132,0))/COUNTIF($BB132:$BE132,TRUE),0))</f>
        <v/>
      </c>
      <c r="BI132" s="225" t="str">
        <f>IF(BE132=FALSE,"",MIN(BJ132:$BK132)-ROUND(($BK132-1-ROUND(80/$AZ132,0))/COUNTIF($BB132:$BE132,TRUE),0))</f>
        <v/>
      </c>
      <c r="BJ132" s="225" t="str">
        <f>IF(BB132=FALSE,"",MIN($BK132:BK132)-ROUND(($BK132-1-ROUND(80/$AZ132,0))/COUNTIF($BB132:$BE132,TRUE),0))</f>
        <v/>
      </c>
      <c r="BK132" s="107">
        <f>101-ROUND(Ag!BU$7*100,0)</f>
        <v>96</v>
      </c>
      <c r="BL132" s="63">
        <v>1</v>
      </c>
      <c r="BM132" s="82">
        <f t="array" ref="BM132">MIN(BL132,INDEX([1]Basic!L$26:L$34, MATCH([1]Basic!D$5,[1]Basic!B$26:B$34,0)))</f>
        <v>1</v>
      </c>
      <c r="DT132" s="472"/>
      <c r="DU132" s="369"/>
    </row>
    <row r="133" spans="1:125" ht="12.75">
      <c r="A133" s="39" t="str">
        <v>Dsc</v>
      </c>
      <c r="B133" s="161" t="str">
        <v>Subarctic Continental Mediterranean</v>
      </c>
      <c r="C133" s="162">
        <v>0.5</v>
      </c>
      <c r="D133" s="162">
        <v>0</v>
      </c>
      <c r="E133" s="162">
        <v>0</v>
      </c>
      <c r="F133" s="162">
        <v>0</v>
      </c>
      <c r="G133" s="162">
        <v>0</v>
      </c>
      <c r="H133" s="162">
        <v>0</v>
      </c>
      <c r="I133" s="162">
        <v>0</v>
      </c>
      <c r="J133" s="162">
        <v>0</v>
      </c>
      <c r="K133" s="162">
        <v>0</v>
      </c>
      <c r="L133" s="162">
        <v>0</v>
      </c>
      <c r="M133" s="162">
        <v>0</v>
      </c>
      <c r="N133" s="162">
        <v>0.1</v>
      </c>
      <c r="O133" s="162">
        <v>0</v>
      </c>
      <c r="Z133" s="31"/>
      <c r="AA133" s="31"/>
      <c r="AB133" s="31"/>
      <c r="AC133" s="31"/>
      <c r="AD133" s="31"/>
      <c r="AE133" s="31"/>
      <c r="AF133" s="31"/>
      <c r="AG133" s="31"/>
      <c r="AH133" s="31"/>
      <c r="AI133" s="31"/>
      <c r="AK133" s="389"/>
      <c r="AL133" s="452" t="s">
        <v>182</v>
      </c>
      <c r="AM133" s="369"/>
      <c r="AN133" s="217">
        <v>5</v>
      </c>
      <c r="AO133" s="218" t="e">
        <f ca="1">ROUND(AN133*_xludf.ifs(
AND(AU133=TRUE,AW133=TRUE),1,
AU133=TRUE,AV133,
AW133=TRUE,AX133,
TRUE,1),0)</f>
        <v>#NAME?</v>
      </c>
      <c r="AP133" s="57" t="e">
        <f ca="1">ROUND(AO133/SUM(AO$32:AO$252)*AM$27,0)</f>
        <v>#NAME?</v>
      </c>
      <c r="AQ133" s="5" t="str">
        <f ca="1">IFERROR(__xludf.DUMMYFUNCTION("if(O133=0,"""",
filter(I$32:I132,row(I$32:I132)=max(filter(arrayformula(row(I$32:I132)),I$32:I132&lt;&gt;"""")))+
filter(G$32:G132,row(G$32:G132)=max(filter(arrayformula(row(G$32:G132)),G$32:G132&lt;&gt;"""")))
)"),"")</f>
        <v/>
      </c>
      <c r="AR133" s="198" t="str">
        <f ca="1">IFERROR(__xludf.DUMMYFUNCTION("if(G133="""","""",G133-(
filter(G$32:G$252,row(G$32:G$252)=max(filter(arrayformula(row(G$32:G$252)),G$32:G$252&lt;&gt;"""")))
-(10001-
filter(I$32:I$252,row(I$32:I$252)=max(filter(arrayformula(row(I$32:I$252)),I$32:I$252&lt;&gt;""""))))))"),"")</f>
        <v/>
      </c>
      <c r="AS133" s="198" t="e">
        <f ca="1">IF(AY133=0,"",ROUND(AY133/AM$3*10000,0))</f>
        <v>#NAME?</v>
      </c>
      <c r="AT133" s="237" t="b">
        <v>0</v>
      </c>
      <c r="AU133" s="57"/>
      <c r="AV133" s="220">
        <v>0</v>
      </c>
      <c r="AW133" s="82" t="b">
        <f>OR(AQ22,AM7)</f>
        <v>0</v>
      </c>
      <c r="AX133" s="220">
        <v>2</v>
      </c>
      <c r="AY133" s="56" t="e">
        <f ca="1">MAX(ROUND(AP133*(AM$1/AM$27),0),IF(AT133=TRUE,1,0))</f>
        <v>#NAME?</v>
      </c>
      <c r="AZ133" s="220">
        <v>5</v>
      </c>
      <c r="BA133" s="221">
        <v>0</v>
      </c>
      <c r="BB133" s="227" t="b">
        <v>1</v>
      </c>
      <c r="BC133" s="223" t="b">
        <v>0</v>
      </c>
      <c r="BD133" s="228" t="b">
        <v>1</v>
      </c>
      <c r="BE133" s="224" t="b">
        <v>0</v>
      </c>
      <c r="BF133" s="179">
        <v>1</v>
      </c>
      <c r="BG133" s="225" t="str">
        <f>IF(BC133=FALSE,"",MIN(BH133:$BK133)-ROUND(($BK133-1-ROUND(80/$AZ133,0))/COUNTIF($BB133:$BE133,TRUE),0))</f>
        <v/>
      </c>
      <c r="BH133" s="225">
        <f>IF(BD133=FALSE,"",MIN(BI133:$BK133)-ROUND(($BK133-1-ROUND(80/$AZ133,0))/COUNTIF($BB133:$BE133,TRUE),0))</f>
        <v>16</v>
      </c>
      <c r="BI133" s="225" t="str">
        <f>IF(BE133=FALSE,"",MIN(BJ133:$BK133)-ROUND(($BK133-1-ROUND(80/$AZ133,0))/COUNTIF($BB133:$BE133,TRUE),0))</f>
        <v/>
      </c>
      <c r="BJ133" s="225">
        <f>IF(BB133=FALSE,"",MIN($BK133:BK133)-ROUND(($BK133-1-ROUND(80/$AZ133,0))/COUNTIF($BB133:$BE133,TRUE),0))</f>
        <v>56</v>
      </c>
      <c r="BK133" s="107">
        <f>101-ROUND(Ag!BU$7*100,0)</f>
        <v>96</v>
      </c>
      <c r="BL133" s="63">
        <v>3</v>
      </c>
      <c r="BM133" s="82">
        <f t="array" ref="BM133">MIN(BL133,INDEX([1]Basic!L$26:L$34, MATCH([1]Basic!D$5,[1]Basic!B$26:B$34,0)))</f>
        <v>3</v>
      </c>
      <c r="DT133" s="472"/>
      <c r="DU133" s="369"/>
    </row>
    <row r="134" spans="1:125" ht="13.5" thickBot="1">
      <c r="A134" s="39" t="str">
        <v>ET</v>
      </c>
      <c r="B134" s="161" t="str">
        <v>Tundra</v>
      </c>
      <c r="C134" s="162">
        <v>0.25</v>
      </c>
      <c r="D134" s="162">
        <v>0</v>
      </c>
      <c r="E134" s="162">
        <v>0</v>
      </c>
      <c r="F134" s="162">
        <v>0</v>
      </c>
      <c r="G134" s="162">
        <v>0</v>
      </c>
      <c r="H134" s="162">
        <v>0</v>
      </c>
      <c r="I134" s="162">
        <v>0</v>
      </c>
      <c r="J134" s="162">
        <v>0</v>
      </c>
      <c r="K134" s="162">
        <v>0</v>
      </c>
      <c r="L134" s="162">
        <v>0</v>
      </c>
      <c r="M134" s="162">
        <v>0</v>
      </c>
      <c r="N134" s="162">
        <v>0.1</v>
      </c>
      <c r="O134" s="162">
        <v>0</v>
      </c>
      <c r="Z134" s="31"/>
      <c r="AA134" s="31"/>
      <c r="AB134" s="31"/>
      <c r="AC134" s="31"/>
      <c r="AD134" s="31"/>
      <c r="AE134" s="31"/>
      <c r="AF134" s="31"/>
      <c r="AG134" s="31"/>
      <c r="AH134" s="31"/>
      <c r="AI134" s="31"/>
      <c r="AK134" s="389"/>
      <c r="AL134" s="451" t="s">
        <v>187</v>
      </c>
      <c r="AM134" s="361"/>
      <c r="AN134" s="230">
        <v>6</v>
      </c>
      <c r="AO134" s="11" t="e">
        <f ca="1">ROUND(AN134*_xludf.ifs(
AND(AU134=TRUE,AW134=TRUE),1,
AU134=TRUE,AV134,
AW134=TRUE,AX134,
TRUE,1),0)</f>
        <v>#NAME?</v>
      </c>
      <c r="AP134" s="59" t="e">
        <f ca="1">ROUND(AO134/SUM(AO$32:AO$252)*AM$27,0)</f>
        <v>#NAME?</v>
      </c>
      <c r="AQ134" s="6" t="str">
        <f ca="1">IFERROR(__xludf.DUMMYFUNCTION("if(O134=0,"""",
filter(I$32:I133,row(I$32:I133)=max(filter(arrayformula(row(I$32:I133)),I$32:I133&lt;&gt;"""")))+
filter(G$32:G133,row(G$32:G133)=max(filter(arrayformula(row(G$32:G133)),G$32:G133&lt;&gt;"""")))
)"),"")</f>
        <v/>
      </c>
      <c r="AR134" s="206" t="str">
        <f ca="1">IFERROR(__xludf.DUMMYFUNCTION("if(G134="""","""",G134-(
filter(G$32:G$252,row(G$32:G$252)=max(filter(arrayformula(row(G$32:G$252)),G$32:G$252&lt;&gt;"""")))
-(10001-
filter(I$32:I$252,row(I$32:I$252)=max(filter(arrayformula(row(I$32:I$252)),I$32:I$252&lt;&gt;""""))))))"),"")</f>
        <v/>
      </c>
      <c r="AS134" s="206" t="e">
        <f ca="1">IF(AY134=0,"",ROUND(AY134/AM$3*10000,0))</f>
        <v>#NAME?</v>
      </c>
      <c r="AT134" s="239" t="b">
        <v>0</v>
      </c>
      <c r="AU134" s="78" t="b">
        <f>OR(AM7)</f>
        <v>0</v>
      </c>
      <c r="AV134" s="232">
        <v>0.1</v>
      </c>
      <c r="AW134" s="83" t="b">
        <f>OR(AU8,AU22)</f>
        <v>0</v>
      </c>
      <c r="AX134" s="232">
        <v>3</v>
      </c>
      <c r="AY134" s="58" t="e">
        <f ca="1">MAX(ROUND(AP134*(AM$1/AM$27),0),IF(AT134=TRUE,1,0))</f>
        <v>#NAME?</v>
      </c>
      <c r="AZ134" s="232">
        <v>5</v>
      </c>
      <c r="BA134" s="233">
        <v>0</v>
      </c>
      <c r="BB134" s="243" t="b">
        <v>1</v>
      </c>
      <c r="BC134" s="244" t="b">
        <v>0</v>
      </c>
      <c r="BD134" s="245" t="b">
        <v>1</v>
      </c>
      <c r="BE134" s="246" t="b">
        <v>0</v>
      </c>
      <c r="BF134" s="179">
        <v>1</v>
      </c>
      <c r="BG134" s="225" t="str">
        <f>IF(BC134=FALSE,"",MIN(BH134:$BK134)-ROUND(($BK134-1-ROUND(80/$AZ134,0))/COUNTIF($BB134:$BE134,TRUE),0))</f>
        <v/>
      </c>
      <c r="BH134" s="225">
        <f>IF(BD134=FALSE,"",MIN(BI134:$BK134)-ROUND(($BK134-1-ROUND(80/$AZ134,0))/COUNTIF($BB134:$BE134,TRUE),0))</f>
        <v>16</v>
      </c>
      <c r="BI134" s="225" t="str">
        <f>IF(BE134=FALSE,"",MIN(BJ134:$BK134)-ROUND(($BK134-1-ROUND(80/$AZ134,0))/COUNTIF($BB134:$BE134,TRUE),0))</f>
        <v/>
      </c>
      <c r="BJ134" s="225">
        <f>IF(BB134=FALSE,"",MIN($BK134:BK134)-ROUND(($BK134-1-ROUND(80/$AZ134,0))/COUNTIF($BB134:$BE134,TRUE),0))</f>
        <v>56</v>
      </c>
      <c r="BK134" s="107">
        <f>101-ROUND(Ag!BU$7*100,0)</f>
        <v>96</v>
      </c>
      <c r="BL134" s="63">
        <v>3</v>
      </c>
      <c r="BM134" s="82">
        <f t="array" ref="BM134">MIN(BL134,INDEX([1]Basic!L$26:L$34, MATCH([1]Basic!D$5,[1]Basic!B$26:B$34,0)))</f>
        <v>3</v>
      </c>
      <c r="DT134" s="472"/>
      <c r="DU134" s="369"/>
    </row>
    <row r="135" spans="1:125" ht="14.25" thickTop="1" thickBot="1">
      <c r="A135" s="44" t="str">
        <v>EF</v>
      </c>
      <c r="B135" s="164" t="str">
        <v>Ice Cap</v>
      </c>
      <c r="C135" s="165">
        <v>0.1</v>
      </c>
      <c r="D135" s="165">
        <v>0</v>
      </c>
      <c r="E135" s="165">
        <v>0</v>
      </c>
      <c r="F135" s="165">
        <v>0</v>
      </c>
      <c r="G135" s="165">
        <v>0</v>
      </c>
      <c r="H135" s="165">
        <v>0</v>
      </c>
      <c r="I135" s="165">
        <v>0</v>
      </c>
      <c r="J135" s="165">
        <v>0</v>
      </c>
      <c r="K135" s="165">
        <v>0</v>
      </c>
      <c r="L135" s="165">
        <v>0</v>
      </c>
      <c r="M135" s="165">
        <v>0</v>
      </c>
      <c r="N135" s="165">
        <v>0.1</v>
      </c>
      <c r="O135" s="165">
        <v>0</v>
      </c>
      <c r="Z135" s="31"/>
      <c r="AA135" s="31"/>
      <c r="AB135" s="31"/>
      <c r="AC135" s="31"/>
      <c r="AD135" s="31"/>
      <c r="AE135" s="31"/>
      <c r="AF135" s="31"/>
      <c r="AG135" s="31"/>
      <c r="AH135" s="31"/>
      <c r="AI135" s="31"/>
      <c r="AK135" s="389"/>
      <c r="AL135" s="452" t="s">
        <v>193</v>
      </c>
      <c r="AM135" s="369"/>
      <c r="AN135" s="217">
        <v>2</v>
      </c>
      <c r="AO135" s="218" t="e">
        <f ca="1">ROUND(AN135*_xludf.ifs(
AND(AU135=TRUE,AW135=TRUE),1,
AU135=TRUE,AV135,
AW135=TRUE,AX135,
TRUE,1),0)</f>
        <v>#NAME?</v>
      </c>
      <c r="AP135" s="57" t="e">
        <f ca="1">ROUND(AO135/SUM(AO$32:AO$252)*AM$27,0)</f>
        <v>#NAME?</v>
      </c>
      <c r="AQ135" s="5" t="str">
        <f ca="1">IFERROR(__xludf.DUMMYFUNCTION("if(O135=0,"""",
filter(I$32:I134,row(I$32:I134)=max(filter(arrayformula(row(I$32:I134)),I$32:I134&lt;&gt;"""")))+
filter(G$32:G134,row(G$32:G134)=max(filter(arrayformula(row(G$32:G134)),G$32:G134&lt;&gt;"""")))
)"),"")</f>
        <v/>
      </c>
      <c r="AR135" s="198" t="str">
        <f ca="1">IFERROR(__xludf.DUMMYFUNCTION("if(G135="""","""",G135-(
filter(G$32:G$252,row(G$32:G$252)=max(filter(arrayformula(row(G$32:G$252)),G$32:G$252&lt;&gt;"""")))
-(10001-
filter(I$32:I$252,row(I$32:I$252)=max(filter(arrayformula(row(I$32:I$252)),I$32:I$252&lt;&gt;""""))))))"),"")</f>
        <v/>
      </c>
      <c r="AS135" s="198" t="e">
        <f ca="1">IF(AY135=0,"",ROUND(AY135/AM$3*10000,0))</f>
        <v>#NAME?</v>
      </c>
      <c r="AT135" s="237" t="b">
        <v>0</v>
      </c>
      <c r="AU135" s="57"/>
      <c r="AV135" s="220">
        <v>0</v>
      </c>
      <c r="AW135" s="82" t="b">
        <f>OR(AU17)</f>
        <v>0</v>
      </c>
      <c r="AX135" s="220">
        <v>2</v>
      </c>
      <c r="AY135" s="56" t="e">
        <f ca="1">MAX(ROUND(AP135*(AM$1/AM$27),0),IF(AT135=TRUE,1,0))</f>
        <v>#NAME?</v>
      </c>
      <c r="AZ135" s="220">
        <v>1</v>
      </c>
      <c r="BA135" s="212">
        <v>0</v>
      </c>
      <c r="BB135" s="222" t="b">
        <v>0</v>
      </c>
      <c r="BC135" s="223" t="b">
        <v>0</v>
      </c>
      <c r="BD135" s="223" t="b">
        <v>0</v>
      </c>
      <c r="BE135" s="224" t="b">
        <v>0</v>
      </c>
      <c r="BF135" s="180">
        <v>1</v>
      </c>
      <c r="BG135" s="216" t="str">
        <f>IF(BC135=FALSE,"",MIN(BH135:$BK135)-ROUND(($BK135-1-ROUND(80/$AZ135,0))/COUNTIF($BB135:$BE135,TRUE),0))</f>
        <v/>
      </c>
      <c r="BH135" s="216" t="str">
        <f>IF(BD135=FALSE,"",MIN(BI135:$BK135)-ROUND(($BK135-1-ROUND(80/$AZ135,0))/COUNTIF($BB135:$BE135,TRUE),0))</f>
        <v/>
      </c>
      <c r="BI135" s="216" t="str">
        <f>IF(BE135=FALSE,"",MIN(BJ135:$BK135)-ROUND(($BK135-1-ROUND(80/$AZ135,0))/COUNTIF($BB135:$BE135,TRUE),0))</f>
        <v/>
      </c>
      <c r="BJ135" s="216" t="str">
        <f>IF(BB135=FALSE,"",MIN($BK135:BK135)-ROUND(($BK135-1-ROUND(80/$AZ135,0))/COUNTIF($BB135:$BE135,TRUE),0))</f>
        <v/>
      </c>
      <c r="BK135" s="177">
        <f>101-ROUND(Ag!BU$7*100,0)</f>
        <v>96</v>
      </c>
      <c r="BL135" s="61">
        <v>1</v>
      </c>
      <c r="BM135" s="82">
        <f t="array" ref="BM135">MIN(BL135,INDEX([1]Basic!L$26:L$34, MATCH([1]Basic!D$5,[1]Basic!B$26:B$34,0)))</f>
        <v>1</v>
      </c>
      <c r="DT135" s="472"/>
      <c r="DU135" s="369"/>
    </row>
    <row r="136" spans="1:125" ht="15.75" customHeight="1" thickTop="1" thickBot="1">
      <c r="Z136" s="31"/>
      <c r="AA136" s="31"/>
      <c r="AB136" s="31"/>
      <c r="AC136" s="31"/>
      <c r="AD136" s="31"/>
      <c r="AE136" s="31"/>
      <c r="AF136" s="31"/>
      <c r="AG136" s="31"/>
      <c r="AH136" s="31"/>
      <c r="AI136" s="31"/>
      <c r="AK136" s="389"/>
      <c r="AL136" s="452" t="s">
        <v>199</v>
      </c>
      <c r="AM136" s="369"/>
      <c r="AN136" s="217">
        <v>2</v>
      </c>
      <c r="AO136" s="218" t="e">
        <f ca="1">ROUND(AN136*_xludf.ifs(
AND(AU136=TRUE,AW136=TRUE),1,
AU136=TRUE,AV136,
AW136=TRUE,AX136,
TRUE,1),0)</f>
        <v>#NAME?</v>
      </c>
      <c r="AP136" s="57" t="e">
        <f ca="1">ROUND(AO136/SUM(AO$32:AO$252)*AM$27,0)</f>
        <v>#NAME?</v>
      </c>
      <c r="AQ136" s="5" t="str">
        <f ca="1">IFERROR(__xludf.DUMMYFUNCTION("if(O136=0,"""",
filter(I$32:I135,row(I$32:I135)=max(filter(arrayformula(row(I$32:I135)),I$32:I135&lt;&gt;"""")))+
filter(G$32:G135,row(G$32:G135)=max(filter(arrayformula(row(G$32:G135)),G$32:G135&lt;&gt;"""")))
)"),"")</f>
        <v/>
      </c>
      <c r="AR136" s="198" t="str">
        <f ca="1">IFERROR(__xludf.DUMMYFUNCTION("if(G136="""","""",G136-(
filter(G$32:G$252,row(G$32:G$252)=max(filter(arrayformula(row(G$32:G$252)),G$32:G$252&lt;&gt;"""")))
-(10001-
filter(I$32:I$252,row(I$32:I$252)=max(filter(arrayformula(row(I$32:I$252)),I$32:I$252&lt;&gt;""""))))))"),"")</f>
        <v/>
      </c>
      <c r="AS136" s="198" t="e">
        <f ca="1">IF(AY136=0,"",ROUND(AY136/AM$3*10000,0))</f>
        <v>#NAME?</v>
      </c>
      <c r="AT136" s="237" t="b">
        <v>0</v>
      </c>
      <c r="AU136" s="57"/>
      <c r="AV136" s="220">
        <v>0</v>
      </c>
      <c r="AW136" s="82" t="b">
        <f>OR(AQ22,AU17)</f>
        <v>0</v>
      </c>
      <c r="AX136" s="220">
        <v>2</v>
      </c>
      <c r="AY136" s="56" t="e">
        <f ca="1">MAX(ROUND(AP136*(AM$1/AM$27),0),IF(AT136=TRUE,1,0))</f>
        <v>#NAME?</v>
      </c>
      <c r="AZ136" s="220">
        <v>2</v>
      </c>
      <c r="BA136" s="221">
        <v>0</v>
      </c>
      <c r="BB136" s="222" t="b">
        <v>0</v>
      </c>
      <c r="BC136" s="223" t="b">
        <v>0</v>
      </c>
      <c r="BD136" s="223" t="b">
        <v>0</v>
      </c>
      <c r="BE136" s="224" t="b">
        <v>0</v>
      </c>
      <c r="BF136" s="179">
        <v>1</v>
      </c>
      <c r="BG136" s="225" t="str">
        <f>IF(BC136=FALSE,"",MIN(BH136:$BK136)-ROUND(($BK136-1-ROUND(80/$AZ136,0))/COUNTIF($BB136:$BE136,TRUE),0))</f>
        <v/>
      </c>
      <c r="BH136" s="225" t="str">
        <f>IF(BD136=FALSE,"",MIN(BI136:$BK136)-ROUND(($BK136-1-ROUND(80/$AZ136,0))/COUNTIF($BB136:$BE136,TRUE),0))</f>
        <v/>
      </c>
      <c r="BI136" s="225" t="str">
        <f>IF(BE136=FALSE,"",MIN(BJ136:$BK136)-ROUND(($BK136-1-ROUND(80/$AZ136,0))/COUNTIF($BB136:$BE136,TRUE),0))</f>
        <v/>
      </c>
      <c r="BJ136" s="225" t="str">
        <f>IF(BB136=FALSE,"",MIN($BK136:BK136)-ROUND(($BK136-1-ROUND(80/$AZ136,0))/COUNTIF($BB136:$BE136,TRUE),0))</f>
        <v/>
      </c>
      <c r="BK136" s="107">
        <f>101-ROUND(Ag!BU$7*100,0)</f>
        <v>96</v>
      </c>
      <c r="BL136" s="63">
        <v>1</v>
      </c>
      <c r="BM136" s="82">
        <f t="array" ref="BM136">MIN(BL136,INDEX([1]Basic!L$26:L$34, MATCH([1]Basic!D$5,[1]Basic!B$26:B$34,0)))</f>
        <v>1</v>
      </c>
      <c r="DT136" s="472"/>
      <c r="DU136" s="369"/>
    </row>
    <row r="137" spans="1:125" ht="14.25" thickTop="1" thickBot="1">
      <c r="A137" s="400" t="s">
        <v>720</v>
      </c>
      <c r="B137" s="354"/>
      <c r="C137" s="354"/>
      <c r="D137" s="354"/>
      <c r="E137" s="354"/>
      <c r="F137" s="354"/>
      <c r="G137" s="354"/>
      <c r="H137" s="355"/>
      <c r="Z137" s="31"/>
      <c r="AA137" s="31"/>
      <c r="AB137" s="31"/>
      <c r="AC137" s="31"/>
      <c r="AD137" s="31"/>
      <c r="AE137" s="31"/>
      <c r="AF137" s="31"/>
      <c r="AG137" s="31"/>
      <c r="AH137" s="31"/>
      <c r="AI137" s="31"/>
      <c r="AK137" s="389"/>
      <c r="AL137" s="452" t="s">
        <v>204</v>
      </c>
      <c r="AM137" s="369"/>
      <c r="AN137" s="217">
        <v>2</v>
      </c>
      <c r="AO137" s="218" t="e">
        <f ca="1">ROUND(AN137*_xludf.ifs(
AND(AU137=TRUE,AW137=TRUE),1,
AU137=TRUE,AV137,
AW137=TRUE,AX137,
TRUE,1),0)</f>
        <v>#NAME?</v>
      </c>
      <c r="AP137" s="57" t="e">
        <f ca="1">ROUND(AO137/SUM(AO$32:AO$252)*AM$27,0)</f>
        <v>#NAME?</v>
      </c>
      <c r="AQ137" s="5" t="str">
        <f ca="1">IFERROR(__xludf.DUMMYFUNCTION("if(O137=0,"""",
filter(I$32:I136,row(I$32:I136)=max(filter(arrayformula(row(I$32:I136)),I$32:I136&lt;&gt;"""")))+
filter(G$32:G136,row(G$32:G136)=max(filter(arrayformula(row(G$32:G136)),G$32:G136&lt;&gt;"""")))
)"),"")</f>
        <v/>
      </c>
      <c r="AR137" s="198" t="str">
        <f ca="1">IFERROR(__xludf.DUMMYFUNCTION("if(G137="""","""",G137-(
filter(G$32:G$252,row(G$32:G$252)=max(filter(arrayformula(row(G$32:G$252)),G$32:G$252&lt;&gt;"""")))
-(10001-
filter(I$32:I$252,row(I$32:I$252)=max(filter(arrayformula(row(I$32:I$252)),I$32:I$252&lt;&gt;""""))))))"),"")</f>
        <v/>
      </c>
      <c r="AS137" s="198" t="e">
        <f ca="1">IF(AY137=0,"",ROUND(AY137/AM$3*10000,0))</f>
        <v>#NAME?</v>
      </c>
      <c r="AT137" s="237" t="b">
        <v>0</v>
      </c>
      <c r="AU137" s="57" t="b">
        <f>OR(AM7)</f>
        <v>0</v>
      </c>
      <c r="AV137" s="220">
        <v>0.5</v>
      </c>
      <c r="AW137" s="82" t="b">
        <f>OR(AU17,AU7,AU8,AU9)</f>
        <v>0</v>
      </c>
      <c r="AX137" s="220">
        <v>3</v>
      </c>
      <c r="AY137" s="56" t="e">
        <f ca="1">MAX(ROUND(AP137*(AM$1/AM$27),0),IF(AT137=TRUE,1,0))</f>
        <v>#NAME?</v>
      </c>
      <c r="AZ137" s="220">
        <v>3</v>
      </c>
      <c r="BA137" s="221">
        <v>0</v>
      </c>
      <c r="BB137" s="222" t="b">
        <v>0</v>
      </c>
      <c r="BC137" s="223" t="b">
        <v>0</v>
      </c>
      <c r="BD137" s="228" t="b">
        <v>1</v>
      </c>
      <c r="BE137" s="224" t="b">
        <v>0</v>
      </c>
      <c r="BF137" s="179">
        <v>1</v>
      </c>
      <c r="BG137" s="225" t="str">
        <f>IF(BC137=FALSE,"",MIN(BH137:$BK137)-ROUND(($BK137-1-ROUND(80/$AZ137,0))/COUNTIF($BB137:$BE137,TRUE),0))</f>
        <v/>
      </c>
      <c r="BH137" s="225">
        <f>IF(BD137=FALSE,"",MIN(BI137:$BK137)-ROUND(($BK137-1-ROUND(80/$AZ137,0))/COUNTIF($BB137:$BE137,TRUE),0))</f>
        <v>28</v>
      </c>
      <c r="BI137" s="225" t="str">
        <f>IF(BE137=FALSE,"",MIN(BJ137:$BK137)-ROUND(($BK137-1-ROUND(80/$AZ137,0))/COUNTIF($BB137:$BE137,TRUE),0))</f>
        <v/>
      </c>
      <c r="BJ137" s="225" t="str">
        <f>IF(BB137=FALSE,"",MIN($BK137:BK137)-ROUND(($BK137-1-ROUND(80/$AZ137,0))/COUNTIF($BB137:$BE137,TRUE),0))</f>
        <v/>
      </c>
      <c r="BK137" s="107">
        <f>101-ROUND(Ag!BU$7*100,0)</f>
        <v>96</v>
      </c>
      <c r="BL137" s="63">
        <v>3</v>
      </c>
      <c r="BM137" s="82">
        <f t="array" ref="BM137">MIN(BL137,INDEX([1]Basic!L$26:L$34, MATCH([1]Basic!D$5,[1]Basic!B$26:B$34,0)))</f>
        <v>3</v>
      </c>
      <c r="DT137" s="472"/>
      <c r="DU137" s="369"/>
    </row>
    <row r="138" spans="1:125" ht="14.25" thickTop="1" thickBot="1">
      <c r="A138" s="68" t="s">
        <v>635</v>
      </c>
      <c r="B138" s="68" t="s">
        <v>636</v>
      </c>
      <c r="C138" s="68" t="s">
        <v>721</v>
      </c>
      <c r="D138" s="68" t="s">
        <v>635</v>
      </c>
      <c r="E138" s="68" t="s">
        <v>636</v>
      </c>
      <c r="F138" s="68" t="s">
        <v>722</v>
      </c>
      <c r="G138" s="68" t="s">
        <v>723</v>
      </c>
      <c r="H138" s="68" t="s">
        <v>724</v>
      </c>
      <c r="Z138" s="31"/>
      <c r="AA138" s="31"/>
      <c r="AB138" s="31"/>
      <c r="AC138" s="31"/>
      <c r="AD138" s="31"/>
      <c r="AE138" s="31"/>
      <c r="AF138" s="31"/>
      <c r="AG138" s="31"/>
      <c r="AH138" s="31"/>
      <c r="AI138" s="31"/>
      <c r="AK138" s="389"/>
      <c r="AL138" s="452" t="s">
        <v>209</v>
      </c>
      <c r="AM138" s="369"/>
      <c r="AN138" s="217">
        <v>6</v>
      </c>
      <c r="AO138" s="218" t="e">
        <f ca="1">ROUND(AN138*_xludf.ifs(
AND(AU138=TRUE,AW138=TRUE),1,
AU138=TRUE,AV138,
AW138=TRUE,AX138,
TRUE,1),0)</f>
        <v>#NAME?</v>
      </c>
      <c r="AP138" s="57" t="e">
        <f ca="1">ROUND(AO138/SUM(AO$32:AO$252)*AM$27,0)</f>
        <v>#NAME?</v>
      </c>
      <c r="AQ138" s="5" t="str">
        <f ca="1">IFERROR(__xludf.DUMMYFUNCTION("if(O138=0,"""",
filter(I$32:I137,row(I$32:I137)=max(filter(arrayformula(row(I$32:I137)),I$32:I137&lt;&gt;"""")))+
filter(G$32:G137,row(G$32:G137)=max(filter(arrayformula(row(G$32:G137)),G$32:G137&lt;&gt;"""")))
)"),"")</f>
        <v/>
      </c>
      <c r="AR138" s="198" t="str">
        <f ca="1">IFERROR(__xludf.DUMMYFUNCTION("if(G138="""","""",G138-(
filter(G$32:G$252,row(G$32:G$252)=max(filter(arrayformula(row(G$32:G$252)),G$32:G$252&lt;&gt;"""")))
-(10001-
filter(I$32:I$252,row(I$32:I$252)=max(filter(arrayformula(row(I$32:I$252)),I$32:I$252&lt;&gt;""""))))))"),"")</f>
        <v/>
      </c>
      <c r="AS138" s="198" t="e">
        <f ca="1">IF(AY138=0,"",ROUND(AY138/AM$3*10000,0))</f>
        <v>#NAME?</v>
      </c>
      <c r="AT138" s="237" t="b">
        <v>0</v>
      </c>
      <c r="AU138" s="57"/>
      <c r="AV138" s="220">
        <v>0</v>
      </c>
      <c r="AW138" s="82" t="b">
        <f>OR(AU17,AU24)</f>
        <v>0</v>
      </c>
      <c r="AX138" s="220">
        <v>2</v>
      </c>
      <c r="AY138" s="56" t="e">
        <f ca="1">MAX(ROUND(AP138*(AM$1/AM$27),0),IF(AT138=TRUE,1,0))</f>
        <v>#NAME?</v>
      </c>
      <c r="AZ138" s="220">
        <v>5</v>
      </c>
      <c r="BA138" s="221">
        <v>0</v>
      </c>
      <c r="BB138" s="222" t="b">
        <v>0</v>
      </c>
      <c r="BC138" s="223" t="b">
        <v>0</v>
      </c>
      <c r="BD138" s="228" t="b">
        <v>1</v>
      </c>
      <c r="BE138" s="224" t="b">
        <v>0</v>
      </c>
      <c r="BF138" s="179">
        <v>1</v>
      </c>
      <c r="BG138" s="225" t="str">
        <f>IF(BC138=FALSE,"",MIN(BH138:$BK138)-ROUND(($BK138-1-ROUND(80/$AZ138,0))/COUNTIF($BB138:$BE138,TRUE),0))</f>
        <v/>
      </c>
      <c r="BH138" s="225">
        <f>IF(BD138=FALSE,"",MIN(BI138:$BK138)-ROUND(($BK138-1-ROUND(80/$AZ138,0))/COUNTIF($BB138:$BE138,TRUE),0))</f>
        <v>17</v>
      </c>
      <c r="BI138" s="225" t="str">
        <f>IF(BE138=FALSE,"",MIN(BJ138:$BK138)-ROUND(($BK138-1-ROUND(80/$AZ138,0))/COUNTIF($BB138:$BE138,TRUE),0))</f>
        <v/>
      </c>
      <c r="BJ138" s="225" t="str">
        <f>IF(BB138=FALSE,"",MIN($BK138:BK138)-ROUND(($BK138-1-ROUND(80/$AZ138,0))/COUNTIF($BB138:$BE138,TRUE),0))</f>
        <v/>
      </c>
      <c r="BK138" s="107">
        <f>101-ROUND(Ag!BU$7*100,0)</f>
        <v>96</v>
      </c>
      <c r="BL138" s="63">
        <v>3</v>
      </c>
      <c r="BM138" s="82">
        <f t="array" ref="BM138">MIN(BL138,INDEX([1]Basic!L$26:L$34, MATCH([1]Basic!D$5,[1]Basic!B$26:B$34,0)))</f>
        <v>3</v>
      </c>
      <c r="DT138" s="472"/>
      <c r="DU138" s="369"/>
    </row>
    <row r="139" spans="1:125" ht="13.5" thickTop="1">
      <c r="A139" s="71" t="str">
        <f ca="1">IFERROR(__xludf.DUMMYFUNCTION("sort({transpose(C106:O106),transpose(filter(C107:O135,A107:A135=C4))},2,0)"),"#REF!")</f>
        <v>#REF!</v>
      </c>
      <c r="B139" s="70"/>
      <c r="C139" s="80">
        <v>100</v>
      </c>
      <c r="D139" s="71" t="str">
        <f ca="1">IFERROR(__xludf.DUMMYFUNCTION("filter(A139:A151,not(A139:A151=F156))"),"")</f>
        <v/>
      </c>
      <c r="E139" s="70" t="str">
        <f ca="1">IFERROR(__xludf.DUMMYFUNCTION("filter(B139:B151,not(A139:A151=F156))"),"")</f>
        <v/>
      </c>
      <c r="F139" s="80">
        <v>100</v>
      </c>
      <c r="G139" s="71" t="str">
        <f ca="1">IFERROR(__xludf.DUMMYFUNCTION("filter(A139:A151,B139:B151&gt;0,not(A139:A151=G156))"),"#N/A")</f>
        <v>#N/A</v>
      </c>
      <c r="H139" s="71" t="str">
        <f ca="1">IFERROR(__xludf.DUMMYFUNCTION("filter(A139:A151,B139:B151&gt;0,not(A139:A151=F156))"),"#N/A")</f>
        <v>#N/A</v>
      </c>
      <c r="Z139" s="31"/>
      <c r="AA139" s="31"/>
      <c r="AB139" s="31"/>
      <c r="AC139" s="31"/>
      <c r="AD139" s="31"/>
      <c r="AE139" s="31"/>
      <c r="AF139" s="31"/>
      <c r="AG139" s="31"/>
      <c r="AH139" s="31"/>
      <c r="AI139" s="31"/>
      <c r="AK139" s="389"/>
      <c r="AL139" s="452" t="s">
        <v>215</v>
      </c>
      <c r="AM139" s="369"/>
      <c r="AN139" s="217">
        <v>10</v>
      </c>
      <c r="AO139" s="218" t="e">
        <f ca="1">ROUND(AN139*_xludf.ifs(
AND(AU139=TRUE,AW139=TRUE),1,
AU139=TRUE,AV139,
AW139=TRUE,AX139,
TRUE,1),0)</f>
        <v>#NAME?</v>
      </c>
      <c r="AP139" s="57" t="e">
        <f ca="1">ROUND(AO139/SUM(AO$32:AO$252)*AM$27,0)</f>
        <v>#NAME?</v>
      </c>
      <c r="AQ139" s="5" t="str">
        <f ca="1">IFERROR(__xludf.DUMMYFUNCTION("if(O139=0,"""",
filter(I$32:I138,row(I$32:I138)=max(filter(arrayformula(row(I$32:I138)),I$32:I138&lt;&gt;"""")))+
filter(G$32:G138,row(G$32:G138)=max(filter(arrayformula(row(G$32:G138)),G$32:G138&lt;&gt;"""")))
)"),"")</f>
        <v/>
      </c>
      <c r="AR139" s="198" t="str">
        <f ca="1">IFERROR(__xludf.DUMMYFUNCTION("if(G139="""","""",G139-(
filter(G$32:G$252,row(G$32:G$252)=max(filter(arrayformula(row(G$32:G$252)),G$32:G$252&lt;&gt;"""")))
-(10001-
filter(I$32:I$252,row(I$32:I$252)=max(filter(arrayformula(row(I$32:I$252)),I$32:I$252&lt;&gt;""""))))))"),"")</f>
        <v/>
      </c>
      <c r="AS139" s="198" t="e">
        <f ca="1">IF(AY139=0,"",ROUND(AY139/AM$3*10000,0))</f>
        <v>#NAME?</v>
      </c>
      <c r="AT139" s="237" t="b">
        <v>0</v>
      </c>
      <c r="AU139" s="57"/>
      <c r="AV139" s="220">
        <v>0</v>
      </c>
      <c r="AW139" s="82" t="b">
        <f>OR(AU17)</f>
        <v>0</v>
      </c>
      <c r="AX139" s="220">
        <v>2</v>
      </c>
      <c r="AY139" s="56" t="e">
        <f ca="1">MAX(ROUND(AP139*(AM$1/AM$27),0),IF(AT139=TRUE,1,0))</f>
        <v>#NAME?</v>
      </c>
      <c r="AZ139" s="220">
        <v>3</v>
      </c>
      <c r="BA139" s="221">
        <v>0</v>
      </c>
      <c r="BB139" s="222" t="b">
        <v>0</v>
      </c>
      <c r="BC139" s="223" t="b">
        <v>0</v>
      </c>
      <c r="BD139" s="228" t="b">
        <v>1</v>
      </c>
      <c r="BE139" s="224" t="b">
        <v>0</v>
      </c>
      <c r="BF139" s="179">
        <v>1</v>
      </c>
      <c r="BG139" s="225" t="str">
        <f>IF(BC139=FALSE,"",MIN(BH139:$BK139)-ROUND(($BK139-1-ROUND(80/$AZ139,0))/COUNTIF($BB139:$BE139,TRUE),0))</f>
        <v/>
      </c>
      <c r="BH139" s="225">
        <f>IF(BD139=FALSE,"",MIN(BI139:$BK139)-ROUND(($BK139-1-ROUND(80/$AZ139,0))/COUNTIF($BB139:$BE139,TRUE),0))</f>
        <v>28</v>
      </c>
      <c r="BI139" s="225" t="str">
        <f>IF(BE139=FALSE,"",MIN(BJ139:$BK139)-ROUND(($BK139-1-ROUND(80/$AZ139,0))/COUNTIF($BB139:$BE139,TRUE),0))</f>
        <v/>
      </c>
      <c r="BJ139" s="225" t="str">
        <f>IF(BB139=FALSE,"",MIN($BK139:BK139)-ROUND(($BK139-1-ROUND(80/$AZ139,0))/COUNTIF($BB139:$BE139,TRUE),0))</f>
        <v/>
      </c>
      <c r="BK139" s="107">
        <f>101-ROUND(Ag!BU$7*100,0)</f>
        <v>96</v>
      </c>
      <c r="BL139" s="63">
        <v>3</v>
      </c>
      <c r="BM139" s="82">
        <f t="array" ref="BM139">MIN(BL139,INDEX([1]Basic!L$26:L$34, MATCH([1]Basic!D$5,[1]Basic!B$26:B$34,0)))</f>
        <v>3</v>
      </c>
      <c r="DT139" s="472"/>
      <c r="DU139" s="369"/>
    </row>
    <row r="140" spans="1:125" ht="13.5" thickBot="1">
      <c r="A140" s="167"/>
      <c r="B140" s="56"/>
      <c r="C140" s="56" t="e">
        <f>MAX(C139-ROUND((B139/SUM(B$139:B$149))*100,0),0)</f>
        <v>#DIV/0!</v>
      </c>
      <c r="D140" s="167"/>
      <c r="E140" s="56"/>
      <c r="F140" s="56" t="e">
        <f ca="1">MAX(F139-ROUND((E139/SUM(E$139:E$149))*100,0),0)</f>
        <v>#VALUE!</v>
      </c>
      <c r="G140" s="167"/>
      <c r="H140" s="167"/>
      <c r="Z140" s="31"/>
      <c r="AA140" s="31"/>
      <c r="AB140" s="31"/>
      <c r="AC140" s="31"/>
      <c r="AD140" s="31"/>
      <c r="AE140" s="31"/>
      <c r="AF140" s="31"/>
      <c r="AG140" s="31"/>
      <c r="AH140" s="31"/>
      <c r="AI140" s="31"/>
      <c r="AK140" s="389"/>
      <c r="AL140" s="451" t="s">
        <v>221</v>
      </c>
      <c r="AM140" s="361"/>
      <c r="AN140" s="230">
        <v>1</v>
      </c>
      <c r="AO140" s="11" t="e">
        <f ca="1">ROUND(AN140*_xludf.ifs(
AND(AU140=TRUE,AW140=TRUE),1,
AU140=TRUE,AV140,
AW140=TRUE,AX140,
TRUE,1),0)</f>
        <v>#NAME?</v>
      </c>
      <c r="AP140" s="59" t="e">
        <f ca="1">ROUND(AO140/SUM(AO$32:AO$252)*AM$27,0)</f>
        <v>#NAME?</v>
      </c>
      <c r="AQ140" s="6" t="str">
        <f ca="1">IFERROR(__xludf.DUMMYFUNCTION("if(O140=0,"""",
filter(I$32:I139,row(I$32:I139)=max(filter(arrayformula(row(I$32:I139)),I$32:I139&lt;&gt;"""")))+
filter(G$32:G139,row(G$32:G139)=max(filter(arrayformula(row(G$32:G139)),G$32:G139&lt;&gt;"""")))
)"),"")</f>
        <v/>
      </c>
      <c r="AR140" s="206" t="str">
        <f ca="1">IFERROR(__xludf.DUMMYFUNCTION("if(G140="""","""",G140-(
filter(G$32:G$252,row(G$32:G$252)=max(filter(arrayformula(row(G$32:G$252)),G$32:G$252&lt;&gt;"""")))
-(10001-
filter(I$32:I$252,row(I$32:I$252)=max(filter(arrayformula(row(I$32:I$252)),I$32:I$252&lt;&gt;""""))))))"),"")</f>
        <v/>
      </c>
      <c r="AS140" s="206" t="e">
        <f ca="1">IF(AY140=0,"",ROUND(AY140/AM$3*10000,0))</f>
        <v>#NAME?</v>
      </c>
      <c r="AT140" s="239" t="b">
        <v>0</v>
      </c>
      <c r="AU140" s="59"/>
      <c r="AV140" s="232">
        <v>0</v>
      </c>
      <c r="AW140" s="83" t="b">
        <f>OR(AU17)</f>
        <v>0</v>
      </c>
      <c r="AX140" s="232">
        <v>2</v>
      </c>
      <c r="AY140" s="58" t="e">
        <f ca="1">MAX(ROUND(AP140*(AM$1/AM$27),0),IF(AT140=TRUE,1,0))</f>
        <v>#NAME?</v>
      </c>
      <c r="AZ140" s="232">
        <v>2</v>
      </c>
      <c r="BA140" s="233">
        <v>0</v>
      </c>
      <c r="BB140" s="247" t="b">
        <v>0</v>
      </c>
      <c r="BC140" s="244" t="b">
        <v>0</v>
      </c>
      <c r="BD140" s="244" t="b">
        <v>0</v>
      </c>
      <c r="BE140" s="246" t="b">
        <v>0</v>
      </c>
      <c r="BF140" s="78">
        <v>1</v>
      </c>
      <c r="BG140" s="240" t="str">
        <f>IF(BC140=FALSE,"",MIN(BH140:$BK140)-ROUND(($BK140-1-ROUND(80/$AZ140,0))/COUNTIF($BB140:$BE140,TRUE),0))</f>
        <v/>
      </c>
      <c r="BH140" s="240" t="str">
        <f>IF(BD140=FALSE,"",MIN(BI140:$BK140)-ROUND(($BK140-1-ROUND(80/$AZ140,0))/COUNTIF($BB140:$BE140,TRUE),0))</f>
        <v/>
      </c>
      <c r="BI140" s="240" t="str">
        <f>IF(BE140=FALSE,"",MIN(BJ140:$BK140)-ROUND(($BK140-1-ROUND(80/$AZ140,0))/COUNTIF($BB140:$BE140,TRUE),0))</f>
        <v/>
      </c>
      <c r="BJ140" s="240" t="str">
        <f>IF(BB140=FALSE,"",MIN($BK140:BK140)-ROUND(($BK140-1-ROUND(80/$AZ140,0))/COUNTIF($BB140:$BE140,TRUE),0))</f>
        <v/>
      </c>
      <c r="BK140" s="192">
        <f>101-ROUND(Ag!BU$7*100,0)</f>
        <v>96</v>
      </c>
      <c r="BL140" s="66">
        <v>2</v>
      </c>
      <c r="BM140" s="82">
        <f t="array" ref="BM140">MIN(BL140,INDEX([1]Basic!L$26:L$34, MATCH([1]Basic!D$5,[1]Basic!B$26:B$34,0)))</f>
        <v>2</v>
      </c>
      <c r="DT140" s="472"/>
      <c r="DU140" s="369"/>
    </row>
    <row r="141" spans="1:125" ht="13.5" thickTop="1">
      <c r="A141" s="167"/>
      <c r="B141" s="56"/>
      <c r="C141" s="56" t="e">
        <f>MAX(C140-ROUND((B140/SUM(B$139:B$149))*100,0),0)</f>
        <v>#DIV/0!</v>
      </c>
      <c r="D141" s="167"/>
      <c r="E141" s="56"/>
      <c r="F141" s="56" t="e">
        <f ca="1">MAX(F140-ROUND((E140/SUM(E$139:E$149))*100,0),0)</f>
        <v>#VALUE!</v>
      </c>
      <c r="G141" s="167"/>
      <c r="H141" s="167"/>
      <c r="Z141" s="31"/>
      <c r="AA141" s="31"/>
      <c r="AB141" s="31"/>
      <c r="AC141" s="31"/>
      <c r="AD141" s="31"/>
      <c r="AE141" s="31"/>
      <c r="AF141" s="31"/>
      <c r="AG141" s="31"/>
      <c r="AH141" s="31"/>
      <c r="AI141" s="31"/>
      <c r="AK141" s="389"/>
      <c r="AL141" s="452" t="s">
        <v>226</v>
      </c>
      <c r="AM141" s="369"/>
      <c r="AN141" s="217">
        <v>30</v>
      </c>
      <c r="AO141" s="218" t="e">
        <f ca="1">ROUND(AN141*_xludf.ifs(
AND(AU141=TRUE,AW141=TRUE),1,
AU141=TRUE,AV141,
AW141=TRUE,AX141,
TRUE,1),0)</f>
        <v>#NAME?</v>
      </c>
      <c r="AP141" s="57" t="e">
        <f ca="1">ROUND(AO141/SUM(AO$32:AO$252)*AM$27,0)</f>
        <v>#NAME?</v>
      </c>
      <c r="AQ141" s="5" t="str">
        <f ca="1">IFERROR(__xludf.DUMMYFUNCTION("if(O141=0,"""",
filter(I$32:I140,row(I$32:I140)=max(filter(arrayformula(row(I$32:I140)),I$32:I140&lt;&gt;"""")))+
filter(G$32:G140,row(G$32:G140)=max(filter(arrayformula(row(G$32:G140)),G$32:G140&lt;&gt;"""")))
)"),"")</f>
        <v/>
      </c>
      <c r="AR141" s="198" t="str">
        <f ca="1">IFERROR(__xludf.DUMMYFUNCTION("if(G141="""","""",G141-(
filter(G$32:G$252,row(G$32:G$252)=max(filter(arrayformula(row(G$32:G$252)),G$32:G$252&lt;&gt;"""")))
-(10001-
filter(I$32:I$252,row(I$32:I$252)=max(filter(arrayformula(row(I$32:I$252)),I$32:I$252&lt;&gt;""""))))))"),"")</f>
        <v/>
      </c>
      <c r="AS141" s="198" t="e">
        <f ca="1">IF(AY141=0,"",ROUND(AY141/AM$3*10000,0))</f>
        <v>#NAME?</v>
      </c>
      <c r="AT141" s="237" t="b">
        <v>0</v>
      </c>
      <c r="AU141" s="57"/>
      <c r="AV141" s="220">
        <v>0</v>
      </c>
      <c r="AW141" s="82" t="b">
        <f>OR(AU12,AU21,AU25,AQ18,AQ19)</f>
        <v>0</v>
      </c>
      <c r="AX141" s="220">
        <v>2</v>
      </c>
      <c r="AY141" s="56" t="e">
        <f ca="1">MAX(ROUND(AP141*(AM$1/AM$27),0),IF(AT141=TRUE,1,0))</f>
        <v>#NAME?</v>
      </c>
      <c r="AZ141" s="220">
        <v>1</v>
      </c>
      <c r="BA141" s="212">
        <v>0</v>
      </c>
      <c r="BB141" s="222" t="b">
        <v>0</v>
      </c>
      <c r="BC141" s="223" t="b">
        <v>0</v>
      </c>
      <c r="BD141" s="223" t="b">
        <v>0</v>
      </c>
      <c r="BE141" s="224" t="b">
        <v>0</v>
      </c>
      <c r="BF141" s="179">
        <v>1</v>
      </c>
      <c r="BG141" s="225" t="str">
        <f>IF(BC141=FALSE,"",MIN(BH141:$BK141)-ROUND(($BK141-1-ROUND(80/$AZ141,0))/COUNTIF($BB141:$BE141,TRUE),0))</f>
        <v/>
      </c>
      <c r="BH141" s="225" t="str">
        <f>IF(BD141=FALSE,"",MIN(BI141:$BK141)-ROUND(($BK141-1-ROUND(80/$AZ141,0))/COUNTIF($BB141:$BE141,TRUE),0))</f>
        <v/>
      </c>
      <c r="BI141" s="225" t="str">
        <f>IF(BE141=FALSE,"",MIN(BJ141:$BK141)-ROUND(($BK141-1-ROUND(80/$AZ141,0))/COUNTIF($BB141:$BE141,TRUE),0))</f>
        <v/>
      </c>
      <c r="BJ141" s="225" t="str">
        <f>IF(BB141=FALSE,"",MIN($BK141:BK141)-ROUND(($BK141-1-ROUND(80/$AZ141,0))/COUNTIF($BB141:$BE141,TRUE),0))</f>
        <v/>
      </c>
      <c r="BK141" s="107">
        <f>101-ROUND(Ag!BU$7*100,0)</f>
        <v>96</v>
      </c>
      <c r="BL141" s="63">
        <v>1</v>
      </c>
      <c r="BM141" s="82">
        <f t="array" ref="BM141">MIN(BL141,INDEX([1]Basic!L$26:L$34, MATCH([1]Basic!D$5,[1]Basic!B$26:B$34,0)))</f>
        <v>1</v>
      </c>
      <c r="DT141" s="472"/>
      <c r="DU141" s="369"/>
    </row>
    <row r="142" spans="1:125" ht="12.75">
      <c r="A142" s="167"/>
      <c r="B142" s="56"/>
      <c r="C142" s="56" t="e">
        <f>MAX(C141-ROUND((B141/SUM(B$139:B$149))*100,0),0)</f>
        <v>#DIV/0!</v>
      </c>
      <c r="D142" s="167"/>
      <c r="E142" s="56"/>
      <c r="F142" s="56" t="e">
        <f ca="1">MAX(F141-ROUND((E141/SUM(E$139:E$149))*100,0),0)</f>
        <v>#VALUE!</v>
      </c>
      <c r="G142" s="167"/>
      <c r="H142" s="167"/>
      <c r="Z142" s="31"/>
      <c r="AA142" s="31"/>
      <c r="AB142" s="31"/>
      <c r="AC142" s="31"/>
      <c r="AD142" s="31"/>
      <c r="AE142" s="31"/>
      <c r="AF142" s="31"/>
      <c r="AG142" s="31"/>
      <c r="AH142" s="31"/>
      <c r="AI142" s="31"/>
      <c r="AK142" s="389"/>
      <c r="AL142" s="452" t="s">
        <v>231</v>
      </c>
      <c r="AM142" s="369"/>
      <c r="AN142" s="217">
        <v>6</v>
      </c>
      <c r="AO142" s="218" t="e">
        <f ca="1">ROUND(AN142*_xludf.ifs(
AND(AU142=TRUE,AW142=TRUE),1,
AU142=TRUE,AV142,
AW142=TRUE,AX142,
TRUE,1),0)</f>
        <v>#NAME?</v>
      </c>
      <c r="AP142" s="57" t="e">
        <f ca="1">ROUND(AO142/SUM(AO$32:AO$252)*AM$27,0)</f>
        <v>#NAME?</v>
      </c>
      <c r="AQ142" s="5" t="str">
        <f ca="1">IFERROR(__xludf.DUMMYFUNCTION("if(O142=0,"""",
filter(I$32:I141,row(I$32:I141)=max(filter(arrayformula(row(I$32:I141)),I$32:I141&lt;&gt;"""")))+
filter(G$32:G141,row(G$32:G141)=max(filter(arrayformula(row(G$32:G141)),G$32:G141&lt;&gt;"""")))
)"),"")</f>
        <v/>
      </c>
      <c r="AR142" s="198" t="str">
        <f ca="1">IFERROR(__xludf.DUMMYFUNCTION("if(G142="""","""",G142-(
filter(G$32:G$252,row(G$32:G$252)=max(filter(arrayformula(row(G$32:G$252)),G$32:G$252&lt;&gt;"""")))
-(10001-
filter(I$32:I$252,row(I$32:I$252)=max(filter(arrayformula(row(I$32:I$252)),I$32:I$252&lt;&gt;""""))))))"),"")</f>
        <v/>
      </c>
      <c r="AS142" s="198" t="e">
        <f ca="1">IF(AY142=0,"",ROUND(AY142/AM$3*10000,0))</f>
        <v>#NAME?</v>
      </c>
      <c r="AT142" s="237" t="b">
        <v>0</v>
      </c>
      <c r="AU142" s="57"/>
      <c r="AV142" s="220">
        <v>0</v>
      </c>
      <c r="AW142" s="82" t="b">
        <f>OR(AU12,AU21,AU24,AU25,AQ20,AQ18,AQ19)</f>
        <v>0</v>
      </c>
      <c r="AX142" s="220">
        <v>2</v>
      </c>
      <c r="AY142" s="56" t="e">
        <f ca="1">MAX(ROUND(AP142*(AM$1/AM$27),0),IF(AT142=TRUE,1,0))</f>
        <v>#NAME?</v>
      </c>
      <c r="AZ142" s="220">
        <v>10</v>
      </c>
      <c r="BA142" s="221">
        <v>1</v>
      </c>
      <c r="BB142" s="227" t="b">
        <v>1</v>
      </c>
      <c r="BC142" s="223" t="b">
        <v>0</v>
      </c>
      <c r="BD142" s="228" t="b">
        <v>1</v>
      </c>
      <c r="BE142" s="229" t="b">
        <v>1</v>
      </c>
      <c r="BF142" s="179">
        <v>1</v>
      </c>
      <c r="BG142" s="225" t="str">
        <f>IF(BC142=FALSE,"",MIN(BH142:$BK142)-ROUND(($BK142-1-ROUND(80/$AZ142,0))/COUNTIF($BB142:$BE142,TRUE),0))</f>
        <v/>
      </c>
      <c r="BH142" s="225">
        <f>IF(BD142=FALSE,"",MIN(BI142:$BK142)-ROUND(($BK142-1-ROUND(80/$AZ142,0))/COUNTIF($BB142:$BE142,TRUE),0))</f>
        <v>9</v>
      </c>
      <c r="BI142" s="225">
        <f>IF(BE142=FALSE,"",MIN(BJ142:$BK142)-ROUND(($BK142-1-ROUND(80/$AZ142,0))/COUNTIF($BB142:$BE142,TRUE),0))</f>
        <v>38</v>
      </c>
      <c r="BJ142" s="225">
        <f>IF(BB142=FALSE,"",MIN($BK142:BK142)-ROUND(($BK142-1-ROUND(80/$AZ142,0))/COUNTIF($BB142:$BE142,TRUE),0))</f>
        <v>67</v>
      </c>
      <c r="BK142" s="107">
        <f>101-ROUND(Ag!BU$7*100,0)</f>
        <v>96</v>
      </c>
      <c r="BL142" s="63">
        <v>3</v>
      </c>
      <c r="BM142" s="82">
        <f t="array" ref="BM142">MIN(BL142,INDEX([1]Basic!L$26:L$34, MATCH([1]Basic!D$5,[1]Basic!B$26:B$34,0)))</f>
        <v>3</v>
      </c>
      <c r="DT142" s="472"/>
      <c r="DU142" s="369"/>
    </row>
    <row r="143" spans="1:125" ht="13.5" thickBot="1">
      <c r="A143" s="167"/>
      <c r="B143" s="56"/>
      <c r="C143" s="56" t="e">
        <f>MAX(C142-ROUND((B142/SUM(B$139:B$149))*100,0),0)</f>
        <v>#DIV/0!</v>
      </c>
      <c r="D143" s="167"/>
      <c r="E143" s="56"/>
      <c r="F143" s="56" t="e">
        <f ca="1">MAX(F142-ROUND((E142/SUM(E$139:E$149))*100,0),0)</f>
        <v>#VALUE!</v>
      </c>
      <c r="G143" s="73"/>
      <c r="H143" s="73"/>
      <c r="Z143" s="31"/>
      <c r="AA143" s="31"/>
      <c r="AB143" s="31"/>
      <c r="AC143" s="31"/>
      <c r="AD143" s="31"/>
      <c r="AE143" s="31"/>
      <c r="AF143" s="31"/>
      <c r="AG143" s="31"/>
      <c r="AH143" s="31"/>
      <c r="AI143" s="31"/>
      <c r="AK143" s="389"/>
      <c r="AL143" s="452" t="s">
        <v>236</v>
      </c>
      <c r="AM143" s="369"/>
      <c r="AN143" s="217">
        <v>2</v>
      </c>
      <c r="AO143" s="218" t="e">
        <f ca="1">ROUND(AN143*_xludf.ifs(
AND(AU143=TRUE,AW143=TRUE),1,
AU143=TRUE,AV143,
AW143=TRUE,AX143,
TRUE,1),0)</f>
        <v>#NAME?</v>
      </c>
      <c r="AP143" s="57" t="e">
        <f ca="1">ROUND(AO143/SUM(AO$32:AO$252)*AM$27,0)</f>
        <v>#NAME?</v>
      </c>
      <c r="AQ143" s="5" t="str">
        <f ca="1">IFERROR(__xludf.DUMMYFUNCTION("if(O143=0,"""",
filter(I$32:I142,row(I$32:I142)=max(filter(arrayformula(row(I$32:I142)),I$32:I142&lt;&gt;"""")))+
filter(G$32:G142,row(G$32:G142)=max(filter(arrayformula(row(G$32:G142)),G$32:G142&lt;&gt;"""")))
)"),"")</f>
        <v/>
      </c>
      <c r="AR143" s="198" t="str">
        <f ca="1">IFERROR(__xludf.DUMMYFUNCTION("if(G143="""","""",G143-(
filter(G$32:G$252,row(G$32:G$252)=max(filter(arrayformula(row(G$32:G$252)),G$32:G$252&lt;&gt;"""")))
-(10001-
filter(I$32:I$252,row(I$32:I$252)=max(filter(arrayformula(row(I$32:I$252)),I$32:I$252&lt;&gt;""""))))))"),"")</f>
        <v/>
      </c>
      <c r="AS143" s="198" t="e">
        <f ca="1">IF(AY143=0,"",ROUND(AY143/AM$3*10000,0))</f>
        <v>#NAME?</v>
      </c>
      <c r="AT143" s="237" t="b">
        <v>0</v>
      </c>
      <c r="AU143" s="57"/>
      <c r="AV143" s="220">
        <v>0</v>
      </c>
      <c r="AW143" s="82" t="b">
        <f>OR(AQ22,AU21)</f>
        <v>0</v>
      </c>
      <c r="AX143" s="220">
        <v>2</v>
      </c>
      <c r="AY143" s="56" t="e">
        <f ca="1">MAX(ROUND(AP143*(AM$1/AM$27),0),IF(AT143=TRUE,1,0))</f>
        <v>#NAME?</v>
      </c>
      <c r="AZ143" s="220">
        <v>5</v>
      </c>
      <c r="BA143" s="221">
        <v>0</v>
      </c>
      <c r="BB143" s="222" t="b">
        <v>0</v>
      </c>
      <c r="BC143" s="223" t="b">
        <v>0</v>
      </c>
      <c r="BD143" s="228" t="b">
        <v>1</v>
      </c>
      <c r="BE143" s="224" t="b">
        <v>0</v>
      </c>
      <c r="BF143" s="179">
        <v>1</v>
      </c>
      <c r="BG143" s="225" t="str">
        <f>IF(BC143=FALSE,"",MIN(BH143:$BK143)-ROUND(($BK143-1-ROUND(80/$AZ143,0))/COUNTIF($BB143:$BE143,TRUE),0))</f>
        <v/>
      </c>
      <c r="BH143" s="225">
        <f>IF(BD143=FALSE,"",MIN(BI143:$BK143)-ROUND(($BK143-1-ROUND(80/$AZ143,0))/COUNTIF($BB143:$BE143,TRUE),0))</f>
        <v>17</v>
      </c>
      <c r="BI143" s="225" t="str">
        <f>IF(BE143=FALSE,"",MIN(BJ143:$BK143)-ROUND(($BK143-1-ROUND(80/$AZ143,0))/COUNTIF($BB143:$BE143,TRUE),0))</f>
        <v/>
      </c>
      <c r="BJ143" s="225" t="str">
        <f>IF(BB143=FALSE,"",MIN($BK143:BK143)-ROUND(($BK143-1-ROUND(80/$AZ143,0))/COUNTIF($BB143:$BE143,TRUE),0))</f>
        <v/>
      </c>
      <c r="BK143" s="107">
        <f>101-ROUND(Ag!BU$7*100,0)</f>
        <v>96</v>
      </c>
      <c r="BL143" s="63">
        <v>3</v>
      </c>
      <c r="BM143" s="82">
        <f t="array" ref="BM143">MIN(BL143,INDEX([1]Basic!L$26:L$34, MATCH([1]Basic!D$5,[1]Basic!B$26:B$34,0)))</f>
        <v>3</v>
      </c>
      <c r="DT143" s="472"/>
      <c r="DU143" s="369"/>
    </row>
    <row r="144" spans="1:125" ht="13.5" thickTop="1">
      <c r="A144" s="167"/>
      <c r="B144" s="56"/>
      <c r="C144" s="56" t="e">
        <f>MAX(C143-ROUND((B143/SUM(B$139:B$149))*100,0),0)</f>
        <v>#DIV/0!</v>
      </c>
      <c r="D144" s="167"/>
      <c r="E144" s="56"/>
      <c r="F144" s="56" t="e">
        <f ca="1">MAX(F143-ROUND((E143/SUM(E$139:E$149))*100,0),0)</f>
        <v>#VALUE!</v>
      </c>
      <c r="Z144" s="31"/>
      <c r="AA144" s="31"/>
      <c r="AB144" s="31"/>
      <c r="AC144" s="31"/>
      <c r="AD144" s="31"/>
      <c r="AE144" s="31"/>
      <c r="AF144" s="31"/>
      <c r="AG144" s="31"/>
      <c r="AH144" s="31"/>
      <c r="AI144" s="31"/>
      <c r="AK144" s="389"/>
      <c r="AL144" s="452" t="s">
        <v>242</v>
      </c>
      <c r="AM144" s="369"/>
      <c r="AN144" s="217">
        <v>6</v>
      </c>
      <c r="AO144" s="218" t="e">
        <f ca="1">ROUND(AN144*_xludf.ifs(
AND(AU144=TRUE,AW144=TRUE),1,
AU144=TRUE,AV144,
AW144=TRUE,AX144,
TRUE,1),0)</f>
        <v>#NAME?</v>
      </c>
      <c r="AP144" s="57" t="e">
        <f ca="1">ROUND(AO144/SUM(AO$32:AO$252)*AM$27,0)</f>
        <v>#NAME?</v>
      </c>
      <c r="AQ144" s="5" t="str">
        <f ca="1">IFERROR(__xludf.DUMMYFUNCTION("if(O144=0,"""",
filter(I$32:I143,row(I$32:I143)=max(filter(arrayformula(row(I$32:I143)),I$32:I143&lt;&gt;"""")))+
filter(G$32:G143,row(G$32:G143)=max(filter(arrayformula(row(G$32:G143)),G$32:G143&lt;&gt;"""")))
)"),"")</f>
        <v/>
      </c>
      <c r="AR144" s="198" t="str">
        <f ca="1">IFERROR(__xludf.DUMMYFUNCTION("if(G144="""","""",G144-(
filter(G$32:G$252,row(G$32:G$252)=max(filter(arrayformula(row(G$32:G$252)),G$32:G$252&lt;&gt;"""")))
-(10001-
filter(I$32:I$252,row(I$32:I$252)=max(filter(arrayformula(row(I$32:I$252)),I$32:I$252&lt;&gt;""""))))))"),"")</f>
        <v/>
      </c>
      <c r="AS144" s="198" t="e">
        <f ca="1">IF(AY144=0,"",ROUND(AY144/AM$3*10000,0))</f>
        <v>#NAME?</v>
      </c>
      <c r="AT144" s="237" t="b">
        <v>0</v>
      </c>
      <c r="AU144" s="57"/>
      <c r="AV144" s="220">
        <v>0</v>
      </c>
      <c r="AW144" s="82" t="b">
        <f>OR(AU25,AQ20,AQ18,AQ19)</f>
        <v>0</v>
      </c>
      <c r="AX144" s="220">
        <v>2</v>
      </c>
      <c r="AY144" s="56" t="e">
        <f ca="1">MAX(ROUND(AP144*(AM$1/AM$27),0),IF(AT144=TRUE,1,0))</f>
        <v>#NAME?</v>
      </c>
      <c r="AZ144" s="220">
        <v>5</v>
      </c>
      <c r="BA144" s="221">
        <v>0</v>
      </c>
      <c r="BB144" s="222" t="b">
        <v>0</v>
      </c>
      <c r="BC144" s="223" t="b">
        <v>0</v>
      </c>
      <c r="BD144" s="228" t="b">
        <v>1</v>
      </c>
      <c r="BE144" s="229" t="b">
        <v>1</v>
      </c>
      <c r="BF144" s="179">
        <v>1</v>
      </c>
      <c r="BG144" s="225" t="str">
        <f>IF(BC144=FALSE,"",MIN(BH144:$BK144)-ROUND(($BK144-1-ROUND(80/$AZ144,0))/COUNTIF($BB144:$BE144,TRUE),0))</f>
        <v/>
      </c>
      <c r="BH144" s="225">
        <f>IF(BD144=FALSE,"",MIN(BI144:$BK144)-ROUND(($BK144-1-ROUND(80/$AZ144,0))/COUNTIF($BB144:$BE144,TRUE),0))</f>
        <v>16</v>
      </c>
      <c r="BI144" s="225">
        <f>IF(BE144=FALSE,"",MIN(BJ144:$BK144)-ROUND(($BK144-1-ROUND(80/$AZ144,0))/COUNTIF($BB144:$BE144,TRUE),0))</f>
        <v>56</v>
      </c>
      <c r="BJ144" s="225" t="str">
        <f>IF(BB144=FALSE,"",MIN($BK144:BK144)-ROUND(($BK144-1-ROUND(80/$AZ144,0))/COUNTIF($BB144:$BE144,TRUE),0))</f>
        <v/>
      </c>
      <c r="BK144" s="107">
        <f>101-ROUND(Ag!BU$7*100,0)</f>
        <v>96</v>
      </c>
      <c r="BL144" s="63">
        <v>3</v>
      </c>
      <c r="BM144" s="82">
        <f t="array" ref="BM144">MIN(BL144,INDEX([1]Basic!L$26:L$34, MATCH([1]Basic!D$5,[1]Basic!B$26:B$34,0)))</f>
        <v>3</v>
      </c>
      <c r="DT144" s="472"/>
      <c r="DU144" s="369"/>
    </row>
    <row r="145" spans="1:125" ht="12.75">
      <c r="A145" s="167"/>
      <c r="B145" s="56"/>
      <c r="C145" s="56" t="e">
        <f>MAX(C144-ROUND((B144/SUM(B$139:B$149))*100,0),0)</f>
        <v>#DIV/0!</v>
      </c>
      <c r="D145" s="167"/>
      <c r="E145" s="56"/>
      <c r="F145" s="56" t="e">
        <f ca="1">MAX(F144-ROUND((E144/SUM(E$139:E$149))*100,0),0)</f>
        <v>#VALUE!</v>
      </c>
      <c r="Z145" s="31"/>
      <c r="AA145" s="31"/>
      <c r="AB145" s="31"/>
      <c r="AC145" s="31"/>
      <c r="AD145" s="31"/>
      <c r="AE145" s="31"/>
      <c r="AF145" s="31"/>
      <c r="AG145" s="31"/>
      <c r="AH145" s="31"/>
      <c r="AI145" s="31"/>
      <c r="AK145" s="389"/>
      <c r="AL145" s="452" t="s">
        <v>247</v>
      </c>
      <c r="AM145" s="369"/>
      <c r="AN145" s="217">
        <v>2</v>
      </c>
      <c r="AO145" s="218" t="e">
        <f ca="1">ROUND(AN145*_xludf.ifs(
AND(AU145=TRUE,AW145=TRUE),1,
AU145=TRUE,AV145,
AW145=TRUE,AX145,
TRUE,1),0)</f>
        <v>#NAME?</v>
      </c>
      <c r="AP145" s="57" t="e">
        <f ca="1">ROUND(AO145/SUM(AO$32:AO$252)*AM$27,0)</f>
        <v>#NAME?</v>
      </c>
      <c r="AQ145" s="5" t="str">
        <f ca="1">IFERROR(__xludf.DUMMYFUNCTION("if(O145=0,"""",
filter(I$32:I144,row(I$32:I144)=max(filter(arrayformula(row(I$32:I144)),I$32:I144&lt;&gt;"""")))+
filter(G$32:G144,row(G$32:G144)=max(filter(arrayformula(row(G$32:G144)),G$32:G144&lt;&gt;"""")))
)"),"")</f>
        <v/>
      </c>
      <c r="AR145" s="198" t="str">
        <f ca="1">IFERROR(__xludf.DUMMYFUNCTION("if(G145="""","""",G145-(
filter(G$32:G$252,row(G$32:G$252)=max(filter(arrayformula(row(G$32:G$252)),G$32:G$252&lt;&gt;"""")))
-(10001-
filter(I$32:I$252,row(I$32:I$252)=max(filter(arrayformula(row(I$32:I$252)),I$32:I$252&lt;&gt;""""))))))"),"")</f>
        <v/>
      </c>
      <c r="AS145" s="198" t="e">
        <f ca="1">IF(AY145=0,"",ROUND(AY145/AM$3*10000,0))</f>
        <v>#NAME?</v>
      </c>
      <c r="AT145" s="237" t="b">
        <v>0</v>
      </c>
      <c r="AU145" s="57"/>
      <c r="AV145" s="220">
        <v>0</v>
      </c>
      <c r="AW145" s="82" t="b">
        <f>OR(AU21,AU22)</f>
        <v>0</v>
      </c>
      <c r="AX145" s="220">
        <v>2</v>
      </c>
      <c r="AY145" s="56" t="e">
        <f ca="1">MAX(ROUND(AP145*(AM$1/AM$27),0),IF(AT145=TRUE,1,0))</f>
        <v>#NAME?</v>
      </c>
      <c r="AZ145" s="220">
        <v>5</v>
      </c>
      <c r="BA145" s="221">
        <v>0</v>
      </c>
      <c r="BB145" s="222" t="b">
        <v>0</v>
      </c>
      <c r="BC145" s="223" t="b">
        <v>0</v>
      </c>
      <c r="BD145" s="228" t="b">
        <v>1</v>
      </c>
      <c r="BE145" s="224" t="b">
        <v>0</v>
      </c>
      <c r="BF145" s="179">
        <v>1</v>
      </c>
      <c r="BG145" s="225" t="str">
        <f>IF(BC145=FALSE,"",MIN(BH145:$BK145)-ROUND(($BK145-1-ROUND(80/$AZ145,0))/COUNTIF($BB145:$BE145,TRUE),0))</f>
        <v/>
      </c>
      <c r="BH145" s="225">
        <f>IF(BD145=FALSE,"",MIN(BI145:$BK145)-ROUND(($BK145-1-ROUND(80/$AZ145,0))/COUNTIF($BB145:$BE145,TRUE),0))</f>
        <v>17</v>
      </c>
      <c r="BI145" s="225" t="str">
        <f>IF(BE145=FALSE,"",MIN(BJ145:$BK145)-ROUND(($BK145-1-ROUND(80/$AZ145,0))/COUNTIF($BB145:$BE145,TRUE),0))</f>
        <v/>
      </c>
      <c r="BJ145" s="225" t="str">
        <f>IF(BB145=FALSE,"",MIN($BK145:BK145)-ROUND(($BK145-1-ROUND(80/$AZ145,0))/COUNTIF($BB145:$BE145,TRUE),0))</f>
        <v/>
      </c>
      <c r="BK145" s="107">
        <f>101-ROUND(Ag!BU$7*100,0)</f>
        <v>96</v>
      </c>
      <c r="BL145" s="63">
        <v>3</v>
      </c>
      <c r="BM145" s="82">
        <f t="array" ref="BM145">MIN(BL145,INDEX([1]Basic!L$26:L$34, MATCH([1]Basic!D$5,[1]Basic!B$26:B$34,0)))</f>
        <v>3</v>
      </c>
      <c r="DT145" s="472"/>
      <c r="DU145" s="369"/>
    </row>
    <row r="146" spans="1:125" ht="12.75">
      <c r="A146" s="167"/>
      <c r="B146" s="56"/>
      <c r="C146" s="56" t="e">
        <f>MAX(C145-ROUND((B145/SUM(B$139:B$149))*100,0),0)</f>
        <v>#DIV/0!</v>
      </c>
      <c r="D146" s="167"/>
      <c r="E146" s="56"/>
      <c r="F146" s="56" t="e">
        <f ca="1">MAX(F145-ROUND((E145/SUM(E$139:E$149))*100,0),0)</f>
        <v>#VALUE!</v>
      </c>
      <c r="Z146" s="31"/>
      <c r="AA146" s="31"/>
      <c r="AB146" s="31"/>
      <c r="AC146" s="31"/>
      <c r="AD146" s="31"/>
      <c r="AE146" s="31"/>
      <c r="AF146" s="31"/>
      <c r="AG146" s="31"/>
      <c r="AH146" s="31"/>
      <c r="AI146" s="31"/>
      <c r="AK146" s="389"/>
      <c r="AL146" s="452" t="s">
        <v>252</v>
      </c>
      <c r="AM146" s="369"/>
      <c r="AN146" s="217">
        <v>12</v>
      </c>
      <c r="AO146" s="218" t="e">
        <f ca="1">ROUND(AN146*_xludf.ifs(
AND(AU146=TRUE,AW146=TRUE),1,
AU146=TRUE,AV146,
AW146=TRUE,AX146,
TRUE,1),0)</f>
        <v>#NAME?</v>
      </c>
      <c r="AP146" s="57" t="e">
        <f ca="1">ROUND(AO146/SUM(AO$32:AO$252)*AM$27,0)</f>
        <v>#NAME?</v>
      </c>
      <c r="AQ146" s="5" t="str">
        <f ca="1">IFERROR(__xludf.DUMMYFUNCTION("if(O146=0,"""",
filter(I$32:I145,row(I$32:I145)=max(filter(arrayformula(row(I$32:I145)),I$32:I145&lt;&gt;"""")))+
filter(G$32:G145,row(G$32:G145)=max(filter(arrayformula(row(G$32:G145)),G$32:G145&lt;&gt;"""")))
)"),"")</f>
        <v/>
      </c>
      <c r="AR146" s="198" t="str">
        <f ca="1">IFERROR(__xludf.DUMMYFUNCTION("if(G146="""","""",G146-(
filter(G$32:G$252,row(G$32:G$252)=max(filter(arrayformula(row(G$32:G$252)),G$32:G$252&lt;&gt;"""")))
-(10001-
filter(I$32:I$252,row(I$32:I$252)=max(filter(arrayformula(row(I$32:I$252)),I$32:I$252&lt;&gt;""""))))))"),"")</f>
        <v/>
      </c>
      <c r="AS146" s="198" t="e">
        <f ca="1">IF(AY146=0,"",ROUND(AY146/AM$3*10000,0))</f>
        <v>#NAME?</v>
      </c>
      <c r="AT146" s="237" t="b">
        <v>0</v>
      </c>
      <c r="AU146" s="57"/>
      <c r="AV146" s="220">
        <v>0</v>
      </c>
      <c r="AW146" s="82" t="b">
        <f>OR(AU21,AU13,AQ22)</f>
        <v>0</v>
      </c>
      <c r="AX146" s="220">
        <v>2</v>
      </c>
      <c r="AY146" s="56" t="e">
        <f ca="1">MAX(ROUND(AP146*(AM$1/AM$27),0),IF(AT146=TRUE,1,0))</f>
        <v>#NAME?</v>
      </c>
      <c r="AZ146" s="220">
        <v>5</v>
      </c>
      <c r="BA146" s="221">
        <v>0</v>
      </c>
      <c r="BB146" s="222" t="b">
        <v>0</v>
      </c>
      <c r="BC146" s="223" t="b">
        <v>0</v>
      </c>
      <c r="BD146" s="228" t="b">
        <v>1</v>
      </c>
      <c r="BE146" s="224" t="b">
        <v>0</v>
      </c>
      <c r="BF146" s="179">
        <v>1</v>
      </c>
      <c r="BG146" s="225" t="str">
        <f>IF(BC146=FALSE,"",MIN(BH146:$BK146)-ROUND(($BK146-1-ROUND(80/$AZ146,0))/COUNTIF($BB146:$BE146,TRUE),0))</f>
        <v/>
      </c>
      <c r="BH146" s="225">
        <f>IF(BD146=FALSE,"",MIN(BI146:$BK146)-ROUND(($BK146-1-ROUND(80/$AZ146,0))/COUNTIF($BB146:$BE146,TRUE),0))</f>
        <v>17</v>
      </c>
      <c r="BI146" s="225" t="str">
        <f>IF(BE146=FALSE,"",MIN(BJ146:$BK146)-ROUND(($BK146-1-ROUND(80/$AZ146,0))/COUNTIF($BB146:$BE146,TRUE),0))</f>
        <v/>
      </c>
      <c r="BJ146" s="225" t="str">
        <f>IF(BB146=FALSE,"",MIN($BK146:BK146)-ROUND(($BK146-1-ROUND(80/$AZ146,0))/COUNTIF($BB146:$BE146,TRUE),0))</f>
        <v/>
      </c>
      <c r="BK146" s="107">
        <f>101-ROUND(Ag!BU$7*100,0)</f>
        <v>96</v>
      </c>
      <c r="BL146" s="63">
        <v>3</v>
      </c>
      <c r="BM146" s="82">
        <f t="array" ref="BM146">MIN(BL146,INDEX([1]Basic!L$26:L$34, MATCH([1]Basic!D$5,[1]Basic!B$26:B$34,0)))</f>
        <v>3</v>
      </c>
      <c r="DT146" s="472"/>
      <c r="DU146" s="369"/>
    </row>
    <row r="147" spans="1:125" ht="12.75">
      <c r="A147" s="167"/>
      <c r="B147" s="56"/>
      <c r="C147" s="56" t="e">
        <f>MAX(C146-ROUND((B146/SUM(B$139:B$149))*100,0),0)</f>
        <v>#DIV/0!</v>
      </c>
      <c r="D147" s="167"/>
      <c r="E147" s="56"/>
      <c r="F147" s="56" t="e">
        <f ca="1">MAX(F146-ROUND((E146/SUM(E$139:E$149))*100,0),0)</f>
        <v>#VALUE!</v>
      </c>
      <c r="Z147" s="31"/>
      <c r="AA147" s="31"/>
      <c r="AB147" s="31"/>
      <c r="AC147" s="31"/>
      <c r="AD147" s="31"/>
      <c r="AE147" s="31"/>
      <c r="AF147" s="31"/>
      <c r="AG147" s="31"/>
      <c r="AH147" s="31"/>
      <c r="AI147" s="31"/>
      <c r="AK147" s="389"/>
      <c r="AL147" s="452" t="s">
        <v>257</v>
      </c>
      <c r="AM147" s="369"/>
      <c r="AN147" s="217">
        <v>4</v>
      </c>
      <c r="AO147" s="218" t="e">
        <f ca="1">ROUND(AN147*_xludf.ifs(
AND(AU147=TRUE,AW147=TRUE),1,
AU147=TRUE,AV147,
AW147=TRUE,AX147,
TRUE,1),0)</f>
        <v>#NAME?</v>
      </c>
      <c r="AP147" s="57" t="e">
        <f ca="1">ROUND(AO147/SUM(AO$32:AO$252)*AM$27,0)</f>
        <v>#NAME?</v>
      </c>
      <c r="AQ147" s="5" t="str">
        <f ca="1">IFERROR(__xludf.DUMMYFUNCTION("if(O147=0,"""",
filter(I$32:I146,row(I$32:I146)=max(filter(arrayformula(row(I$32:I146)),I$32:I146&lt;&gt;"""")))+
filter(G$32:G146,row(G$32:G146)=max(filter(arrayformula(row(G$32:G146)),G$32:G146&lt;&gt;"""")))
)"),"")</f>
        <v/>
      </c>
      <c r="AR147" s="198" t="str">
        <f ca="1">IFERROR(__xludf.DUMMYFUNCTION("if(G147="""","""",G147-(
filter(G$32:G$252,row(G$32:G$252)=max(filter(arrayformula(row(G$32:G$252)),G$32:G$252&lt;&gt;"""")))
-(10001-
filter(I$32:I$252,row(I$32:I$252)=max(filter(arrayformula(row(I$32:I$252)),I$32:I$252&lt;&gt;""""))))))"),"")</f>
        <v/>
      </c>
      <c r="AS147" s="198" t="e">
        <f ca="1">IF(AY147=0,"",ROUND(AY147/AM$3*10000,0))</f>
        <v>#NAME?</v>
      </c>
      <c r="AT147" s="237" t="b">
        <v>0</v>
      </c>
      <c r="AU147" s="57"/>
      <c r="AV147" s="220">
        <v>0</v>
      </c>
      <c r="AW147" s="82" t="b">
        <f>OR(AQ22,AU21,AU24)</f>
        <v>0</v>
      </c>
      <c r="AX147" s="220">
        <v>2</v>
      </c>
      <c r="AY147" s="56" t="e">
        <f ca="1">MAX(ROUND(AP147*(AM$1/AM$27),0),IF(AT147=TRUE,1,0))</f>
        <v>#NAME?</v>
      </c>
      <c r="AZ147" s="220">
        <v>10</v>
      </c>
      <c r="BA147" s="221">
        <v>0</v>
      </c>
      <c r="BB147" s="227" t="b">
        <v>1</v>
      </c>
      <c r="BC147" s="223" t="b">
        <v>0</v>
      </c>
      <c r="BD147" s="228" t="b">
        <v>1</v>
      </c>
      <c r="BE147" s="224" t="b">
        <v>0</v>
      </c>
      <c r="BF147" s="179">
        <v>1</v>
      </c>
      <c r="BG147" s="225" t="str">
        <f>IF(BC147=FALSE,"",MIN(BH147:$BK147)-ROUND(($BK147-1-ROUND(80/$AZ147,0))/COUNTIF($BB147:$BE147,TRUE),0))</f>
        <v/>
      </c>
      <c r="BH147" s="225">
        <f>IF(BD147=FALSE,"",MIN(BI147:$BK147)-ROUND(($BK147-1-ROUND(80/$AZ147,0))/COUNTIF($BB147:$BE147,TRUE),0))</f>
        <v>8</v>
      </c>
      <c r="BI147" s="225" t="str">
        <f>IF(BE147=FALSE,"",MIN(BJ147:$BK147)-ROUND(($BK147-1-ROUND(80/$AZ147,0))/COUNTIF($BB147:$BE147,TRUE),0))</f>
        <v/>
      </c>
      <c r="BJ147" s="225">
        <f>IF(BB147=FALSE,"",MIN($BK147:BK147)-ROUND(($BK147-1-ROUND(80/$AZ147,0))/COUNTIF($BB147:$BE147,TRUE),0))</f>
        <v>52</v>
      </c>
      <c r="BK147" s="107">
        <f>101-ROUND(Ag!BU$7*100,0)</f>
        <v>96</v>
      </c>
      <c r="BL147" s="63">
        <v>3</v>
      </c>
      <c r="BM147" s="82">
        <f t="array" ref="BM147">MIN(BL147,INDEX([1]Basic!L$26:L$34, MATCH([1]Basic!D$5,[1]Basic!B$26:B$34,0)))</f>
        <v>3</v>
      </c>
      <c r="DT147" s="472"/>
      <c r="DU147" s="369"/>
    </row>
    <row r="148" spans="1:125" ht="12.75">
      <c r="A148" s="167"/>
      <c r="B148" s="56"/>
      <c r="C148" s="56" t="e">
        <f>MAX(C147-ROUND((B147/SUM(B$139:B$149))*100,0),0)</f>
        <v>#DIV/0!</v>
      </c>
      <c r="D148" s="167"/>
      <c r="E148" s="56"/>
      <c r="F148" s="56" t="e">
        <f ca="1">MAX(F147-ROUND((E147/SUM(E$139:E$149))*100,0),0)</f>
        <v>#VALUE!</v>
      </c>
      <c r="Z148" s="31"/>
      <c r="AA148" s="31"/>
      <c r="AB148" s="31"/>
      <c r="AC148" s="31"/>
      <c r="AD148" s="31"/>
      <c r="AE148" s="31"/>
      <c r="AF148" s="31"/>
      <c r="AG148" s="31"/>
      <c r="AH148" s="31"/>
      <c r="AI148" s="31"/>
      <c r="AK148" s="389"/>
      <c r="AL148" s="452" t="s">
        <v>261</v>
      </c>
      <c r="AM148" s="369"/>
      <c r="AN148" s="217">
        <v>10</v>
      </c>
      <c r="AO148" s="218" t="e">
        <f ca="1">ROUND(AN148*_xludf.ifs(
AND(AU148=TRUE,AW148=TRUE),1,
AU148=TRUE,AV148,
AW148=TRUE,AX148,
TRUE,1),0)</f>
        <v>#NAME?</v>
      </c>
      <c r="AP148" s="57" t="e">
        <f ca="1">ROUND(AO148/SUM(AO$32:AO$252)*AM$27,0)</f>
        <v>#NAME?</v>
      </c>
      <c r="AQ148" s="5" t="str">
        <f ca="1">IFERROR(__xludf.DUMMYFUNCTION("if(O148=0,"""",
filter(I$32:I147,row(I$32:I147)=max(filter(arrayformula(row(I$32:I147)),I$32:I147&lt;&gt;"""")))+
filter(G$32:G147,row(G$32:G147)=max(filter(arrayformula(row(G$32:G147)),G$32:G147&lt;&gt;"""")))
)"),"")</f>
        <v/>
      </c>
      <c r="AR148" s="198" t="str">
        <f ca="1">IFERROR(__xludf.DUMMYFUNCTION("if(G148="""","""",G148-(
filter(G$32:G$252,row(G$32:G$252)=max(filter(arrayformula(row(G$32:G$252)),G$32:G$252&lt;&gt;"""")))
-(10001-
filter(I$32:I$252,row(I$32:I$252)=max(filter(arrayformula(row(I$32:I$252)),I$32:I$252&lt;&gt;""""))))))"),"")</f>
        <v/>
      </c>
      <c r="AS148" s="198" t="e">
        <f ca="1">IF(AY148=0,"",ROUND(AY148/AM$3*10000,0))</f>
        <v>#NAME?</v>
      </c>
      <c r="AT148" s="237" t="b">
        <v>0</v>
      </c>
      <c r="AU148" s="57"/>
      <c r="AV148" s="220">
        <v>0</v>
      </c>
      <c r="AW148" s="82" t="b">
        <f>OR(AU18:AU21)</f>
        <v>0</v>
      </c>
      <c r="AX148" s="220">
        <v>2</v>
      </c>
      <c r="AY148" s="56" t="e">
        <f ca="1">MAX(ROUND(AP148*(AM$1/AM$27),0),IF(AT148=TRUE,1,0))</f>
        <v>#NAME?</v>
      </c>
      <c r="AZ148" s="220">
        <v>5</v>
      </c>
      <c r="BA148" s="221">
        <v>0</v>
      </c>
      <c r="BB148" s="222" t="b">
        <v>0</v>
      </c>
      <c r="BC148" s="223" t="b">
        <v>0</v>
      </c>
      <c r="BD148" s="228" t="b">
        <v>1</v>
      </c>
      <c r="BE148" s="224" t="b">
        <v>0</v>
      </c>
      <c r="BF148" s="179">
        <v>1</v>
      </c>
      <c r="BG148" s="225" t="str">
        <f>IF(BC148=FALSE,"",MIN(BH148:$BK148)-ROUND(($BK148-1-ROUND(80/$AZ148,0))/COUNTIF($BB148:$BE148,TRUE),0))</f>
        <v/>
      </c>
      <c r="BH148" s="225">
        <f>IF(BD148=FALSE,"",MIN(BI148:$BK148)-ROUND(($BK148-1-ROUND(80/$AZ148,0))/COUNTIF($BB148:$BE148,TRUE),0))</f>
        <v>17</v>
      </c>
      <c r="BI148" s="225" t="str">
        <f>IF(BE148=FALSE,"",MIN(BJ148:$BK148)-ROUND(($BK148-1-ROUND(80/$AZ148,0))/COUNTIF($BB148:$BE148,TRUE),0))</f>
        <v/>
      </c>
      <c r="BJ148" s="225" t="str">
        <f>IF(BB148=FALSE,"",MIN($BK148:BK148)-ROUND(($BK148-1-ROUND(80/$AZ148,0))/COUNTIF($BB148:$BE148,TRUE),0))</f>
        <v/>
      </c>
      <c r="BK148" s="107">
        <f>101-ROUND(Ag!BU$7*100,0)</f>
        <v>96</v>
      </c>
      <c r="BL148" s="63">
        <v>2</v>
      </c>
      <c r="BM148" s="82">
        <f t="array" ref="BM148">MIN(BL148,INDEX([1]Basic!L$26:L$34, MATCH([1]Basic!D$5,[1]Basic!B$26:B$34,0)))</f>
        <v>2</v>
      </c>
      <c r="DT148" s="472"/>
      <c r="DU148" s="369"/>
    </row>
    <row r="149" spans="1:125" ht="12.75">
      <c r="A149" s="167"/>
      <c r="B149" s="56"/>
      <c r="C149" s="56" t="e">
        <f>MAX(C148-ROUND((B148/SUM(B$139:B$149))*100,0),0)</f>
        <v>#DIV/0!</v>
      </c>
      <c r="D149" s="167"/>
      <c r="E149" s="56"/>
      <c r="F149" s="56" t="e">
        <f ca="1">MAX(F148-ROUND((E148/SUM(E$139:E$149))*100,0),0)</f>
        <v>#VALUE!</v>
      </c>
      <c r="Z149" s="31"/>
      <c r="AA149" s="31"/>
      <c r="AB149" s="31"/>
      <c r="AC149" s="31"/>
      <c r="AD149" s="31"/>
      <c r="AE149" s="31"/>
      <c r="AF149" s="31"/>
      <c r="AG149" s="31"/>
      <c r="AH149" s="31"/>
      <c r="AI149" s="31"/>
      <c r="AK149" s="389"/>
      <c r="AL149" s="452" t="s">
        <v>267</v>
      </c>
      <c r="AM149" s="369"/>
      <c r="AN149" s="217">
        <v>10</v>
      </c>
      <c r="AO149" s="218" t="e">
        <f ca="1">ROUND(AN149*_xludf.ifs(
AND(AU149=TRUE,AW149=TRUE),1,
AU149=TRUE,AV149,
AW149=TRUE,AX149,
TRUE,1),0)</f>
        <v>#NAME?</v>
      </c>
      <c r="AP149" s="57" t="e">
        <f ca="1">ROUND(AO149/SUM(AO$32:AO$252)*AM$27,0)</f>
        <v>#NAME?</v>
      </c>
      <c r="AQ149" s="5" t="str">
        <f ca="1">IFERROR(__xludf.DUMMYFUNCTION("if(O149=0,"""",
filter(I$32:I148,row(I$32:I148)=max(filter(arrayformula(row(I$32:I148)),I$32:I148&lt;&gt;"""")))+
filter(G$32:G148,row(G$32:G148)=max(filter(arrayformula(row(G$32:G148)),G$32:G148&lt;&gt;"""")))
)"),"")</f>
        <v/>
      </c>
      <c r="AR149" s="198" t="str">
        <f ca="1">IFERROR(__xludf.DUMMYFUNCTION("if(G149="""","""",G149-(
filter(G$32:G$252,row(G$32:G$252)=max(filter(arrayformula(row(G$32:G$252)),G$32:G$252&lt;&gt;"""")))
-(10001-
filter(I$32:I$252,row(I$32:I$252)=max(filter(arrayformula(row(I$32:I$252)),I$32:I$252&lt;&gt;""""))))))"),"")</f>
        <v/>
      </c>
      <c r="AS149" s="198" t="e">
        <f ca="1">IF(AY149=0,"",ROUND(AY149/AM$3*10000,0))</f>
        <v>#NAME?</v>
      </c>
      <c r="AT149" s="237" t="b">
        <v>0</v>
      </c>
      <c r="AU149" s="57"/>
      <c r="AV149" s="220">
        <v>0</v>
      </c>
      <c r="AW149" s="82" t="b">
        <f>OR(AU21,AU25,AQ7)</f>
        <v>0</v>
      </c>
      <c r="AX149" s="220">
        <v>2</v>
      </c>
      <c r="AY149" s="56" t="e">
        <f ca="1">MAX(ROUND(AP149*(AM$1/AM$27),0),IF(AT149=TRUE,1,0))</f>
        <v>#NAME?</v>
      </c>
      <c r="AZ149" s="220">
        <v>5</v>
      </c>
      <c r="BA149" s="221">
        <v>0</v>
      </c>
      <c r="BB149" s="222" t="b">
        <v>0</v>
      </c>
      <c r="BC149" s="223" t="b">
        <v>0</v>
      </c>
      <c r="BD149" s="228" t="b">
        <v>1</v>
      </c>
      <c r="BE149" s="224" t="b">
        <v>0</v>
      </c>
      <c r="BF149" s="179">
        <v>1</v>
      </c>
      <c r="BG149" s="225" t="str">
        <f>IF(BC149=FALSE,"",MIN(BH149:$BK149)-ROUND(($BK149-1-ROUND(80/$AZ149,0))/COUNTIF($BB149:$BE149,TRUE),0))</f>
        <v/>
      </c>
      <c r="BH149" s="225">
        <f>IF(BD149=FALSE,"",MIN(BI149:$BK149)-ROUND(($BK149-1-ROUND(80/$AZ149,0))/COUNTIF($BB149:$BE149,TRUE),0))</f>
        <v>17</v>
      </c>
      <c r="BI149" s="225" t="str">
        <f>IF(BE149=FALSE,"",MIN(BJ149:$BK149)-ROUND(($BK149-1-ROUND(80/$AZ149,0))/COUNTIF($BB149:$BE149,TRUE),0))</f>
        <v/>
      </c>
      <c r="BJ149" s="225" t="str">
        <f>IF(BB149=FALSE,"",MIN($BK149:BK149)-ROUND(($BK149-1-ROUND(80/$AZ149,0))/COUNTIF($BB149:$BE149,TRUE),0))</f>
        <v/>
      </c>
      <c r="BK149" s="107">
        <f>101-ROUND(Ag!BU$7*100,0)</f>
        <v>96</v>
      </c>
      <c r="BL149" s="63">
        <v>3</v>
      </c>
      <c r="BM149" s="82">
        <f t="array" ref="BM149">MIN(BL149,INDEX([1]Basic!L$26:L$34, MATCH([1]Basic!D$5,[1]Basic!B$26:B$34,0)))</f>
        <v>3</v>
      </c>
      <c r="DT149" s="472"/>
      <c r="DU149" s="369"/>
    </row>
    <row r="150" spans="1:125" ht="12.75">
      <c r="A150" s="167"/>
      <c r="B150" s="56"/>
      <c r="C150" s="56" t="e">
        <f>MAX(C149-ROUND((B149/SUM(B$139:B$149))*100,0),0)</f>
        <v>#DIV/0!</v>
      </c>
      <c r="D150" s="167"/>
      <c r="E150" s="56"/>
      <c r="F150" s="56" t="e">
        <f ca="1">MAX(F149-ROUND((E149/SUM(E$139:E$149))*100,0),0)</f>
        <v>#VALUE!</v>
      </c>
      <c r="Z150" s="31"/>
      <c r="AA150" s="31"/>
      <c r="AB150" s="31"/>
      <c r="AC150" s="31"/>
      <c r="AD150" s="31"/>
      <c r="AE150" s="31"/>
      <c r="AF150" s="31"/>
      <c r="AG150" s="31"/>
      <c r="AH150" s="31"/>
      <c r="AI150" s="31"/>
      <c r="AK150" s="389"/>
      <c r="AL150" s="452" t="s">
        <v>272</v>
      </c>
      <c r="AM150" s="369"/>
      <c r="AN150" s="217">
        <v>22</v>
      </c>
      <c r="AO150" s="218" t="e">
        <f ca="1">ROUND(AN150*_xludf.ifs(
AND(AU150=TRUE,AW150=TRUE),1,
AU150=TRUE,AV150,
AW150=TRUE,AX150,
TRUE,1),0)</f>
        <v>#NAME?</v>
      </c>
      <c r="AP150" s="57" t="e">
        <f ca="1">ROUND(AO150/SUM(AO$32:AO$252)*AM$27,0)</f>
        <v>#NAME?</v>
      </c>
      <c r="AQ150" s="5" t="str">
        <f ca="1">IFERROR(__xludf.DUMMYFUNCTION("if(O150=0,"""",
filter(I$32:I149,row(I$32:I149)=max(filter(arrayformula(row(I$32:I149)),I$32:I149&lt;&gt;"""")))+
filter(G$32:G149,row(G$32:G149)=max(filter(arrayformula(row(G$32:G149)),G$32:G149&lt;&gt;"""")))
)"),"")</f>
        <v/>
      </c>
      <c r="AR150" s="198" t="str">
        <f ca="1">IFERROR(__xludf.DUMMYFUNCTION("if(G150="""","""",G150-(
filter(G$32:G$252,row(G$32:G$252)=max(filter(arrayformula(row(G$32:G$252)),G$32:G$252&lt;&gt;"""")))
-(10001-
filter(I$32:I$252,row(I$32:I$252)=max(filter(arrayformula(row(I$32:I$252)),I$32:I$252&lt;&gt;""""))))))"),"")</f>
        <v/>
      </c>
      <c r="AS150" s="198" t="e">
        <f ca="1">IF(AY150=0,"",ROUND(AY150/AM$3*10000,0))</f>
        <v>#NAME?</v>
      </c>
      <c r="AT150" s="237" t="b">
        <v>0</v>
      </c>
      <c r="AU150" s="57"/>
      <c r="AV150" s="220">
        <v>0</v>
      </c>
      <c r="AW150" s="82" t="b">
        <f>OR(AU12,AQ22,AU18,AU21,AU25)</f>
        <v>0</v>
      </c>
      <c r="AX150" s="220">
        <v>2</v>
      </c>
      <c r="AY150" s="56" t="e">
        <f ca="1">MAX(ROUND(AP150*(AM$1/AM$27),0),IF(AT150=TRUE,1,0))</f>
        <v>#NAME?</v>
      </c>
      <c r="AZ150" s="220">
        <v>10</v>
      </c>
      <c r="BA150" s="221">
        <v>0</v>
      </c>
      <c r="BB150" s="227" t="b">
        <v>1</v>
      </c>
      <c r="BC150" s="223" t="b">
        <v>0</v>
      </c>
      <c r="BD150" s="228" t="b">
        <v>1</v>
      </c>
      <c r="BE150" s="224" t="b">
        <v>0</v>
      </c>
      <c r="BF150" s="179">
        <v>1</v>
      </c>
      <c r="BG150" s="225" t="str">
        <f>IF(BC150=FALSE,"",MIN(BH150:$BK150)-ROUND(($BK150-1-ROUND(80/$AZ150,0))/COUNTIF($BB150:$BE150,TRUE),0))</f>
        <v/>
      </c>
      <c r="BH150" s="225">
        <f>IF(BD150=FALSE,"",MIN(BI150:$BK150)-ROUND(($BK150-1-ROUND(80/$AZ150,0))/COUNTIF($BB150:$BE150,TRUE),0))</f>
        <v>8</v>
      </c>
      <c r="BI150" s="225" t="str">
        <f>IF(BE150=FALSE,"",MIN(BJ150:$BK150)-ROUND(($BK150-1-ROUND(80/$AZ150,0))/COUNTIF($BB150:$BE150,TRUE),0))</f>
        <v/>
      </c>
      <c r="BJ150" s="225">
        <f>IF(BB150=FALSE,"",MIN($BK150:BK150)-ROUND(($BK150-1-ROUND(80/$AZ150,0))/COUNTIF($BB150:$BE150,TRUE),0))</f>
        <v>52</v>
      </c>
      <c r="BK150" s="107">
        <f>101-ROUND(Ag!BU$7*100,0)</f>
        <v>96</v>
      </c>
      <c r="BL150" s="63">
        <v>3</v>
      </c>
      <c r="BM150" s="82">
        <f t="array" ref="BM150">MIN(BL150,INDEX([1]Basic!L$26:L$34, MATCH([1]Basic!D$5,[1]Basic!B$26:B$34,0)))</f>
        <v>3</v>
      </c>
      <c r="DT150" s="472"/>
      <c r="DU150" s="369"/>
    </row>
    <row r="151" spans="1:125" ht="13.5" thickBot="1">
      <c r="A151" s="73"/>
      <c r="B151" s="58"/>
      <c r="C151" s="58" t="e">
        <f>MAX(C150-ROUND((B150/SUM(B$139:B$149))*100,0),0)</f>
        <v>#DIV/0!</v>
      </c>
      <c r="D151" s="73"/>
      <c r="E151" s="58"/>
      <c r="F151" s="73"/>
      <c r="Z151" s="31"/>
      <c r="AA151" s="31"/>
      <c r="AB151" s="31"/>
      <c r="AC151" s="31"/>
      <c r="AD151" s="31"/>
      <c r="AE151" s="31"/>
      <c r="AF151" s="31"/>
      <c r="AG151" s="31"/>
      <c r="AH151" s="31"/>
      <c r="AI151" s="31"/>
      <c r="AK151" s="389"/>
      <c r="AL151" s="452" t="s">
        <v>277</v>
      </c>
      <c r="AM151" s="369"/>
      <c r="AN151" s="217">
        <v>6</v>
      </c>
      <c r="AO151" s="218" t="e">
        <f ca="1">ROUND(AN151*_xludf.ifs(
AND(AU151=TRUE,AW151=TRUE),1,
AU151=TRUE,AV151,
AW151=TRUE,AX151,
TRUE,1),0)</f>
        <v>#NAME?</v>
      </c>
      <c r="AP151" s="57" t="e">
        <f ca="1">ROUND(AO151/SUM(AO$32:AO$252)*AM$27,0)</f>
        <v>#NAME?</v>
      </c>
      <c r="AQ151" s="5" t="str">
        <f ca="1">IFERROR(__xludf.DUMMYFUNCTION("if(O151=0,"""",
filter(I$32:I150,row(I$32:I150)=max(filter(arrayformula(row(I$32:I150)),I$32:I150&lt;&gt;"""")))+
filter(G$32:G150,row(G$32:G150)=max(filter(arrayformula(row(G$32:G150)),G$32:G150&lt;&gt;"""")))
)"),"")</f>
        <v/>
      </c>
      <c r="AR151" s="198" t="str">
        <f ca="1">IFERROR(__xludf.DUMMYFUNCTION("if(G151="""","""",G151-(
filter(G$32:G$252,row(G$32:G$252)=max(filter(arrayformula(row(G$32:G$252)),G$32:G$252&lt;&gt;"""")))
-(10001-
filter(I$32:I$252,row(I$32:I$252)=max(filter(arrayformula(row(I$32:I$252)),I$32:I$252&lt;&gt;""""))))))"),"")</f>
        <v/>
      </c>
      <c r="AS151" s="198" t="e">
        <f ca="1">IF(AY151=0,"",ROUND(AY151/AM$3*10000,0))</f>
        <v>#NAME?</v>
      </c>
      <c r="AT151" s="237" t="b">
        <v>0</v>
      </c>
      <c r="AU151" s="57"/>
      <c r="AV151" s="220">
        <v>0</v>
      </c>
      <c r="AW151" s="82" t="b">
        <f>OR(AQ18,AQ19,AQ13:AQ14)</f>
        <v>0</v>
      </c>
      <c r="AX151" s="220">
        <v>2</v>
      </c>
      <c r="AY151" s="56" t="e">
        <f ca="1">MAX(ROUND(AP151*(AM$1/AM$27),0),IF(AT151=TRUE,1,0))</f>
        <v>#NAME?</v>
      </c>
      <c r="AZ151" s="220">
        <v>3</v>
      </c>
      <c r="BA151" s="221">
        <v>0</v>
      </c>
      <c r="BB151" s="222" t="b">
        <v>0</v>
      </c>
      <c r="BC151" s="223" t="b">
        <v>0</v>
      </c>
      <c r="BD151" s="223" t="b">
        <v>0</v>
      </c>
      <c r="BE151" s="224" t="b">
        <v>0</v>
      </c>
      <c r="BF151" s="179">
        <v>1</v>
      </c>
      <c r="BG151" s="225" t="str">
        <f>IF(BC151=FALSE,"",MIN(BH151:$BK151)-ROUND(($BK151-1-ROUND(80/$AZ151,0))/COUNTIF($BB151:$BE151,TRUE),0))</f>
        <v/>
      </c>
      <c r="BH151" s="225" t="str">
        <f>IF(BD151=FALSE,"",MIN(BI151:$BK151)-ROUND(($BK151-1-ROUND(80/$AZ151,0))/COUNTIF($BB151:$BE151,TRUE),0))</f>
        <v/>
      </c>
      <c r="BI151" s="225" t="str">
        <f>IF(BE151=FALSE,"",MIN(BJ151:$BK151)-ROUND(($BK151-1-ROUND(80/$AZ151,0))/COUNTIF($BB151:$BE151,TRUE),0))</f>
        <v/>
      </c>
      <c r="BJ151" s="225" t="str">
        <f>IF(BB151=FALSE,"",MIN($BK151:BK151)-ROUND(($BK151-1-ROUND(80/$AZ151,0))/COUNTIF($BB151:$BE151,TRUE),0))</f>
        <v/>
      </c>
      <c r="BK151" s="107">
        <f>101-ROUND(Ag!BU$7*100,0)</f>
        <v>96</v>
      </c>
      <c r="BL151" s="63">
        <v>2</v>
      </c>
      <c r="BM151" s="82">
        <f t="array" ref="BM151">MIN(BL151,INDEX([1]Basic!L$26:L$34, MATCH([1]Basic!D$5,[1]Basic!B$26:B$34,0)))</f>
        <v>2</v>
      </c>
      <c r="DT151" s="472"/>
      <c r="DU151" s="369"/>
    </row>
    <row r="152" spans="1:125" ht="15.75" customHeight="1" thickTop="1" thickBot="1">
      <c r="Z152" s="31"/>
      <c r="AA152" s="31"/>
      <c r="AB152" s="31"/>
      <c r="AC152" s="31"/>
      <c r="AD152" s="31"/>
      <c r="AE152" s="31"/>
      <c r="AF152" s="31"/>
      <c r="AG152" s="31"/>
      <c r="AH152" s="31"/>
      <c r="AI152" s="31"/>
      <c r="AK152" s="389"/>
      <c r="AL152" s="452" t="s">
        <v>283</v>
      </c>
      <c r="AM152" s="369"/>
      <c r="AN152" s="217">
        <v>10</v>
      </c>
      <c r="AO152" s="218" t="e">
        <f ca="1">ROUND(AN152*_xludf.ifs(
AND(AU152=TRUE,AW152=TRUE),1,
AU152=TRUE,AV152,
AW152=TRUE,AX152,
TRUE,1),0)</f>
        <v>#NAME?</v>
      </c>
      <c r="AP152" s="57" t="e">
        <f ca="1">ROUND(AO152/SUM(AO$32:AO$252)*AM$27,0)</f>
        <v>#NAME?</v>
      </c>
      <c r="AQ152" s="5">
        <f ca="1">IFERROR(__xludf.DUMMYFUNCTION("if(O152=0,"""",
filter(I$32:I151,row(I$32:I151)=max(filter(arrayformula(row(I$32:I151)),I$32:I151&lt;&gt;"""")))+
filter(G$32:G151,row(G$32:G151)=max(filter(arrayformula(row(G$32:G151)),G$32:G151&lt;&gt;"""")))
)"),6672)</f>
        <v>6672</v>
      </c>
      <c r="AR152" s="198">
        <f ca="1">IFERROR(__xludf.DUMMYFUNCTION("if(G152="""","""",G152-(
filter(G$32:G$252,row(G$32:G$252)=max(filter(arrayformula(row(G$32:G$252)),G$32:G$252&lt;&gt;"""")))
-(10001-
filter(I$32:I$252,row(I$32:I$252)=max(filter(arrayformula(row(I$32:I$252)),I$32:I$252&lt;&gt;""""))))))"),6665)</f>
        <v>6665</v>
      </c>
      <c r="AS152" s="198" t="e">
        <f ca="1">IF(AY152=0,"",ROUND(AY152/AM$3*10000,0))</f>
        <v>#NAME?</v>
      </c>
      <c r="AT152" s="219" t="b">
        <v>1</v>
      </c>
      <c r="AU152" s="57"/>
      <c r="AV152" s="220">
        <v>0</v>
      </c>
      <c r="AW152" s="82" t="b">
        <f>OR(AQ14,AQ18:AQ20,AU21,AU12,AU25,AU24,AU23)</f>
        <v>0</v>
      </c>
      <c r="AX152" s="220">
        <v>2</v>
      </c>
      <c r="AY152" s="56" t="e">
        <f ca="1">MAX(ROUND(AP152*(AM$1/AM$27),0),IF(AT152=TRUE,1,0))</f>
        <v>#NAME?</v>
      </c>
      <c r="AZ152" s="220">
        <v>5</v>
      </c>
      <c r="BA152" s="221">
        <v>0</v>
      </c>
      <c r="BB152" s="222" t="b">
        <v>0</v>
      </c>
      <c r="BC152" s="223" t="b">
        <v>0</v>
      </c>
      <c r="BD152" s="228" t="b">
        <v>1</v>
      </c>
      <c r="BE152" s="224" t="b">
        <v>0</v>
      </c>
      <c r="BF152" s="179">
        <v>1</v>
      </c>
      <c r="BG152" s="225" t="str">
        <f>IF(BC152=FALSE,"",MIN(BH152:$BK152)-ROUND(($BK152-1-ROUND(80/$AZ152,0))/COUNTIF($BB152:$BE152,TRUE),0))</f>
        <v/>
      </c>
      <c r="BH152" s="225">
        <f>IF(BD152=FALSE,"",MIN(BI152:$BK152)-ROUND(($BK152-1-ROUND(80/$AZ152,0))/COUNTIF($BB152:$BE152,TRUE),0))</f>
        <v>17</v>
      </c>
      <c r="BI152" s="225" t="str">
        <f>IF(BE152=FALSE,"",MIN(BJ152:$BK152)-ROUND(($BK152-1-ROUND(80/$AZ152,0))/COUNTIF($BB152:$BE152,TRUE),0))</f>
        <v/>
      </c>
      <c r="BJ152" s="225" t="str">
        <f>IF(BB152=FALSE,"",MIN($BK152:BK152)-ROUND(($BK152-1-ROUND(80/$AZ152,0))/COUNTIF($BB152:$BE152,TRUE),0))</f>
        <v/>
      </c>
      <c r="BK152" s="107">
        <f>101-ROUND(Ag!BU$7*100,0)</f>
        <v>96</v>
      </c>
      <c r="BL152" s="63">
        <v>3</v>
      </c>
      <c r="BM152" s="82">
        <f t="array" ref="BM152">MIN(BL152,INDEX([1]Basic!L$26:L$34, MATCH([1]Basic!D$5,[1]Basic!B$26:B$34,0)))</f>
        <v>3</v>
      </c>
      <c r="DT152" s="472"/>
      <c r="DU152" s="369"/>
    </row>
    <row r="153" spans="1:125" ht="14.25" thickTop="1" thickBot="1">
      <c r="A153" s="400" t="s">
        <v>725</v>
      </c>
      <c r="B153" s="354"/>
      <c r="C153" s="355"/>
      <c r="E153" s="400" t="s">
        <v>9</v>
      </c>
      <c r="F153" s="354"/>
      <c r="G153" s="355"/>
      <c r="Z153" s="31"/>
      <c r="AA153" s="31"/>
      <c r="AB153" s="31"/>
      <c r="AC153" s="31"/>
      <c r="AD153" s="31"/>
      <c r="AE153" s="31"/>
      <c r="AF153" s="31"/>
      <c r="AG153" s="31"/>
      <c r="AH153" s="31"/>
      <c r="AI153" s="31"/>
      <c r="AK153" s="389"/>
      <c r="AL153" s="452" t="s">
        <v>289</v>
      </c>
      <c r="AM153" s="369"/>
      <c r="AN153" s="217">
        <v>12</v>
      </c>
      <c r="AO153" s="218" t="e">
        <f ca="1">ROUND(AN153*_xludf.ifs(
AND(AU153=TRUE,AW153=TRUE),1,
AU153=TRUE,AV153,
AW153=TRUE,AX153,
TRUE,1),0)</f>
        <v>#NAME?</v>
      </c>
      <c r="AP153" s="57" t="e">
        <f ca="1">ROUND(AO153/SUM(AO$32:AO$252)*AM$27,0)</f>
        <v>#NAME?</v>
      </c>
      <c r="AQ153" s="5" t="str">
        <f ca="1">IFERROR(__xludf.DUMMYFUNCTION("if(O153=0,"""",
filter(I$32:I152,row(I$32:I152)=max(filter(arrayformula(row(I$32:I152)),I$32:I152&lt;&gt;"""")))+
filter(G$32:G152,row(G$32:G152)=max(filter(arrayformula(row(G$32:G152)),G$32:G152&lt;&gt;"""")))
)"),"")</f>
        <v/>
      </c>
      <c r="AR153" s="198" t="str">
        <f ca="1">IFERROR(__xludf.DUMMYFUNCTION("if(G153="""","""",G153-(
filter(G$32:G$252,row(G$32:G$252)=max(filter(arrayformula(row(G$32:G$252)),G$32:G$252&lt;&gt;"""")))
-(10001-
filter(I$32:I$252,row(I$32:I$252)=max(filter(arrayformula(row(I$32:I$252)),I$32:I$252&lt;&gt;""""))))))"),"")</f>
        <v/>
      </c>
      <c r="AS153" s="198" t="e">
        <f ca="1">IF(AY153=0,"",ROUND(AY153/AM$3*10000,0))</f>
        <v>#NAME?</v>
      </c>
      <c r="AT153" s="237" t="b">
        <v>0</v>
      </c>
      <c r="AU153" s="57"/>
      <c r="AV153" s="220">
        <v>0</v>
      </c>
      <c r="AW153" s="82" t="b">
        <f>OR(AQ22,AU18,AU21)</f>
        <v>0</v>
      </c>
      <c r="AX153" s="220">
        <v>2</v>
      </c>
      <c r="AY153" s="56" t="e">
        <f ca="1">MAX(ROUND(AP153*(AM$1/AM$27),0),IF(AT153=TRUE,1,0))</f>
        <v>#NAME?</v>
      </c>
      <c r="AZ153" s="220">
        <v>5</v>
      </c>
      <c r="BA153" s="221">
        <v>0</v>
      </c>
      <c r="BB153" s="222" t="b">
        <v>0</v>
      </c>
      <c r="BC153" s="223" t="b">
        <v>0</v>
      </c>
      <c r="BD153" s="228" t="b">
        <v>1</v>
      </c>
      <c r="BE153" s="224" t="b">
        <v>0</v>
      </c>
      <c r="BF153" s="179">
        <v>1</v>
      </c>
      <c r="BG153" s="225" t="str">
        <f>IF(BC153=FALSE,"",MIN(BH153:$BK153)-ROUND(($BK153-1-ROUND(80/$AZ153,0))/COUNTIF($BB153:$BE153,TRUE),0))</f>
        <v/>
      </c>
      <c r="BH153" s="225">
        <f>IF(BD153=FALSE,"",MIN(BI153:$BK153)-ROUND(($BK153-1-ROUND(80/$AZ153,0))/COUNTIF($BB153:$BE153,TRUE),0))</f>
        <v>17</v>
      </c>
      <c r="BI153" s="225" t="str">
        <f>IF(BE153=FALSE,"",MIN(BJ153:$BK153)-ROUND(($BK153-1-ROUND(80/$AZ153,0))/COUNTIF($BB153:$BE153,TRUE),0))</f>
        <v/>
      </c>
      <c r="BJ153" s="225" t="str">
        <f>IF(BB153=FALSE,"",MIN($BK153:BK153)-ROUND(($BK153-1-ROUND(80/$AZ153,0))/COUNTIF($BB153:$BE153,TRUE),0))</f>
        <v/>
      </c>
      <c r="BK153" s="107">
        <f>101-ROUND(Ag!BU$7*100,0)</f>
        <v>96</v>
      </c>
      <c r="BL153" s="63">
        <v>3</v>
      </c>
      <c r="BM153" s="82">
        <f t="array" ref="BM153">MIN(BL153,INDEX([1]Basic!L$26:L$34, MATCH([1]Basic!D$5,[1]Basic!B$26:B$34,0)))</f>
        <v>3</v>
      </c>
      <c r="DT153" s="472"/>
      <c r="DU153" s="369"/>
    </row>
    <row r="154" spans="1:125" ht="14.25" thickTop="1" thickBot="1">
      <c r="A154" s="68" t="s">
        <v>635</v>
      </c>
      <c r="B154" s="26" t="s">
        <v>726</v>
      </c>
      <c r="C154" s="26" t="s">
        <v>727</v>
      </c>
      <c r="F154" s="26" t="s">
        <v>721</v>
      </c>
      <c r="G154" s="26" t="s">
        <v>722</v>
      </c>
      <c r="Z154" s="31"/>
      <c r="AA154" s="31"/>
      <c r="AB154" s="31"/>
      <c r="AC154" s="31"/>
      <c r="AD154" s="31"/>
      <c r="AE154" s="31"/>
      <c r="AF154" s="31"/>
      <c r="AG154" s="31"/>
      <c r="AH154" s="31"/>
      <c r="AI154" s="31"/>
      <c r="AK154" s="389"/>
      <c r="AL154" s="452" t="s">
        <v>295</v>
      </c>
      <c r="AM154" s="369"/>
      <c r="AN154" s="217">
        <v>2</v>
      </c>
      <c r="AO154" s="218" t="e">
        <f ca="1">ROUND(AN154*_xludf.ifs(
AND(AU154=TRUE,AW154=TRUE),1,
AU154=TRUE,AV154,
AW154=TRUE,AX154,
TRUE,1),0)</f>
        <v>#NAME?</v>
      </c>
      <c r="AP154" s="57" t="e">
        <f ca="1">ROUND(AO154/SUM(AO$32:AO$252)*AM$27,0)</f>
        <v>#NAME?</v>
      </c>
      <c r="AQ154" s="5" t="str">
        <f ca="1">IFERROR(__xludf.DUMMYFUNCTION("if(O154=0,"""",
filter(I$32:I153,row(I$32:I153)=max(filter(arrayformula(row(I$32:I153)),I$32:I153&lt;&gt;"""")))+
filter(G$32:G153,row(G$32:G153)=max(filter(arrayformula(row(G$32:G153)),G$32:G153&lt;&gt;"""")))
)"),"")</f>
        <v/>
      </c>
      <c r="AR154" s="198" t="str">
        <f ca="1">IFERROR(__xludf.DUMMYFUNCTION("if(G154="""","""",G154-(
filter(G$32:G$252,row(G$32:G$252)=max(filter(arrayformula(row(G$32:G$252)),G$32:G$252&lt;&gt;"""")))
-(10001-
filter(I$32:I$252,row(I$32:I$252)=max(filter(arrayformula(row(I$32:I$252)),I$32:I$252&lt;&gt;""""))))))"),"")</f>
        <v/>
      </c>
      <c r="AS154" s="198" t="e">
        <f ca="1">IF(AY154=0,"",ROUND(AY154/AM$3*10000,0))</f>
        <v>#NAME?</v>
      </c>
      <c r="AT154" s="237" t="b">
        <v>0</v>
      </c>
      <c r="AU154" s="57"/>
      <c r="AV154" s="220">
        <v>0</v>
      </c>
      <c r="AW154" s="82" t="b">
        <f>OR(AQ8,AU21)</f>
        <v>0</v>
      </c>
      <c r="AX154" s="220">
        <v>3</v>
      </c>
      <c r="AY154" s="56" t="e">
        <f ca="1">MAX(ROUND(AP154*(AM$1/AM$27),0),IF(AT154=TRUE,1,0))</f>
        <v>#NAME?</v>
      </c>
      <c r="AZ154" s="220">
        <v>10</v>
      </c>
      <c r="BA154" s="221">
        <v>0</v>
      </c>
      <c r="BB154" s="227" t="b">
        <v>1</v>
      </c>
      <c r="BC154" s="223" t="b">
        <v>0</v>
      </c>
      <c r="BD154" s="228" t="b">
        <v>1</v>
      </c>
      <c r="BE154" s="224" t="b">
        <v>0</v>
      </c>
      <c r="BF154" s="179">
        <v>1</v>
      </c>
      <c r="BG154" s="225" t="str">
        <f>IF(BC154=FALSE,"",MIN(BH154:$BK154)-ROUND(($BK154-1-ROUND(80/$AZ154,0))/COUNTIF($BB154:$BE154,TRUE),0))</f>
        <v/>
      </c>
      <c r="BH154" s="225">
        <f>IF(BD154=FALSE,"",MIN(BI154:$BK154)-ROUND(($BK154-1-ROUND(80/$AZ154,0))/COUNTIF($BB154:$BE154,TRUE),0))</f>
        <v>8</v>
      </c>
      <c r="BI154" s="225" t="str">
        <f>IF(BE154=FALSE,"",MIN(BJ154:$BK154)-ROUND(($BK154-1-ROUND(80/$AZ154,0))/COUNTIF($BB154:$BE154,TRUE),0))</f>
        <v/>
      </c>
      <c r="BJ154" s="225">
        <f>IF(BB154=FALSE,"",MIN($BK154:BK154)-ROUND(($BK154-1-ROUND(80/$AZ154,0))/COUNTIF($BB154:$BE154,TRUE),0))</f>
        <v>52</v>
      </c>
      <c r="BK154" s="107">
        <f>101-ROUND(Ag!BU$7*100,0)</f>
        <v>96</v>
      </c>
      <c r="BL154" s="63">
        <v>3</v>
      </c>
      <c r="BM154" s="82">
        <f t="array" ref="BM154">MIN(BL154,INDEX([1]Basic!L$26:L$34, MATCH([1]Basic!D$5,[1]Basic!B$26:B$34,0)))</f>
        <v>3</v>
      </c>
      <c r="DT154" s="472"/>
      <c r="DU154" s="369"/>
    </row>
    <row r="155" spans="1:125" ht="13.5" thickTop="1">
      <c r="A155" s="71" t="str">
        <f t="array" ref="A155:A167">TRANSPOSE(C106:O106)</f>
        <v>King's Crown</v>
      </c>
      <c r="B155" s="61">
        <v>0.5</v>
      </c>
      <c r="C155" s="61">
        <v>5</v>
      </c>
      <c r="E155" s="69" t="s">
        <v>476</v>
      </c>
      <c r="F155" s="70" t="s">
        <v>153</v>
      </c>
      <c r="G155" s="70"/>
      <c r="Z155" s="31"/>
      <c r="AA155" s="31"/>
      <c r="AB155" s="31"/>
      <c r="AC155" s="31"/>
      <c r="AD155" s="31"/>
      <c r="AE155" s="31"/>
      <c r="AF155" s="31"/>
      <c r="AG155" s="31"/>
      <c r="AH155" s="31"/>
      <c r="AI155" s="31"/>
      <c r="AK155" s="389"/>
      <c r="AL155" s="452" t="s">
        <v>300</v>
      </c>
      <c r="AM155" s="369"/>
      <c r="AN155" s="217">
        <v>26</v>
      </c>
      <c r="AO155" s="218" t="e">
        <f ca="1">ROUND(AN155*_xludf.ifs(
AND(AU155=TRUE,AW155=TRUE),1,
AU155=TRUE,AV155,
AW155=TRUE,AX155,
TRUE,1),0)</f>
        <v>#NAME?</v>
      </c>
      <c r="AP155" s="57" t="e">
        <f ca="1">ROUND(AO155/SUM(AO$32:AO$252)*AM$27,0)</f>
        <v>#NAME?</v>
      </c>
      <c r="AQ155" s="5" t="str">
        <f ca="1">IFERROR(__xludf.DUMMYFUNCTION("if(O155=0,"""",
filter(I$32:I154,row(I$32:I154)=max(filter(arrayformula(row(I$32:I154)),I$32:I154&lt;&gt;"""")))+
filter(G$32:G154,row(G$32:G154)=max(filter(arrayformula(row(G$32:G154)),G$32:G154&lt;&gt;"""")))
)"),"")</f>
        <v/>
      </c>
      <c r="AR155" s="198" t="str">
        <f ca="1">IFERROR(__xludf.DUMMYFUNCTION("if(G155="""","""",G155-(
filter(G$32:G$252,row(G$32:G$252)=max(filter(arrayformula(row(G$32:G$252)),G$32:G$252&lt;&gt;"""")))
-(10001-
filter(I$32:I$252,row(I$32:I$252)=max(filter(arrayformula(row(I$32:I$252)),I$32:I$252&lt;&gt;""""))))))"),"")</f>
        <v/>
      </c>
      <c r="AS155" s="198" t="e">
        <f ca="1">IF(AY155=0,"",ROUND(AY155/AM$3*10000,0))</f>
        <v>#NAME?</v>
      </c>
      <c r="AT155" s="237" t="b">
        <v>0</v>
      </c>
      <c r="AU155" s="57"/>
      <c r="AV155" s="220">
        <v>0</v>
      </c>
      <c r="AW155" s="82" t="b">
        <f>OR(AQ22,AU18,AU21)</f>
        <v>0</v>
      </c>
      <c r="AX155" s="220">
        <v>2</v>
      </c>
      <c r="AY155" s="56" t="e">
        <f ca="1">MAX(ROUND(AP155*(AM$1/AM$27),0),IF(AT155=TRUE,1,0))</f>
        <v>#NAME?</v>
      </c>
      <c r="AZ155" s="220">
        <v>10</v>
      </c>
      <c r="BA155" s="221">
        <v>0</v>
      </c>
      <c r="BB155" s="227" t="b">
        <v>1</v>
      </c>
      <c r="BC155" s="223" t="b">
        <v>0</v>
      </c>
      <c r="BD155" s="228" t="b">
        <v>1</v>
      </c>
      <c r="BE155" s="224" t="b">
        <v>0</v>
      </c>
      <c r="BF155" s="179">
        <v>1</v>
      </c>
      <c r="BG155" s="225" t="str">
        <f>IF(BC155=FALSE,"",MIN(BH155:$BK155)-ROUND(($BK155-1-ROUND(80/$AZ155,0))/COUNTIF($BB155:$BE155,TRUE),0))</f>
        <v/>
      </c>
      <c r="BH155" s="225">
        <f>IF(BD155=FALSE,"",MIN(BI155:$BK155)-ROUND(($BK155-1-ROUND(80/$AZ155,0))/COUNTIF($BB155:$BE155,TRUE),0))</f>
        <v>8</v>
      </c>
      <c r="BI155" s="225" t="str">
        <f>IF(BE155=FALSE,"",MIN(BJ155:$BK155)-ROUND(($BK155-1-ROUND(80/$AZ155,0))/COUNTIF($BB155:$BE155,TRUE),0))</f>
        <v/>
      </c>
      <c r="BJ155" s="225">
        <f>IF(BB155=FALSE,"",MIN($BK155:BK155)-ROUND(($BK155-1-ROUND(80/$AZ155,0))/COUNTIF($BB155:$BE155,TRUE),0))</f>
        <v>52</v>
      </c>
      <c r="BK155" s="107">
        <f>101-ROUND(Ag!BU$7*100,0)</f>
        <v>96</v>
      </c>
      <c r="BL155" s="63">
        <v>3</v>
      </c>
      <c r="BM155" s="82">
        <f t="array" ref="BM155">MIN(BL155,INDEX([1]Basic!L$26:L$34, MATCH([1]Basic!D$5,[1]Basic!B$26:B$34,0)))</f>
        <v>3</v>
      </c>
      <c r="DT155" s="472"/>
      <c r="DU155" s="369"/>
    </row>
    <row r="156" spans="1:125" ht="12.75">
      <c r="A156" s="167" t="str">
        <v>Grapes</v>
      </c>
      <c r="B156" s="63">
        <v>1.6</v>
      </c>
      <c r="C156" s="63">
        <v>150</v>
      </c>
      <c r="E156" s="95" t="s">
        <v>635</v>
      </c>
      <c r="F156" s="56" t="e">
        <f t="array" aca="1" ref="F156" ca="1">_xludf.ifs(AND([1]Entry!C40:E40=""),"Roll/Choose",
[1]Entry!E40="",INDEX(A139:A151,MATCH(F155,C139:C151,-1)),
TRUE,[1]Entry!E40)</f>
        <v>#NAME?</v>
      </c>
      <c r="G156" s="56" t="e">
        <f t="array" aca="1" ref="G156" ca="1">_xludf.ifs(AND([1]Entry!C41:E41=""),"Roll/Choose",
[1]Entry!E41="",INDEX(D139:D151,MATCH(G155,F139:F151,-1)),
TRUE,[1]Entry!E41)</f>
        <v>#NAME?</v>
      </c>
      <c r="Z156" s="31"/>
      <c r="AA156" s="31"/>
      <c r="AB156" s="31"/>
      <c r="AC156" s="31"/>
      <c r="AD156" s="31"/>
      <c r="AE156" s="31"/>
      <c r="AF156" s="31"/>
      <c r="AG156" s="31"/>
      <c r="AH156" s="31"/>
      <c r="AI156" s="31"/>
      <c r="AK156" s="389"/>
      <c r="AL156" s="452" t="s">
        <v>305</v>
      </c>
      <c r="AM156" s="369"/>
      <c r="AN156" s="217">
        <v>15</v>
      </c>
      <c r="AO156" s="218" t="e">
        <f ca="1">ROUND(AN156*_xludf.ifs(
AND(AU156=TRUE,AW156=TRUE),1,
AU156=TRUE,AV156,
AW156=TRUE,AX156,
TRUE,1),0)</f>
        <v>#NAME?</v>
      </c>
      <c r="AP156" s="57" t="e">
        <f ca="1">ROUND(AO156/SUM(AO$32:AO$252)*AM$27,0)</f>
        <v>#NAME?</v>
      </c>
      <c r="AQ156" s="5" t="str">
        <f ca="1">IFERROR(__xludf.DUMMYFUNCTION("if(O156=0,"""",
filter(I$32:I155,row(I$32:I155)=max(filter(arrayformula(row(I$32:I155)),I$32:I155&lt;&gt;"""")))+
filter(G$32:G155,row(G$32:G155)=max(filter(arrayformula(row(G$32:G155)),G$32:G155&lt;&gt;"""")))
)"),"")</f>
        <v/>
      </c>
      <c r="AR156" s="198" t="str">
        <f ca="1">IFERROR(__xludf.DUMMYFUNCTION("if(G156="""","""",G156-(
filter(G$32:G$252,row(G$32:G$252)=max(filter(arrayformula(row(G$32:G$252)),G$32:G$252&lt;&gt;"""")))
-(10001-
filter(I$32:I$252,row(I$32:I$252)=max(filter(arrayformula(row(I$32:I$252)),I$32:I$252&lt;&gt;""""))))))"),"")</f>
        <v/>
      </c>
      <c r="AS156" s="198" t="e">
        <f ca="1">IF(AY156=0,"",ROUND(AY156/AM$3*10000,0))</f>
        <v>#NAME?</v>
      </c>
      <c r="AT156" s="237" t="b">
        <v>0</v>
      </c>
      <c r="AU156" s="57"/>
      <c r="AV156" s="220">
        <v>0</v>
      </c>
      <c r="AW156" s="82" t="b">
        <f>OR(AU21,AQ18,AQ19,AM8,AM21)</f>
        <v>0</v>
      </c>
      <c r="AX156" s="220">
        <v>2</v>
      </c>
      <c r="AY156" s="56" t="e">
        <f ca="1">MAX(ROUND(AP156*(AM$1/AM$27),0),IF(AT156=TRUE,1,0))</f>
        <v>#NAME?</v>
      </c>
      <c r="AZ156" s="220">
        <v>2</v>
      </c>
      <c r="BA156" s="221">
        <v>0</v>
      </c>
      <c r="BB156" s="222" t="b">
        <v>0</v>
      </c>
      <c r="BC156" s="223" t="b">
        <v>0</v>
      </c>
      <c r="BD156" s="223" t="b">
        <v>0</v>
      </c>
      <c r="BE156" s="224" t="b">
        <v>0</v>
      </c>
      <c r="BF156" s="179">
        <v>1</v>
      </c>
      <c r="BG156" s="225" t="str">
        <f>IF(BC156=FALSE,"",MIN(BH156:$BK156)-ROUND(($BK156-1-ROUND(80/$AZ156,0))/COUNTIF($BB156:$BE156,TRUE),0))</f>
        <v/>
      </c>
      <c r="BH156" s="225" t="str">
        <f>IF(BD156=FALSE,"",MIN(BI156:$BK156)-ROUND(($BK156-1-ROUND(80/$AZ156,0))/COUNTIF($BB156:$BE156,TRUE),0))</f>
        <v/>
      </c>
      <c r="BI156" s="225" t="str">
        <f>IF(BE156=FALSE,"",MIN(BJ156:$BK156)-ROUND(($BK156-1-ROUND(80/$AZ156,0))/COUNTIF($BB156:$BE156,TRUE),0))</f>
        <v/>
      </c>
      <c r="BJ156" s="225" t="str">
        <f>IF(BB156=FALSE,"",MIN($BK156:BK156)-ROUND(($BK156-1-ROUND(80/$AZ156,0))/COUNTIF($BB156:$BE156,TRUE),0))</f>
        <v/>
      </c>
      <c r="BK156" s="107">
        <f>101-ROUND(Ag!BU$7*100,0)</f>
        <v>96</v>
      </c>
      <c r="BL156" s="63">
        <v>2</v>
      </c>
      <c r="BM156" s="82">
        <f t="array" ref="BM156">MIN(BL156,INDEX([1]Basic!L$26:L$34, MATCH([1]Basic!D$5,[1]Basic!B$26:B$34,0)))</f>
        <v>2</v>
      </c>
      <c r="DT156" s="472"/>
      <c r="DU156" s="369"/>
    </row>
    <row r="157" spans="1:125" ht="12.75">
      <c r="A157" s="167" t="str">
        <v>Cotton</v>
      </c>
      <c r="B157" s="63">
        <v>0.12</v>
      </c>
      <c r="C157" s="63">
        <v>500</v>
      </c>
      <c r="E157" s="95" t="s">
        <v>636</v>
      </c>
      <c r="F157" s="56" t="e">
        <f t="array" aca="1" ref="F157" ca="1">INDEX(B139:B151,MATCH(F156,A139:A151,0))</f>
        <v>#NAME?</v>
      </c>
      <c r="G157" s="56" t="e">
        <f t="array" aca="1" ref="G157" ca="1">INDEX(B139:B151,MATCH(G156,A139:A151,0))</f>
        <v>#NAME?</v>
      </c>
      <c r="Z157" s="31"/>
      <c r="AA157" s="31"/>
      <c r="AB157" s="31"/>
      <c r="AC157" s="31"/>
      <c r="AD157" s="31"/>
      <c r="AE157" s="31"/>
      <c r="AF157" s="31"/>
      <c r="AG157" s="31"/>
      <c r="AH157" s="31"/>
      <c r="AI157" s="31"/>
      <c r="AK157" s="389"/>
      <c r="AL157" s="452" t="s">
        <v>310</v>
      </c>
      <c r="AM157" s="369"/>
      <c r="AN157" s="217">
        <v>8</v>
      </c>
      <c r="AO157" s="218" t="e">
        <f ca="1">ROUND(AN157*_xludf.ifs(
AND(AU157=TRUE,AW157=TRUE),1,
AU157=TRUE,AV157,
AW157=TRUE,AX157,
TRUE,1),0)</f>
        <v>#NAME?</v>
      </c>
      <c r="AP157" s="57" t="e">
        <f ca="1">ROUND(AO157/SUM(AO$32:AO$252)*AM$27,0)</f>
        <v>#NAME?</v>
      </c>
      <c r="AQ157" s="5" t="str">
        <f ca="1">IFERROR(__xludf.DUMMYFUNCTION("if(O157=0,"""",
filter(I$32:I156,row(I$32:I156)=max(filter(arrayformula(row(I$32:I156)),I$32:I156&lt;&gt;"""")))+
filter(G$32:G156,row(G$32:G156)=max(filter(arrayformula(row(G$32:G156)),G$32:G156&lt;&gt;"""")))
)"),"")</f>
        <v/>
      </c>
      <c r="AR157" s="198" t="str">
        <f ca="1">IFERROR(__xludf.DUMMYFUNCTION("if(G157="""","""",G157-(
filter(G$32:G$252,row(G$32:G$252)=max(filter(arrayformula(row(G$32:G$252)),G$32:G$252&lt;&gt;"""")))
-(10001-
filter(I$32:I$252,row(I$32:I$252)=max(filter(arrayformula(row(I$32:I$252)),I$32:I$252&lt;&gt;""""))))))"),"")</f>
        <v/>
      </c>
      <c r="AS157" s="198" t="e">
        <f ca="1">IF(AY157=0,"",ROUND(AY157/AM$3*10000,0))</f>
        <v>#NAME?</v>
      </c>
      <c r="AT157" s="237" t="b">
        <v>0</v>
      </c>
      <c r="AU157" s="57"/>
      <c r="AV157" s="220">
        <v>0</v>
      </c>
      <c r="AW157" s="82" t="b">
        <f>OR(AQ22,AQ17,AU24,AQ14)</f>
        <v>0</v>
      </c>
      <c r="AX157" s="220">
        <v>2</v>
      </c>
      <c r="AY157" s="56" t="e">
        <f ca="1">MAX(ROUND(AP157*(AM$1/AM$27),0),IF(AT157=TRUE,1,0))</f>
        <v>#NAME?</v>
      </c>
      <c r="AZ157" s="220">
        <v>3</v>
      </c>
      <c r="BA157" s="221">
        <v>0</v>
      </c>
      <c r="BB157" s="222" t="b">
        <v>0</v>
      </c>
      <c r="BC157" s="223" t="b">
        <v>0</v>
      </c>
      <c r="BD157" s="228" t="b">
        <v>1</v>
      </c>
      <c r="BE157" s="224" t="b">
        <v>0</v>
      </c>
      <c r="BF157" s="179">
        <v>1</v>
      </c>
      <c r="BG157" s="225" t="str">
        <f>IF(BC157=FALSE,"",MIN(BH157:$BK157)-ROUND(($BK157-1-ROUND(80/$AZ157,0))/COUNTIF($BB157:$BE157,TRUE),0))</f>
        <v/>
      </c>
      <c r="BH157" s="225">
        <f>IF(BD157=FALSE,"",MIN(BI157:$BK157)-ROUND(($BK157-1-ROUND(80/$AZ157,0))/COUNTIF($BB157:$BE157,TRUE),0))</f>
        <v>28</v>
      </c>
      <c r="BI157" s="225" t="str">
        <f>IF(BE157=FALSE,"",MIN(BJ157:$BK157)-ROUND(($BK157-1-ROUND(80/$AZ157,0))/COUNTIF($BB157:$BE157,TRUE),0))</f>
        <v/>
      </c>
      <c r="BJ157" s="225" t="str">
        <f>IF(BB157=FALSE,"",MIN($BK157:BK157)-ROUND(($BK157-1-ROUND(80/$AZ157,0))/COUNTIF($BB157:$BE157,TRUE),0))</f>
        <v/>
      </c>
      <c r="BK157" s="107">
        <f>101-ROUND(Ag!BU$7*100,0)</f>
        <v>96</v>
      </c>
      <c r="BL157" s="63">
        <v>3</v>
      </c>
      <c r="BM157" s="82">
        <f t="array" ref="BM157">MIN(BL157,INDEX([1]Basic!L$26:L$34, MATCH([1]Basic!D$5,[1]Basic!B$26:B$34,0)))</f>
        <v>3</v>
      </c>
      <c r="DT157" s="472"/>
      <c r="DU157" s="369"/>
    </row>
    <row r="158" spans="1:125" ht="12.75">
      <c r="A158" s="167" t="str">
        <v>Tobacco</v>
      </c>
      <c r="B158" s="63">
        <v>1.2</v>
      </c>
      <c r="C158" s="63">
        <v>50</v>
      </c>
      <c r="E158" s="95" t="s">
        <v>728</v>
      </c>
      <c r="F158" s="56" t="e">
        <f ca="1">ROUND(F157/SUM(F157:G157)*D21,0)</f>
        <v>#NAME?</v>
      </c>
      <c r="G158" s="56" t="e">
        <f ca="1">D21-F158</f>
        <v>#NAME?</v>
      </c>
      <c r="Z158" s="31"/>
      <c r="AA158" s="31"/>
      <c r="AB158" s="31"/>
      <c r="AC158" s="31"/>
      <c r="AD158" s="31"/>
      <c r="AE158" s="31"/>
      <c r="AF158" s="31"/>
      <c r="AG158" s="31"/>
      <c r="AH158" s="31"/>
      <c r="AI158" s="31"/>
      <c r="AK158" s="389"/>
      <c r="AL158" s="452" t="s">
        <v>315</v>
      </c>
      <c r="AM158" s="369"/>
      <c r="AN158" s="217">
        <v>14</v>
      </c>
      <c r="AO158" s="218" t="e">
        <f ca="1">ROUND(AN158*_xludf.ifs(
AND(AU158=TRUE,AW158=TRUE),1,
AU158=TRUE,AV158,
AW158=TRUE,AX158,
TRUE,1),0)</f>
        <v>#NAME?</v>
      </c>
      <c r="AP158" s="57" t="e">
        <f ca="1">ROUND(AO158/SUM(AO$32:AO$252)*AM$27,0)</f>
        <v>#NAME?</v>
      </c>
      <c r="AQ158" s="5" t="str">
        <f ca="1">IFERROR(__xludf.DUMMYFUNCTION("if(O158=0,"""",
filter(I$32:I157,row(I$32:I157)=max(filter(arrayformula(row(I$32:I157)),I$32:I157&lt;&gt;"""")))+
filter(G$32:G157,row(G$32:G157)=max(filter(arrayformula(row(G$32:G157)),G$32:G157&lt;&gt;"""")))
)"),"")</f>
        <v/>
      </c>
      <c r="AR158" s="198" t="str">
        <f ca="1">IFERROR(__xludf.DUMMYFUNCTION("if(G158="""","""",G158-(
filter(G$32:G$252,row(G$32:G$252)=max(filter(arrayformula(row(G$32:G$252)),G$32:G$252&lt;&gt;"""")))
-(10001-
filter(I$32:I$252,row(I$32:I$252)=max(filter(arrayformula(row(I$32:I$252)),I$32:I$252&lt;&gt;""""))))))"),"")</f>
        <v/>
      </c>
      <c r="AS158" s="198" t="e">
        <f ca="1">IF(AY158=0,"",ROUND(AY158/AM$3*10000,0))</f>
        <v>#NAME?</v>
      </c>
      <c r="AT158" s="237" t="b">
        <v>0</v>
      </c>
      <c r="AU158" s="57"/>
      <c r="AV158" s="220">
        <v>0</v>
      </c>
      <c r="AW158" s="82" t="b">
        <f>OR(AQ22,AU18)</f>
        <v>0</v>
      </c>
      <c r="AX158" s="220">
        <v>2</v>
      </c>
      <c r="AY158" s="56" t="e">
        <f ca="1">MAX(ROUND(AP158*(AM$1/AM$27),0),IF(AT158=TRUE,1,0))</f>
        <v>#NAME?</v>
      </c>
      <c r="AZ158" s="220">
        <v>5</v>
      </c>
      <c r="BA158" s="221">
        <v>0</v>
      </c>
      <c r="BB158" s="222" t="b">
        <v>0</v>
      </c>
      <c r="BC158" s="223" t="b">
        <v>0</v>
      </c>
      <c r="BD158" s="228" t="b">
        <v>1</v>
      </c>
      <c r="BE158" s="224" t="b">
        <v>0</v>
      </c>
      <c r="BF158" s="179">
        <v>1</v>
      </c>
      <c r="BG158" s="225" t="str">
        <f>IF(BC158=FALSE,"",MIN(BH158:$BK158)-ROUND(($BK158-1-ROUND(80/$AZ158,0))/COUNTIF($BB158:$BE158,TRUE),0))</f>
        <v/>
      </c>
      <c r="BH158" s="225">
        <f>IF(BD158=FALSE,"",MIN(BI158:$BK158)-ROUND(($BK158-1-ROUND(80/$AZ158,0))/COUNTIF($BB158:$BE158,TRUE),0))</f>
        <v>17</v>
      </c>
      <c r="BI158" s="225" t="str">
        <f>IF(BE158=FALSE,"",MIN(BJ158:$BK158)-ROUND(($BK158-1-ROUND(80/$AZ158,0))/COUNTIF($BB158:$BE158,TRUE),0))</f>
        <v/>
      </c>
      <c r="BJ158" s="225" t="str">
        <f>IF(BB158=FALSE,"",MIN($BK158:BK158)-ROUND(($BK158-1-ROUND(80/$AZ158,0))/COUNTIF($BB158:$BE158,TRUE),0))</f>
        <v/>
      </c>
      <c r="BK158" s="107">
        <f>101-ROUND(Ag!BU$7*100,0)</f>
        <v>96</v>
      </c>
      <c r="BL158" s="63">
        <v>3</v>
      </c>
      <c r="BM158" s="82">
        <f t="array" ref="BM158">MIN(BL158,INDEX([1]Basic!L$26:L$34, MATCH([1]Basic!D$5,[1]Basic!B$26:B$34,0)))</f>
        <v>3</v>
      </c>
      <c r="DT158" s="472"/>
      <c r="DU158" s="369"/>
    </row>
    <row r="159" spans="1:125" ht="13.5" thickBot="1">
      <c r="A159" s="167" t="str">
        <v>Indigo</v>
      </c>
      <c r="B159" s="63">
        <v>1.6</v>
      </c>
      <c r="C159" s="63">
        <v>50</v>
      </c>
      <c r="E159" s="95" t="s">
        <v>729</v>
      </c>
      <c r="F159" s="56" t="e">
        <f t="array" aca="1" ref="F159" ca="1">F158*INDEX(B155:B167,MATCH(F156,A155:A167,0))*F157</f>
        <v>#NAME?</v>
      </c>
      <c r="G159" s="56" t="e">
        <f t="array" aca="1" ref="G159" ca="1">G158*INDEX(B155:B167,MATCH(G156,A155:A167,0))*G157</f>
        <v>#NAME?</v>
      </c>
      <c r="Z159" s="31"/>
      <c r="AA159" s="31"/>
      <c r="AB159" s="31"/>
      <c r="AC159" s="31"/>
      <c r="AD159" s="31"/>
      <c r="AE159" s="31"/>
      <c r="AF159" s="31"/>
      <c r="AG159" s="31"/>
      <c r="AH159" s="31"/>
      <c r="AI159" s="31"/>
      <c r="AK159" s="389"/>
      <c r="AL159" s="452" t="s">
        <v>320</v>
      </c>
      <c r="AM159" s="369"/>
      <c r="AN159" s="217">
        <v>16</v>
      </c>
      <c r="AO159" s="218" t="e">
        <f ca="1">ROUND(AN159*_xludf.ifs(
AND(AU159=TRUE,AW159=TRUE),1,
AU159=TRUE,AV159,
AW159=TRUE,AX159,
TRUE,1),0)</f>
        <v>#NAME?</v>
      </c>
      <c r="AP159" s="57" t="e">
        <f ca="1">ROUND(AO159/SUM(AO$32:AO$252)*AM$27,0)</f>
        <v>#NAME?</v>
      </c>
      <c r="AQ159" s="5" t="str">
        <f ca="1">IFERROR(__xludf.DUMMYFUNCTION("if(O159=0,"""",
filter(I$32:I158,row(I$32:I158)=max(filter(arrayformula(row(I$32:I158)),I$32:I158&lt;&gt;"""")))+
filter(G$32:G158,row(G$32:G158)=max(filter(arrayformula(row(G$32:G158)),G$32:G158&lt;&gt;"""")))
)"),"")</f>
        <v/>
      </c>
      <c r="AR159" s="198" t="str">
        <f ca="1">IFERROR(__xludf.DUMMYFUNCTION("if(G159="""","""",G159-(
filter(G$32:G$252,row(G$32:G$252)=max(filter(arrayformula(row(G$32:G$252)),G$32:G$252&lt;&gt;"""")))
-(10001-
filter(I$32:I$252,row(I$32:I$252)=max(filter(arrayformula(row(I$32:I$252)),I$32:I$252&lt;&gt;""""))))))"),"")</f>
        <v/>
      </c>
      <c r="AS159" s="198" t="e">
        <f ca="1">IF(AY159=0,"",ROUND(AY159/AM$3*10000,0))</f>
        <v>#NAME?</v>
      </c>
      <c r="AT159" s="237" t="b">
        <v>0</v>
      </c>
      <c r="AU159" s="57"/>
      <c r="AV159" s="220">
        <v>0</v>
      </c>
      <c r="AW159" s="82" t="b">
        <f>OR(AU21,AU24)</f>
        <v>0</v>
      </c>
      <c r="AX159" s="220">
        <v>2</v>
      </c>
      <c r="AY159" s="56" t="e">
        <f ca="1">MAX(ROUND(AP159*(AM$1/AM$27),0),IF(AT159=TRUE,1,0))</f>
        <v>#NAME?</v>
      </c>
      <c r="AZ159" s="220">
        <v>10</v>
      </c>
      <c r="BA159" s="221">
        <v>0</v>
      </c>
      <c r="BB159" s="227" t="b">
        <v>1</v>
      </c>
      <c r="BC159" s="223" t="b">
        <v>0</v>
      </c>
      <c r="BD159" s="228" t="b">
        <v>1</v>
      </c>
      <c r="BE159" s="224" t="b">
        <v>0</v>
      </c>
      <c r="BF159" s="179">
        <v>1</v>
      </c>
      <c r="BG159" s="225" t="str">
        <f>IF(BC159=FALSE,"",MIN(BH159:$BK159)-ROUND(($BK159-1-ROUND(80/$AZ159,0))/COUNTIF($BB159:$BE159,TRUE),0))</f>
        <v/>
      </c>
      <c r="BH159" s="225">
        <f>IF(BD159=FALSE,"",MIN(BI159:$BK159)-ROUND(($BK159-1-ROUND(80/$AZ159,0))/COUNTIF($BB159:$BE159,TRUE),0))</f>
        <v>8</v>
      </c>
      <c r="BI159" s="225" t="str">
        <f>IF(BE159=FALSE,"",MIN(BJ159:$BK159)-ROUND(($BK159-1-ROUND(80/$AZ159,0))/COUNTIF($BB159:$BE159,TRUE),0))</f>
        <v/>
      </c>
      <c r="BJ159" s="225">
        <f>IF(BB159=FALSE,"",MIN($BK159:BK159)-ROUND(($BK159-1-ROUND(80/$AZ159,0))/COUNTIF($BB159:$BE159,TRUE),0))</f>
        <v>52</v>
      </c>
      <c r="BK159" s="107">
        <f>101-ROUND(Ag!BU$7*100,0)</f>
        <v>96</v>
      </c>
      <c r="BL159" s="63">
        <v>3</v>
      </c>
      <c r="BM159" s="82">
        <f t="array" ref="BM159">MIN(BL159,INDEX([1]Basic!L$26:L$34, MATCH([1]Basic!D$5,[1]Basic!B$26:B$34,0)))</f>
        <v>3</v>
      </c>
      <c r="DT159" s="481"/>
      <c r="DU159" s="361"/>
    </row>
    <row r="160" spans="1:125" ht="14.25" thickTop="1" thickBot="1">
      <c r="A160" s="167" t="str">
        <v>Coffee</v>
      </c>
      <c r="B160" s="63">
        <v>0.75</v>
      </c>
      <c r="C160" s="63">
        <v>35</v>
      </c>
      <c r="E160" s="72" t="s">
        <v>730</v>
      </c>
      <c r="F160" s="58" t="e">
        <f t="array" aca="1" ref="F160" ca="1">INDEX(C155:C167,MATCH(F156,A155:A167,0))*F159</f>
        <v>#NAME?</v>
      </c>
      <c r="G160" s="58" t="e">
        <f t="array" aca="1" ref="G160" ca="1">INDEX(C155:C167,MATCH(G156,A155:A167,0))*G159</f>
        <v>#NAME?</v>
      </c>
      <c r="Z160" s="31"/>
      <c r="AA160" s="31"/>
      <c r="AB160" s="31"/>
      <c r="AC160" s="31"/>
      <c r="AD160" s="31"/>
      <c r="AE160" s="31"/>
      <c r="AF160" s="31"/>
      <c r="AG160" s="31"/>
      <c r="AH160" s="31"/>
      <c r="AI160" s="31"/>
      <c r="AK160" s="389"/>
      <c r="AL160" s="451" t="s">
        <v>326</v>
      </c>
      <c r="AM160" s="361"/>
      <c r="AN160" s="230">
        <v>6</v>
      </c>
      <c r="AO160" s="11" t="e">
        <f ca="1">ROUND(AN160*_xludf.ifs(
AND(AU160=TRUE,AW160=TRUE),1,
AU160=TRUE,AV160,
AW160=TRUE,AX160,
TRUE,1),0)</f>
        <v>#NAME?</v>
      </c>
      <c r="AP160" s="59" t="e">
        <f ca="1">ROUND(AO160/SUM(AO$32:AO$252)*AM$27,0)</f>
        <v>#NAME?</v>
      </c>
      <c r="AQ160" s="6" t="str">
        <f ca="1">IFERROR(__xludf.DUMMYFUNCTION("if(O160=0,"""",
filter(I$32:I159,row(I$32:I159)=max(filter(arrayformula(row(I$32:I159)),I$32:I159&lt;&gt;"""")))+
filter(G$32:G159,row(G$32:G159)=max(filter(arrayformula(row(G$32:G159)),G$32:G159&lt;&gt;"""")))
)"),"")</f>
        <v/>
      </c>
      <c r="AR160" s="206" t="str">
        <f ca="1">IFERROR(__xludf.DUMMYFUNCTION("if(G160="""","""",G160-(
filter(G$32:G$252,row(G$32:G$252)=max(filter(arrayformula(row(G$32:G$252)),G$32:G$252&lt;&gt;"""")))
-(10001-
filter(I$32:I$252,row(I$32:I$252)=max(filter(arrayformula(row(I$32:I$252)),I$32:I$252&lt;&gt;""""))))))"),"")</f>
        <v/>
      </c>
      <c r="AS160" s="206" t="e">
        <f ca="1">IF(AY160=0,"",ROUND(AY160/AM$3*10000,0))</f>
        <v>#NAME?</v>
      </c>
      <c r="AT160" s="239" t="b">
        <v>0</v>
      </c>
      <c r="AU160" s="59"/>
      <c r="AV160" s="232">
        <v>0</v>
      </c>
      <c r="AW160" s="83" t="b">
        <f>OR(AU21)</f>
        <v>0</v>
      </c>
      <c r="AX160" s="232">
        <v>2</v>
      </c>
      <c r="AY160" s="58" t="e">
        <f ca="1">MAX(ROUND(AP160*(AM$1/AM$27),0),IF(AT160=TRUE,1,0))</f>
        <v>#NAME?</v>
      </c>
      <c r="AZ160" s="232">
        <v>3</v>
      </c>
      <c r="BA160" s="233">
        <v>0</v>
      </c>
      <c r="BB160" s="247" t="b">
        <v>0</v>
      </c>
      <c r="BC160" s="244" t="b">
        <v>0</v>
      </c>
      <c r="BD160" s="245" t="b">
        <v>1</v>
      </c>
      <c r="BE160" s="246" t="b">
        <v>0</v>
      </c>
      <c r="BF160" s="179">
        <v>1</v>
      </c>
      <c r="BG160" s="225" t="str">
        <f>IF(BC160=FALSE,"",MIN(BH160:$BK160)-ROUND(($BK160-1-ROUND(80/$AZ160,0))/COUNTIF($BB160:$BE160,TRUE),0))</f>
        <v/>
      </c>
      <c r="BH160" s="225">
        <f>IF(BD160=FALSE,"",MIN(BI160:$BK160)-ROUND(($BK160-1-ROUND(80/$AZ160,0))/COUNTIF($BB160:$BE160,TRUE),0))</f>
        <v>28</v>
      </c>
      <c r="BI160" s="225" t="str">
        <f>IF(BE160=FALSE,"",MIN(BJ160:$BK160)-ROUND(($BK160-1-ROUND(80/$AZ160,0))/COUNTIF($BB160:$BE160,TRUE),0))</f>
        <v/>
      </c>
      <c r="BJ160" s="225" t="str">
        <f>IF(BB160=FALSE,"",MIN($BK160:BK160)-ROUND(($BK160-1-ROUND(80/$AZ160,0))/COUNTIF($BB160:$BE160,TRUE),0))</f>
        <v/>
      </c>
      <c r="BK160" s="107">
        <f>101-ROUND(Ag!BU$7*100,0)</f>
        <v>96</v>
      </c>
      <c r="BL160" s="63">
        <v>2</v>
      </c>
      <c r="BM160" s="82">
        <f t="array" ref="BM160">MIN(BL160,INDEX([1]Basic!L$26:L$34, MATCH([1]Basic!D$5,[1]Basic!B$26:B$34,0)))</f>
        <v>2</v>
      </c>
    </row>
    <row r="161" spans="1:65" ht="13.5" thickTop="1">
      <c r="A161" s="167" t="str">
        <v>Cocao</v>
      </c>
      <c r="B161" s="63">
        <v>2</v>
      </c>
      <c r="C161" s="63">
        <v>30</v>
      </c>
      <c r="Z161" s="31"/>
      <c r="AA161" s="31"/>
      <c r="AB161" s="31"/>
      <c r="AC161" s="31"/>
      <c r="AD161" s="31"/>
      <c r="AE161" s="31"/>
      <c r="AF161" s="31"/>
      <c r="AG161" s="31"/>
      <c r="AH161" s="31"/>
      <c r="AI161" s="31"/>
      <c r="AK161" s="389"/>
      <c r="AL161" s="452" t="s">
        <v>332</v>
      </c>
      <c r="AM161" s="369"/>
      <c r="AN161" s="217">
        <v>30</v>
      </c>
      <c r="AO161" s="218" t="e">
        <f ca="1">ROUND(AN161*_xludf.ifs(
AND(AU161=TRUE,AW161=TRUE),1,
AU161=TRUE,AV161,
AW161=TRUE,AX161,
TRUE,1),0)</f>
        <v>#NAME?</v>
      </c>
      <c r="AP161" s="57" t="e">
        <f ca="1">ROUND(AO161/SUM(AO$32:AO$252)*AM$27,0)</f>
        <v>#NAME?</v>
      </c>
      <c r="AQ161" s="5" t="str">
        <f ca="1">IFERROR(__xludf.DUMMYFUNCTION("if(O161=0,"""",
filter(I$32:I160,row(I$32:I160)=max(filter(arrayformula(row(I$32:I160)),I$32:I160&lt;&gt;"""")))+
filter(G$32:G160,row(G$32:G160)=max(filter(arrayformula(row(G$32:G160)),G$32:G160&lt;&gt;"""")))
)"),"")</f>
        <v/>
      </c>
      <c r="AR161" s="198" t="str">
        <f ca="1">IFERROR(__xludf.DUMMYFUNCTION("if(G161="""","""",G161-(
filter(G$32:G$252,row(G$32:G$252)=max(filter(arrayformula(row(G$32:G$252)),G$32:G$252&lt;&gt;"""")))
-(10001-
filter(I$32:I$252,row(I$32:I$252)=max(filter(arrayformula(row(I$32:I$252)),I$32:I$252&lt;&gt;""""))))))"),"")</f>
        <v/>
      </c>
      <c r="AS161" s="198" t="e">
        <f ca="1">IF(AY161=0,"",ROUND(AY161/AM$3*10000,0))</f>
        <v>#NAME?</v>
      </c>
      <c r="AT161" s="237" t="b">
        <v>0</v>
      </c>
      <c r="AU161" s="57"/>
      <c r="AV161" s="220">
        <v>0</v>
      </c>
      <c r="AW161" s="82" t="b">
        <f>OR(AM8,AM21,AQ18,AQ19)</f>
        <v>0</v>
      </c>
      <c r="AX161" s="220">
        <v>2</v>
      </c>
      <c r="AY161" s="56" t="e">
        <f ca="1">MAX(ROUND(AP161*(AM$1/AM$27),0),IF(AT161=TRUE,1,0))</f>
        <v>#NAME?</v>
      </c>
      <c r="AZ161" s="220">
        <v>1</v>
      </c>
      <c r="BA161" s="221">
        <v>0</v>
      </c>
      <c r="BB161" s="222" t="b">
        <v>0</v>
      </c>
      <c r="BC161" s="223" t="b">
        <v>0</v>
      </c>
      <c r="BD161" s="223" t="b">
        <v>0</v>
      </c>
      <c r="BE161" s="224" t="b">
        <v>0</v>
      </c>
      <c r="BF161" s="180">
        <v>1</v>
      </c>
      <c r="BG161" s="216" t="str">
        <f>IF(BC161=FALSE,"",MIN(BH161:$BK161)-ROUND(($BK161-1-ROUND(80/$AZ161,0))/COUNTIF($BB161:$BE161,TRUE),0))</f>
        <v/>
      </c>
      <c r="BH161" s="216" t="str">
        <f>IF(BD161=FALSE,"",MIN(BI161:$BK161)-ROUND(($BK161-1-ROUND(80/$AZ161,0))/COUNTIF($BB161:$BE161,TRUE),0))</f>
        <v/>
      </c>
      <c r="BI161" s="216" t="str">
        <f>IF(BE161=FALSE,"",MIN(BJ161:$BK161)-ROUND(($BK161-1-ROUND(80/$AZ161,0))/COUNTIF($BB161:$BE161,TRUE),0))</f>
        <v/>
      </c>
      <c r="BJ161" s="216" t="str">
        <f>IF(BB161=FALSE,"",MIN($BK161:BK161)-ROUND(($BK161-1-ROUND(80/$AZ161,0))/COUNTIF($BB161:$BE161,TRUE),0))</f>
        <v/>
      </c>
      <c r="BK161" s="177">
        <f>101-ROUND(Ag!BU$7*100,0)</f>
        <v>96</v>
      </c>
      <c r="BL161" s="61">
        <v>1</v>
      </c>
      <c r="BM161" s="82">
        <f t="array" ref="BM161">MIN(BL161,INDEX([1]Basic!L$26:L$34, MATCH([1]Basic!D$5,[1]Basic!B$26:B$34,0)))</f>
        <v>1</v>
      </c>
    </row>
    <row r="162" spans="1:65" ht="12.75">
      <c r="A162" s="167" t="str">
        <v>Sugarcane</v>
      </c>
      <c r="B162" s="63">
        <v>65</v>
      </c>
      <c r="C162" s="63">
        <v>1</v>
      </c>
      <c r="Z162" s="31"/>
      <c r="AA162" s="31"/>
      <c r="AB162" s="31"/>
      <c r="AC162" s="31"/>
      <c r="AD162" s="31"/>
      <c r="AE162" s="31"/>
      <c r="AF162" s="31"/>
      <c r="AG162" s="31"/>
      <c r="AH162" s="31"/>
      <c r="AI162" s="31"/>
      <c r="AK162" s="389"/>
      <c r="AL162" s="452" t="s">
        <v>337</v>
      </c>
      <c r="AM162" s="369"/>
      <c r="AN162" s="217">
        <v>75</v>
      </c>
      <c r="AO162" s="218" t="e">
        <f ca="1">ROUND(AN162*_xludf.ifs(
AND(AU162=TRUE,AW162=TRUE),1,
AU162=TRUE,AV162,
AW162=TRUE,AX162,
TRUE,1),0)</f>
        <v>#NAME?</v>
      </c>
      <c r="AP162" s="57" t="e">
        <f ca="1">ROUND(AO162/SUM(AO$32:AO$252)*AM$27,0)</f>
        <v>#NAME?</v>
      </c>
      <c r="AQ162" s="5" t="str">
        <f ca="1">IFERROR(__xludf.DUMMYFUNCTION("if(O162=0,"""",
filter(I$32:I161,row(I$32:I161)=max(filter(arrayformula(row(I$32:I161)),I$32:I161&lt;&gt;"""")))+
filter(G$32:G161,row(G$32:G161)=max(filter(arrayformula(row(G$32:G161)),G$32:G161&lt;&gt;"""")))
)"),"")</f>
        <v/>
      </c>
      <c r="AR162" s="198" t="str">
        <f ca="1">IFERROR(__xludf.DUMMYFUNCTION("if(G162="""","""",G162-(
filter(G$32:G$252,row(G$32:G$252)=max(filter(arrayformula(row(G$32:G$252)),G$32:G$252&lt;&gt;"""")))
-(10001-
filter(I$32:I$252,row(I$32:I$252)=max(filter(arrayformula(row(I$32:I$252)),I$32:I$252&lt;&gt;""""))))))"),"")</f>
        <v/>
      </c>
      <c r="AS162" s="198" t="e">
        <f ca="1">IF(AY162=0,"",ROUND(AY162/AM$3*10000,0))</f>
        <v>#NAME?</v>
      </c>
      <c r="AT162" s="237" t="b">
        <v>0</v>
      </c>
      <c r="AU162" s="57"/>
      <c r="AV162" s="220">
        <v>0</v>
      </c>
      <c r="AW162" s="82" t="b">
        <f>OR(AQ18,AQ19)</f>
        <v>0</v>
      </c>
      <c r="AX162" s="220">
        <v>2</v>
      </c>
      <c r="AY162" s="56" t="e">
        <f ca="1">MAX(ROUND(AP162*(AM$1/AM$27),0),IF(AT162=TRUE,1,0))</f>
        <v>#NAME?</v>
      </c>
      <c r="AZ162" s="220">
        <v>3</v>
      </c>
      <c r="BA162" s="221">
        <v>0</v>
      </c>
      <c r="BB162" s="222" t="b">
        <v>0</v>
      </c>
      <c r="BC162" s="223" t="b">
        <v>0</v>
      </c>
      <c r="BD162" s="228" t="b">
        <v>1</v>
      </c>
      <c r="BE162" s="224" t="b">
        <v>0</v>
      </c>
      <c r="BF162" s="179">
        <v>1</v>
      </c>
      <c r="BG162" s="225" t="str">
        <f>IF(BC162=FALSE,"",MIN(BH162:$BK162)-ROUND(($BK162-1-ROUND(80/$AZ162,0))/COUNTIF($BB162:$BE162,TRUE),0))</f>
        <v/>
      </c>
      <c r="BH162" s="225">
        <f>IF(BD162=FALSE,"",MIN(BI162:$BK162)-ROUND(($BK162-1-ROUND(80/$AZ162,0))/COUNTIF($BB162:$BE162,TRUE),0))</f>
        <v>28</v>
      </c>
      <c r="BI162" s="225" t="str">
        <f>IF(BE162=FALSE,"",MIN(BJ162:$BK162)-ROUND(($BK162-1-ROUND(80/$AZ162,0))/COUNTIF($BB162:$BE162,TRUE),0))</f>
        <v/>
      </c>
      <c r="BJ162" s="225" t="str">
        <f>IF(BB162=FALSE,"",MIN($BK162:BK162)-ROUND(($BK162-1-ROUND(80/$AZ162,0))/COUNTIF($BB162:$BE162,TRUE),0))</f>
        <v/>
      </c>
      <c r="BK162" s="107">
        <f>101-ROUND(Ag!BU$7*100,0)</f>
        <v>96</v>
      </c>
      <c r="BL162" s="63">
        <v>3</v>
      </c>
      <c r="BM162" s="82">
        <f t="array" ref="BM162">MIN(BL162,INDEX([1]Basic!L$26:L$34, MATCH([1]Basic!D$5,[1]Basic!B$26:B$34,0)))</f>
        <v>3</v>
      </c>
    </row>
    <row r="163" spans="1:65" ht="12.75">
      <c r="A163" s="167" t="str">
        <v>Jute</v>
      </c>
      <c r="B163" s="63">
        <v>2.2000000000000002</v>
      </c>
      <c r="C163" s="63">
        <v>5</v>
      </c>
      <c r="Z163" s="31"/>
      <c r="AA163" s="31"/>
      <c r="AB163" s="31"/>
      <c r="AC163" s="31"/>
      <c r="AD163" s="31"/>
      <c r="AE163" s="31"/>
      <c r="AF163" s="31"/>
      <c r="AG163" s="31"/>
      <c r="AH163" s="31"/>
      <c r="AI163" s="31"/>
      <c r="AK163" s="389"/>
      <c r="AL163" s="452" t="s">
        <v>342</v>
      </c>
      <c r="AM163" s="369"/>
      <c r="AN163" s="217">
        <v>15</v>
      </c>
      <c r="AO163" s="218" t="e">
        <f ca="1">ROUND(AN163*_xludf.ifs(
AND(AU163=TRUE,AW163=TRUE),1,
AU163=TRUE,AV163,
AW163=TRUE,AX163,
TRUE,1),0)</f>
        <v>#NAME?</v>
      </c>
      <c r="AP163" s="57" t="e">
        <f ca="1">ROUND(AO163/SUM(AO$32:AO$252)*AM$27,0)</f>
        <v>#NAME?</v>
      </c>
      <c r="AQ163" s="5" t="str">
        <f ca="1">IFERROR(__xludf.DUMMYFUNCTION("if(O163=0,"""",
filter(I$32:I162,row(I$32:I162)=max(filter(arrayformula(row(I$32:I162)),I$32:I162&lt;&gt;"""")))+
filter(G$32:G162,row(G$32:G162)=max(filter(arrayformula(row(G$32:G162)),G$32:G162&lt;&gt;"""")))
)"),"")</f>
        <v/>
      </c>
      <c r="AR163" s="198" t="str">
        <f ca="1">IFERROR(__xludf.DUMMYFUNCTION("if(G163="""","""",G163-(
filter(G$32:G$252,row(G$32:G$252)=max(filter(arrayformula(row(G$32:G$252)),G$32:G$252&lt;&gt;"""")))
-(10001-
filter(I$32:I$252,row(I$32:I$252)=max(filter(arrayformula(row(I$32:I$252)),I$32:I$252&lt;&gt;""""))))))"),"")</f>
        <v/>
      </c>
      <c r="AS163" s="198" t="e">
        <f ca="1">IF(AY163=0,"",ROUND(AY163/AM$3*10000,0))</f>
        <v>#NAME?</v>
      </c>
      <c r="AT163" s="237" t="b">
        <v>0</v>
      </c>
      <c r="AU163" s="57"/>
      <c r="AV163" s="220">
        <v>0</v>
      </c>
      <c r="AW163" s="82" t="b">
        <f>OR(AQ18,AQ19)</f>
        <v>0</v>
      </c>
      <c r="AX163" s="220">
        <v>2</v>
      </c>
      <c r="AY163" s="56" t="e">
        <f ca="1">MAX(ROUND(AP163*(AM$1/AM$27),0),IF(AT163=TRUE,1,0))</f>
        <v>#NAME?</v>
      </c>
      <c r="AZ163" s="220">
        <v>2</v>
      </c>
      <c r="BA163" s="221">
        <v>0</v>
      </c>
      <c r="BB163" s="222" t="b">
        <v>0</v>
      </c>
      <c r="BC163" s="223" t="b">
        <v>0</v>
      </c>
      <c r="BD163" s="223" t="b">
        <v>0</v>
      </c>
      <c r="BE163" s="224" t="b">
        <v>0</v>
      </c>
      <c r="BF163" s="179">
        <v>1</v>
      </c>
      <c r="BG163" s="225" t="str">
        <f>IF(BC163=FALSE,"",MIN(BH163:$BK163)-ROUND(($BK163-1-ROUND(80/$AZ163,0))/COUNTIF($BB163:$BE163,TRUE),0))</f>
        <v/>
      </c>
      <c r="BH163" s="225" t="str">
        <f>IF(BD163=FALSE,"",MIN(BI163:$BK163)-ROUND(($BK163-1-ROUND(80/$AZ163,0))/COUNTIF($BB163:$BE163,TRUE),0))</f>
        <v/>
      </c>
      <c r="BI163" s="225" t="str">
        <f>IF(BE163=FALSE,"",MIN(BJ163:$BK163)-ROUND(($BK163-1-ROUND(80/$AZ163,0))/COUNTIF($BB163:$BE163,TRUE),0))</f>
        <v/>
      </c>
      <c r="BJ163" s="225" t="str">
        <f>IF(BB163=FALSE,"",MIN($BK163:BK163)-ROUND(($BK163-1-ROUND(80/$AZ163,0))/COUNTIF($BB163:$BE163,TRUE),0))</f>
        <v/>
      </c>
      <c r="BK163" s="107">
        <f>101-ROUND(Ag!BU$7*100,0)</f>
        <v>96</v>
      </c>
      <c r="BL163" s="63">
        <v>2</v>
      </c>
      <c r="BM163" s="82">
        <f t="array" ref="BM163">MIN(BL163,INDEX([1]Basic!L$26:L$34, MATCH([1]Basic!D$5,[1]Basic!B$26:B$34,0)))</f>
        <v>2</v>
      </c>
    </row>
    <row r="164" spans="1:65" ht="12.75">
      <c r="A164" s="167" t="str">
        <v>Poppy</v>
      </c>
      <c r="B164" s="63">
        <v>2.5000000000000001E-2</v>
      </c>
      <c r="C164" s="63">
        <v>15000</v>
      </c>
      <c r="Z164" s="31"/>
      <c r="AA164" s="31"/>
      <c r="AB164" s="31"/>
      <c r="AC164" s="31"/>
      <c r="AD164" s="31"/>
      <c r="AE164" s="31"/>
      <c r="AF164" s="31"/>
      <c r="AG164" s="31"/>
      <c r="AH164" s="31"/>
      <c r="AI164" s="31"/>
      <c r="AK164" s="389"/>
      <c r="AL164" s="452" t="s">
        <v>347</v>
      </c>
      <c r="AM164" s="369"/>
      <c r="AN164" s="217">
        <v>35</v>
      </c>
      <c r="AO164" s="218" t="e">
        <f ca="1">ROUND(AN164*_xludf.ifs(
AND(AU164=TRUE,AW164=TRUE),1,
AU164=TRUE,AV164,
AW164=TRUE,AX164,
TRUE,1),0)</f>
        <v>#NAME?</v>
      </c>
      <c r="AP164" s="57" t="e">
        <f ca="1">ROUND(AO164/SUM(AO$32:AO$252)*AM$27,0)</f>
        <v>#NAME?</v>
      </c>
      <c r="AQ164" s="5">
        <f ca="1">IFERROR(__xludf.DUMMYFUNCTION("if(O164=0,"""",
filter(I$32:I163,row(I$32:I163)=max(filter(arrayformula(row(I$32:I163)),I$32:I163&lt;&gt;"""")))+
filter(G$32:G163,row(G$32:G163)=max(filter(arrayformula(row(G$32:G163)),G$32:G163&lt;&gt;"""")))
)"),7228)</f>
        <v>7228</v>
      </c>
      <c r="AR164" s="198">
        <f ca="1">IFERROR(__xludf.DUMMYFUNCTION("if(G164="""","""",G164-(
filter(G$32:G$252,row(G$32:G$252)=max(filter(arrayformula(row(G$32:G$252)),G$32:G$252&lt;&gt;"""")))
-(10001-
filter(I$32:I$252,row(I$32:I$252)=max(filter(arrayformula(row(I$32:I$252)),I$32:I$252&lt;&gt;""""))))))"),7221)</f>
        <v>7221</v>
      </c>
      <c r="AS164" s="198" t="e">
        <f ca="1">IF(AY164=0,"",ROUND(AY164/AM$3*10000,0))</f>
        <v>#NAME?</v>
      </c>
      <c r="AT164" s="219" t="b">
        <v>1</v>
      </c>
      <c r="AU164" s="57"/>
      <c r="AV164" s="220">
        <v>0</v>
      </c>
      <c r="AW164" s="82" t="b">
        <f>OR(AQ18,AQ19)</f>
        <v>0</v>
      </c>
      <c r="AX164" s="220">
        <v>2</v>
      </c>
      <c r="AY164" s="56" t="e">
        <f ca="1">MAX(ROUND(AP164*(AM$1/AM$27),0),IF(AT164=TRUE,1,0))</f>
        <v>#NAME?</v>
      </c>
      <c r="AZ164" s="220">
        <v>5</v>
      </c>
      <c r="BA164" s="221">
        <v>0</v>
      </c>
      <c r="BB164" s="227" t="b">
        <v>1</v>
      </c>
      <c r="BC164" s="223" t="b">
        <v>0</v>
      </c>
      <c r="BD164" s="228" t="b">
        <v>1</v>
      </c>
      <c r="BE164" s="224" t="b">
        <v>0</v>
      </c>
      <c r="BF164" s="179">
        <v>1</v>
      </c>
      <c r="BG164" s="225" t="str">
        <f>IF(BC164=FALSE,"",MIN(BH164:$BK164)-ROUND(($BK164-1-ROUND(80/$AZ164,0))/COUNTIF($BB164:$BE164,TRUE),0))</f>
        <v/>
      </c>
      <c r="BH164" s="225">
        <f>IF(BD164=FALSE,"",MIN(BI164:$BK164)-ROUND(($BK164-1-ROUND(80/$AZ164,0))/COUNTIF($BB164:$BE164,TRUE),0))</f>
        <v>16</v>
      </c>
      <c r="BI164" s="225" t="str">
        <f>IF(BE164=FALSE,"",MIN(BJ164:$BK164)-ROUND(($BK164-1-ROUND(80/$AZ164,0))/COUNTIF($BB164:$BE164,TRUE),0))</f>
        <v/>
      </c>
      <c r="BJ164" s="225">
        <f>IF(BB164=FALSE,"",MIN($BK164:BK164)-ROUND(($BK164-1-ROUND(80/$AZ164,0))/COUNTIF($BB164:$BE164,TRUE),0))</f>
        <v>56</v>
      </c>
      <c r="BK164" s="107">
        <f>101-ROUND(Ag!BU$7*100,0)</f>
        <v>96</v>
      </c>
      <c r="BL164" s="63">
        <v>3</v>
      </c>
      <c r="BM164" s="82">
        <f t="array" ref="BM164">MIN(BL164,INDEX([1]Basic!L$26:L$34, MATCH([1]Basic!D$5,[1]Basic!B$26:B$34,0)))</f>
        <v>3</v>
      </c>
    </row>
    <row r="165" spans="1:65" ht="12.75">
      <c r="A165" s="167" t="str">
        <v>Hemp</v>
      </c>
      <c r="B165" s="63">
        <v>1.5</v>
      </c>
      <c r="C165" s="63">
        <v>5</v>
      </c>
      <c r="Z165" s="31"/>
      <c r="AA165" s="31"/>
      <c r="AB165" s="31"/>
      <c r="AC165" s="31"/>
      <c r="AD165" s="31"/>
      <c r="AE165" s="31"/>
      <c r="AF165" s="31"/>
      <c r="AG165" s="31"/>
      <c r="AH165" s="31"/>
      <c r="AI165" s="31"/>
      <c r="AK165" s="389"/>
      <c r="AL165" s="452" t="s">
        <v>353</v>
      </c>
      <c r="AM165" s="369"/>
      <c r="AN165" s="217">
        <v>12</v>
      </c>
      <c r="AO165" s="218" t="e">
        <f ca="1">ROUND(AN165*_xludf.ifs(
AND(AU165=TRUE,AW165=TRUE),1,
AU165=TRUE,AV165,
AW165=TRUE,AX165,
TRUE,1),0)</f>
        <v>#NAME?</v>
      </c>
      <c r="AP165" s="57" t="e">
        <f ca="1">ROUND(AO165/SUM(AO$32:AO$252)*AM$27,0)</f>
        <v>#NAME?</v>
      </c>
      <c r="AQ165" s="5" t="str">
        <f ca="1">IFERROR(__xludf.DUMMYFUNCTION("if(O165=0,"""",
filter(I$32:I164,row(I$32:I164)=max(filter(arrayformula(row(I$32:I164)),I$32:I164&lt;&gt;"""")))+
filter(G$32:G164,row(G$32:G164)=max(filter(arrayformula(row(G$32:G164)),G$32:G164&lt;&gt;"""")))
)"),"")</f>
        <v/>
      </c>
      <c r="AR165" s="198" t="str">
        <f ca="1">IFERROR(__xludf.DUMMYFUNCTION("if(G165="""","""",G165-(
filter(G$32:G$252,row(G$32:G$252)=max(filter(arrayformula(row(G$32:G$252)),G$32:G$252&lt;&gt;"""")))
-(10001-
filter(I$32:I$252,row(I$32:I$252)=max(filter(arrayformula(row(I$32:I$252)),I$32:I$252&lt;&gt;""""))))))"),"")</f>
        <v/>
      </c>
      <c r="AS165" s="198" t="e">
        <f ca="1">IF(AY165=0,"",ROUND(AY165/AM$3*10000,0))</f>
        <v>#NAME?</v>
      </c>
      <c r="AT165" s="237" t="b">
        <v>0</v>
      </c>
      <c r="AU165" s="57"/>
      <c r="AV165" s="220">
        <v>0</v>
      </c>
      <c r="AW165" s="82" t="b">
        <f>OR(AQ22)</f>
        <v>0</v>
      </c>
      <c r="AX165" s="220">
        <v>2</v>
      </c>
      <c r="AY165" s="56" t="e">
        <f ca="1">MAX(ROUND(AP165*(AM$1/AM$27),0),IF(AT165=TRUE,1,0))</f>
        <v>#NAME?</v>
      </c>
      <c r="AZ165" s="220">
        <v>5</v>
      </c>
      <c r="BA165" s="221">
        <v>0</v>
      </c>
      <c r="BB165" s="222" t="b">
        <v>0</v>
      </c>
      <c r="BC165" s="223" t="b">
        <v>0</v>
      </c>
      <c r="BD165" s="228" t="b">
        <v>1</v>
      </c>
      <c r="BE165" s="224" t="b">
        <v>0</v>
      </c>
      <c r="BF165" s="179">
        <v>1</v>
      </c>
      <c r="BG165" s="225" t="str">
        <f>IF(BC165=FALSE,"",MIN(BH165:$BK165)-ROUND(($BK165-1-ROUND(80/$AZ165,0))/COUNTIF($BB165:$BE165,TRUE),0))</f>
        <v/>
      </c>
      <c r="BH165" s="225">
        <f>IF(BD165=FALSE,"",MIN(BI165:$BK165)-ROUND(($BK165-1-ROUND(80/$AZ165,0))/COUNTIF($BB165:$BE165,TRUE),0))</f>
        <v>17</v>
      </c>
      <c r="BI165" s="225" t="str">
        <f>IF(BE165=FALSE,"",MIN(BJ165:$BK165)-ROUND(($BK165-1-ROUND(80/$AZ165,0))/COUNTIF($BB165:$BE165,TRUE),0))</f>
        <v/>
      </c>
      <c r="BJ165" s="225" t="str">
        <f>IF(BB165=FALSE,"",MIN($BK165:BK165)-ROUND(($BK165-1-ROUND(80/$AZ165,0))/COUNTIF($BB165:$BE165,TRUE),0))</f>
        <v/>
      </c>
      <c r="BK165" s="107">
        <f>101-ROUND(Ag!BU$7*100,0)</f>
        <v>96</v>
      </c>
      <c r="BL165" s="63">
        <v>3</v>
      </c>
      <c r="BM165" s="82">
        <f t="array" ref="BM165">MIN(BL165,INDEX([1]Basic!L$26:L$34, MATCH([1]Basic!D$5,[1]Basic!B$26:B$34,0)))</f>
        <v>3</v>
      </c>
    </row>
    <row r="166" spans="1:65" ht="12.75">
      <c r="A166" s="167" t="str">
        <v>Other Spice/Dye</v>
      </c>
      <c r="B166" s="63">
        <v>0.2</v>
      </c>
      <c r="C166" s="63">
        <v>800</v>
      </c>
      <c r="Z166" s="31"/>
      <c r="AA166" s="31"/>
      <c r="AB166" s="31"/>
      <c r="AC166" s="31"/>
      <c r="AD166" s="31"/>
      <c r="AE166" s="31"/>
      <c r="AF166" s="31"/>
      <c r="AG166" s="31"/>
      <c r="AH166" s="31"/>
      <c r="AI166" s="31"/>
      <c r="AK166" s="389"/>
      <c r="AL166" s="452" t="s">
        <v>357</v>
      </c>
      <c r="AM166" s="369"/>
      <c r="AN166" s="217">
        <v>50</v>
      </c>
      <c r="AO166" s="218" t="e">
        <f ca="1">ROUND(AN166*_xludf.ifs(
AND(AU166=TRUE,AW166=TRUE),1,
AU166=TRUE,AV166,
AW166=TRUE,AX166,
TRUE,1),0)</f>
        <v>#NAME?</v>
      </c>
      <c r="AP166" s="57" t="e">
        <f ca="1">ROUND(AO166/SUM(AO$32:AO$252)*AM$27,0)</f>
        <v>#NAME?</v>
      </c>
      <c r="AQ166" s="5" t="str">
        <f ca="1">IFERROR(__xludf.DUMMYFUNCTION("if(O166=0,"""",
filter(I$32:I165,row(I$32:I165)=max(filter(arrayformula(row(I$32:I165)),I$32:I165&lt;&gt;"""")))+
filter(G$32:G165,row(G$32:G165)=max(filter(arrayformula(row(G$32:G165)),G$32:G165&lt;&gt;"""")))
)"),"")</f>
        <v/>
      </c>
      <c r="AR166" s="198" t="str">
        <f ca="1">IFERROR(__xludf.DUMMYFUNCTION("if(G166="""","""",G166-(
filter(G$32:G$252,row(G$32:G$252)=max(filter(arrayformula(row(G$32:G$252)),G$32:G$252&lt;&gt;"""")))
-(10001-
filter(I$32:I$252,row(I$32:I$252)=max(filter(arrayformula(row(I$32:I$252)),I$32:I$252&lt;&gt;""""))))))"),"")</f>
        <v/>
      </c>
      <c r="AS166" s="198" t="e">
        <f ca="1">IF(AY166=0,"",ROUND(AY166/AM$3*10000,0))</f>
        <v>#NAME?</v>
      </c>
      <c r="AT166" s="237" t="b">
        <v>0</v>
      </c>
      <c r="AU166" s="57"/>
      <c r="AV166" s="220">
        <v>0</v>
      </c>
      <c r="AW166" s="82" t="b">
        <f>OR(AQ22,AU7:AU9,AU22,AQ7,AQ13)</f>
        <v>0</v>
      </c>
      <c r="AX166" s="220">
        <v>2</v>
      </c>
      <c r="AY166" s="56" t="e">
        <f ca="1">MAX(ROUND(AP166*(AM$1/AM$27),0),IF(AT166=TRUE,1,0))</f>
        <v>#NAME?</v>
      </c>
      <c r="AZ166" s="220">
        <v>5</v>
      </c>
      <c r="BA166" s="221">
        <v>0</v>
      </c>
      <c r="BB166" s="227" t="b">
        <v>1</v>
      </c>
      <c r="BC166" s="223" t="b">
        <v>0</v>
      </c>
      <c r="BD166" s="228" t="b">
        <v>1</v>
      </c>
      <c r="BE166" s="224" t="b">
        <v>0</v>
      </c>
      <c r="BF166" s="179">
        <v>1</v>
      </c>
      <c r="BG166" s="225" t="str">
        <f>IF(BC166=FALSE,"",MIN(BH166:$BK166)-ROUND(($BK166-1-ROUND(80/$AZ166,0))/COUNTIF($BB166:$BE166,TRUE),0))</f>
        <v/>
      </c>
      <c r="BH166" s="225">
        <f>IF(BD166=FALSE,"",MIN(BI166:$BK166)-ROUND(($BK166-1-ROUND(80/$AZ166,0))/COUNTIF($BB166:$BE166,TRUE),0))</f>
        <v>16</v>
      </c>
      <c r="BI166" s="225" t="str">
        <f>IF(BE166=FALSE,"",MIN(BJ166:$BK166)-ROUND(($BK166-1-ROUND(80/$AZ166,0))/COUNTIF($BB166:$BE166,TRUE),0))</f>
        <v/>
      </c>
      <c r="BJ166" s="225">
        <f>IF(BB166=FALSE,"",MIN($BK166:BK166)-ROUND(($BK166-1-ROUND(80/$AZ166,0))/COUNTIF($BB166:$BE166,TRUE),0))</f>
        <v>56</v>
      </c>
      <c r="BK166" s="107">
        <f>101-ROUND(Ag!BU$7*100,0)</f>
        <v>96</v>
      </c>
      <c r="BL166" s="63">
        <v>3</v>
      </c>
      <c r="BM166" s="82">
        <f t="array" ref="BM166">MIN(BL166,INDEX([1]Basic!L$26:L$34, MATCH([1]Basic!D$5,[1]Basic!B$26:B$34,0)))</f>
        <v>3</v>
      </c>
    </row>
    <row r="167" spans="1:65" ht="13.5" thickBot="1">
      <c r="A167" s="73" t="str">
        <v>Silk</v>
      </c>
      <c r="B167" s="66">
        <v>0.1</v>
      </c>
      <c r="C167" s="66">
        <v>800</v>
      </c>
      <c r="Z167" s="31"/>
      <c r="AA167" s="31"/>
      <c r="AB167" s="31"/>
      <c r="AC167" s="31"/>
      <c r="AD167" s="31"/>
      <c r="AE167" s="31"/>
      <c r="AF167" s="31"/>
      <c r="AG167" s="31"/>
      <c r="AH167" s="31"/>
      <c r="AI167" s="31"/>
      <c r="AK167" s="359"/>
      <c r="AL167" s="451" t="s">
        <v>361</v>
      </c>
      <c r="AM167" s="361"/>
      <c r="AN167" s="230">
        <v>10</v>
      </c>
      <c r="AO167" s="218" t="e">
        <f ca="1">ROUND(AN167*_xludf.ifs(
AND(AU167=TRUE,AW167=TRUE),1,
AU167=TRUE,AV167,
AW167=TRUE,AX167,
TRUE,1),0)</f>
        <v>#NAME?</v>
      </c>
      <c r="AP167" s="57" t="e">
        <f ca="1">ROUND(AO167/SUM(AO$32:AO$252)*AM$27,0)</f>
        <v>#NAME?</v>
      </c>
      <c r="AQ167" s="6" t="str">
        <f ca="1">IFERROR(__xludf.DUMMYFUNCTION("if(O167=0,"""",
filter(I$32:I166,row(I$32:I166)=max(filter(arrayformula(row(I$32:I166)),I$32:I166&lt;&gt;"""")))+
filter(G$32:G166,row(G$32:G166)=max(filter(arrayformula(row(G$32:G166)),G$32:G166&lt;&gt;"""")))
)"),"")</f>
        <v/>
      </c>
      <c r="AR167" s="206" t="str">
        <f ca="1">IFERROR(__xludf.DUMMYFUNCTION("if(G167="""","""",G167-(
filter(G$32:G$252,row(G$32:G$252)=max(filter(arrayformula(row(G$32:G$252)),G$32:G$252&lt;&gt;"""")))
-(10001-
filter(I$32:I$252,row(I$32:I$252)=max(filter(arrayformula(row(I$32:I$252)),I$32:I$252&lt;&gt;""""))))))"),"")</f>
        <v/>
      </c>
      <c r="AS167" s="206" t="e">
        <f ca="1">IF(AY167=0,"",ROUND(AY167/AM$3*10000,0))</f>
        <v>#NAME?</v>
      </c>
      <c r="AT167" s="239" t="b">
        <v>0</v>
      </c>
      <c r="AU167" s="59"/>
      <c r="AV167" s="232">
        <v>0</v>
      </c>
      <c r="AW167" s="83" t="b">
        <f>OR(AQ22,AQ18,AQ19)</f>
        <v>0</v>
      </c>
      <c r="AX167" s="232">
        <v>2</v>
      </c>
      <c r="AY167" s="58" t="e">
        <f ca="1">MAX(ROUND(AP167*(AM$1/AM$27),0),IF(AT167=TRUE,1,0))</f>
        <v>#NAME?</v>
      </c>
      <c r="AZ167" s="232">
        <v>3</v>
      </c>
      <c r="BA167" s="233">
        <v>0</v>
      </c>
      <c r="BB167" s="222" t="b">
        <v>0</v>
      </c>
      <c r="BC167" s="223" t="b">
        <v>0</v>
      </c>
      <c r="BD167" s="228" t="b">
        <v>1</v>
      </c>
      <c r="BE167" s="224" t="b">
        <v>0</v>
      </c>
      <c r="BF167" s="78">
        <v>1</v>
      </c>
      <c r="BG167" s="240" t="str">
        <f>IF(BC167=FALSE,"",MIN(BH167:$BK167)-ROUND(($BK167-1-ROUND(80/$AZ167,0))/COUNTIF($BB167:$BE167,TRUE),0))</f>
        <v/>
      </c>
      <c r="BH167" s="240">
        <f>IF(BD167=FALSE,"",MIN(BI167:$BK167)-ROUND(($BK167-1-ROUND(80/$AZ167,0))/COUNTIF($BB167:$BE167,TRUE),0))</f>
        <v>28</v>
      </c>
      <c r="BI167" s="240" t="str">
        <f>IF(BE167=FALSE,"",MIN(BJ167:$BK167)-ROUND(($BK167-1-ROUND(80/$AZ167,0))/COUNTIF($BB167:$BE167,TRUE),0))</f>
        <v/>
      </c>
      <c r="BJ167" s="240" t="str">
        <f>IF(BB167=FALSE,"",MIN($BK167:BK167)-ROUND(($BK167-1-ROUND(80/$AZ167,0))/COUNTIF($BB167:$BE167,TRUE),0))</f>
        <v/>
      </c>
      <c r="BK167" s="192">
        <f>101-ROUND(Ag!BU$7*100,0)</f>
        <v>96</v>
      </c>
      <c r="BL167" s="66">
        <v>3</v>
      </c>
      <c r="BM167" s="82">
        <f t="array" ref="BM167">MIN(BL167,INDEX([1]Basic!L$26:L$34, MATCH([1]Basic!D$5,[1]Basic!B$26:B$34,0)))</f>
        <v>3</v>
      </c>
    </row>
    <row r="168" spans="1:65" ht="15.75" customHeight="1" thickTop="1">
      <c r="Z168" s="31"/>
      <c r="AA168" s="31"/>
      <c r="AB168" s="31"/>
      <c r="AC168" s="31"/>
      <c r="AD168" s="31"/>
      <c r="AE168" s="31"/>
      <c r="AF168" s="31"/>
      <c r="AG168" s="31"/>
      <c r="AH168" s="31"/>
      <c r="AI168" s="31"/>
      <c r="AK168" s="453" t="s">
        <v>790</v>
      </c>
      <c r="AL168" s="452" t="s">
        <v>791</v>
      </c>
      <c r="AM168" s="369"/>
      <c r="AN168" s="217">
        <v>3</v>
      </c>
      <c r="AO168" s="54" t="e">
        <f ca="1">ROUND(AN168*_xludf.ifs(
AND(AU168=TRUE,AW168=TRUE),1,
AU168=TRUE,AV168,
AW168=TRUE,AX168,
TRUE,1),0)</f>
        <v>#NAME?</v>
      </c>
      <c r="AP168" s="118" t="e">
        <f ca="1">ROUND(AO168/SUM(AO$32:AO$252)*AM$27,0)</f>
        <v>#NAME?</v>
      </c>
      <c r="AQ168" s="5" t="str">
        <f ca="1">IFERROR(__xludf.DUMMYFUNCTION("if(O168=0,"""",
filter(I$32:I167,row(I$32:I167)=max(filter(arrayformula(row(I$32:I167)),I$32:I167&lt;&gt;"""")))+
filter(G$32:G167,row(G$32:G167)=max(filter(arrayformula(row(G$32:G167)),G$32:G167&lt;&gt;"""")))
)"),"")</f>
        <v/>
      </c>
      <c r="AR168" s="198" t="str">
        <f ca="1">IFERROR(__xludf.DUMMYFUNCTION("if(G168="""","""",G168-(
filter(G$32:G$252,row(G$32:G$252)=max(filter(arrayformula(row(G$32:G$252)),G$32:G$252&lt;&gt;"""")))
-(10001-
filter(I$32:I$252,row(I$32:I$252)=max(filter(arrayformula(row(I$32:I$252)),I$32:I$252&lt;&gt;""""))))))"),"")</f>
        <v/>
      </c>
      <c r="AS168" s="198" t="e">
        <f ca="1">IF(AY168=0,"",ROUND(AY168/AM$3*10000,0))</f>
        <v>#NAME?</v>
      </c>
      <c r="AT168" s="210" t="b">
        <v>0</v>
      </c>
      <c r="AU168" s="180" t="b">
        <f>OR(AM22)</f>
        <v>0</v>
      </c>
      <c r="AV168" s="211">
        <v>0</v>
      </c>
      <c r="AW168" s="80" t="b">
        <f>OR(AQ10,AQ11,AM8,AM21)</f>
        <v>0</v>
      </c>
      <c r="AX168" s="211">
        <v>4</v>
      </c>
      <c r="AY168" s="56" t="e">
        <f ca="1">MAX(ROUND(AP168*(AM$1/AM$27),0),IF(AT168=TRUE,1,0))</f>
        <v>#NAME?</v>
      </c>
      <c r="AZ168" s="220">
        <v>1</v>
      </c>
      <c r="BA168" s="221">
        <v>0</v>
      </c>
      <c r="BB168" s="213" t="b">
        <v>0</v>
      </c>
      <c r="BC168" s="235" t="b">
        <v>0</v>
      </c>
      <c r="BD168" s="235" t="b">
        <v>0</v>
      </c>
      <c r="BE168" s="236" t="b">
        <v>0</v>
      </c>
      <c r="BF168" s="179">
        <v>1</v>
      </c>
      <c r="BG168" s="225" t="str">
        <f>IF(BC168=FALSE,"",MIN(BH168:$BK168)-ROUND(($BK168-1-ROUND(80/$AZ168,0))/COUNTIF($BB168:$BE168,TRUE),0))</f>
        <v/>
      </c>
      <c r="BH168" s="225" t="str">
        <f>IF(BD168=FALSE,"",MIN(BI168:$BK168)-ROUND(($BK168-1-ROUND(80/$AZ168,0))/COUNTIF($BB168:$BE168,TRUE),0))</f>
        <v/>
      </c>
      <c r="BI168" s="225" t="str">
        <f>IF(BE168=FALSE,"",MIN(BJ168:$BK168)-ROUND(($BK168-1-ROUND(80/$AZ168,0))/COUNTIF($BB168:$BE168,TRUE),0))</f>
        <v/>
      </c>
      <c r="BJ168" s="225" t="str">
        <f>IF(BB168=FALSE,"",MIN($BK168:BK168)-ROUND(($BK168-1-ROUND(80/$AZ168,0))/COUNTIF($BB168:$BE168,TRUE),0))</f>
        <v/>
      </c>
      <c r="BK168" s="107">
        <f>101-ROUND(Ag!BU$7*100,0)</f>
        <v>96</v>
      </c>
      <c r="BL168" s="63">
        <v>1</v>
      </c>
      <c r="BM168" s="82">
        <f t="array" ref="BM168">MIN(BL168,INDEX([1]Basic!L$26:L$34, MATCH([1]Basic!D$5,[1]Basic!B$26:B$34,0)))</f>
        <v>1</v>
      </c>
    </row>
    <row r="169" spans="1:65" ht="15.75" customHeight="1">
      <c r="Z169" s="31"/>
      <c r="AA169" s="31"/>
      <c r="AB169" s="31"/>
      <c r="AC169" s="31"/>
      <c r="AD169" s="31"/>
      <c r="AE169" s="31"/>
      <c r="AF169" s="31"/>
      <c r="AG169" s="31"/>
      <c r="AH169" s="31"/>
      <c r="AI169" s="31"/>
      <c r="AK169" s="389"/>
      <c r="AL169" s="452" t="s">
        <v>157</v>
      </c>
      <c r="AM169" s="369"/>
      <c r="AN169" s="217">
        <v>4</v>
      </c>
      <c r="AO169" s="218" t="e">
        <f ca="1">ROUND(AN169*_xludf.ifs(
AND(AU169=TRUE,AW169=TRUE),1,
AU169=TRUE,AV169,
AW169=TRUE,AX169,
TRUE,1),0)</f>
        <v>#NAME?</v>
      </c>
      <c r="AP169" s="57" t="e">
        <f ca="1">ROUND(AO169/SUM(AO$32:AO$252)*AM$27,0)</f>
        <v>#NAME?</v>
      </c>
      <c r="AQ169" s="5" t="str">
        <f ca="1">IFERROR(__xludf.DUMMYFUNCTION("if(O169=0,"""",
filter(I$32:I168,row(I$32:I168)=max(filter(arrayformula(row(I$32:I168)),I$32:I168&lt;&gt;"""")))+
filter(G$32:G168,row(G$32:G168)=max(filter(arrayformula(row(G$32:G168)),G$32:G168&lt;&gt;"""")))
)"),"")</f>
        <v/>
      </c>
      <c r="AR169" s="198" t="str">
        <f ca="1">IFERROR(__xludf.DUMMYFUNCTION("if(G169="""","""",G169-(
filter(G$32:G$252,row(G$32:G$252)=max(filter(arrayformula(row(G$32:G$252)),G$32:G$252&lt;&gt;"""")))
-(10001-
filter(I$32:I$252,row(I$32:I$252)=max(filter(arrayformula(row(I$32:I$252)),I$32:I$252&lt;&gt;""""))))))"),"")</f>
        <v/>
      </c>
      <c r="AS169" s="198" t="e">
        <f ca="1">IF(AY169=0,"",ROUND(AY169/AM$3*10000,0))</f>
        <v>#NAME?</v>
      </c>
      <c r="AT169" s="237" t="b">
        <v>0</v>
      </c>
      <c r="AU169" s="179" t="b">
        <f>OR(AM22)</f>
        <v>0</v>
      </c>
      <c r="AV169" s="220">
        <v>0</v>
      </c>
      <c r="AW169" s="82" t="b">
        <f>OR(AQ10,AQ16)</f>
        <v>0</v>
      </c>
      <c r="AX169" s="220">
        <v>4</v>
      </c>
      <c r="AY169" s="56" t="e">
        <f ca="1">MAX(ROUND(AP169*(AM$1/AM$27),0),IF(AT169=TRUE,1,0))</f>
        <v>#NAME?</v>
      </c>
      <c r="AZ169" s="220">
        <v>5</v>
      </c>
      <c r="BA169" s="221">
        <v>0</v>
      </c>
      <c r="BB169" s="227" t="b">
        <v>1</v>
      </c>
      <c r="BC169" s="223" t="b">
        <v>0</v>
      </c>
      <c r="BD169" s="228" t="b">
        <v>1</v>
      </c>
      <c r="BE169" s="224" t="b">
        <v>0</v>
      </c>
      <c r="BF169" s="179">
        <v>1</v>
      </c>
      <c r="BG169" s="225" t="str">
        <f>IF(BC169=FALSE,"",MIN(BH169:$BK169)-ROUND(($BK169-1-ROUND(80/$AZ169,0))/COUNTIF($BB169:$BE169,TRUE),0))</f>
        <v/>
      </c>
      <c r="BH169" s="225">
        <f>IF(BD169=FALSE,"",MIN(BI169:$BK169)-ROUND(($BK169-1-ROUND(80/$AZ169,0))/COUNTIF($BB169:$BE169,TRUE),0))</f>
        <v>16</v>
      </c>
      <c r="BI169" s="225" t="str">
        <f>IF(BE169=FALSE,"",MIN(BJ169:$BK169)-ROUND(($BK169-1-ROUND(80/$AZ169,0))/COUNTIF($BB169:$BE169,TRUE),0))</f>
        <v/>
      </c>
      <c r="BJ169" s="225">
        <f>IF(BB169=FALSE,"",MIN($BK169:BK169)-ROUND(($BK169-1-ROUND(80/$AZ169,0))/COUNTIF($BB169:$BE169,TRUE),0))</f>
        <v>56</v>
      </c>
      <c r="BK169" s="107">
        <f>101-ROUND(Ag!BU$7*100,0)</f>
        <v>96</v>
      </c>
      <c r="BL169" s="63">
        <v>2</v>
      </c>
      <c r="BM169" s="82">
        <f t="array" ref="BM169">MIN(BL169,INDEX([1]Basic!L$26:L$34, MATCH([1]Basic!D$5,[1]Basic!B$26:B$34,0)))</f>
        <v>2</v>
      </c>
    </row>
    <row r="170" spans="1:65" ht="15.75" customHeight="1">
      <c r="Z170" s="31"/>
      <c r="AA170" s="31"/>
      <c r="AB170" s="31"/>
      <c r="AC170" s="31"/>
      <c r="AD170" s="31"/>
      <c r="AE170" s="31"/>
      <c r="AF170" s="31"/>
      <c r="AG170" s="31"/>
      <c r="AH170" s="31"/>
      <c r="AI170" s="31"/>
      <c r="AK170" s="389"/>
      <c r="AL170" s="452" t="s">
        <v>163</v>
      </c>
      <c r="AM170" s="369"/>
      <c r="AN170" s="217">
        <v>10</v>
      </c>
      <c r="AO170" s="218" t="e">
        <f ca="1">ROUND(AN170*_xludf.ifs(
AND(AU170=TRUE,AW170=TRUE),1,
AU170=TRUE,AV170,
AW170=TRUE,AX170,
TRUE,1),0)</f>
        <v>#NAME?</v>
      </c>
      <c r="AP170" s="57" t="e">
        <f ca="1">ROUND(AO170/SUM(AO$32:AO$252)*AM$27,0)</f>
        <v>#NAME?</v>
      </c>
      <c r="AQ170" s="5" t="str">
        <f ca="1">IFERROR(__xludf.DUMMYFUNCTION("if(O170=0,"""",
filter(I$32:I169,row(I$32:I169)=max(filter(arrayformula(row(I$32:I169)),I$32:I169&lt;&gt;"""")))+
filter(G$32:G169,row(G$32:G169)=max(filter(arrayformula(row(G$32:G169)),G$32:G169&lt;&gt;"""")))
)"),"")</f>
        <v/>
      </c>
      <c r="AR170" s="198" t="str">
        <f ca="1">IFERROR(__xludf.DUMMYFUNCTION("if(G170="""","""",G170-(
filter(G$32:G$252,row(G$32:G$252)=max(filter(arrayformula(row(G$32:G$252)),G$32:G$252&lt;&gt;"""")))
-(10001-
filter(I$32:I$252,row(I$32:I$252)=max(filter(arrayformula(row(I$32:I$252)),I$32:I$252&lt;&gt;""""))))))"),"")</f>
        <v/>
      </c>
      <c r="AS170" s="198" t="e">
        <f ca="1">IF(AY170=0,"",ROUND(AY170/AM$3*10000,0))</f>
        <v>#NAME?</v>
      </c>
      <c r="AT170" s="237" t="b">
        <v>0</v>
      </c>
      <c r="AU170" s="179" t="b">
        <f>OR(AM22)</f>
        <v>0</v>
      </c>
      <c r="AV170" s="220">
        <v>0</v>
      </c>
      <c r="AW170" s="82" t="b">
        <f>OR(AQ10,AQ22,AM21)</f>
        <v>0</v>
      </c>
      <c r="AX170" s="220">
        <v>4</v>
      </c>
      <c r="AY170" s="56" t="e">
        <f ca="1">MAX(ROUND(AP170*(AM$1/AM$27),0),IF(AT170=TRUE,1,0))</f>
        <v>#NAME?</v>
      </c>
      <c r="AZ170" s="220">
        <v>10</v>
      </c>
      <c r="BA170" s="221">
        <v>0</v>
      </c>
      <c r="BB170" s="227" t="b">
        <v>1</v>
      </c>
      <c r="BC170" s="223" t="b">
        <v>0</v>
      </c>
      <c r="BD170" s="228" t="b">
        <v>1</v>
      </c>
      <c r="BE170" s="224" t="b">
        <v>0</v>
      </c>
      <c r="BF170" s="179">
        <v>1</v>
      </c>
      <c r="BG170" s="225" t="str">
        <f>IF(BC170=FALSE,"",MIN(BH170:$BK170)-ROUND(($BK170-1-ROUND(80/$AZ170,0))/COUNTIF($BB170:$BE170,TRUE),0))</f>
        <v/>
      </c>
      <c r="BH170" s="225">
        <f>IF(BD170=FALSE,"",MIN(BI170:$BK170)-ROUND(($BK170-1-ROUND(80/$AZ170,0))/COUNTIF($BB170:$BE170,TRUE),0))</f>
        <v>8</v>
      </c>
      <c r="BI170" s="225" t="str">
        <f>IF(BE170=FALSE,"",MIN(BJ170:$BK170)-ROUND(($BK170-1-ROUND(80/$AZ170,0))/COUNTIF($BB170:$BE170,TRUE),0))</f>
        <v/>
      </c>
      <c r="BJ170" s="225">
        <f>IF(BB170=FALSE,"",MIN($BK170:BK170)-ROUND(($BK170-1-ROUND(80/$AZ170,0))/COUNTIF($BB170:$BE170,TRUE),0))</f>
        <v>52</v>
      </c>
      <c r="BK170" s="107">
        <f>101-ROUND(Ag!BU$7*100,0)</f>
        <v>96</v>
      </c>
      <c r="BL170" s="63">
        <v>2</v>
      </c>
      <c r="BM170" s="82">
        <f t="array" ref="BM170">MIN(BL170,INDEX([1]Basic!L$26:L$34, MATCH([1]Basic!D$5,[1]Basic!B$26:B$34,0)))</f>
        <v>2</v>
      </c>
    </row>
    <row r="171" spans="1:65" ht="15.75" customHeight="1">
      <c r="Z171" s="31"/>
      <c r="AA171" s="31"/>
      <c r="AB171" s="31"/>
      <c r="AC171" s="31"/>
      <c r="AD171" s="31"/>
      <c r="AE171" s="31"/>
      <c r="AF171" s="31"/>
      <c r="AG171" s="31"/>
      <c r="AH171" s="31"/>
      <c r="AI171" s="31"/>
      <c r="AK171" s="389"/>
      <c r="AL171" s="452" t="s">
        <v>168</v>
      </c>
      <c r="AM171" s="369"/>
      <c r="AN171" s="217">
        <v>8</v>
      </c>
      <c r="AO171" s="218" t="e">
        <f ca="1">ROUND(AN171*_xludf.ifs(
AND(AU171=TRUE,AW171=TRUE),1,
AU171=TRUE,AV171,
AW171=TRUE,AX171,
TRUE,1),0)</f>
        <v>#NAME?</v>
      </c>
      <c r="AP171" s="57" t="e">
        <f ca="1">ROUND(AO171/SUM(AO$32:AO$252)*AM$27,0)</f>
        <v>#NAME?</v>
      </c>
      <c r="AQ171" s="5" t="str">
        <f ca="1">IFERROR(__xludf.DUMMYFUNCTION("if(O171=0,"""",
filter(I$32:I170,row(I$32:I170)=max(filter(arrayformula(row(I$32:I170)),I$32:I170&lt;&gt;"""")))+
filter(G$32:G170,row(G$32:G170)=max(filter(arrayformula(row(G$32:G170)),G$32:G170&lt;&gt;"""")))
)"),"")</f>
        <v/>
      </c>
      <c r="AR171" s="198" t="str">
        <f ca="1">IFERROR(__xludf.DUMMYFUNCTION("if(G171="""","""",G171-(
filter(G$32:G$252,row(G$32:G$252)=max(filter(arrayformula(row(G$32:G$252)),G$32:G$252&lt;&gt;"""")))
-(10001-
filter(I$32:I$252,row(I$32:I$252)=max(filter(arrayformula(row(I$32:I$252)),I$32:I$252&lt;&gt;""""))))))"),"")</f>
        <v/>
      </c>
      <c r="AS171" s="198" t="e">
        <f ca="1">IF(AY171=0,"",ROUND(AY171/AM$3*10000,0))</f>
        <v>#NAME?</v>
      </c>
      <c r="AT171" s="237" t="b">
        <v>0</v>
      </c>
      <c r="AU171" s="179" t="b">
        <f>OR(AM22)</f>
        <v>0</v>
      </c>
      <c r="AV171" s="220">
        <v>0</v>
      </c>
      <c r="AW171" s="82" t="b">
        <f>OR(AQ11)</f>
        <v>0</v>
      </c>
      <c r="AX171" s="220">
        <v>4</v>
      </c>
      <c r="AY171" s="56" t="e">
        <f ca="1">MAX(ROUND(AP171*(AM$1/AM$27),0),IF(AT171=TRUE,1,0))</f>
        <v>#NAME?</v>
      </c>
      <c r="AZ171" s="220">
        <v>10</v>
      </c>
      <c r="BA171" s="221">
        <v>0</v>
      </c>
      <c r="BB171" s="227" t="b">
        <v>1</v>
      </c>
      <c r="BC171" s="223" t="b">
        <v>0</v>
      </c>
      <c r="BD171" s="228" t="b">
        <v>1</v>
      </c>
      <c r="BE171" s="224" t="b">
        <v>0</v>
      </c>
      <c r="BF171" s="179">
        <v>1</v>
      </c>
      <c r="BG171" s="225" t="str">
        <f>IF(BC171=FALSE,"",MIN(BH171:$BK171)-ROUND(($BK171-1-ROUND(80/$AZ171,0))/COUNTIF($BB171:$BE171,TRUE),0))</f>
        <v/>
      </c>
      <c r="BH171" s="225">
        <f>IF(BD171=FALSE,"",MIN(BI171:$BK171)-ROUND(($BK171-1-ROUND(80/$AZ171,0))/COUNTIF($BB171:$BE171,TRUE),0))</f>
        <v>8</v>
      </c>
      <c r="BI171" s="225" t="str">
        <f>IF(BE171=FALSE,"",MIN(BJ171:$BK171)-ROUND(($BK171-1-ROUND(80/$AZ171,0))/COUNTIF($BB171:$BE171,TRUE),0))</f>
        <v/>
      </c>
      <c r="BJ171" s="225">
        <f>IF(BB171=FALSE,"",MIN($BK171:BK171)-ROUND(($BK171-1-ROUND(80/$AZ171,0))/COUNTIF($BB171:$BE171,TRUE),0))</f>
        <v>52</v>
      </c>
      <c r="BK171" s="107">
        <f>101-ROUND(Ag!BU$7*100,0)</f>
        <v>96</v>
      </c>
      <c r="BL171" s="63">
        <v>2</v>
      </c>
      <c r="BM171" s="82">
        <f t="array" ref="BM171">MIN(BL171,INDEX([1]Basic!L$26:L$34, MATCH([1]Basic!D$5,[1]Basic!B$26:B$34,0)))</f>
        <v>2</v>
      </c>
    </row>
    <row r="172" spans="1:65" ht="15.75" customHeight="1">
      <c r="Z172" s="31"/>
      <c r="AA172" s="31"/>
      <c r="AB172" s="31"/>
      <c r="AC172" s="31"/>
      <c r="AD172" s="31"/>
      <c r="AE172" s="31"/>
      <c r="AF172" s="31"/>
      <c r="AG172" s="31"/>
      <c r="AH172" s="31"/>
      <c r="AI172" s="31"/>
      <c r="AK172" s="389"/>
      <c r="AL172" s="452" t="s">
        <v>173</v>
      </c>
      <c r="AM172" s="369"/>
      <c r="AN172" s="217">
        <v>3</v>
      </c>
      <c r="AO172" s="218" t="e">
        <f ca="1">ROUND(AN172*_xludf.ifs(
AND(AU172=TRUE,AW172=TRUE),1,
AU172=TRUE,AV172,
AW172=TRUE,AX172,
TRUE,1),0)</f>
        <v>#NAME?</v>
      </c>
      <c r="AP172" s="57" t="e">
        <f ca="1">ROUND(AO172/SUM(AO$32:AO$252)*AM$27,0)</f>
        <v>#NAME?</v>
      </c>
      <c r="AQ172" s="5" t="str">
        <f ca="1">IFERROR(__xludf.DUMMYFUNCTION("if(O172=0,"""",
filter(I$32:I171,row(I$32:I171)=max(filter(arrayformula(row(I$32:I171)),I$32:I171&lt;&gt;"""")))+
filter(G$32:G171,row(G$32:G171)=max(filter(arrayformula(row(G$32:G171)),G$32:G171&lt;&gt;"""")))
)"),"")</f>
        <v/>
      </c>
      <c r="AR172" s="198" t="str">
        <f ca="1">IFERROR(__xludf.DUMMYFUNCTION("if(G172="""","""",G172-(
filter(G$32:G$252,row(G$32:G$252)=max(filter(arrayformula(row(G$32:G$252)),G$32:G$252&lt;&gt;"""")))
-(10001-
filter(I$32:I$252,row(I$32:I$252)=max(filter(arrayformula(row(I$32:I$252)),I$32:I$252&lt;&gt;""""))))))"),"")</f>
        <v/>
      </c>
      <c r="AS172" s="198" t="e">
        <f ca="1">IF(AY172=0,"",ROUND(AY172/AM$3*10000,0))</f>
        <v>#NAME?</v>
      </c>
      <c r="AT172" s="237" t="b">
        <v>0</v>
      </c>
      <c r="AU172" s="179" t="b">
        <f>OR(AM22)</f>
        <v>0</v>
      </c>
      <c r="AV172" s="220">
        <v>0</v>
      </c>
      <c r="AW172" s="82" t="b">
        <f>OR(AQ10,AM21)</f>
        <v>0</v>
      </c>
      <c r="AX172" s="220">
        <v>4</v>
      </c>
      <c r="AY172" s="56" t="e">
        <f ca="1">MAX(ROUND(AP172*(AM$1/AM$27),0),IF(AT172=TRUE,1,0))</f>
        <v>#NAME?</v>
      </c>
      <c r="AZ172" s="220">
        <v>5</v>
      </c>
      <c r="BA172" s="221">
        <v>0</v>
      </c>
      <c r="BB172" s="227" t="b">
        <v>1</v>
      </c>
      <c r="BC172" s="223" t="b">
        <v>0</v>
      </c>
      <c r="BD172" s="228" t="b">
        <v>1</v>
      </c>
      <c r="BE172" s="224" t="b">
        <v>0</v>
      </c>
      <c r="BF172" s="179">
        <v>1</v>
      </c>
      <c r="BG172" s="225" t="str">
        <f>IF(BC172=FALSE,"",MIN(BH172:$BK172)-ROUND(($BK172-1-ROUND(80/$AZ172,0))/COUNTIF($BB172:$BE172,TRUE),0))</f>
        <v/>
      </c>
      <c r="BH172" s="225">
        <f>IF(BD172=FALSE,"",MIN(BI172:$BK172)-ROUND(($BK172-1-ROUND(80/$AZ172,0))/COUNTIF($BB172:$BE172,TRUE),0))</f>
        <v>16</v>
      </c>
      <c r="BI172" s="225" t="str">
        <f>IF(BE172=FALSE,"",MIN(BJ172:$BK172)-ROUND(($BK172-1-ROUND(80/$AZ172,0))/COUNTIF($BB172:$BE172,TRUE),0))</f>
        <v/>
      </c>
      <c r="BJ172" s="225">
        <f>IF(BB172=FALSE,"",MIN($BK172:BK172)-ROUND(($BK172-1-ROUND(80/$AZ172,0))/COUNTIF($BB172:$BE172,TRUE),0))</f>
        <v>56</v>
      </c>
      <c r="BK172" s="107">
        <f>101-ROUND(Ag!BU$7*100,0)</f>
        <v>96</v>
      </c>
      <c r="BL172" s="63">
        <v>2</v>
      </c>
      <c r="BM172" s="82">
        <f t="array" ref="BM172">MIN(BL172,INDEX([1]Basic!L$26:L$34, MATCH([1]Basic!D$5,[1]Basic!B$26:B$34,0)))</f>
        <v>2</v>
      </c>
    </row>
    <row r="173" spans="1:65" ht="15.75" customHeight="1">
      <c r="Z173" s="31"/>
      <c r="AA173" s="31"/>
      <c r="AB173" s="31"/>
      <c r="AC173" s="31"/>
      <c r="AD173" s="31"/>
      <c r="AE173" s="31"/>
      <c r="AF173" s="31"/>
      <c r="AG173" s="31"/>
      <c r="AH173" s="31"/>
      <c r="AI173" s="31"/>
      <c r="AK173" s="389"/>
      <c r="AL173" s="452" t="s">
        <v>178</v>
      </c>
      <c r="AM173" s="369"/>
      <c r="AN173" s="217">
        <v>6</v>
      </c>
      <c r="AO173" s="218" t="e">
        <f ca="1">ROUND(AN173*_xludf.ifs(
AND(AU173=TRUE,AW173=TRUE),1,
AU173=TRUE,AV173,
AW173=TRUE,AX173,
TRUE,1),0)</f>
        <v>#NAME?</v>
      </c>
      <c r="AP173" s="57" t="e">
        <f ca="1">ROUND(AO173/SUM(AO$32:AO$252)*AM$27,0)</f>
        <v>#NAME?</v>
      </c>
      <c r="AQ173" s="5" t="str">
        <f ca="1">IFERROR(__xludf.DUMMYFUNCTION("if(O173=0,"""",
filter(I$32:I172,row(I$32:I172)=max(filter(arrayformula(row(I$32:I172)),I$32:I172&lt;&gt;"""")))+
filter(G$32:G172,row(G$32:G172)=max(filter(arrayformula(row(G$32:G172)),G$32:G172&lt;&gt;"""")))
)"),"")</f>
        <v/>
      </c>
      <c r="AR173" s="198" t="str">
        <f ca="1">IFERROR(__xludf.DUMMYFUNCTION("if(G173="""","""",G173-(
filter(G$32:G$252,row(G$32:G$252)=max(filter(arrayformula(row(G$32:G$252)),G$32:G$252&lt;&gt;"""")))
-(10001-
filter(I$32:I$252,row(I$32:I$252)=max(filter(arrayformula(row(I$32:I$252)),I$32:I$252&lt;&gt;""""))))))"),"")</f>
        <v/>
      </c>
      <c r="AS173" s="198" t="e">
        <f ca="1">IF(AY173=0,"",ROUND(AY173/AM$3*10000,0))</f>
        <v>#NAME?</v>
      </c>
      <c r="AT173" s="237" t="b">
        <v>0</v>
      </c>
      <c r="AU173" s="179" t="b">
        <f>OR(AM20)</f>
        <v>0</v>
      </c>
      <c r="AV173" s="220">
        <v>0</v>
      </c>
      <c r="AW173" s="82" t="b">
        <f>OR(AQ9,AQ22)</f>
        <v>0</v>
      </c>
      <c r="AX173" s="220">
        <v>4</v>
      </c>
      <c r="AY173" s="56" t="e">
        <f ca="1">MAX(ROUND(AP173*(AM$1/AM$27),0),IF(AT173=TRUE,1,0))</f>
        <v>#NAME?</v>
      </c>
      <c r="AZ173" s="220">
        <v>10</v>
      </c>
      <c r="BA173" s="221">
        <v>0</v>
      </c>
      <c r="BB173" s="227" t="b">
        <v>1</v>
      </c>
      <c r="BC173" s="223" t="b">
        <v>0</v>
      </c>
      <c r="BD173" s="228" t="b">
        <v>1</v>
      </c>
      <c r="BE173" s="224" t="b">
        <v>0</v>
      </c>
      <c r="BF173" s="179">
        <v>1</v>
      </c>
      <c r="BG173" s="225" t="str">
        <f>IF(BC173=FALSE,"",MIN(BH173:$BK173)-ROUND(($BK173-1-ROUND(80/$AZ173,0))/COUNTIF($BB173:$BE173,TRUE),0))</f>
        <v/>
      </c>
      <c r="BH173" s="225">
        <f>IF(BD173=FALSE,"",MIN(BI173:$BK173)-ROUND(($BK173-1-ROUND(80/$AZ173,0))/COUNTIF($BB173:$BE173,TRUE),0))</f>
        <v>8</v>
      </c>
      <c r="BI173" s="225" t="str">
        <f>IF(BE173=FALSE,"",MIN(BJ173:$BK173)-ROUND(($BK173-1-ROUND(80/$AZ173,0))/COUNTIF($BB173:$BE173,TRUE),0))</f>
        <v/>
      </c>
      <c r="BJ173" s="225">
        <f>IF(BB173=FALSE,"",MIN($BK173:BK173)-ROUND(($BK173-1-ROUND(80/$AZ173,0))/COUNTIF($BB173:$BE173,TRUE),0))</f>
        <v>52</v>
      </c>
      <c r="BK173" s="107">
        <f>101-ROUND(Ag!BU$7*100,0)</f>
        <v>96</v>
      </c>
      <c r="BL173" s="63">
        <v>2</v>
      </c>
      <c r="BM173" s="82">
        <f t="array" ref="BM173">MIN(BL173,INDEX([1]Basic!L$26:L$34, MATCH([1]Basic!D$5,[1]Basic!B$26:B$34,0)))</f>
        <v>2</v>
      </c>
    </row>
    <row r="174" spans="1:65" ht="15.75" customHeight="1">
      <c r="Z174" s="31"/>
      <c r="AA174" s="31"/>
      <c r="AB174" s="31"/>
      <c r="AC174" s="31"/>
      <c r="AD174" s="31"/>
      <c r="AE174" s="31"/>
      <c r="AF174" s="31"/>
      <c r="AG174" s="31"/>
      <c r="AH174" s="31"/>
      <c r="AI174" s="31"/>
      <c r="AK174" s="389"/>
      <c r="AL174" s="452" t="s">
        <v>183</v>
      </c>
      <c r="AM174" s="369"/>
      <c r="AN174" s="217">
        <v>6</v>
      </c>
      <c r="AO174" s="218" t="e">
        <f ca="1">ROUND(AN174*_xludf.ifs(
AND(AU174=TRUE,AW174=TRUE),1,
AU174=TRUE,AV174,
AW174=TRUE,AX174,
TRUE,1),0)</f>
        <v>#NAME?</v>
      </c>
      <c r="AP174" s="57" t="e">
        <f ca="1">ROUND(AO174/SUM(AO$32:AO$252)*AM$27,0)</f>
        <v>#NAME?</v>
      </c>
      <c r="AQ174" s="5" t="str">
        <f ca="1">IFERROR(__xludf.DUMMYFUNCTION("if(O174=0,"""",
filter(I$32:I173,row(I$32:I173)=max(filter(arrayformula(row(I$32:I173)),I$32:I173&lt;&gt;"""")))+
filter(G$32:G173,row(G$32:G173)=max(filter(arrayformula(row(G$32:G173)),G$32:G173&lt;&gt;"""")))
)"),"")</f>
        <v/>
      </c>
      <c r="AR174" s="198" t="str">
        <f ca="1">IFERROR(__xludf.DUMMYFUNCTION("if(G174="""","""",G174-(
filter(G$32:G$252,row(G$32:G$252)=max(filter(arrayformula(row(G$32:G$252)),G$32:G$252&lt;&gt;"""")))
-(10001-
filter(I$32:I$252,row(I$32:I$252)=max(filter(arrayformula(row(I$32:I$252)),I$32:I$252&lt;&gt;""""))))))"),"")</f>
        <v/>
      </c>
      <c r="AS174" s="198" t="e">
        <f ca="1">IF(AY174=0,"",ROUND(AY174/AM$3*10000,0))</f>
        <v>#NAME?</v>
      </c>
      <c r="AT174" s="237" t="b">
        <v>0</v>
      </c>
      <c r="AU174" s="179" t="b">
        <f>OR(AM20,AM7)</f>
        <v>0</v>
      </c>
      <c r="AV174" s="220">
        <v>0</v>
      </c>
      <c r="AW174" s="82" t="b">
        <f>OR(AQ9,AQ22,AM21,AM8)</f>
        <v>0</v>
      </c>
      <c r="AX174" s="220">
        <v>4</v>
      </c>
      <c r="AY174" s="56" t="e">
        <f ca="1">MAX(ROUND(AP174*(AM$1/AM$27),0),IF(AT174=TRUE,1,0))</f>
        <v>#NAME?</v>
      </c>
      <c r="AZ174" s="220">
        <v>10</v>
      </c>
      <c r="BA174" s="221">
        <v>0</v>
      </c>
      <c r="BB174" s="227" t="b">
        <v>1</v>
      </c>
      <c r="BC174" s="223" t="b">
        <v>0</v>
      </c>
      <c r="BD174" s="228" t="b">
        <v>1</v>
      </c>
      <c r="BE174" s="224" t="b">
        <v>0</v>
      </c>
      <c r="BF174" s="179">
        <v>1</v>
      </c>
      <c r="BG174" s="225" t="str">
        <f>IF(BC174=FALSE,"",MIN(BH174:$BK174)-ROUND(($BK174-1-ROUND(80/$AZ174,0))/COUNTIF($BB174:$BE174,TRUE),0))</f>
        <v/>
      </c>
      <c r="BH174" s="225">
        <f>IF(BD174=FALSE,"",MIN(BI174:$BK174)-ROUND(($BK174-1-ROUND(80/$AZ174,0))/COUNTIF($BB174:$BE174,TRUE),0))</f>
        <v>8</v>
      </c>
      <c r="BI174" s="225" t="str">
        <f>IF(BE174=FALSE,"",MIN(BJ174:$BK174)-ROUND(($BK174-1-ROUND(80/$AZ174,0))/COUNTIF($BB174:$BE174,TRUE),0))</f>
        <v/>
      </c>
      <c r="BJ174" s="225">
        <f>IF(BB174=FALSE,"",MIN($BK174:BK174)-ROUND(($BK174-1-ROUND(80/$AZ174,0))/COUNTIF($BB174:$BE174,TRUE),0))</f>
        <v>52</v>
      </c>
      <c r="BK174" s="107">
        <f>101-ROUND(Ag!BU$7*100,0)</f>
        <v>96</v>
      </c>
      <c r="BL174" s="63">
        <v>2</v>
      </c>
      <c r="BM174" s="82">
        <f t="array" ref="BM174">MIN(BL174,INDEX([1]Basic!L$26:L$34, MATCH([1]Basic!D$5,[1]Basic!B$26:B$34,0)))</f>
        <v>2</v>
      </c>
    </row>
    <row r="175" spans="1:65" ht="15.75" customHeight="1">
      <c r="Z175" s="31"/>
      <c r="AA175" s="31"/>
      <c r="AB175" s="31"/>
      <c r="AC175" s="31"/>
      <c r="AD175" s="31"/>
      <c r="AE175" s="31"/>
      <c r="AF175" s="31"/>
      <c r="AG175" s="31"/>
      <c r="AH175" s="31"/>
      <c r="AI175" s="31"/>
      <c r="AK175" s="389"/>
      <c r="AL175" s="452" t="s">
        <v>188</v>
      </c>
      <c r="AM175" s="369"/>
      <c r="AN175" s="217">
        <v>6</v>
      </c>
      <c r="AO175" s="218" t="e">
        <f ca="1">ROUND(AN175*_xludf.ifs(
AND(AU175=TRUE,AW175=TRUE),1,
AU175=TRUE,AV175,
AW175=TRUE,AX175,
TRUE,1),0)</f>
        <v>#NAME?</v>
      </c>
      <c r="AP175" s="57" t="e">
        <f ca="1">ROUND(AO175/SUM(AO$32:AO$252)*AM$27,0)</f>
        <v>#NAME?</v>
      </c>
      <c r="AQ175" s="5" t="str">
        <f ca="1">IFERROR(__xludf.DUMMYFUNCTION("if(O175=0,"""",
filter(I$32:I174,row(I$32:I174)=max(filter(arrayformula(row(I$32:I174)),I$32:I174&lt;&gt;"""")))+
filter(G$32:G174,row(G$32:G174)=max(filter(arrayformula(row(G$32:G174)),G$32:G174&lt;&gt;"""")))
)"),"")</f>
        <v/>
      </c>
      <c r="AR175" s="198" t="str">
        <f ca="1">IFERROR(__xludf.DUMMYFUNCTION("if(G175="""","""",G175-(
filter(G$32:G$252,row(G$32:G$252)=max(filter(arrayformula(row(G$32:G$252)),G$32:G$252&lt;&gt;"""")))
-(10001-
filter(I$32:I$252,row(I$32:I$252)=max(filter(arrayformula(row(I$32:I$252)),I$32:I$252&lt;&gt;""""))))))"),"")</f>
        <v/>
      </c>
      <c r="AS175" s="198" t="e">
        <f ca="1">IF(AY175=0,"",ROUND(AY175/AM$3*10000,0))</f>
        <v>#NAME?</v>
      </c>
      <c r="AT175" s="237" t="b">
        <v>0</v>
      </c>
      <c r="AU175" s="179" t="b">
        <f>OR(AM20)</f>
        <v>0</v>
      </c>
      <c r="AV175" s="220">
        <v>0</v>
      </c>
      <c r="AW175" s="82" t="b">
        <f>OR(AQ9,AM21,AM8,AQ22)</f>
        <v>0</v>
      </c>
      <c r="AX175" s="220">
        <v>4</v>
      </c>
      <c r="AY175" s="56" t="e">
        <f ca="1">MAX(ROUND(AP175*(AM$1/AM$27),0),IF(AT175=TRUE,1,0))</f>
        <v>#NAME?</v>
      </c>
      <c r="AZ175" s="220">
        <v>5</v>
      </c>
      <c r="BA175" s="221">
        <v>0</v>
      </c>
      <c r="BB175" s="227" t="b">
        <v>1</v>
      </c>
      <c r="BC175" s="223" t="b">
        <v>0</v>
      </c>
      <c r="BD175" s="228" t="b">
        <v>1</v>
      </c>
      <c r="BE175" s="224" t="b">
        <v>0</v>
      </c>
      <c r="BF175" s="179">
        <v>1</v>
      </c>
      <c r="BG175" s="225" t="str">
        <f>IF(BC175=FALSE,"",MIN(BH175:$BK175)-ROUND(($BK175-1-ROUND(80/$AZ175,0))/COUNTIF($BB175:$BE175,TRUE),0))</f>
        <v/>
      </c>
      <c r="BH175" s="225">
        <f>IF(BD175=FALSE,"",MIN(BI175:$BK175)-ROUND(($BK175-1-ROUND(80/$AZ175,0))/COUNTIF($BB175:$BE175,TRUE),0))</f>
        <v>16</v>
      </c>
      <c r="BI175" s="225" t="str">
        <f>IF(BE175=FALSE,"",MIN(BJ175:$BK175)-ROUND(($BK175-1-ROUND(80/$AZ175,0))/COUNTIF($BB175:$BE175,TRUE),0))</f>
        <v/>
      </c>
      <c r="BJ175" s="225">
        <f>IF(BB175=FALSE,"",MIN($BK175:BK175)-ROUND(($BK175-1-ROUND(80/$AZ175,0))/COUNTIF($BB175:$BE175,TRUE),0))</f>
        <v>56</v>
      </c>
      <c r="BK175" s="107">
        <f>101-ROUND(Ag!BU$7*100,0)</f>
        <v>96</v>
      </c>
      <c r="BL175" s="63">
        <v>2</v>
      </c>
      <c r="BM175" s="82">
        <f t="array" ref="BM175">MIN(BL175,INDEX([1]Basic!L$26:L$34, MATCH([1]Basic!D$5,[1]Basic!B$26:B$34,0)))</f>
        <v>2</v>
      </c>
    </row>
    <row r="176" spans="1:65" ht="15.75" customHeight="1">
      <c r="Z176" s="31"/>
      <c r="AA176" s="31"/>
      <c r="AB176" s="31"/>
      <c r="AC176" s="31"/>
      <c r="AD176" s="31"/>
      <c r="AE176" s="31"/>
      <c r="AF176" s="31"/>
      <c r="AG176" s="31"/>
      <c r="AH176" s="31"/>
      <c r="AI176" s="31"/>
      <c r="AK176" s="389"/>
      <c r="AL176" s="452" t="s">
        <v>194</v>
      </c>
      <c r="AM176" s="369"/>
      <c r="AN176" s="217">
        <v>7</v>
      </c>
      <c r="AO176" s="218" t="e">
        <f ca="1">ROUND(AN176*_xludf.ifs(
AND(AU176=TRUE,AW176=TRUE),1,
AU176=TRUE,AV176,
AW176=TRUE,AX176,
TRUE,1),0)</f>
        <v>#NAME?</v>
      </c>
      <c r="AP176" s="57" t="e">
        <f ca="1">ROUND(AO176/SUM(AO$32:AO$252)*AM$27,0)</f>
        <v>#NAME?</v>
      </c>
      <c r="AQ176" s="5" t="str">
        <f ca="1">IFERROR(__xludf.DUMMYFUNCTION("if(O176=0,"""",
filter(I$32:I175,row(I$32:I175)=max(filter(arrayformula(row(I$32:I175)),I$32:I175&lt;&gt;"""")))+
filter(G$32:G175,row(G$32:G175)=max(filter(arrayformula(row(G$32:G175)),G$32:G175&lt;&gt;"""")))
)"),"")</f>
        <v/>
      </c>
      <c r="AR176" s="198" t="str">
        <f ca="1">IFERROR(__xludf.DUMMYFUNCTION("if(G176="""","""",G176-(
filter(G$32:G$252,row(G$32:G$252)=max(filter(arrayformula(row(G$32:G$252)),G$32:G$252&lt;&gt;"""")))
-(10001-
filter(I$32:I$252,row(I$32:I$252)=max(filter(arrayformula(row(I$32:I$252)),I$32:I$252&lt;&gt;""""))))))"),"")</f>
        <v/>
      </c>
      <c r="AS176" s="198" t="e">
        <f ca="1">IF(AY176=0,"",ROUND(AY176/AM$3*10000,0))</f>
        <v>#NAME?</v>
      </c>
      <c r="AT176" s="237" t="b">
        <v>0</v>
      </c>
      <c r="AU176" s="179" t="b">
        <f>OR(AM20)</f>
        <v>0</v>
      </c>
      <c r="AV176" s="220">
        <v>0.01</v>
      </c>
      <c r="AW176" s="82" t="b">
        <f>OR(AQ9,AQ22,AM8,AM21)</f>
        <v>0</v>
      </c>
      <c r="AX176" s="220">
        <v>4</v>
      </c>
      <c r="AY176" s="56" t="e">
        <f ca="1">MAX(ROUND(AP176*(AM$1/AM$27),0),IF(AT176=TRUE,1,0))</f>
        <v>#NAME?</v>
      </c>
      <c r="AZ176" s="220">
        <v>5</v>
      </c>
      <c r="BA176" s="221">
        <v>0</v>
      </c>
      <c r="BB176" s="227" t="b">
        <v>1</v>
      </c>
      <c r="BC176" s="223" t="b">
        <v>0</v>
      </c>
      <c r="BD176" s="228" t="b">
        <v>1</v>
      </c>
      <c r="BE176" s="224" t="b">
        <v>0</v>
      </c>
      <c r="BF176" s="179">
        <v>1</v>
      </c>
      <c r="BG176" s="225" t="str">
        <f>IF(BC176=FALSE,"",MIN(BH176:$BK176)-ROUND(($BK176-1-ROUND(80/$AZ176,0))/COUNTIF($BB176:$BE176,TRUE),0))</f>
        <v/>
      </c>
      <c r="BH176" s="225">
        <f>IF(BD176=FALSE,"",MIN(BI176:$BK176)-ROUND(($BK176-1-ROUND(80/$AZ176,0))/COUNTIF($BB176:$BE176,TRUE),0))</f>
        <v>16</v>
      </c>
      <c r="BI176" s="225" t="str">
        <f>IF(BE176=FALSE,"",MIN(BJ176:$BK176)-ROUND(($BK176-1-ROUND(80/$AZ176,0))/COUNTIF($BB176:$BE176,TRUE),0))</f>
        <v/>
      </c>
      <c r="BJ176" s="225">
        <f>IF(BB176=FALSE,"",MIN($BK176:BK176)-ROUND(($BK176-1-ROUND(80/$AZ176,0))/COUNTIF($BB176:$BE176,TRUE),0))</f>
        <v>56</v>
      </c>
      <c r="BK176" s="107">
        <f>101-ROUND(Ag!BU$7*100,0)</f>
        <v>96</v>
      </c>
      <c r="BL176" s="63">
        <v>2</v>
      </c>
      <c r="BM176" s="82">
        <f t="array" ref="BM176">MIN(BL176,INDEX([1]Basic!L$26:L$34, MATCH([1]Basic!D$5,[1]Basic!B$26:B$34,0)))</f>
        <v>2</v>
      </c>
    </row>
    <row r="177" spans="26:65" ht="15.75" customHeight="1">
      <c r="Z177" s="31"/>
      <c r="AA177" s="31"/>
      <c r="AB177" s="31"/>
      <c r="AC177" s="31"/>
      <c r="AD177" s="31"/>
      <c r="AE177" s="31"/>
      <c r="AF177" s="31"/>
      <c r="AG177" s="31"/>
      <c r="AH177" s="31"/>
      <c r="AI177" s="31"/>
      <c r="AK177" s="389"/>
      <c r="AL177" s="452" t="s">
        <v>200</v>
      </c>
      <c r="AM177" s="369"/>
      <c r="AN177" s="217">
        <v>24</v>
      </c>
      <c r="AO177" s="218" t="e">
        <f ca="1">ROUND(AN177*_xludf.ifs(
AND(AU177=TRUE,AW177=TRUE),1,
AU177=TRUE,AV177,
AW177=TRUE,AX177,
TRUE,1),0)</f>
        <v>#NAME?</v>
      </c>
      <c r="AP177" s="57" t="e">
        <f ca="1">ROUND(AO177/SUM(AO$32:AO$252)*AM$27,0)</f>
        <v>#NAME?</v>
      </c>
      <c r="AQ177" s="5" t="str">
        <f ca="1">IFERROR(__xludf.DUMMYFUNCTION("if(O177=0,"""",
filter(I$32:I176,row(I$32:I176)=max(filter(arrayformula(row(I$32:I176)),I$32:I176&lt;&gt;"""")))+
filter(G$32:G176,row(G$32:G176)=max(filter(arrayformula(row(G$32:G176)),G$32:G176&lt;&gt;"""")))
)"),"")</f>
        <v/>
      </c>
      <c r="AR177" s="198" t="str">
        <f ca="1">IFERROR(__xludf.DUMMYFUNCTION("if(G177="""","""",G177-(
filter(G$32:G$252,row(G$32:G$252)=max(filter(arrayformula(row(G$32:G$252)),G$32:G$252&lt;&gt;"""")))
-(10001-
filter(I$32:I$252,row(I$32:I$252)=max(filter(arrayformula(row(I$32:I$252)),I$32:I$252&lt;&gt;""""))))))"),"")</f>
        <v/>
      </c>
      <c r="AS177" s="198" t="e">
        <f ca="1">IF(AY177=0,"",ROUND(AY177/AM$3*10000,0))</f>
        <v>#NAME?</v>
      </c>
      <c r="AT177" s="237" t="b">
        <v>0</v>
      </c>
      <c r="AU177" s="179" t="b">
        <f>OR(AM15)</f>
        <v>0</v>
      </c>
      <c r="AV177" s="220">
        <v>0</v>
      </c>
      <c r="AW177" s="82" t="b">
        <f>OR(AQ8,AM8,AM10,AM21,AQ22)</f>
        <v>0</v>
      </c>
      <c r="AX177" s="220">
        <v>3</v>
      </c>
      <c r="AY177" s="56" t="e">
        <f ca="1">MAX(ROUND(AP177*(AM$1/AM$27),0),IF(AT177=TRUE,1,0))</f>
        <v>#NAME?</v>
      </c>
      <c r="AZ177" s="220">
        <v>5</v>
      </c>
      <c r="BA177" s="221">
        <v>0</v>
      </c>
      <c r="BB177" s="227" t="b">
        <v>1</v>
      </c>
      <c r="BC177" s="223" t="b">
        <v>0</v>
      </c>
      <c r="BD177" s="228" t="b">
        <v>1</v>
      </c>
      <c r="BE177" s="224" t="b">
        <v>0</v>
      </c>
      <c r="BF177" s="179">
        <v>1</v>
      </c>
      <c r="BG177" s="225" t="str">
        <f>IF(BC177=FALSE,"",MIN(BH177:$BK177)-ROUND(($BK177-1-ROUND(80/$AZ177,0))/COUNTIF($BB177:$BE177,TRUE),0))</f>
        <v/>
      </c>
      <c r="BH177" s="225">
        <f>IF(BD177=FALSE,"",MIN(BI177:$BK177)-ROUND(($BK177-1-ROUND(80/$AZ177,0))/COUNTIF($BB177:$BE177,TRUE),0))</f>
        <v>16</v>
      </c>
      <c r="BI177" s="225" t="str">
        <f>IF(BE177=FALSE,"",MIN(BJ177:$BK177)-ROUND(($BK177-1-ROUND(80/$AZ177,0))/COUNTIF($BB177:$BE177,TRUE),0))</f>
        <v/>
      </c>
      <c r="BJ177" s="225">
        <f>IF(BB177=FALSE,"",MIN($BK177:BK177)-ROUND(($BK177-1-ROUND(80/$AZ177,0))/COUNTIF($BB177:$BE177,TRUE),0))</f>
        <v>56</v>
      </c>
      <c r="BK177" s="107">
        <f>101-ROUND(Ag!BU$7*100,0)</f>
        <v>96</v>
      </c>
      <c r="BL177" s="63">
        <v>1</v>
      </c>
      <c r="BM177" s="82">
        <f t="array" ref="BM177">MIN(BL177,INDEX([1]Basic!L$26:L$34, MATCH([1]Basic!D$5,[1]Basic!B$26:B$34,0)))</f>
        <v>1</v>
      </c>
    </row>
    <row r="178" spans="26:65" ht="15.75" customHeight="1">
      <c r="Z178" s="31"/>
      <c r="AA178" s="31"/>
      <c r="AB178" s="31"/>
      <c r="AC178" s="31"/>
      <c r="AD178" s="31"/>
      <c r="AE178" s="31"/>
      <c r="AF178" s="31"/>
      <c r="AG178" s="31"/>
      <c r="AH178" s="31"/>
      <c r="AI178" s="31"/>
      <c r="AK178" s="389"/>
      <c r="AL178" s="452" t="s">
        <v>205</v>
      </c>
      <c r="AM178" s="369"/>
      <c r="AN178" s="217">
        <v>2</v>
      </c>
      <c r="AO178" s="218" t="e">
        <f ca="1">ROUND(AN178*_xludf.ifs(
AND(AU178=TRUE,AW178=TRUE),1,
AU178=TRUE,AV178,
AW178=TRUE,AX178,
TRUE,1),0)</f>
        <v>#NAME?</v>
      </c>
      <c r="AP178" s="57" t="e">
        <f ca="1">ROUND(AO178/SUM(AO$32:AO$252)*AM$27,0)</f>
        <v>#NAME?</v>
      </c>
      <c r="AQ178" s="5" t="str">
        <f ca="1">IFERROR(__xludf.DUMMYFUNCTION("if(O178=0,"""",
filter(I$32:I177,row(I$32:I177)=max(filter(arrayformula(row(I$32:I177)),I$32:I177&lt;&gt;"""")))+
filter(G$32:G177,row(G$32:G177)=max(filter(arrayformula(row(G$32:G177)),G$32:G177&lt;&gt;"""")))
)"),"")</f>
        <v/>
      </c>
      <c r="AR178" s="198" t="str">
        <f ca="1">IFERROR(__xludf.DUMMYFUNCTION("if(G178="""","""",G178-(
filter(G$32:G$252,row(G$32:G$252)=max(filter(arrayformula(row(G$32:G$252)),G$32:G$252&lt;&gt;"""")))
-(10001-
filter(I$32:I$252,row(I$32:I$252)=max(filter(arrayformula(row(I$32:I$252)),I$32:I$252&lt;&gt;""""))))))"),"")</f>
        <v/>
      </c>
      <c r="AS178" s="198" t="e">
        <f ca="1">IF(AY178=0,"",ROUND(AY178/AM$3*10000,0))</f>
        <v>#NAME?</v>
      </c>
      <c r="AT178" s="237" t="b">
        <v>0</v>
      </c>
      <c r="AU178" s="179" t="b">
        <f>OR(AM15)</f>
        <v>0</v>
      </c>
      <c r="AV178" s="220">
        <v>0</v>
      </c>
      <c r="AW178" s="82" t="b">
        <f>OR(AQ8,AQ22,AM21)</f>
        <v>0</v>
      </c>
      <c r="AX178" s="220">
        <v>4</v>
      </c>
      <c r="AY178" s="56" t="e">
        <f ca="1">MAX(ROUND(AP178*(AM$1/AM$27),0),IF(AT178=TRUE,1,0))</f>
        <v>#NAME?</v>
      </c>
      <c r="AZ178" s="220">
        <v>10</v>
      </c>
      <c r="BA178" s="221">
        <v>1</v>
      </c>
      <c r="BB178" s="227" t="b">
        <v>1</v>
      </c>
      <c r="BC178" s="223" t="b">
        <v>0</v>
      </c>
      <c r="BD178" s="228" t="b">
        <v>1</v>
      </c>
      <c r="BE178" s="224" t="b">
        <v>0</v>
      </c>
      <c r="BF178" s="179">
        <v>1</v>
      </c>
      <c r="BG178" s="225" t="str">
        <f>IF(BC178=FALSE,"",MIN(BH178:$BK178)-ROUND(($BK178-1-ROUND(80/$AZ178,0))/COUNTIF($BB178:$BE178,TRUE),0))</f>
        <v/>
      </c>
      <c r="BH178" s="225">
        <f>IF(BD178=FALSE,"",MIN(BI178:$BK178)-ROUND(($BK178-1-ROUND(80/$AZ178,0))/COUNTIF($BB178:$BE178,TRUE),0))</f>
        <v>8</v>
      </c>
      <c r="BI178" s="225" t="str">
        <f>IF(BE178=FALSE,"",MIN(BJ178:$BK178)-ROUND(($BK178-1-ROUND(80/$AZ178,0))/COUNTIF($BB178:$BE178,TRUE),0))</f>
        <v/>
      </c>
      <c r="BJ178" s="225">
        <f>IF(BB178=FALSE,"",MIN($BK178:BK178)-ROUND(($BK178-1-ROUND(80/$AZ178,0))/COUNTIF($BB178:$BE178,TRUE),0))</f>
        <v>52</v>
      </c>
      <c r="BK178" s="107">
        <f>101-ROUND(Ag!BU$7*100,0)</f>
        <v>96</v>
      </c>
      <c r="BL178" s="63">
        <v>2</v>
      </c>
      <c r="BM178" s="82">
        <f t="array" ref="BM178">MIN(BL178,INDEX([1]Basic!L$26:L$34, MATCH([1]Basic!D$5,[1]Basic!B$26:B$34,0)))</f>
        <v>2</v>
      </c>
    </row>
    <row r="179" spans="26:65" ht="15.75" customHeight="1">
      <c r="Z179" s="31"/>
      <c r="AA179" s="31"/>
      <c r="AB179" s="31"/>
      <c r="AC179" s="31"/>
      <c r="AD179" s="31"/>
      <c r="AE179" s="31"/>
      <c r="AF179" s="31"/>
      <c r="AG179" s="31"/>
      <c r="AH179" s="31"/>
      <c r="AI179" s="31"/>
      <c r="AK179" s="389"/>
      <c r="AL179" s="452" t="s">
        <v>210</v>
      </c>
      <c r="AM179" s="369"/>
      <c r="AN179" s="217">
        <v>24</v>
      </c>
      <c r="AO179" s="218" t="e">
        <f ca="1">ROUND(AN179*_xludf.ifs(
AND(AU179=TRUE,AW179=TRUE),1,
AU179=TRUE,AV179,
AW179=TRUE,AX179,
TRUE,1),0)</f>
        <v>#NAME?</v>
      </c>
      <c r="AP179" s="57" t="e">
        <f ca="1">ROUND(AO179/SUM(AO$32:AO$252)*AM$27,0)</f>
        <v>#NAME?</v>
      </c>
      <c r="AQ179" s="5">
        <f ca="1">IFERROR(__xludf.DUMMYFUNCTION("if(O179=0,"""",
filter(I$32:I178,row(I$32:I178)=max(filter(arrayformula(row(I$32:I178)),I$32:I178&lt;&gt;"""")))+
filter(G$32:G178,row(G$32:G178)=max(filter(arrayformula(row(G$32:G178)),G$32:G178&lt;&gt;"""")))
)"),7784)</f>
        <v>7784</v>
      </c>
      <c r="AR179" s="198">
        <f ca="1">IFERROR(__xludf.DUMMYFUNCTION("if(G179="""","""",G179-(
filter(G$32:G$252,row(G$32:G$252)=max(filter(arrayformula(row(G$32:G$252)),G$32:G$252&lt;&gt;"""")))
-(10001-
filter(I$32:I$252,row(I$32:I$252)=max(filter(arrayformula(row(I$32:I$252)),I$32:I$252&lt;&gt;""""))))))"),7777)</f>
        <v>7777</v>
      </c>
      <c r="AS179" s="198" t="e">
        <f ca="1">IF(AY179=0,"",ROUND(AY179/AM$3*10000,0))</f>
        <v>#NAME?</v>
      </c>
      <c r="AT179" s="219" t="b">
        <v>1</v>
      </c>
      <c r="AU179" s="179" t="b">
        <f>OR(AM15)</f>
        <v>0</v>
      </c>
      <c r="AV179" s="220">
        <v>0</v>
      </c>
      <c r="AW179" s="82" t="b">
        <f>OR(AQ8,AQ22,AM21,AQ9)</f>
        <v>0</v>
      </c>
      <c r="AX179" s="220">
        <v>3</v>
      </c>
      <c r="AY179" s="56" t="e">
        <f ca="1">MAX(ROUND(AP179*(AM$1/AM$27),0),IF(AT179=TRUE,1,0))</f>
        <v>#NAME?</v>
      </c>
      <c r="AZ179" s="220">
        <v>5</v>
      </c>
      <c r="BA179" s="221">
        <v>0</v>
      </c>
      <c r="BB179" s="227" t="b">
        <v>1</v>
      </c>
      <c r="BC179" s="223" t="b">
        <v>0</v>
      </c>
      <c r="BD179" s="228" t="b">
        <v>1</v>
      </c>
      <c r="BE179" s="224" t="b">
        <v>0</v>
      </c>
      <c r="BF179" s="179">
        <v>1</v>
      </c>
      <c r="BG179" s="225" t="str">
        <f>IF(BC179=FALSE,"",MIN(BH179:$BK179)-ROUND(($BK179-1-ROUND(80/$AZ179,0))/COUNTIF($BB179:$BE179,TRUE),0))</f>
        <v/>
      </c>
      <c r="BH179" s="225">
        <f>IF(BD179=FALSE,"",MIN(BI179:$BK179)-ROUND(($BK179-1-ROUND(80/$AZ179,0))/COUNTIF($BB179:$BE179,TRUE),0))</f>
        <v>16</v>
      </c>
      <c r="BI179" s="225" t="str">
        <f>IF(BE179=FALSE,"",MIN(BJ179:$BK179)-ROUND(($BK179-1-ROUND(80/$AZ179,0))/COUNTIF($BB179:$BE179,TRUE),0))</f>
        <v/>
      </c>
      <c r="BJ179" s="225">
        <f>IF(BB179=FALSE,"",MIN($BK179:BK179)-ROUND(($BK179-1-ROUND(80/$AZ179,0))/COUNTIF($BB179:$BE179,TRUE),0))</f>
        <v>56</v>
      </c>
      <c r="BK179" s="107">
        <f>101-ROUND(Ag!BU$7*100,0)</f>
        <v>96</v>
      </c>
      <c r="BL179" s="63">
        <v>1</v>
      </c>
      <c r="BM179" s="82">
        <f t="array" ref="BM179">MIN(BL179,INDEX([1]Basic!L$26:L$34, MATCH([1]Basic!D$5,[1]Basic!B$26:B$34,0)))</f>
        <v>1</v>
      </c>
    </row>
    <row r="180" spans="26:65" ht="15.75" customHeight="1">
      <c r="Z180" s="31"/>
      <c r="AA180" s="31"/>
      <c r="AB180" s="31"/>
      <c r="AC180" s="31"/>
      <c r="AD180" s="31"/>
      <c r="AE180" s="31"/>
      <c r="AF180" s="31"/>
      <c r="AG180" s="31"/>
      <c r="AH180" s="31"/>
      <c r="AI180" s="31"/>
      <c r="AK180" s="389"/>
      <c r="AL180" s="452" t="s">
        <v>216</v>
      </c>
      <c r="AM180" s="369"/>
      <c r="AN180" s="217">
        <v>2</v>
      </c>
      <c r="AO180" s="218" t="e">
        <f ca="1">ROUND(AN180*_xludf.ifs(
AND(AU180=TRUE,AW180=TRUE),1,
AU180=TRUE,AV180,
AW180=TRUE,AX180,
TRUE,1),0)</f>
        <v>#NAME?</v>
      </c>
      <c r="AP180" s="57" t="e">
        <f ca="1">ROUND(AO180/SUM(AO$32:AO$252)*AM$27,0)</f>
        <v>#NAME?</v>
      </c>
      <c r="AQ180" s="5" t="str">
        <f ca="1">IFERROR(__xludf.DUMMYFUNCTION("if(O180=0,"""",
filter(I$32:I179,row(I$32:I179)=max(filter(arrayformula(row(I$32:I179)),I$32:I179&lt;&gt;"""")))+
filter(G$32:G179,row(G$32:G179)=max(filter(arrayformula(row(G$32:G179)),G$32:G179&lt;&gt;"""")))
)"),"")</f>
        <v/>
      </c>
      <c r="AR180" s="198" t="str">
        <f ca="1">IFERROR(__xludf.DUMMYFUNCTION("if(G180="""","""",G180-(
filter(G$32:G$252,row(G$32:G$252)=max(filter(arrayformula(row(G$32:G$252)),G$32:G$252&lt;&gt;"""")))
-(10001-
filter(I$32:I$252,row(I$32:I$252)=max(filter(arrayformula(row(I$32:I$252)),I$32:I$252&lt;&gt;""""))))))"),"")</f>
        <v/>
      </c>
      <c r="AS180" s="198" t="e">
        <f ca="1">IF(AY180=0,"",ROUND(AY180/AM$3*10000,0))</f>
        <v>#NAME?</v>
      </c>
      <c r="AT180" s="237" t="b">
        <v>0</v>
      </c>
      <c r="AU180" s="179" t="b">
        <f>OR(AM15)</f>
        <v>0</v>
      </c>
      <c r="AV180" s="220">
        <v>0</v>
      </c>
      <c r="AW180" s="82" t="b">
        <f>OR(AQ8)</f>
        <v>0</v>
      </c>
      <c r="AX180" s="220">
        <v>4</v>
      </c>
      <c r="AY180" s="56" t="e">
        <f ca="1">MAX(ROUND(AP180*(AM$1/AM$27),0),IF(AT180=TRUE,1,0))</f>
        <v>#NAME?</v>
      </c>
      <c r="AZ180" s="220">
        <v>10</v>
      </c>
      <c r="BA180" s="221">
        <v>0</v>
      </c>
      <c r="BB180" s="227" t="b">
        <v>1</v>
      </c>
      <c r="BC180" s="223" t="b">
        <v>0</v>
      </c>
      <c r="BD180" s="228" t="b">
        <v>1</v>
      </c>
      <c r="BE180" s="224" t="b">
        <v>0</v>
      </c>
      <c r="BF180" s="179">
        <v>1</v>
      </c>
      <c r="BG180" s="225" t="str">
        <f>IF(BC180=FALSE,"",MIN(BH180:$BK180)-ROUND(($BK180-1-ROUND(80/$AZ180,0))/COUNTIF($BB180:$BE180,TRUE),0))</f>
        <v/>
      </c>
      <c r="BH180" s="225">
        <f>IF(BD180=FALSE,"",MIN(BI180:$BK180)-ROUND(($BK180-1-ROUND(80/$AZ180,0))/COUNTIF($BB180:$BE180,TRUE),0))</f>
        <v>8</v>
      </c>
      <c r="BI180" s="225" t="str">
        <f>IF(BE180=FALSE,"",MIN(BJ180:$BK180)-ROUND(($BK180-1-ROUND(80/$AZ180,0))/COUNTIF($BB180:$BE180,TRUE),0))</f>
        <v/>
      </c>
      <c r="BJ180" s="225">
        <f>IF(BB180=FALSE,"",MIN($BK180:BK180)-ROUND(($BK180-1-ROUND(80/$AZ180,0))/COUNTIF($BB180:$BE180,TRUE),0))</f>
        <v>52</v>
      </c>
      <c r="BK180" s="107">
        <f>101-ROUND(Ag!BU$7*100,0)</f>
        <v>96</v>
      </c>
      <c r="BL180" s="63">
        <v>3</v>
      </c>
      <c r="BM180" s="82">
        <f t="array" ref="BM180">MIN(BL180,INDEX([1]Basic!L$26:L$34, MATCH([1]Basic!D$5,[1]Basic!B$26:B$34,0)))</f>
        <v>3</v>
      </c>
    </row>
    <row r="181" spans="26:65" ht="15.75" customHeight="1">
      <c r="Z181" s="31"/>
      <c r="AA181" s="31"/>
      <c r="AB181" s="31"/>
      <c r="AC181" s="31"/>
      <c r="AD181" s="31"/>
      <c r="AE181" s="31"/>
      <c r="AF181" s="31"/>
      <c r="AG181" s="31"/>
      <c r="AH181" s="31"/>
      <c r="AI181" s="31"/>
      <c r="AK181" s="389"/>
      <c r="AL181" s="452" t="s">
        <v>222</v>
      </c>
      <c r="AM181" s="369"/>
      <c r="AN181" s="217">
        <v>6</v>
      </c>
      <c r="AO181" s="218" t="e">
        <f ca="1">ROUND(AN181*_xludf.ifs(
AND(AU181=TRUE,AW181=TRUE),1,
AU181=TRUE,AV181,
AW181=TRUE,AX181,
TRUE,1),0)</f>
        <v>#NAME?</v>
      </c>
      <c r="AP181" s="57" t="e">
        <f ca="1">ROUND(AO181/SUM(AO$32:AO$252)*AM$27,0)</f>
        <v>#NAME?</v>
      </c>
      <c r="AQ181" s="5" t="str">
        <f ca="1">IFERROR(__xludf.DUMMYFUNCTION("if(O181=0,"""",
filter(I$32:I180,row(I$32:I180)=max(filter(arrayformula(row(I$32:I180)),I$32:I180&lt;&gt;"""")))+
filter(G$32:G180,row(G$32:G180)=max(filter(arrayformula(row(G$32:G180)),G$32:G180&lt;&gt;"""")))
)"),"")</f>
        <v/>
      </c>
      <c r="AR181" s="198" t="str">
        <f ca="1">IFERROR(__xludf.DUMMYFUNCTION("if(G181="""","""",G181-(
filter(G$32:G$252,row(G$32:G$252)=max(filter(arrayformula(row(G$32:G$252)),G$32:G$252&lt;&gt;"""")))
-(10001-
filter(I$32:I$252,row(I$32:I$252)=max(filter(arrayformula(row(I$32:I$252)),I$32:I$252&lt;&gt;""""))))))"),"")</f>
        <v/>
      </c>
      <c r="AS181" s="198" t="e">
        <f ca="1">IF(AY181=0,"",ROUND(AY181/AM$3*10000,0))</f>
        <v>#NAME?</v>
      </c>
      <c r="AT181" s="237" t="b">
        <v>0</v>
      </c>
      <c r="AU181" s="179" t="b">
        <f>OR(AM15,AM20,AM7)</f>
        <v>0</v>
      </c>
      <c r="AV181" s="220">
        <v>0.01</v>
      </c>
      <c r="AW181" s="82" t="b">
        <f>OR(AQ8)</f>
        <v>0</v>
      </c>
      <c r="AX181" s="220">
        <v>3</v>
      </c>
      <c r="AY181" s="56" t="e">
        <f ca="1">MAX(ROUND(AP181*(AM$1/AM$27),0),IF(AT181=TRUE,1,0))</f>
        <v>#NAME?</v>
      </c>
      <c r="AZ181" s="220">
        <v>10</v>
      </c>
      <c r="BA181" s="221">
        <v>0</v>
      </c>
      <c r="BB181" s="227" t="b">
        <v>1</v>
      </c>
      <c r="BC181" s="223" t="b">
        <v>0</v>
      </c>
      <c r="BD181" s="228" t="b">
        <v>1</v>
      </c>
      <c r="BE181" s="224" t="b">
        <v>0</v>
      </c>
      <c r="BF181" s="179">
        <v>1</v>
      </c>
      <c r="BG181" s="225" t="str">
        <f>IF(BC181=FALSE,"",MIN(BH181:$BK181)-ROUND(($BK181-1-ROUND(80/$AZ181,0))/COUNTIF($BB181:$BE181,TRUE),0))</f>
        <v/>
      </c>
      <c r="BH181" s="225">
        <f>IF(BD181=FALSE,"",MIN(BI181:$BK181)-ROUND(($BK181-1-ROUND(80/$AZ181,0))/COUNTIF($BB181:$BE181,TRUE),0))</f>
        <v>8</v>
      </c>
      <c r="BI181" s="225" t="str">
        <f>IF(BE181=FALSE,"",MIN(BJ181:$BK181)-ROUND(($BK181-1-ROUND(80/$AZ181,0))/COUNTIF($BB181:$BE181,TRUE),0))</f>
        <v/>
      </c>
      <c r="BJ181" s="225">
        <f>IF(BB181=FALSE,"",MIN($BK181:BK181)-ROUND(($BK181-1-ROUND(80/$AZ181,0))/COUNTIF($BB181:$BE181,TRUE),0))</f>
        <v>52</v>
      </c>
      <c r="BK181" s="107">
        <f>101-ROUND(Ag!BU$7*100,0)</f>
        <v>96</v>
      </c>
      <c r="BL181" s="63">
        <v>2</v>
      </c>
      <c r="BM181" s="82">
        <f t="array" ref="BM181">MIN(BL181,INDEX([1]Basic!L$26:L$34, MATCH([1]Basic!D$5,[1]Basic!B$26:B$34,0)))</f>
        <v>2</v>
      </c>
    </row>
    <row r="182" spans="26:65" ht="15.75" customHeight="1">
      <c r="Z182" s="31"/>
      <c r="AA182" s="31"/>
      <c r="AB182" s="31"/>
      <c r="AC182" s="31"/>
      <c r="AD182" s="31"/>
      <c r="AE182" s="31"/>
      <c r="AF182" s="31"/>
      <c r="AG182" s="31"/>
      <c r="AH182" s="31"/>
      <c r="AI182" s="31"/>
      <c r="AK182" s="389"/>
      <c r="AL182" s="452" t="s">
        <v>227</v>
      </c>
      <c r="AM182" s="369"/>
      <c r="AN182" s="217">
        <v>1</v>
      </c>
      <c r="AO182" s="218" t="e">
        <f ca="1">ROUND(AN182*_xludf.ifs(
AND(AU182=TRUE,AW182=TRUE),1,
AU182=TRUE,AV182,
AW182=TRUE,AX182,
TRUE,1),0)</f>
        <v>#NAME?</v>
      </c>
      <c r="AP182" s="57" t="e">
        <f ca="1">ROUND(AO182/SUM(AO$32:AO$252)*AM$27,0)</f>
        <v>#NAME?</v>
      </c>
      <c r="AQ182" s="5" t="str">
        <f ca="1">IFERROR(__xludf.DUMMYFUNCTION("if(O182=0,"""",
filter(I$32:I181,row(I$32:I181)=max(filter(arrayformula(row(I$32:I181)),I$32:I181&lt;&gt;"""")))+
filter(G$32:G181,row(G$32:G181)=max(filter(arrayformula(row(G$32:G181)),G$32:G181&lt;&gt;"""")))
)"),"")</f>
        <v/>
      </c>
      <c r="AR182" s="198" t="str">
        <f ca="1">IFERROR(__xludf.DUMMYFUNCTION("if(G182="""","""",G182-(
filter(G$32:G$252,row(G$32:G$252)=max(filter(arrayformula(row(G$32:G$252)),G$32:G$252&lt;&gt;"""")))
-(10001-
filter(I$32:I$252,row(I$32:I$252)=max(filter(arrayformula(row(I$32:I$252)),I$32:I$252&lt;&gt;""""))))))"),"")</f>
        <v/>
      </c>
      <c r="AS182" s="198" t="e">
        <f ca="1">IF(AY182=0,"",ROUND(AY182/AM$3*10000,0))</f>
        <v>#NAME?</v>
      </c>
      <c r="AT182" s="237" t="b">
        <v>0</v>
      </c>
      <c r="AU182" s="179" t="b">
        <f>OR(AM15,AM20)</f>
        <v>0</v>
      </c>
      <c r="AV182" s="220">
        <v>0</v>
      </c>
      <c r="AW182" s="82" t="b">
        <f>OR(AQ8,AQ9,AQ22)</f>
        <v>0</v>
      </c>
      <c r="AX182" s="220">
        <v>6</v>
      </c>
      <c r="AY182" s="56" t="e">
        <f ca="1">MAX(ROUND(AP182*(AM$1/AM$27),0),IF(AT182=TRUE,1,0))</f>
        <v>#NAME?</v>
      </c>
      <c r="AZ182" s="220">
        <v>10</v>
      </c>
      <c r="BA182" s="221">
        <v>1</v>
      </c>
      <c r="BB182" s="227" t="b">
        <v>1</v>
      </c>
      <c r="BC182" s="223" t="b">
        <v>0</v>
      </c>
      <c r="BD182" s="228" t="b">
        <v>1</v>
      </c>
      <c r="BE182" s="224" t="b">
        <v>0</v>
      </c>
      <c r="BF182" s="179">
        <v>1</v>
      </c>
      <c r="BG182" s="225" t="str">
        <f>IF(BC182=FALSE,"",MIN(BH182:$BK182)-ROUND(($BK182-1-ROUND(80/$AZ182,0))/COUNTIF($BB182:$BE182,TRUE),0))</f>
        <v/>
      </c>
      <c r="BH182" s="225">
        <f>IF(BD182=FALSE,"",MIN(BI182:$BK182)-ROUND(($BK182-1-ROUND(80/$AZ182,0))/COUNTIF($BB182:$BE182,TRUE),0))</f>
        <v>8</v>
      </c>
      <c r="BI182" s="225" t="str">
        <f>IF(BE182=FALSE,"",MIN(BJ182:$BK182)-ROUND(($BK182-1-ROUND(80/$AZ182,0))/COUNTIF($BB182:$BE182,TRUE),0))</f>
        <v/>
      </c>
      <c r="BJ182" s="225">
        <f>IF(BB182=FALSE,"",MIN($BK182:BK182)-ROUND(($BK182-1-ROUND(80/$AZ182,0))/COUNTIF($BB182:$BE182,TRUE),0))</f>
        <v>52</v>
      </c>
      <c r="BK182" s="107">
        <f>101-ROUND(Ag!BU$7*100,0)</f>
        <v>96</v>
      </c>
      <c r="BL182" s="63">
        <v>3</v>
      </c>
      <c r="BM182" s="82">
        <f t="array" ref="BM182">MIN(BL182,INDEX([1]Basic!L$26:L$34, MATCH([1]Basic!D$5,[1]Basic!B$26:B$34,0)))</f>
        <v>3</v>
      </c>
    </row>
    <row r="183" spans="26:65" ht="15.75" customHeight="1">
      <c r="Z183" s="31"/>
      <c r="AA183" s="31"/>
      <c r="AB183" s="31"/>
      <c r="AC183" s="31"/>
      <c r="AD183" s="31"/>
      <c r="AE183" s="31"/>
      <c r="AF183" s="31"/>
      <c r="AG183" s="31"/>
      <c r="AH183" s="31"/>
      <c r="AI183" s="31"/>
      <c r="AK183" s="389"/>
      <c r="AL183" s="452" t="s">
        <v>232</v>
      </c>
      <c r="AM183" s="369"/>
      <c r="AN183" s="217">
        <v>1</v>
      </c>
      <c r="AO183" s="218" t="e">
        <f ca="1">ROUND(AN183*_xludf.ifs(
AND(AU183=TRUE,AW183=TRUE),1,
AU183=TRUE,AV183,
AW183=TRUE,AX183,
TRUE,1),0)</f>
        <v>#NAME?</v>
      </c>
      <c r="AP183" s="57" t="e">
        <f ca="1">ROUND(AO183/SUM(AO$32:AO$252)*AM$27,0)</f>
        <v>#NAME?</v>
      </c>
      <c r="AQ183" s="5" t="str">
        <f ca="1">IFERROR(__xludf.DUMMYFUNCTION("if(O183=0,"""",
filter(I$32:I182,row(I$32:I182)=max(filter(arrayformula(row(I$32:I182)),I$32:I182&lt;&gt;"""")))+
filter(G$32:G182,row(G$32:G182)=max(filter(arrayformula(row(G$32:G182)),G$32:G182&lt;&gt;"""")))
)"),"")</f>
        <v/>
      </c>
      <c r="AR183" s="198" t="str">
        <f ca="1">IFERROR(__xludf.DUMMYFUNCTION("if(G183="""","""",G183-(
filter(G$32:G$252,row(G$32:G$252)=max(filter(arrayformula(row(G$32:G$252)),G$32:G$252&lt;&gt;"""")))
-(10001-
filter(I$32:I$252,row(I$32:I$252)=max(filter(arrayformula(row(I$32:I$252)),I$32:I$252&lt;&gt;""""))))))"),"")</f>
        <v/>
      </c>
      <c r="AS183" s="198" t="e">
        <f ca="1">IF(AY183=0,"",ROUND(AY183/AM$3*10000,0))</f>
        <v>#NAME?</v>
      </c>
      <c r="AT183" s="237" t="b">
        <v>0</v>
      </c>
      <c r="AU183" s="57"/>
      <c r="AV183" s="220">
        <v>0</v>
      </c>
      <c r="AW183" s="82" t="b">
        <f>OR(AQ12,AQ15,AQ18,AQ19)</f>
        <v>0</v>
      </c>
      <c r="AX183" s="220">
        <v>4</v>
      </c>
      <c r="AY183" s="56" t="e">
        <f ca="1">MAX(ROUND(AP183*(AM$1/AM$27),0),IF(AT183=TRUE,1,0))</f>
        <v>#NAME?</v>
      </c>
      <c r="AZ183" s="229">
        <v>5</v>
      </c>
      <c r="BA183" s="221">
        <v>0</v>
      </c>
      <c r="BB183" s="227" t="b">
        <v>0</v>
      </c>
      <c r="BC183" s="223" t="b">
        <v>0</v>
      </c>
      <c r="BD183" s="228" t="b">
        <v>1</v>
      </c>
      <c r="BE183" s="224" t="b">
        <v>0</v>
      </c>
      <c r="BF183" s="179">
        <v>1</v>
      </c>
      <c r="BG183" s="225" t="str">
        <f>IF(BC183=FALSE,"",MIN(BH183:$BK183)-ROUND(($BK183-1-ROUND(80/$AZ183,0))/COUNTIF($BB183:$BE183,TRUE),0))</f>
        <v/>
      </c>
      <c r="BH183" s="225">
        <f>IF(BD183=FALSE,"",MIN(BI183:$BK183)-ROUND(($BK183-1-ROUND(80/$AZ183,0))/COUNTIF($BB183:$BE183,TRUE),0))</f>
        <v>17</v>
      </c>
      <c r="BI183" s="225" t="str">
        <f>IF(BE183=FALSE,"",MIN(BJ183:$BK183)-ROUND(($BK183-1-ROUND(80/$AZ183,0))/COUNTIF($BB183:$BE183,TRUE),0))</f>
        <v/>
      </c>
      <c r="BJ183" s="225" t="str">
        <f>IF(BB183=FALSE,"",MIN($BK183:BK183)-ROUND(($BK183-1-ROUND(80/$AZ183,0))/COUNTIF($BB183:$BE183,TRUE),0))</f>
        <v/>
      </c>
      <c r="BK183" s="107">
        <f>101-ROUND(Ag!BU$7*100,0)</f>
        <v>96</v>
      </c>
      <c r="BL183" s="63">
        <v>2</v>
      </c>
      <c r="BM183" s="82">
        <f t="array" ref="BM183">MIN(BL183,INDEX([1]Basic!L$26:L$34, MATCH([1]Basic!D$5,[1]Basic!B$26:B$34,0)))</f>
        <v>2</v>
      </c>
    </row>
    <row r="184" spans="26:65" ht="15.75" customHeight="1">
      <c r="Z184" s="31"/>
      <c r="AA184" s="31"/>
      <c r="AB184" s="31"/>
      <c r="AC184" s="31"/>
      <c r="AD184" s="31"/>
      <c r="AE184" s="31"/>
      <c r="AF184" s="31"/>
      <c r="AG184" s="31"/>
      <c r="AH184" s="31"/>
      <c r="AI184" s="31"/>
      <c r="AK184" s="389"/>
      <c r="AL184" s="452" t="s">
        <v>237</v>
      </c>
      <c r="AM184" s="369"/>
      <c r="AN184" s="217">
        <v>3</v>
      </c>
      <c r="AO184" s="218" t="e">
        <f ca="1">ROUND(AN184*_xludf.ifs(
AND(AU184=TRUE,AW184=TRUE),1,
AU184=TRUE,AV184,
AW184=TRUE,AX184,
TRUE,1),0)</f>
        <v>#NAME?</v>
      </c>
      <c r="AP184" s="57" t="e">
        <f ca="1">ROUND(AO184/SUM(AO$32:AO$252)*AM$27,0)</f>
        <v>#NAME?</v>
      </c>
      <c r="AQ184" s="5" t="str">
        <f ca="1">IFERROR(__xludf.DUMMYFUNCTION("if(O184=0,"""",
filter(I$32:I183,row(I$32:I183)=max(filter(arrayformula(row(I$32:I183)),I$32:I183&lt;&gt;"""")))+
filter(G$32:G183,row(G$32:G183)=max(filter(arrayformula(row(G$32:G183)),G$32:G183&lt;&gt;"""")))
)"),"")</f>
        <v/>
      </c>
      <c r="AR184" s="198" t="str">
        <f ca="1">IFERROR(__xludf.DUMMYFUNCTION("if(G184="""","""",G184-(
filter(G$32:G$252,row(G$32:G$252)=max(filter(arrayformula(row(G$32:G$252)),G$32:G$252&lt;&gt;"""")))
-(10001-
filter(I$32:I$252,row(I$32:I$252)=max(filter(arrayformula(row(I$32:I$252)),I$32:I$252&lt;&gt;""""))))))"),"")</f>
        <v/>
      </c>
      <c r="AS184" s="198" t="e">
        <f ca="1">IF(AY184=0,"",ROUND(AY184/AM$3*10000,0))</f>
        <v>#NAME?</v>
      </c>
      <c r="AT184" s="237" t="b">
        <v>0</v>
      </c>
      <c r="AU184" s="57" t="b">
        <f>OR(AM7)</f>
        <v>0</v>
      </c>
      <c r="AV184" s="220">
        <v>0</v>
      </c>
      <c r="AW184" s="82" t="b">
        <f>OR(AQ12,AM21,AM8)</f>
        <v>0</v>
      </c>
      <c r="AX184" s="220">
        <v>4</v>
      </c>
      <c r="AY184" s="56" t="e">
        <f ca="1">MAX(ROUND(AP184*(AM$1/AM$27),0),IF(AT184=TRUE,1,0))</f>
        <v>#NAME?</v>
      </c>
      <c r="AZ184" s="229">
        <v>5</v>
      </c>
      <c r="BA184" s="221">
        <v>0</v>
      </c>
      <c r="BB184" s="222" t="b">
        <v>0</v>
      </c>
      <c r="BC184" s="223" t="b">
        <v>0</v>
      </c>
      <c r="BD184" s="228" t="b">
        <v>1</v>
      </c>
      <c r="BE184" s="224" t="b">
        <v>0</v>
      </c>
      <c r="BF184" s="179">
        <v>1</v>
      </c>
      <c r="BG184" s="225" t="str">
        <f>IF(BC184=FALSE,"",MIN(BH184:$BK184)-ROUND(($BK184-1-ROUND(80/$AZ184,0))/COUNTIF($BB184:$BE184,TRUE),0))</f>
        <v/>
      </c>
      <c r="BH184" s="225">
        <f>IF(BD184=FALSE,"",MIN(BI184:$BK184)-ROUND(($BK184-1-ROUND(80/$AZ184,0))/COUNTIF($BB184:$BE184,TRUE),0))</f>
        <v>17</v>
      </c>
      <c r="BI184" s="225" t="str">
        <f>IF(BE184=FALSE,"",MIN(BJ184:$BK184)-ROUND(($BK184-1-ROUND(80/$AZ184,0))/COUNTIF($BB184:$BE184,TRUE),0))</f>
        <v/>
      </c>
      <c r="BJ184" s="225" t="str">
        <f>IF(BB184=FALSE,"",MIN($BK184:BK184)-ROUND(($BK184-1-ROUND(80/$AZ184,0))/COUNTIF($BB184:$BE184,TRUE),0))</f>
        <v/>
      </c>
      <c r="BK184" s="107">
        <f>101-ROUND(Ag!BU$7*100,0)</f>
        <v>96</v>
      </c>
      <c r="BL184" s="63">
        <v>2</v>
      </c>
      <c r="BM184" s="82">
        <f t="array" ref="BM184">MIN(BL184,INDEX([1]Basic!L$26:L$34, MATCH([1]Basic!D$5,[1]Basic!B$26:B$34,0)))</f>
        <v>2</v>
      </c>
    </row>
    <row r="185" spans="26:65" ht="15.75" customHeight="1">
      <c r="Z185" s="31"/>
      <c r="AA185" s="31"/>
      <c r="AB185" s="31"/>
      <c r="AC185" s="31"/>
      <c r="AD185" s="31"/>
      <c r="AE185" s="31"/>
      <c r="AF185" s="31"/>
      <c r="AG185" s="31"/>
      <c r="AH185" s="31"/>
      <c r="AI185" s="31"/>
      <c r="AK185" s="389"/>
      <c r="AL185" s="452" t="s">
        <v>243</v>
      </c>
      <c r="AM185" s="369"/>
      <c r="AN185" s="217">
        <v>2</v>
      </c>
      <c r="AO185" s="218" t="e">
        <f ca="1">ROUND(AN185*_xludf.ifs(
AND(AU185=TRUE,AW185=TRUE),1,
AU185=TRUE,AV185,
AW185=TRUE,AX185,
TRUE,1),0)</f>
        <v>#NAME?</v>
      </c>
      <c r="AP185" s="57" t="e">
        <f ca="1">ROUND(AO185/SUM(AO$32:AO$252)*AM$27,0)</f>
        <v>#NAME?</v>
      </c>
      <c r="AQ185" s="5" t="str">
        <f ca="1">IFERROR(__xludf.DUMMYFUNCTION("if(O185=0,"""",
filter(I$32:I184,row(I$32:I184)=max(filter(arrayformula(row(I$32:I184)),I$32:I184&lt;&gt;"""")))+
filter(G$32:G184,row(G$32:G184)=max(filter(arrayformula(row(G$32:G184)),G$32:G184&lt;&gt;"""")))
)"),"")</f>
        <v/>
      </c>
      <c r="AR185" s="198" t="str">
        <f ca="1">IFERROR(__xludf.DUMMYFUNCTION("if(G185="""","""",G185-(
filter(G$32:G$252,row(G$32:G$252)=max(filter(arrayformula(row(G$32:G$252)),G$32:G$252&lt;&gt;"""")))
-(10001-
filter(I$32:I$252,row(I$32:I$252)=max(filter(arrayformula(row(I$32:I$252)),I$32:I$252&lt;&gt;""""))))))"),"")</f>
        <v/>
      </c>
      <c r="AS185" s="198" t="e">
        <f ca="1">IF(AY185=0,"",ROUND(AY185/AM$3*10000,0))</f>
        <v>#NAME?</v>
      </c>
      <c r="AT185" s="237" t="b">
        <v>0</v>
      </c>
      <c r="AU185" s="57" t="b">
        <f>OR(AM7)</f>
        <v>0</v>
      </c>
      <c r="AV185" s="220">
        <v>0</v>
      </c>
      <c r="AW185" s="82" t="b">
        <f>OR(AQ12,AU22,AM8,AM21)</f>
        <v>0</v>
      </c>
      <c r="AX185" s="220">
        <v>6</v>
      </c>
      <c r="AY185" s="56" t="e">
        <f ca="1">MAX(ROUND(AP185*(AM$1/AM$27),0),IF(AT185=TRUE,1,0))</f>
        <v>#NAME?</v>
      </c>
      <c r="AZ185" s="229">
        <v>5</v>
      </c>
      <c r="BA185" s="221">
        <v>0</v>
      </c>
      <c r="BB185" s="222" t="b">
        <v>0</v>
      </c>
      <c r="BC185" s="223" t="b">
        <v>0</v>
      </c>
      <c r="BD185" s="228" t="b">
        <v>1</v>
      </c>
      <c r="BE185" s="224" t="b">
        <v>0</v>
      </c>
      <c r="BF185" s="179">
        <v>1</v>
      </c>
      <c r="BG185" s="225" t="str">
        <f>IF(BC185=FALSE,"",MIN(BH185:$BK185)-ROUND(($BK185-1-ROUND(80/$AZ185,0))/COUNTIF($BB185:$BE185,TRUE),0))</f>
        <v/>
      </c>
      <c r="BH185" s="225">
        <f>IF(BD185=FALSE,"",MIN(BI185:$BK185)-ROUND(($BK185-1-ROUND(80/$AZ185,0))/COUNTIF($BB185:$BE185,TRUE),0))</f>
        <v>17</v>
      </c>
      <c r="BI185" s="225" t="str">
        <f>IF(BE185=FALSE,"",MIN(BJ185:$BK185)-ROUND(($BK185-1-ROUND(80/$AZ185,0))/COUNTIF($BB185:$BE185,TRUE),0))</f>
        <v/>
      </c>
      <c r="BJ185" s="225" t="str">
        <f>IF(BB185=FALSE,"",MIN($BK185:BK185)-ROUND(($BK185-1-ROUND(80/$AZ185,0))/COUNTIF($BB185:$BE185,TRUE),0))</f>
        <v/>
      </c>
      <c r="BK185" s="107">
        <f>101-ROUND(Ag!BU$7*100,0)</f>
        <v>96</v>
      </c>
      <c r="BL185" s="63">
        <v>2</v>
      </c>
      <c r="BM185" s="82">
        <f t="array" ref="BM185">MIN(BL185,INDEX([1]Basic!L$26:L$34, MATCH([1]Basic!D$5,[1]Basic!B$26:B$34,0)))</f>
        <v>2</v>
      </c>
    </row>
    <row r="186" spans="26:65" ht="15.75" customHeight="1" thickBot="1">
      <c r="Z186" s="31"/>
      <c r="AA186" s="31"/>
      <c r="AB186" s="31"/>
      <c r="AC186" s="31"/>
      <c r="AD186" s="31"/>
      <c r="AE186" s="31"/>
      <c r="AF186" s="31"/>
      <c r="AG186" s="31"/>
      <c r="AH186" s="31"/>
      <c r="AI186" s="31"/>
      <c r="AK186" s="359"/>
      <c r="AL186" s="451" t="s">
        <v>248</v>
      </c>
      <c r="AM186" s="361"/>
      <c r="AN186" s="230">
        <v>3</v>
      </c>
      <c r="AO186" s="218" t="e">
        <f ca="1">ROUND(AN186*_xludf.ifs(
AND(AU186=TRUE,AW186=TRUE),1,
AU186=TRUE,AV186,
AW186=TRUE,AX186,
TRUE,1),0)</f>
        <v>#NAME?</v>
      </c>
      <c r="AP186" s="57" t="e">
        <f ca="1">ROUND(AO186/SUM(AO$32:AO$252)*AM$27,0)</f>
        <v>#NAME?</v>
      </c>
      <c r="AQ186" s="6" t="str">
        <f ca="1">IFERROR(__xludf.DUMMYFUNCTION("if(O186=0,"""",
filter(I$32:I185,row(I$32:I185)=max(filter(arrayformula(row(I$32:I185)),I$32:I185&lt;&gt;"""")))+
filter(G$32:G185,row(G$32:G185)=max(filter(arrayformula(row(G$32:G185)),G$32:G185&lt;&gt;"""")))
)"),"")</f>
        <v/>
      </c>
      <c r="AR186" s="206" t="str">
        <f ca="1">IFERROR(__xludf.DUMMYFUNCTION("if(G186="""","""",G186-(
filter(G$32:G$252,row(G$32:G$252)=max(filter(arrayformula(row(G$32:G$252)),G$32:G$252&lt;&gt;"""")))
-(10001-
filter(I$32:I$252,row(I$32:I$252)=max(filter(arrayformula(row(I$32:I$252)),I$32:I$252&lt;&gt;""""))))))"),"")</f>
        <v/>
      </c>
      <c r="AS186" s="206" t="e">
        <f ca="1">IF(AY186=0,"",ROUND(AY186/AM$3*10000,0))</f>
        <v>#NAME?</v>
      </c>
      <c r="AT186" s="239" t="b">
        <v>0</v>
      </c>
      <c r="AU186" s="59"/>
      <c r="AV186" s="232">
        <v>0</v>
      </c>
      <c r="AW186" s="83" t="b">
        <f>OR(AQ12,AM21,AQ9,AQ21:AQ22,AQ16:AQ18)</f>
        <v>0</v>
      </c>
      <c r="AX186" s="232">
        <v>4</v>
      </c>
      <c r="AY186" s="58" t="e">
        <f ca="1">MAX(ROUND(AP186*(AM$1/AM$27),0),IF(AT186=TRUE,1,0))</f>
        <v>#NAME?</v>
      </c>
      <c r="AZ186" s="238">
        <v>5</v>
      </c>
      <c r="BA186" s="233">
        <v>0</v>
      </c>
      <c r="BB186" s="222" t="b">
        <v>0</v>
      </c>
      <c r="BC186" s="223" t="b">
        <v>0</v>
      </c>
      <c r="BD186" s="228" t="b">
        <v>1</v>
      </c>
      <c r="BE186" s="224" t="b">
        <v>0</v>
      </c>
      <c r="BF186" s="179">
        <v>1</v>
      </c>
      <c r="BG186" s="225" t="str">
        <f>IF(BC186=FALSE,"",MIN(BH186:$BK186)-ROUND(($BK186-1-ROUND(80/$AZ186,0))/COUNTIF($BB186:$BE186,TRUE),0))</f>
        <v/>
      </c>
      <c r="BH186" s="225">
        <f>IF(BD186=FALSE,"",MIN(BI186:$BK186)-ROUND(($BK186-1-ROUND(80/$AZ186,0))/COUNTIF($BB186:$BE186,TRUE),0))</f>
        <v>17</v>
      </c>
      <c r="BI186" s="225" t="str">
        <f>IF(BE186=FALSE,"",MIN(BJ186:$BK186)-ROUND(($BK186-1-ROUND(80/$AZ186,0))/COUNTIF($BB186:$BE186,TRUE),0))</f>
        <v/>
      </c>
      <c r="BJ186" s="225" t="str">
        <f>IF(BB186=FALSE,"",MIN($BK186:BK186)-ROUND(($BK186-1-ROUND(80/$AZ186,0))/COUNTIF($BB186:$BE186,TRUE),0))</f>
        <v/>
      </c>
      <c r="BK186" s="107">
        <f>101-ROUND(Ag!BU$7*100,0)</f>
        <v>96</v>
      </c>
      <c r="BL186" s="63">
        <v>2</v>
      </c>
      <c r="BM186" s="82">
        <f t="array" ref="BM186">MIN(BL186,INDEX([1]Basic!L$26:L$34, MATCH([1]Basic!D$5,[1]Basic!B$26:B$34,0)))</f>
        <v>2</v>
      </c>
    </row>
    <row r="187" spans="26:65" ht="15.75" customHeight="1" thickTop="1">
      <c r="Z187" s="31"/>
      <c r="AA187" s="31"/>
      <c r="AB187" s="31"/>
      <c r="AC187" s="31"/>
      <c r="AD187" s="31"/>
      <c r="AE187" s="31"/>
      <c r="AF187" s="31"/>
      <c r="AG187" s="31"/>
      <c r="AH187" s="31"/>
      <c r="AI187" s="31"/>
      <c r="AK187" s="453" t="s">
        <v>792</v>
      </c>
      <c r="AL187" s="450" t="s">
        <v>253</v>
      </c>
      <c r="AM187" s="358"/>
      <c r="AN187" s="215">
        <v>6</v>
      </c>
      <c r="AO187" s="54" t="e">
        <f ca="1">ROUND(AN187*_xludf.ifs(
AND(AU187=TRUE,AW187=TRUE),1,
AU187=TRUE,AV187,
AW187=TRUE,AX187,
TRUE,1),0)</f>
        <v>#NAME?</v>
      </c>
      <c r="AP187" s="118" t="e">
        <f ca="1">ROUND(AO187/SUM(AO$32:AO$252)*AM$27,0)</f>
        <v>#NAME?</v>
      </c>
      <c r="AQ187" s="5" t="str">
        <f ca="1">IFERROR(__xludf.DUMMYFUNCTION("if(O187=0,"""",
filter(I$32:I186,row(I$32:I186)=max(filter(arrayformula(row(I$32:I186)),I$32:I186&lt;&gt;"""")))+
filter(G$32:G186,row(G$32:G186)=max(filter(arrayformula(row(G$32:G186)),G$32:G186&lt;&gt;"""")))
)"),"")</f>
        <v/>
      </c>
      <c r="AR187" s="198" t="str">
        <f ca="1">IFERROR(__xludf.DUMMYFUNCTION("if(G187="""","""",G187-(
filter(G$32:G$252,row(G$32:G$252)=max(filter(arrayformula(row(G$32:G$252)),G$32:G$252&lt;&gt;"""")))
-(10001-
filter(I$32:I$252,row(I$32:I$252)=max(filter(arrayformula(row(I$32:I$252)),I$32:I$252&lt;&gt;""""))))))"),"")</f>
        <v/>
      </c>
      <c r="AS187" s="198" t="e">
        <f ca="1">IF(AY187=0,"",ROUND(AY187/AM$3*10000,0))</f>
        <v>#NAME?</v>
      </c>
      <c r="AT187" s="210" t="b">
        <v>0</v>
      </c>
      <c r="AU187" s="180" t="b">
        <f>OR(AM10)</f>
        <v>0</v>
      </c>
      <c r="AV187" s="211">
        <v>0</v>
      </c>
      <c r="AW187" s="80" t="b">
        <f>OR(AQ12,AQ18:AQ20,AQ13)</f>
        <v>0</v>
      </c>
      <c r="AX187" s="211">
        <v>2</v>
      </c>
      <c r="AY187" s="56" t="e">
        <f ca="1">MAX(ROUND(AP187*(AM$1/AM$27),0),IF(AT187=TRUE,1,0))</f>
        <v>#NAME?</v>
      </c>
      <c r="AZ187" s="229">
        <v>5</v>
      </c>
      <c r="BA187" s="221">
        <v>0</v>
      </c>
      <c r="BB187" s="234" t="b">
        <v>0</v>
      </c>
      <c r="BC187" s="235" t="b">
        <v>0</v>
      </c>
      <c r="BD187" s="214" t="b">
        <v>1</v>
      </c>
      <c r="BE187" s="236" t="b">
        <v>0</v>
      </c>
      <c r="BF187" s="180">
        <v>1</v>
      </c>
      <c r="BG187" s="216" t="str">
        <f>IF(BC187=FALSE,"",MIN(BH187:$BK187)-ROUND(($BK187-1-ROUND(80/$AZ187,0))/COUNTIF($BB187:$BE187,TRUE),0))</f>
        <v/>
      </c>
      <c r="BH187" s="216">
        <f>IF(BD187=FALSE,"",MIN(BI187:$BK187)-ROUND(($BK187-1-ROUND(80/$AZ187,0))/COUNTIF($BB187:$BE187,TRUE),0))</f>
        <v>17</v>
      </c>
      <c r="BI187" s="216" t="str">
        <f>IF(BE187=FALSE,"",MIN(BJ187:$BK187)-ROUND(($BK187-1-ROUND(80/$AZ187,0))/COUNTIF($BB187:$BE187,TRUE),0))</f>
        <v/>
      </c>
      <c r="BJ187" s="216" t="str">
        <f>IF(BB187=FALSE,"",MIN($BK187:BK187)-ROUND(($BK187-1-ROUND(80/$AZ187,0))/COUNTIF($BB187:$BE187,TRUE),0))</f>
        <v/>
      </c>
      <c r="BK187" s="177">
        <f>101-ROUND(Ag!BU$7*100,0)</f>
        <v>96</v>
      </c>
      <c r="BL187" s="61">
        <v>3</v>
      </c>
      <c r="BM187" s="82">
        <f t="array" ref="BM187">MIN(BL187,INDEX([1]Basic!L$26:L$34, MATCH([1]Basic!D$5,[1]Basic!B$26:B$34,0)))</f>
        <v>3</v>
      </c>
    </row>
    <row r="188" spans="26:65" ht="15.75" customHeight="1">
      <c r="Z188" s="31"/>
      <c r="AA188" s="31"/>
      <c r="AB188" s="31"/>
      <c r="AC188" s="31"/>
      <c r="AD188" s="31"/>
      <c r="AE188" s="31"/>
      <c r="AF188" s="31"/>
      <c r="AG188" s="31"/>
      <c r="AH188" s="31"/>
      <c r="AI188" s="31"/>
      <c r="AK188" s="389"/>
      <c r="AL188" s="452" t="s">
        <v>258</v>
      </c>
      <c r="AM188" s="369"/>
      <c r="AN188" s="241">
        <v>80</v>
      </c>
      <c r="AO188" s="218" t="e">
        <f ca="1">ROUND(AN188*_xludf.ifs(
AND(AU188=TRUE,AW188=TRUE),1,
AU188=TRUE,AV188,
AW188=TRUE,AX188,
TRUE,1),0)</f>
        <v>#NAME?</v>
      </c>
      <c r="AP188" s="57" t="e">
        <f ca="1">ROUND(AO188/SUM(AO$32:AO$252)*AM$27,0)</f>
        <v>#NAME?</v>
      </c>
      <c r="AQ188" s="5" t="str">
        <f ca="1">IFERROR(__xludf.DUMMYFUNCTION("if(O188=0,"""",
filter(I$32:I187,row(I$32:I187)=max(filter(arrayformula(row(I$32:I187)),I$32:I187&lt;&gt;"""")))+
filter(G$32:G187,row(G$32:G187)=max(filter(arrayformula(row(G$32:G187)),G$32:G187&lt;&gt;"""")))
)"),"")</f>
        <v/>
      </c>
      <c r="AR188" s="198" t="str">
        <f ca="1">IFERROR(__xludf.DUMMYFUNCTION("if(G188="""","""",G188-(
filter(G$32:G$252,row(G$32:G$252)=max(filter(arrayformula(row(G$32:G$252)),G$32:G$252&lt;&gt;"""")))
-(10001-
filter(I$32:I$252,row(I$32:I$252)=max(filter(arrayformula(row(I$32:I$252)),I$32:I$252&lt;&gt;""""))))))"),"")</f>
        <v/>
      </c>
      <c r="AS188" s="198" t="e">
        <f ca="1">IF(AY188=0,"",ROUND(AY188/AM$3*10000,0))</f>
        <v>#NAME?</v>
      </c>
      <c r="AT188" s="237" t="b">
        <v>0</v>
      </c>
      <c r="AU188" s="57"/>
      <c r="AV188" s="220">
        <v>0</v>
      </c>
      <c r="AW188" s="82" t="b">
        <f>OR(AU13,AQ13)</f>
        <v>0</v>
      </c>
      <c r="AX188" s="220">
        <v>2</v>
      </c>
      <c r="AY188" s="56" t="e">
        <f ca="1">MAX(ROUND(AP188*(AM$1/AM$27),0),IF(AT188=TRUE,1,0))</f>
        <v>#NAME?</v>
      </c>
      <c r="AZ188" s="229">
        <v>3</v>
      </c>
      <c r="BA188" s="221">
        <v>0</v>
      </c>
      <c r="BB188" s="222" t="b">
        <v>0</v>
      </c>
      <c r="BC188" s="223" t="b">
        <v>0</v>
      </c>
      <c r="BD188" s="228" t="b">
        <v>1</v>
      </c>
      <c r="BE188" s="224" t="b">
        <v>0</v>
      </c>
      <c r="BF188" s="179">
        <v>1</v>
      </c>
      <c r="BG188" s="225" t="str">
        <f>IF(BC188=FALSE,"",MIN(BH188:$BK188)-ROUND(($BK188-1-ROUND(80/$AZ188,0))/COUNTIF($BB188:$BE188,TRUE),0))</f>
        <v/>
      </c>
      <c r="BH188" s="225">
        <f>IF(BD188=FALSE,"",MIN(BI188:$BK188)-ROUND(($BK188-1-ROUND(80/$AZ188,0))/COUNTIF($BB188:$BE188,TRUE),0))</f>
        <v>28</v>
      </c>
      <c r="BI188" s="225" t="str">
        <f>IF(BE188=FALSE,"",MIN(BJ188:$BK188)-ROUND(($BK188-1-ROUND(80/$AZ188,0))/COUNTIF($BB188:$BE188,TRUE),0))</f>
        <v/>
      </c>
      <c r="BJ188" s="225" t="str">
        <f>IF(BB188=FALSE,"",MIN($BK188:BK188)-ROUND(($BK188-1-ROUND(80/$AZ188,0))/COUNTIF($BB188:$BE188,TRUE),0))</f>
        <v/>
      </c>
      <c r="BK188" s="107">
        <f>101-ROUND(Ag!BU$7*100,0)</f>
        <v>96</v>
      </c>
      <c r="BL188" s="63">
        <v>2</v>
      </c>
      <c r="BM188" s="82">
        <f t="array" ref="BM188">MIN(BL188,INDEX([1]Basic!L$26:L$34, MATCH([1]Basic!D$5,[1]Basic!B$26:B$34,0)))</f>
        <v>2</v>
      </c>
    </row>
    <row r="189" spans="26:65" ht="15.75" customHeight="1">
      <c r="Z189" s="31"/>
      <c r="AA189" s="31"/>
      <c r="AB189" s="31"/>
      <c r="AC189" s="31"/>
      <c r="AD189" s="31"/>
      <c r="AE189" s="31"/>
      <c r="AF189" s="31"/>
      <c r="AG189" s="31"/>
      <c r="AH189" s="31"/>
      <c r="AI189" s="31"/>
      <c r="AK189" s="389"/>
      <c r="AL189" s="452" t="s">
        <v>262</v>
      </c>
      <c r="AM189" s="369"/>
      <c r="AN189" s="229">
        <v>65</v>
      </c>
      <c r="AO189" s="218" t="e">
        <f ca="1">ROUND(AN189*_xludf.ifs(
AND(AU189=TRUE,AW189=TRUE),1,
AU189=TRUE,AV189,
AW189=TRUE,AX189,
TRUE,1),0)</f>
        <v>#NAME?</v>
      </c>
      <c r="AP189" s="57" t="e">
        <f ca="1">ROUND(AO189/SUM(AO$32:AO$252)*AM$27,0)</f>
        <v>#NAME?</v>
      </c>
      <c r="AQ189" s="5" t="str">
        <f ca="1">IFERROR(__xludf.DUMMYFUNCTION("if(O189=0,"""",
filter(I$32:I188,row(I$32:I188)=max(filter(arrayformula(row(I$32:I188)),I$32:I188&lt;&gt;"""")))+
filter(G$32:G188,row(G$32:G188)=max(filter(arrayformula(row(G$32:G188)),G$32:G188&lt;&gt;"""")))
)"),"")</f>
        <v/>
      </c>
      <c r="AR189" s="198" t="str">
        <f ca="1">IFERROR(__xludf.DUMMYFUNCTION("if(G189="""","""",G189-(
filter(G$32:G$252,row(G$32:G$252)=max(filter(arrayformula(row(G$32:G$252)),G$32:G$252&lt;&gt;"""")))
-(10001-
filter(I$32:I$252,row(I$32:I$252)=max(filter(arrayformula(row(I$32:I$252)),I$32:I$252&lt;&gt;""""))))))"),"")</f>
        <v/>
      </c>
      <c r="AS189" s="198" t="e">
        <f ca="1">IF(AY189=0,"",ROUND(AY189/AM$3*10000,0))</f>
        <v>#NAME?</v>
      </c>
      <c r="AT189" s="237" t="b">
        <v>0</v>
      </c>
      <c r="AU189" s="57"/>
      <c r="AV189" s="220">
        <v>0</v>
      </c>
      <c r="AW189" s="82" t="b">
        <f>OR(AU19)</f>
        <v>0</v>
      </c>
      <c r="AX189" s="220">
        <v>2</v>
      </c>
      <c r="AY189" s="56" t="e">
        <f ca="1">MAX(ROUND(AP189*(AM$1/AM$27),0),IF(AT189=TRUE,1,0))</f>
        <v>#NAME?</v>
      </c>
      <c r="AZ189" s="229">
        <v>3</v>
      </c>
      <c r="BA189" s="221">
        <v>0</v>
      </c>
      <c r="BB189" s="222" t="b">
        <v>0</v>
      </c>
      <c r="BC189" s="223" t="b">
        <v>0</v>
      </c>
      <c r="BD189" s="228" t="b">
        <v>1</v>
      </c>
      <c r="BE189" s="224" t="b">
        <v>0</v>
      </c>
      <c r="BF189" s="179">
        <v>1</v>
      </c>
      <c r="BG189" s="225" t="str">
        <f>IF(BC189=FALSE,"",MIN(BH189:$BK189)-ROUND(($BK189-1-ROUND(80/$AZ189,0))/COUNTIF($BB189:$BE189,TRUE),0))</f>
        <v/>
      </c>
      <c r="BH189" s="225">
        <f>IF(BD189=FALSE,"",MIN(BI189:$BK189)-ROUND(($BK189-1-ROUND(80/$AZ189,0))/COUNTIF($BB189:$BE189,TRUE),0))</f>
        <v>28</v>
      </c>
      <c r="BI189" s="225" t="str">
        <f>IF(BE189=FALSE,"",MIN(BJ189:$BK189)-ROUND(($BK189-1-ROUND(80/$AZ189,0))/COUNTIF($BB189:$BE189,TRUE),0))</f>
        <v/>
      </c>
      <c r="BJ189" s="225" t="str">
        <f>IF(BB189=FALSE,"",MIN($BK189:BK189)-ROUND(($BK189-1-ROUND(80/$AZ189,0))/COUNTIF($BB189:$BE189,TRUE),0))</f>
        <v/>
      </c>
      <c r="BK189" s="107">
        <f>101-ROUND(Ag!BU$7*100,0)</f>
        <v>96</v>
      </c>
      <c r="BL189" s="63">
        <v>2</v>
      </c>
      <c r="BM189" s="82">
        <f t="array" ref="BM189">MIN(BL189,INDEX([1]Basic!L$26:L$34, MATCH([1]Basic!D$5,[1]Basic!B$26:B$34,0)))</f>
        <v>2</v>
      </c>
    </row>
    <row r="190" spans="26:65" ht="15.75" customHeight="1">
      <c r="Z190" s="31"/>
      <c r="AA190" s="31"/>
      <c r="AB190" s="31"/>
      <c r="AC190" s="31"/>
      <c r="AD190" s="31"/>
      <c r="AE190" s="31"/>
      <c r="AF190" s="31"/>
      <c r="AG190" s="31"/>
      <c r="AH190" s="31"/>
      <c r="AI190" s="31"/>
      <c r="AK190" s="389"/>
      <c r="AL190" s="452" t="s">
        <v>268</v>
      </c>
      <c r="AM190" s="369"/>
      <c r="AN190" s="241">
        <v>48</v>
      </c>
      <c r="AO190" s="218" t="e">
        <f ca="1">ROUND(AN190*_xludf.ifs(
AND(AU190=TRUE,AW190=TRUE),1,
AU190=TRUE,AV190,
AW190=TRUE,AX190,
TRUE,1),0)</f>
        <v>#NAME?</v>
      </c>
      <c r="AP190" s="57" t="e">
        <f ca="1">ROUND(AO190/SUM(AO$32:AO$252)*AM$27,0)</f>
        <v>#NAME?</v>
      </c>
      <c r="AQ190" s="5" t="str">
        <f ca="1">IFERROR(__xludf.DUMMYFUNCTION("if(O190=0,"""",
filter(I$32:I189,row(I$32:I189)=max(filter(arrayformula(row(I$32:I189)),I$32:I189&lt;&gt;"""")))+
filter(G$32:G189,row(G$32:G189)=max(filter(arrayformula(row(G$32:G189)),G$32:G189&lt;&gt;"""")))
)"),"")</f>
        <v/>
      </c>
      <c r="AR190" s="198" t="str">
        <f ca="1">IFERROR(__xludf.DUMMYFUNCTION("if(G190="""","""",G190-(
filter(G$32:G$252,row(G$32:G$252)=max(filter(arrayformula(row(G$32:G$252)),G$32:G$252&lt;&gt;"""")))
-(10001-
filter(I$32:I$252,row(I$32:I$252)=max(filter(arrayformula(row(I$32:I$252)),I$32:I$252&lt;&gt;""""))))))"),"")</f>
        <v/>
      </c>
      <c r="AS190" s="198" t="e">
        <f ca="1">IF(AY190=0,"",ROUND(AY190/AM$3*10000,0))</f>
        <v>#NAME?</v>
      </c>
      <c r="AT190" s="237" t="b">
        <v>0</v>
      </c>
      <c r="AU190" s="57"/>
      <c r="AV190" s="220">
        <v>0</v>
      </c>
      <c r="AW190" s="82"/>
      <c r="AX190" s="220">
        <v>2</v>
      </c>
      <c r="AY190" s="56" t="e">
        <f ca="1">MAX(ROUND(AP190*(AM$1/AM$27),0),IF(AT190=TRUE,1,0))</f>
        <v>#NAME?</v>
      </c>
      <c r="AZ190" s="229">
        <v>3</v>
      </c>
      <c r="BA190" s="221">
        <v>0</v>
      </c>
      <c r="BB190" s="222" t="b">
        <v>0</v>
      </c>
      <c r="BC190" s="223" t="b">
        <v>0</v>
      </c>
      <c r="BD190" s="228" t="b">
        <v>1</v>
      </c>
      <c r="BE190" s="224" t="b">
        <v>0</v>
      </c>
      <c r="BF190" s="179">
        <v>1</v>
      </c>
      <c r="BG190" s="225" t="str">
        <f>IF(BC190=FALSE,"",MIN(BH190:$BK190)-ROUND(($BK190-1-ROUND(80/$AZ190,0))/COUNTIF($BB190:$BE190,TRUE),0))</f>
        <v/>
      </c>
      <c r="BH190" s="225">
        <f>IF(BD190=FALSE,"",MIN(BI190:$BK190)-ROUND(($BK190-1-ROUND(80/$AZ190,0))/COUNTIF($BB190:$BE190,TRUE),0))</f>
        <v>28</v>
      </c>
      <c r="BI190" s="225" t="str">
        <f>IF(BE190=FALSE,"",MIN(BJ190:$BK190)-ROUND(($BK190-1-ROUND(80/$AZ190,0))/COUNTIF($BB190:$BE190,TRUE),0))</f>
        <v/>
      </c>
      <c r="BJ190" s="225" t="str">
        <f>IF(BB190=FALSE,"",MIN($BK190:BK190)-ROUND(($BK190-1-ROUND(80/$AZ190,0))/COUNTIF($BB190:$BE190,TRUE),0))</f>
        <v/>
      </c>
      <c r="BK190" s="107">
        <f>101-ROUND(Ag!BU$7*100,0)</f>
        <v>96</v>
      </c>
      <c r="BL190" s="63">
        <v>3</v>
      </c>
      <c r="BM190" s="82">
        <f t="array" ref="BM190">MIN(BL190,INDEX([1]Basic!L$26:L$34, MATCH([1]Basic!D$5,[1]Basic!B$26:B$34,0)))</f>
        <v>3</v>
      </c>
    </row>
    <row r="191" spans="26:65" ht="15.75" customHeight="1">
      <c r="Z191" s="31"/>
      <c r="AA191" s="31"/>
      <c r="AB191" s="31"/>
      <c r="AC191" s="31"/>
      <c r="AD191" s="31"/>
      <c r="AE191" s="31"/>
      <c r="AF191" s="31"/>
      <c r="AG191" s="31"/>
      <c r="AH191" s="31"/>
      <c r="AI191" s="31"/>
      <c r="AK191" s="389"/>
      <c r="AL191" s="452" t="s">
        <v>273</v>
      </c>
      <c r="AM191" s="369"/>
      <c r="AN191" s="229">
        <v>14</v>
      </c>
      <c r="AO191" s="218" t="e">
        <f ca="1">ROUND(AN191*_xludf.ifs(
AND(AU191=TRUE,AW191=TRUE),1,
AU191=TRUE,AV191,
AW191=TRUE,AX191,
TRUE,1),0)</f>
        <v>#NAME?</v>
      </c>
      <c r="AP191" s="57" t="e">
        <f ca="1">ROUND(AO191/SUM(AO$32:AO$252)*AM$27,0)</f>
        <v>#NAME?</v>
      </c>
      <c r="AQ191" s="5" t="str">
        <f ca="1">IFERROR(__xludf.DUMMYFUNCTION("if(O191=0,"""",
filter(I$32:I190,row(I$32:I190)=max(filter(arrayformula(row(I$32:I190)),I$32:I190&lt;&gt;"""")))+
filter(G$32:G190,row(G$32:G190)=max(filter(arrayformula(row(G$32:G190)),G$32:G190&lt;&gt;"""")))
)"),"")</f>
        <v/>
      </c>
      <c r="AR191" s="198" t="str">
        <f ca="1">IFERROR(__xludf.DUMMYFUNCTION("if(G191="""","""",G191-(
filter(G$32:G$252,row(G$32:G$252)=max(filter(arrayformula(row(G$32:G$252)),G$32:G$252&lt;&gt;"""")))
-(10001-
filter(I$32:I$252,row(I$32:I$252)=max(filter(arrayformula(row(I$32:I$252)),I$32:I$252&lt;&gt;""""))))))"),"")</f>
        <v/>
      </c>
      <c r="AS191" s="198" t="e">
        <f ca="1">IF(AY191=0,"",ROUND(AY191/AM$3*10000,0))</f>
        <v>#NAME?</v>
      </c>
      <c r="AT191" s="237" t="b">
        <v>0</v>
      </c>
      <c r="AU191" s="179" t="b">
        <f>OR(AM23)</f>
        <v>0</v>
      </c>
      <c r="AV191" s="220">
        <v>0</v>
      </c>
      <c r="AW191" s="82" t="b">
        <f>IF(AM23=TRUE,FALSE,OR(AU22,AQ7,AU15))</f>
        <v>0</v>
      </c>
      <c r="AX191" s="220">
        <f>IF(AU15=TRUE,5,2)</f>
        <v>2</v>
      </c>
      <c r="AY191" s="56" t="e">
        <f ca="1">MAX(ROUND(AP191*(AM$1/AM$27),0),IF(AT191=TRUE,1,0))</f>
        <v>#NAME?</v>
      </c>
      <c r="AZ191" s="229">
        <v>5</v>
      </c>
      <c r="BA191" s="221">
        <v>0</v>
      </c>
      <c r="BB191" s="222" t="b">
        <v>0</v>
      </c>
      <c r="BC191" s="223" t="b">
        <v>0</v>
      </c>
      <c r="BD191" s="228" t="b">
        <v>1</v>
      </c>
      <c r="BE191" s="224" t="b">
        <v>0</v>
      </c>
      <c r="BF191" s="179">
        <v>1</v>
      </c>
      <c r="BG191" s="225" t="str">
        <f>IF(BC191=FALSE,"",MIN(BH191:$BK191)-ROUND(($BK191-1-ROUND(80/$AZ191,0))/COUNTIF($BB191:$BE191,TRUE),0))</f>
        <v/>
      </c>
      <c r="BH191" s="225">
        <f>IF(BD191=FALSE,"",MIN(BI191:$BK191)-ROUND(($BK191-1-ROUND(80/$AZ191,0))/COUNTIF($BB191:$BE191,TRUE),0))</f>
        <v>17</v>
      </c>
      <c r="BI191" s="225" t="str">
        <f>IF(BE191=FALSE,"",MIN(BJ191:$BK191)-ROUND(($BK191-1-ROUND(80/$AZ191,0))/COUNTIF($BB191:$BE191,TRUE),0))</f>
        <v/>
      </c>
      <c r="BJ191" s="225" t="str">
        <f>IF(BB191=FALSE,"",MIN($BK191:BK191)-ROUND(($BK191-1-ROUND(80/$AZ191,0))/COUNTIF($BB191:$BE191,TRUE),0))</f>
        <v/>
      </c>
      <c r="BK191" s="107">
        <f>101-ROUND(Ag!BU$7*100,0)</f>
        <v>96</v>
      </c>
      <c r="BL191" s="63">
        <v>2</v>
      </c>
      <c r="BM191" s="82">
        <f t="array" ref="BM191">MIN(BL191,INDEX([1]Basic!L$26:L$34, MATCH([1]Basic!D$5,[1]Basic!B$26:B$34,0)))</f>
        <v>2</v>
      </c>
    </row>
    <row r="192" spans="26:65" ht="15.75" customHeight="1">
      <c r="Z192" s="31"/>
      <c r="AA192" s="31"/>
      <c r="AB192" s="31"/>
      <c r="AC192" s="31"/>
      <c r="AD192" s="31"/>
      <c r="AE192" s="31"/>
      <c r="AF192" s="31"/>
      <c r="AG192" s="31"/>
      <c r="AH192" s="31"/>
      <c r="AI192" s="31"/>
      <c r="AK192" s="389"/>
      <c r="AL192" s="452" t="s">
        <v>278</v>
      </c>
      <c r="AM192" s="369"/>
      <c r="AN192" s="241">
        <v>40</v>
      </c>
      <c r="AO192" s="218" t="e">
        <f ca="1">ROUND(AN192*_xludf.ifs(
AND(AU192=TRUE,AW192=TRUE),1,
AU192=TRUE,AV192,
AW192=TRUE,AX192,
TRUE,1),0)</f>
        <v>#NAME?</v>
      </c>
      <c r="AP192" s="57" t="e">
        <f ca="1">ROUND(AO192/SUM(AO$32:AO$252)*AM$27,0)</f>
        <v>#NAME?</v>
      </c>
      <c r="AQ192" s="5" t="str">
        <f ca="1">IFERROR(__xludf.DUMMYFUNCTION("if(O192=0,"""",
filter(I$32:I191,row(I$32:I191)=max(filter(arrayformula(row(I$32:I191)),I$32:I191&lt;&gt;"""")))+
filter(G$32:G191,row(G$32:G191)=max(filter(arrayformula(row(G$32:G191)),G$32:G191&lt;&gt;"""")))
)"),"")</f>
        <v/>
      </c>
      <c r="AR192" s="198" t="str">
        <f ca="1">IFERROR(__xludf.DUMMYFUNCTION("if(G192="""","""",G192-(
filter(G$32:G$252,row(G$32:G$252)=max(filter(arrayformula(row(G$32:G$252)),G$32:G$252&lt;&gt;"""")))
-(10001-
filter(I$32:I$252,row(I$32:I$252)=max(filter(arrayformula(row(I$32:I$252)),I$32:I$252&lt;&gt;""""))))))"),"")</f>
        <v/>
      </c>
      <c r="AS192" s="198" t="e">
        <f ca="1">IF(AY192=0,"",ROUND(AY192/AM$3*10000,0))</f>
        <v>#NAME?</v>
      </c>
      <c r="AT192" s="237" t="b">
        <v>0</v>
      </c>
      <c r="AU192" s="57"/>
      <c r="AV192" s="220">
        <v>0</v>
      </c>
      <c r="AW192" s="82"/>
      <c r="AX192" s="220">
        <v>2</v>
      </c>
      <c r="AY192" s="56" t="e">
        <f ca="1">MAX(ROUND(AP192*(AM$1/AM$27),0),IF(AT192=TRUE,1,0))</f>
        <v>#NAME?</v>
      </c>
      <c r="AZ192" s="229">
        <v>5</v>
      </c>
      <c r="BA192" s="221">
        <v>0</v>
      </c>
      <c r="BB192" s="222" t="b">
        <v>0</v>
      </c>
      <c r="BC192" s="223" t="b">
        <v>0</v>
      </c>
      <c r="BD192" s="228" t="b">
        <v>1</v>
      </c>
      <c r="BE192" s="224" t="b">
        <v>0</v>
      </c>
      <c r="BF192" s="179">
        <v>1</v>
      </c>
      <c r="BG192" s="225" t="str">
        <f>IF(BC192=FALSE,"",MIN(BH192:$BK192)-ROUND(($BK192-1-ROUND(80/$AZ192,0))/COUNTIF($BB192:$BE192,TRUE),0))</f>
        <v/>
      </c>
      <c r="BH192" s="225">
        <f>IF(BD192=FALSE,"",MIN(BI192:$BK192)-ROUND(($BK192-1-ROUND(80/$AZ192,0))/COUNTIF($BB192:$BE192,TRUE),0))</f>
        <v>17</v>
      </c>
      <c r="BI192" s="225" t="str">
        <f>IF(BE192=FALSE,"",MIN(BJ192:$BK192)-ROUND(($BK192-1-ROUND(80/$AZ192,0))/COUNTIF($BB192:$BE192,TRUE),0))</f>
        <v/>
      </c>
      <c r="BJ192" s="225" t="str">
        <f>IF(BB192=FALSE,"",MIN($BK192:BK192)-ROUND(($BK192-1-ROUND(80/$AZ192,0))/COUNTIF($BB192:$BE192,TRUE),0))</f>
        <v/>
      </c>
      <c r="BK192" s="107">
        <f>101-ROUND(Ag!BU$7*100,0)</f>
        <v>96</v>
      </c>
      <c r="BL192" s="63">
        <v>2</v>
      </c>
      <c r="BM192" s="82">
        <f t="array" ref="BM192">MIN(BL192,INDEX([1]Basic!L$26:L$34, MATCH([1]Basic!D$5,[1]Basic!B$26:B$34,0)))</f>
        <v>2</v>
      </c>
    </row>
    <row r="193" spans="26:65" ht="15.75" customHeight="1">
      <c r="Z193" s="31"/>
      <c r="AA193" s="31"/>
      <c r="AB193" s="31"/>
      <c r="AC193" s="31"/>
      <c r="AD193" s="31"/>
      <c r="AE193" s="31"/>
      <c r="AF193" s="31"/>
      <c r="AG193" s="31"/>
      <c r="AH193" s="31"/>
      <c r="AI193" s="31"/>
      <c r="AK193" s="389"/>
      <c r="AL193" s="452" t="s">
        <v>285</v>
      </c>
      <c r="AM193" s="369"/>
      <c r="AN193" s="229">
        <v>68</v>
      </c>
      <c r="AO193" s="218" t="e">
        <f ca="1">ROUND(AN193*_xludf.ifs(
AND(AU193=TRUE,AW193=TRUE),1,
AU193=TRUE,AV193,
AW193=TRUE,AX193,
TRUE,1),0)</f>
        <v>#NAME?</v>
      </c>
      <c r="AP193" s="57" t="e">
        <f ca="1">ROUND(AO193/SUM(AO$32:AO$252)*AM$27,0)</f>
        <v>#NAME?</v>
      </c>
      <c r="AQ193" s="5" t="str">
        <f ca="1">IFERROR(__xludf.DUMMYFUNCTION("if(O193=0,"""",
filter(I$32:I192,row(I$32:I192)=max(filter(arrayformula(row(I$32:I192)),I$32:I192&lt;&gt;"""")))+
filter(G$32:G192,row(G$32:G192)=max(filter(arrayformula(row(G$32:G192)),G$32:G192&lt;&gt;"""")))
)"),"")</f>
        <v/>
      </c>
      <c r="AR193" s="198" t="str">
        <f ca="1">IFERROR(__xludf.DUMMYFUNCTION("if(G193="""","""",G193-(
filter(G$32:G$252,row(G$32:G$252)=max(filter(arrayformula(row(G$32:G$252)),G$32:G$252&lt;&gt;"""")))
-(10001-
filter(I$32:I$252,row(I$32:I$252)=max(filter(arrayformula(row(I$32:I$252)),I$32:I$252&lt;&gt;""""))))))"),"")</f>
        <v/>
      </c>
      <c r="AS193" s="198" t="e">
        <f ca="1">IF(AY193=0,"",ROUND(AY193/AM$3*10000,0))</f>
        <v>#NAME?</v>
      </c>
      <c r="AT193" s="237" t="b">
        <v>0</v>
      </c>
      <c r="AU193" s="57"/>
      <c r="AV193" s="220">
        <v>0</v>
      </c>
      <c r="AW193" s="82" t="b">
        <f>OR(AU13,AQ13,AQ22)</f>
        <v>0</v>
      </c>
      <c r="AX193" s="220">
        <v>2</v>
      </c>
      <c r="AY193" s="56" t="e">
        <f ca="1">MAX(ROUND(AP193*(AM$1/AM$27),0),IF(AT193=TRUE,1,0))</f>
        <v>#NAME?</v>
      </c>
      <c r="AZ193" s="229">
        <v>5</v>
      </c>
      <c r="BA193" s="221">
        <v>0</v>
      </c>
      <c r="BB193" s="222" t="b">
        <v>0</v>
      </c>
      <c r="BC193" s="223" t="b">
        <v>0</v>
      </c>
      <c r="BD193" s="228" t="b">
        <v>1</v>
      </c>
      <c r="BE193" s="224" t="b">
        <v>0</v>
      </c>
      <c r="BF193" s="179">
        <v>1</v>
      </c>
      <c r="BG193" s="225" t="str">
        <f>IF(BC193=FALSE,"",MIN(BH193:$BK193)-ROUND(($BK193-1-ROUND(80/$AZ193,0))/COUNTIF($BB193:$BE193,TRUE),0))</f>
        <v/>
      </c>
      <c r="BH193" s="225">
        <f>IF(BD193=FALSE,"",MIN(BI193:$BK193)-ROUND(($BK193-1-ROUND(80/$AZ193,0))/COUNTIF($BB193:$BE193,TRUE),0))</f>
        <v>17</v>
      </c>
      <c r="BI193" s="225" t="str">
        <f>IF(BE193=FALSE,"",MIN(BJ193:$BK193)-ROUND(($BK193-1-ROUND(80/$AZ193,0))/COUNTIF($BB193:$BE193,TRUE),0))</f>
        <v/>
      </c>
      <c r="BJ193" s="225" t="str">
        <f>IF(BB193=FALSE,"",MIN($BK193:BK193)-ROUND(($BK193-1-ROUND(80/$AZ193,0))/COUNTIF($BB193:$BE193,TRUE),0))</f>
        <v/>
      </c>
      <c r="BK193" s="107">
        <f>101-ROUND(Ag!BU$7*100,0)</f>
        <v>96</v>
      </c>
      <c r="BL193" s="63">
        <v>4</v>
      </c>
      <c r="BM193" s="82">
        <f t="array" ref="BM193">MIN(BL193,INDEX([1]Basic!L$26:L$34, MATCH([1]Basic!D$5,[1]Basic!B$26:B$34,0)))</f>
        <v>3</v>
      </c>
    </row>
    <row r="194" spans="26:65" ht="15.75" customHeight="1">
      <c r="Z194" s="31"/>
      <c r="AA194" s="31"/>
      <c r="AB194" s="31"/>
      <c r="AC194" s="31"/>
      <c r="AD194" s="31"/>
      <c r="AE194" s="31"/>
      <c r="AF194" s="31"/>
      <c r="AG194" s="31"/>
      <c r="AH194" s="31"/>
      <c r="AI194" s="31"/>
      <c r="AK194" s="389"/>
      <c r="AL194" s="452" t="s">
        <v>290</v>
      </c>
      <c r="AM194" s="369"/>
      <c r="AN194" s="229">
        <v>22</v>
      </c>
      <c r="AO194" s="218" t="e">
        <f ca="1">ROUND(AN194*_xludf.ifs(
AND(AU194=TRUE,AW194=TRUE),1,
AU194=TRUE,AV194,
AW194=TRUE,AX194,
TRUE,1),0)</f>
        <v>#NAME?</v>
      </c>
      <c r="AP194" s="57" t="e">
        <f ca="1">ROUND(AO194/SUM(AO$32:AO$252)*AM$27,0)</f>
        <v>#NAME?</v>
      </c>
      <c r="AQ194" s="5">
        <f ca="1">IFERROR(__xludf.DUMMYFUNCTION("if(O194=0,"""",
filter(I$32:I193,row(I$32:I193)=max(filter(arrayformula(row(I$32:I193)),I$32:I193&lt;&gt;"""")))+
filter(G$32:G193,row(G$32:G193)=max(filter(arrayformula(row(G$32:G193)),G$32:G193&lt;&gt;"""")))
)"),8340)</f>
        <v>8340</v>
      </c>
      <c r="AR194" s="198">
        <f ca="1">IFERROR(__xludf.DUMMYFUNCTION("if(G194="""","""",G194-(
filter(G$32:G$252,row(G$32:G$252)=max(filter(arrayformula(row(G$32:G$252)),G$32:G$252&lt;&gt;"""")))
-(10001-
filter(I$32:I$252,row(I$32:I$252)=max(filter(arrayformula(row(I$32:I$252)),I$32:I$252&lt;&gt;""""))))))"),8333)</f>
        <v>8333</v>
      </c>
      <c r="AS194" s="198" t="e">
        <f ca="1">IF(AY194=0,"",ROUND(AY194/AM$3*10000,0))</f>
        <v>#NAME?</v>
      </c>
      <c r="AT194" s="219" t="b">
        <v>1</v>
      </c>
      <c r="AU194" s="57"/>
      <c r="AV194" s="220">
        <v>0</v>
      </c>
      <c r="AW194" s="82" t="b">
        <f>OR(AQ13)</f>
        <v>0</v>
      </c>
      <c r="AX194" s="220">
        <v>2</v>
      </c>
      <c r="AY194" s="56" t="e">
        <f ca="1">MAX(ROUND(AP194*(AM$1/AM$27),0),IF(AT194=TRUE,1,0))</f>
        <v>#NAME?</v>
      </c>
      <c r="AZ194" s="229">
        <v>5</v>
      </c>
      <c r="BA194" s="221">
        <v>0</v>
      </c>
      <c r="BB194" s="222" t="b">
        <v>0</v>
      </c>
      <c r="BC194" s="223" t="b">
        <v>0</v>
      </c>
      <c r="BD194" s="228" t="b">
        <v>1</v>
      </c>
      <c r="BE194" s="224" t="b">
        <v>0</v>
      </c>
      <c r="BF194" s="179">
        <v>1</v>
      </c>
      <c r="BG194" s="225" t="str">
        <f>IF(BC194=FALSE,"",MIN(BH194:$BK194)-ROUND(($BK194-1-ROUND(80/$AZ194,0))/COUNTIF($BB194:$BE194,TRUE),0))</f>
        <v/>
      </c>
      <c r="BH194" s="225">
        <f>IF(BD194=FALSE,"",MIN(BI194:$BK194)-ROUND(($BK194-1-ROUND(80/$AZ194,0))/COUNTIF($BB194:$BE194,TRUE),0))</f>
        <v>17</v>
      </c>
      <c r="BI194" s="225" t="str">
        <f>IF(BE194=FALSE,"",MIN(BJ194:$BK194)-ROUND(($BK194-1-ROUND(80/$AZ194,0))/COUNTIF($BB194:$BE194,TRUE),0))</f>
        <v/>
      </c>
      <c r="BJ194" s="225" t="str">
        <f>IF(BB194=FALSE,"",MIN($BK194:BK194)-ROUND(($BK194-1-ROUND(80/$AZ194,0))/COUNTIF($BB194:$BE194,TRUE),0))</f>
        <v/>
      </c>
      <c r="BK194" s="107">
        <f>101-ROUND(Ag!BU$7*100,0)</f>
        <v>96</v>
      </c>
      <c r="BL194" s="63">
        <v>3</v>
      </c>
      <c r="BM194" s="82">
        <f t="array" ref="BM194">MIN(BL194,INDEX([1]Basic!L$26:L$34, MATCH([1]Basic!D$5,[1]Basic!B$26:B$34,0)))</f>
        <v>3</v>
      </c>
    </row>
    <row r="195" spans="26:65" ht="15.75" customHeight="1">
      <c r="Z195" s="31"/>
      <c r="AA195" s="31"/>
      <c r="AB195" s="31"/>
      <c r="AC195" s="31"/>
      <c r="AD195" s="31"/>
      <c r="AE195" s="31"/>
      <c r="AF195" s="31"/>
      <c r="AG195" s="31"/>
      <c r="AH195" s="31"/>
      <c r="AI195" s="31"/>
      <c r="AK195" s="389"/>
      <c r="AL195" s="452" t="s">
        <v>296</v>
      </c>
      <c r="AM195" s="369"/>
      <c r="AN195" s="241">
        <v>80</v>
      </c>
      <c r="AO195" s="218" t="e">
        <f ca="1">ROUND(AN195*_xludf.ifs(
AND(AU195=TRUE,AW195=TRUE),1,
AU195=TRUE,AV195,
AW195=TRUE,AX195,
TRUE,1),0)</f>
        <v>#NAME?</v>
      </c>
      <c r="AP195" s="57" t="e">
        <f ca="1">ROUND(AO195/SUM(AO$32:AO$252)*AM$27,0)</f>
        <v>#NAME?</v>
      </c>
      <c r="AQ195" s="5" t="str">
        <f ca="1">IFERROR(__xludf.DUMMYFUNCTION("if(O195=0,"""",
filter(I$32:I194,row(I$32:I194)=max(filter(arrayformula(row(I$32:I194)),I$32:I194&lt;&gt;"""")))+
filter(G$32:G194,row(G$32:G194)=max(filter(arrayformula(row(G$32:G194)),G$32:G194&lt;&gt;"""")))
)"),"")</f>
        <v/>
      </c>
      <c r="AR195" s="198" t="str">
        <f ca="1">IFERROR(__xludf.DUMMYFUNCTION("if(G195="""","""",G195-(
filter(G$32:G$252,row(G$32:G$252)=max(filter(arrayformula(row(G$32:G$252)),G$32:G$252&lt;&gt;"""")))
-(10001-
filter(I$32:I$252,row(I$32:I$252)=max(filter(arrayformula(row(I$32:I$252)),I$32:I$252&lt;&gt;""""))))))"),"")</f>
        <v/>
      </c>
      <c r="AS195" s="198" t="e">
        <f ca="1">IF(AY195=0,"",ROUND(AY195/AM$3*10000,0))</f>
        <v>#NAME?</v>
      </c>
      <c r="AT195" s="219" t="b">
        <v>0</v>
      </c>
      <c r="AU195" s="57"/>
      <c r="AV195" s="220">
        <v>0</v>
      </c>
      <c r="AW195" s="82"/>
      <c r="AX195" s="220">
        <v>2</v>
      </c>
      <c r="AY195" s="56" t="e">
        <f ca="1">MAX(ROUND(AP195*(AM$1/AM$27),0),IF(AT195=TRUE,1,0))</f>
        <v>#NAME?</v>
      </c>
      <c r="AZ195" s="229">
        <v>3</v>
      </c>
      <c r="BA195" s="221">
        <v>0</v>
      </c>
      <c r="BB195" s="222" t="b">
        <v>0</v>
      </c>
      <c r="BC195" s="223" t="b">
        <v>0</v>
      </c>
      <c r="BD195" s="228" t="b">
        <v>1</v>
      </c>
      <c r="BE195" s="224" t="b">
        <v>0</v>
      </c>
      <c r="BF195" s="179">
        <v>1</v>
      </c>
      <c r="BG195" s="225" t="str">
        <f>IF(BC195=FALSE,"",MIN(BH195:$BK195)-ROUND(($BK195-1-ROUND(80/$AZ195,0))/COUNTIF($BB195:$BE195,TRUE),0))</f>
        <v/>
      </c>
      <c r="BH195" s="225">
        <f>IF(BD195=FALSE,"",MIN(BI195:$BK195)-ROUND(($BK195-1-ROUND(80/$AZ195,0))/COUNTIF($BB195:$BE195,TRUE),0))</f>
        <v>28</v>
      </c>
      <c r="BI195" s="225" t="str">
        <f>IF(BE195=FALSE,"",MIN(BJ195:$BK195)-ROUND(($BK195-1-ROUND(80/$AZ195,0))/COUNTIF($BB195:$BE195,TRUE),0))</f>
        <v/>
      </c>
      <c r="BJ195" s="225" t="str">
        <f>IF(BB195=FALSE,"",MIN($BK195:BK195)-ROUND(($BK195-1-ROUND(80/$AZ195,0))/COUNTIF($BB195:$BE195,TRUE),0))</f>
        <v/>
      </c>
      <c r="BK195" s="107">
        <f>101-ROUND(Ag!BU$7*100,0)</f>
        <v>96</v>
      </c>
      <c r="BL195" s="63">
        <v>2</v>
      </c>
      <c r="BM195" s="82">
        <f t="array" ref="BM195">MIN(BL195,INDEX([1]Basic!L$26:L$34, MATCH([1]Basic!D$5,[1]Basic!B$26:B$34,0)))</f>
        <v>2</v>
      </c>
    </row>
    <row r="196" spans="26:65" ht="15.75" customHeight="1">
      <c r="Z196" s="31"/>
      <c r="AA196" s="31"/>
      <c r="AB196" s="31"/>
      <c r="AC196" s="31"/>
      <c r="AD196" s="31"/>
      <c r="AE196" s="31"/>
      <c r="AF196" s="31"/>
      <c r="AG196" s="31"/>
      <c r="AH196" s="31"/>
      <c r="AI196" s="31"/>
      <c r="AK196" s="389"/>
      <c r="AL196" s="452" t="s">
        <v>301</v>
      </c>
      <c r="AM196" s="369"/>
      <c r="AN196" s="229">
        <v>6</v>
      </c>
      <c r="AO196" s="218" t="e">
        <f ca="1">ROUND(AN196*_xludf.ifs(
AND(AU196=TRUE,AW196=TRUE),1,
AU196=TRUE,AV196,
AW196=TRUE,AX196,
TRUE,1),0)</f>
        <v>#NAME?</v>
      </c>
      <c r="AP196" s="57" t="e">
        <f ca="1">ROUND(AO196/SUM(AO$32:AO$252)*AM$27,0)</f>
        <v>#NAME?</v>
      </c>
      <c r="AQ196" s="5" t="str">
        <f ca="1">IFERROR(__xludf.DUMMYFUNCTION("if(O196=0,"""",
filter(I$32:I195,row(I$32:I195)=max(filter(arrayformula(row(I$32:I195)),I$32:I195&lt;&gt;"""")))+
filter(G$32:G195,row(G$32:G195)=max(filter(arrayformula(row(G$32:G195)),G$32:G195&lt;&gt;"""")))
)"),"")</f>
        <v/>
      </c>
      <c r="AR196" s="198" t="str">
        <f ca="1">IFERROR(__xludf.DUMMYFUNCTION("if(G196="""","""",G196-(
filter(G$32:G$252,row(G$32:G$252)=max(filter(arrayformula(row(G$32:G$252)),G$32:G$252&lt;&gt;"""")))
-(10001-
filter(I$32:I$252,row(I$32:I$252)=max(filter(arrayformula(row(I$32:I$252)),I$32:I$252&lt;&gt;""""))))))"),"")</f>
        <v/>
      </c>
      <c r="AS196" s="198" t="e">
        <f ca="1">IF(AY196=0,"",ROUND(AY196/AM$3*10000,0))</f>
        <v>#NAME?</v>
      </c>
      <c r="AT196" s="237" t="b">
        <v>0</v>
      </c>
      <c r="AU196" s="179" t="b">
        <f>OR(AM18)</f>
        <v>0</v>
      </c>
      <c r="AV196" s="220">
        <v>0</v>
      </c>
      <c r="AW196" s="82" t="b">
        <f>IF(AM18=TRUE,FALSE,OR(AQ16,AQ13,AQ19))</f>
        <v>0</v>
      </c>
      <c r="AX196" s="220">
        <v>4</v>
      </c>
      <c r="AY196" s="56" t="e">
        <f ca="1">MAX(ROUND(AP196*(AM$1/AM$27),0),IF(AT196=TRUE,1,0))</f>
        <v>#NAME?</v>
      </c>
      <c r="AZ196" s="229">
        <v>3</v>
      </c>
      <c r="BA196" s="221">
        <v>0</v>
      </c>
      <c r="BB196" s="222" t="b">
        <v>0</v>
      </c>
      <c r="BC196" s="223" t="b">
        <v>0</v>
      </c>
      <c r="BD196" s="228" t="b">
        <v>1</v>
      </c>
      <c r="BE196" s="224" t="b">
        <v>0</v>
      </c>
      <c r="BF196" s="179">
        <v>1</v>
      </c>
      <c r="BG196" s="225" t="str">
        <f>IF(BC196=FALSE,"",MIN(BH196:$BK196)-ROUND(($BK196-1-ROUND(80/$AZ196,0))/COUNTIF($BB196:$BE196,TRUE),0))</f>
        <v/>
      </c>
      <c r="BH196" s="225">
        <f>IF(BD196=FALSE,"",MIN(BI196:$BK196)-ROUND(($BK196-1-ROUND(80/$AZ196,0))/COUNTIF($BB196:$BE196,TRUE),0))</f>
        <v>28</v>
      </c>
      <c r="BI196" s="225" t="str">
        <f>IF(BE196=FALSE,"",MIN(BJ196:$BK196)-ROUND(($BK196-1-ROUND(80/$AZ196,0))/COUNTIF($BB196:$BE196,TRUE),0))</f>
        <v/>
      </c>
      <c r="BJ196" s="225" t="str">
        <f>IF(BB196=FALSE,"",MIN($BK196:BK196)-ROUND(($BK196-1-ROUND(80/$AZ196,0))/COUNTIF($BB196:$BE196,TRUE),0))</f>
        <v/>
      </c>
      <c r="BK196" s="107">
        <f>101-ROUND(Ag!BU$7*100,0)</f>
        <v>96</v>
      </c>
      <c r="BL196" s="63">
        <v>3</v>
      </c>
      <c r="BM196" s="82">
        <f t="array" ref="BM196">MIN(BL196,INDEX([1]Basic!L$26:L$34, MATCH([1]Basic!D$5,[1]Basic!B$26:B$34,0)))</f>
        <v>3</v>
      </c>
    </row>
    <row r="197" spans="26:65" ht="15.75" customHeight="1">
      <c r="Z197" s="31"/>
      <c r="AA197" s="31"/>
      <c r="AB197" s="31"/>
      <c r="AC197" s="31"/>
      <c r="AD197" s="31"/>
      <c r="AE197" s="31"/>
      <c r="AF197" s="31"/>
      <c r="AG197" s="31"/>
      <c r="AH197" s="31"/>
      <c r="AI197" s="31"/>
      <c r="AK197" s="389"/>
      <c r="AL197" s="452" t="s">
        <v>306</v>
      </c>
      <c r="AM197" s="369"/>
      <c r="AN197" s="241">
        <v>2</v>
      </c>
      <c r="AO197" s="218" t="e">
        <f ca="1">ROUND(AN197*_xludf.ifs(
AND(AU197=TRUE,AW197=TRUE),1,
AU197=TRUE,AV197,
AW197=TRUE,AX197,
TRUE,1),0)</f>
        <v>#NAME?</v>
      </c>
      <c r="AP197" s="57" t="e">
        <f ca="1">ROUND(AO197/SUM(AO$32:AO$252)*AM$27,0)</f>
        <v>#NAME?</v>
      </c>
      <c r="AQ197" s="5" t="str">
        <f ca="1">IFERROR(__xludf.DUMMYFUNCTION("if(O197=0,"""",
filter(I$32:I196,row(I$32:I196)=max(filter(arrayformula(row(I$32:I196)),I$32:I196&lt;&gt;"""")))+
filter(G$32:G196,row(G$32:G196)=max(filter(arrayformula(row(G$32:G196)),G$32:G196&lt;&gt;"""")))
)"),"")</f>
        <v/>
      </c>
      <c r="AR197" s="198" t="str">
        <f ca="1">IFERROR(__xludf.DUMMYFUNCTION("if(G197="""","""",G197-(
filter(G$32:G$252,row(G$32:G$252)=max(filter(arrayformula(row(G$32:G$252)),G$32:G$252&lt;&gt;"""")))
-(10001-
filter(I$32:I$252,row(I$32:I$252)=max(filter(arrayformula(row(I$32:I$252)),I$32:I$252&lt;&gt;""""))))))"),"")</f>
        <v/>
      </c>
      <c r="AS197" s="198" t="e">
        <f ca="1">IF(AY197=0,"",ROUND(AY197/AM$3*10000,0))</f>
        <v>#NAME?</v>
      </c>
      <c r="AT197" s="237" t="b">
        <v>0</v>
      </c>
      <c r="AU197" s="179" t="b">
        <f>OR(AM19)</f>
        <v>0</v>
      </c>
      <c r="AV197" s="220">
        <v>0.1</v>
      </c>
      <c r="AW197" s="82" t="b">
        <f>OR(AQ17,AM8,AQ14,AM21,AQ22,AQ19)</f>
        <v>0</v>
      </c>
      <c r="AX197" s="220">
        <v>4</v>
      </c>
      <c r="AY197" s="56" t="e">
        <f ca="1">MAX(ROUND(AP197*(AM$1/AM$27),0),IF(AT197=TRUE,1,0))</f>
        <v>#NAME?</v>
      </c>
      <c r="AZ197" s="229">
        <v>10</v>
      </c>
      <c r="BA197" s="221">
        <v>0</v>
      </c>
      <c r="BB197" s="227" t="b">
        <v>1</v>
      </c>
      <c r="BC197" s="223" t="b">
        <v>0</v>
      </c>
      <c r="BD197" s="228" t="b">
        <v>1</v>
      </c>
      <c r="BE197" s="229" t="b">
        <v>1</v>
      </c>
      <c r="BF197" s="179">
        <v>1</v>
      </c>
      <c r="BG197" s="225" t="str">
        <f>IF(BC197=FALSE,"",MIN(BH197:$BK197)-ROUND(($BK197-1-ROUND(80/$AZ197,0))/COUNTIF($BB197:$BE197,TRUE),0))</f>
        <v/>
      </c>
      <c r="BH197" s="225">
        <f>IF(BD197=FALSE,"",MIN(BI197:$BK197)-ROUND(($BK197-1-ROUND(80/$AZ197,0))/COUNTIF($BB197:$BE197,TRUE),0))</f>
        <v>9</v>
      </c>
      <c r="BI197" s="225">
        <f>IF(BE197=FALSE,"",MIN(BJ197:$BK197)-ROUND(($BK197-1-ROUND(80/$AZ197,0))/COUNTIF($BB197:$BE197,TRUE),0))</f>
        <v>38</v>
      </c>
      <c r="BJ197" s="225">
        <f>IF(BB197=FALSE,"",MIN($BK197:BK197)-ROUND(($BK197-1-ROUND(80/$AZ197,0))/COUNTIF($BB197:$BE197,TRUE),0))</f>
        <v>67</v>
      </c>
      <c r="BK197" s="107">
        <f>101-ROUND(Ag!BU$7*100,0)</f>
        <v>96</v>
      </c>
      <c r="BL197" s="63">
        <v>4</v>
      </c>
      <c r="BM197" s="82">
        <f t="array" ref="BM197">MIN(BL197,INDEX([1]Basic!L$26:L$34, MATCH([1]Basic!D$5,[1]Basic!B$26:B$34,0)))</f>
        <v>3</v>
      </c>
    </row>
    <row r="198" spans="26:65" ht="15.75" customHeight="1">
      <c r="Z198" s="31"/>
      <c r="AA198" s="31"/>
      <c r="AB198" s="31"/>
      <c r="AC198" s="31"/>
      <c r="AD198" s="31"/>
      <c r="AE198" s="31"/>
      <c r="AF198" s="31"/>
      <c r="AG198" s="31"/>
      <c r="AH198" s="31"/>
      <c r="AI198" s="31"/>
      <c r="AK198" s="389"/>
      <c r="AL198" s="452" t="s">
        <v>311</v>
      </c>
      <c r="AM198" s="369"/>
      <c r="AN198" s="241">
        <v>10</v>
      </c>
      <c r="AO198" s="218" t="e">
        <f ca="1">ROUND(AN198*_xludf.ifs(
AND(AU198=TRUE,AW198=TRUE),1,
AU198=TRUE,AV198,
AW198=TRUE,AX198,
TRUE,1),0)</f>
        <v>#NAME?</v>
      </c>
      <c r="AP198" s="57" t="e">
        <f ca="1">ROUND(AO198/SUM(AO$32:AO$252)*AM$27,0)</f>
        <v>#NAME?</v>
      </c>
      <c r="AQ198" s="5" t="str">
        <f ca="1">IFERROR(__xludf.DUMMYFUNCTION("if(O198=0,"""",
filter(I$32:I197,row(I$32:I197)=max(filter(arrayformula(row(I$32:I197)),I$32:I197&lt;&gt;"""")))+
filter(G$32:G197,row(G$32:G197)=max(filter(arrayformula(row(G$32:G197)),G$32:G197&lt;&gt;"""")))
)"),"")</f>
        <v/>
      </c>
      <c r="AR198" s="198" t="str">
        <f ca="1">IFERROR(__xludf.DUMMYFUNCTION("if(G198="""","""",G198-(
filter(G$32:G$252,row(G$32:G$252)=max(filter(arrayformula(row(G$32:G$252)),G$32:G$252&lt;&gt;"""")))
-(10001-
filter(I$32:I$252,row(I$32:I$252)=max(filter(arrayformula(row(I$32:I$252)),I$32:I$252&lt;&gt;""""))))))"),"")</f>
        <v/>
      </c>
      <c r="AS198" s="198" t="e">
        <f ca="1">IF(AY198=0,"",ROUND(AY198/AM$3*10000,0))</f>
        <v>#NAME?</v>
      </c>
      <c r="AT198" s="237" t="b">
        <v>0</v>
      </c>
      <c r="AU198" s="57"/>
      <c r="AV198" s="220">
        <v>0</v>
      </c>
      <c r="AW198" s="82" t="b">
        <f>OR(AQ13,AQ7,AU10,AU20,AU14)</f>
        <v>0</v>
      </c>
      <c r="AX198" s="220">
        <v>2</v>
      </c>
      <c r="AY198" s="56" t="e">
        <f ca="1">MAX(ROUND(AP198*(AM$1/AM$27),0),IF(AT198=TRUE,1,0))</f>
        <v>#NAME?</v>
      </c>
      <c r="AZ198" s="229">
        <v>5</v>
      </c>
      <c r="BA198" s="221">
        <v>0</v>
      </c>
      <c r="BB198" s="222" t="b">
        <v>0</v>
      </c>
      <c r="BC198" s="223" t="b">
        <v>0</v>
      </c>
      <c r="BD198" s="228" t="b">
        <v>1</v>
      </c>
      <c r="BE198" s="224" t="b">
        <v>0</v>
      </c>
      <c r="BF198" s="179">
        <v>1</v>
      </c>
      <c r="BG198" s="225" t="str">
        <f>IF(BC198=FALSE,"",MIN(BH198:$BK198)-ROUND(($BK198-1-ROUND(80/$AZ198,0))/COUNTIF($BB198:$BE198,TRUE),0))</f>
        <v/>
      </c>
      <c r="BH198" s="225">
        <f>IF(BD198=FALSE,"",MIN(BI198:$BK198)-ROUND(($BK198-1-ROUND(80/$AZ198,0))/COUNTIF($BB198:$BE198,TRUE),0))</f>
        <v>17</v>
      </c>
      <c r="BI198" s="225" t="str">
        <f>IF(BE198=FALSE,"",MIN(BJ198:$BK198)-ROUND(($BK198-1-ROUND(80/$AZ198,0))/COUNTIF($BB198:$BE198,TRUE),0))</f>
        <v/>
      </c>
      <c r="BJ198" s="225" t="str">
        <f>IF(BB198=FALSE,"",MIN($BK198:BK198)-ROUND(($BK198-1-ROUND(80/$AZ198,0))/COUNTIF($BB198:$BE198,TRUE),0))</f>
        <v/>
      </c>
      <c r="BK198" s="107">
        <f>101-ROUND(Ag!BU$7*100,0)</f>
        <v>96</v>
      </c>
      <c r="BL198" s="63">
        <v>4</v>
      </c>
      <c r="BM198" s="82">
        <f t="array" ref="BM198">MIN(BL198,INDEX([1]Basic!L$26:L$34, MATCH([1]Basic!D$5,[1]Basic!B$26:B$34,0)))</f>
        <v>3</v>
      </c>
    </row>
    <row r="199" spans="26:65" ht="15.75" customHeight="1">
      <c r="Z199" s="31"/>
      <c r="AA199" s="31"/>
      <c r="AB199" s="31"/>
      <c r="AC199" s="31"/>
      <c r="AD199" s="31"/>
      <c r="AE199" s="31"/>
      <c r="AF199" s="31"/>
      <c r="AG199" s="31"/>
      <c r="AH199" s="31"/>
      <c r="AI199" s="31"/>
      <c r="AK199" s="389"/>
      <c r="AL199" s="452" t="s">
        <v>316</v>
      </c>
      <c r="AM199" s="369"/>
      <c r="AN199" s="229">
        <v>6</v>
      </c>
      <c r="AO199" s="218" t="e">
        <f ca="1">ROUND(AN199*_xludf.ifs(
AND(AU199=TRUE,AW199=TRUE),1,
AU199=TRUE,AV199,
AW199=TRUE,AX199,
TRUE,1),0)</f>
        <v>#NAME?</v>
      </c>
      <c r="AP199" s="57" t="e">
        <f ca="1">ROUND(AO199/SUM(AO$32:AO$252)*AM$27,0)</f>
        <v>#NAME?</v>
      </c>
      <c r="AQ199" s="5" t="str">
        <f ca="1">IFERROR(__xludf.DUMMYFUNCTION("if(O199=0,"""",
filter(I$32:I198,row(I$32:I198)=max(filter(arrayformula(row(I$32:I198)),I$32:I198&lt;&gt;"""")))+
filter(G$32:G198,row(G$32:G198)=max(filter(arrayformula(row(G$32:G198)),G$32:G198&lt;&gt;"""")))
)"),"")</f>
        <v/>
      </c>
      <c r="AR199" s="198" t="str">
        <f ca="1">IFERROR(__xludf.DUMMYFUNCTION("if(G199="""","""",G199-(
filter(G$32:G$252,row(G$32:G$252)=max(filter(arrayformula(row(G$32:G$252)),G$32:G$252&lt;&gt;"""")))
-(10001-
filter(I$32:I$252,row(I$32:I$252)=max(filter(arrayformula(row(I$32:I$252)),I$32:I$252&lt;&gt;""""))))))"),"")</f>
        <v/>
      </c>
      <c r="AS199" s="198" t="e">
        <f ca="1">IF(AY199=0,"",ROUND(AY199/AM$3*10000,0))</f>
        <v>#NAME?</v>
      </c>
      <c r="AT199" s="237" t="b">
        <v>0</v>
      </c>
      <c r="AU199" s="57"/>
      <c r="AV199" s="220">
        <v>0</v>
      </c>
      <c r="AW199" s="82" t="b">
        <f>OR(AM7)</f>
        <v>0</v>
      </c>
      <c r="AX199" s="220">
        <v>2</v>
      </c>
      <c r="AY199" s="56" t="e">
        <f ca="1">MAX(ROUND(AP199*(AM$1/AM$27),0),IF(AT199=TRUE,1,0))</f>
        <v>#NAME?</v>
      </c>
      <c r="AZ199" s="229">
        <v>5</v>
      </c>
      <c r="BA199" s="221">
        <v>0</v>
      </c>
      <c r="BB199" s="222" t="b">
        <v>0</v>
      </c>
      <c r="BC199" s="223" t="b">
        <v>0</v>
      </c>
      <c r="BD199" s="228" t="b">
        <v>1</v>
      </c>
      <c r="BE199" s="224" t="b">
        <v>0</v>
      </c>
      <c r="BF199" s="179">
        <v>1</v>
      </c>
      <c r="BG199" s="225" t="str">
        <f>IF(BC199=FALSE,"",MIN(BH199:$BK199)-ROUND(($BK199-1-ROUND(80/$AZ199,0))/COUNTIF($BB199:$BE199,TRUE),0))</f>
        <v/>
      </c>
      <c r="BH199" s="225">
        <f>IF(BD199=FALSE,"",MIN(BI199:$BK199)-ROUND(($BK199-1-ROUND(80/$AZ199,0))/COUNTIF($BB199:$BE199,TRUE),0))</f>
        <v>17</v>
      </c>
      <c r="BI199" s="225" t="str">
        <f>IF(BE199=FALSE,"",MIN(BJ199:$BK199)-ROUND(($BK199-1-ROUND(80/$AZ199,0))/COUNTIF($BB199:$BE199,TRUE),0))</f>
        <v/>
      </c>
      <c r="BJ199" s="225" t="str">
        <f>IF(BB199=FALSE,"",MIN($BK199:BK199)-ROUND(($BK199-1-ROUND(80/$AZ199,0))/COUNTIF($BB199:$BE199,TRUE),0))</f>
        <v/>
      </c>
      <c r="BK199" s="107">
        <f>101-ROUND(Ag!BU$7*100,0)</f>
        <v>96</v>
      </c>
      <c r="BL199" s="63">
        <v>4</v>
      </c>
      <c r="BM199" s="82">
        <f t="array" ref="BM199">MIN(BL199,INDEX([1]Basic!L$26:L$34, MATCH([1]Basic!D$5,[1]Basic!B$26:B$34,0)))</f>
        <v>3</v>
      </c>
    </row>
    <row r="200" spans="26:65" ht="15.75" customHeight="1">
      <c r="Z200" s="31"/>
      <c r="AA200" s="31"/>
      <c r="AB200" s="31"/>
      <c r="AC200" s="31"/>
      <c r="AD200" s="31"/>
      <c r="AE200" s="31"/>
      <c r="AF200" s="31"/>
      <c r="AG200" s="31"/>
      <c r="AH200" s="31"/>
      <c r="AI200" s="31"/>
      <c r="AK200" s="389"/>
      <c r="AL200" s="452" t="s">
        <v>321</v>
      </c>
      <c r="AM200" s="369"/>
      <c r="AN200" s="241">
        <v>1</v>
      </c>
      <c r="AO200" s="218" t="e">
        <f ca="1">ROUND(AN200*_xludf.ifs(
AND(AU200=TRUE,AW200=TRUE),1,
AU200=TRUE,AV200,
AW200=TRUE,AX200,
TRUE,1),0)</f>
        <v>#NAME?</v>
      </c>
      <c r="AP200" s="57" t="e">
        <f ca="1">ROUND(AO200/SUM(AO$32:AO$252)*AM$27,0)</f>
        <v>#NAME?</v>
      </c>
      <c r="AQ200" s="5" t="str">
        <f ca="1">IFERROR(__xludf.DUMMYFUNCTION("if(O200=0,"""",
filter(I$32:I199,row(I$32:I199)=max(filter(arrayformula(row(I$32:I199)),I$32:I199&lt;&gt;"""")))+
filter(G$32:G199,row(G$32:G199)=max(filter(arrayformula(row(G$32:G199)),G$32:G199&lt;&gt;"""")))
)"),"")</f>
        <v/>
      </c>
      <c r="AR200" s="198" t="str">
        <f ca="1">IFERROR(__xludf.DUMMYFUNCTION("if(G200="""","""",G200-(
filter(G$32:G$252,row(G$32:G$252)=max(filter(arrayformula(row(G$32:G$252)),G$32:G$252&lt;&gt;"""")))
-(10001-
filter(I$32:I$252,row(I$32:I$252)=max(filter(arrayformula(row(I$32:I$252)),I$32:I$252&lt;&gt;""""))))))"),"")</f>
        <v/>
      </c>
      <c r="AS200" s="198" t="e">
        <f ca="1">IF(AY200=0,"",ROUND(AY200/AM$3*10000,0))</f>
        <v>#NAME?</v>
      </c>
      <c r="AT200" s="237" t="b">
        <v>0</v>
      </c>
      <c r="AU200" s="179" t="b">
        <f>OR(AM14)</f>
        <v>0</v>
      </c>
      <c r="AV200" s="220">
        <v>0.1</v>
      </c>
      <c r="AW200" s="82" t="b">
        <f>OR(AU10,AU11,AQ13)</f>
        <v>0</v>
      </c>
      <c r="AX200" s="220">
        <v>3</v>
      </c>
      <c r="AY200" s="56" t="e">
        <f ca="1">MAX(ROUND(AP200*(AM$1/AM$27),0),IF(AT200=TRUE,1,0))</f>
        <v>#NAME?</v>
      </c>
      <c r="AZ200" s="229">
        <v>10</v>
      </c>
      <c r="BA200" s="221">
        <v>1</v>
      </c>
      <c r="BB200" s="227" t="b">
        <v>1</v>
      </c>
      <c r="BC200" s="223" t="b">
        <v>0</v>
      </c>
      <c r="BD200" s="228" t="b">
        <v>1</v>
      </c>
      <c r="BE200" s="224" t="b">
        <v>0</v>
      </c>
      <c r="BF200" s="179">
        <v>1</v>
      </c>
      <c r="BG200" s="225" t="str">
        <f>IF(BC200=FALSE,"",MIN(BH200:$BK200)-ROUND(($BK200-1-ROUND(80/$AZ200,0))/COUNTIF($BB200:$BE200,TRUE),0))</f>
        <v/>
      </c>
      <c r="BH200" s="225">
        <f>IF(BD200=FALSE,"",MIN(BI200:$BK200)-ROUND(($BK200-1-ROUND(80/$AZ200,0))/COUNTIF($BB200:$BE200,TRUE),0))</f>
        <v>8</v>
      </c>
      <c r="BI200" s="225" t="str">
        <f>IF(BE200=FALSE,"",MIN(BJ200:$BK200)-ROUND(($BK200-1-ROUND(80/$AZ200,0))/COUNTIF($BB200:$BE200,TRUE),0))</f>
        <v/>
      </c>
      <c r="BJ200" s="225">
        <f>IF(BB200=FALSE,"",MIN($BK200:BK200)-ROUND(($BK200-1-ROUND(80/$AZ200,0))/COUNTIF($BB200:$BE200,TRUE),0))</f>
        <v>52</v>
      </c>
      <c r="BK200" s="107">
        <f>101-ROUND(Ag!BU$7*100,0)</f>
        <v>96</v>
      </c>
      <c r="BL200" s="63">
        <v>4</v>
      </c>
      <c r="BM200" s="82">
        <f t="array" ref="BM200">MIN(BL200,INDEX([1]Basic!L$26:L$34, MATCH([1]Basic!D$5,[1]Basic!B$26:B$34,0)))</f>
        <v>3</v>
      </c>
    </row>
    <row r="201" spans="26:65" ht="15.75" customHeight="1">
      <c r="Z201" s="31"/>
      <c r="AA201" s="31"/>
      <c r="AB201" s="31"/>
      <c r="AC201" s="31"/>
      <c r="AD201" s="31"/>
      <c r="AE201" s="31"/>
      <c r="AF201" s="31"/>
      <c r="AG201" s="31"/>
      <c r="AH201" s="31"/>
      <c r="AI201" s="31"/>
      <c r="AK201" s="389"/>
      <c r="AL201" s="452" t="s">
        <v>327</v>
      </c>
      <c r="AM201" s="369"/>
      <c r="AN201" s="229">
        <v>20</v>
      </c>
      <c r="AO201" s="218" t="e">
        <f ca="1">ROUND(AN201*_xludf.ifs(
AND(AU201=TRUE,AW201=TRUE),1,
AU201=TRUE,AV201,
AW201=TRUE,AX201,
TRUE,1),0)</f>
        <v>#NAME?</v>
      </c>
      <c r="AP201" s="57" t="e">
        <f ca="1">ROUND(AO201/SUM(AO$32:AO$252)*AM$27,0)</f>
        <v>#NAME?</v>
      </c>
      <c r="AQ201" s="5">
        <f ca="1">IFERROR(__xludf.DUMMYFUNCTION("if(O201=0,"""",
filter(I$32:I200,row(I$32:I200)=max(filter(arrayformula(row(I$32:I200)),I$32:I200&lt;&gt;"""")))+
filter(G$32:G200,row(G$32:G200)=max(filter(arrayformula(row(G$32:G200)),G$32:G200&lt;&gt;"""")))
)"),8896)</f>
        <v>8896</v>
      </c>
      <c r="AR201" s="198">
        <f ca="1">IFERROR(__xludf.DUMMYFUNCTION("if(G201="""","""",G201-(
filter(G$32:G$252,row(G$32:G$252)=max(filter(arrayformula(row(G$32:G$252)),G$32:G$252&lt;&gt;"""")))
-(10001-
filter(I$32:I$252,row(I$32:I$252)=max(filter(arrayformula(row(I$32:I$252)),I$32:I$252&lt;&gt;""""))))))"),8889)</f>
        <v>8889</v>
      </c>
      <c r="AS201" s="198" t="e">
        <f ca="1">IF(AY201=0,"",ROUND(AY201/AM$3*10000,0))</f>
        <v>#NAME?</v>
      </c>
      <c r="AT201" s="219" t="b">
        <v>1</v>
      </c>
      <c r="AU201" s="57"/>
      <c r="AV201" s="220">
        <v>0</v>
      </c>
      <c r="AW201" s="82" t="b">
        <f>OR(AQ13)</f>
        <v>0</v>
      </c>
      <c r="AX201" s="220">
        <v>2</v>
      </c>
      <c r="AY201" s="56" t="e">
        <f ca="1">MAX(ROUND(AP201*(AM$1/AM$27),0),IF(AT201=TRUE,1,0))</f>
        <v>#NAME?</v>
      </c>
      <c r="AZ201" s="220">
        <v>5</v>
      </c>
      <c r="BA201" s="221">
        <v>0</v>
      </c>
      <c r="BB201" s="222" t="b">
        <v>0</v>
      </c>
      <c r="BC201" s="223" t="b">
        <v>0</v>
      </c>
      <c r="BD201" s="228" t="b">
        <v>1</v>
      </c>
      <c r="BE201" s="224" t="b">
        <v>0</v>
      </c>
      <c r="BF201" s="179">
        <v>1</v>
      </c>
      <c r="BG201" s="225" t="str">
        <f>IF(BC201=FALSE,"",MIN(BH201:$BK201)-ROUND(($BK201-1-ROUND(80/$AZ201,0))/COUNTIF($BB201:$BE201,TRUE),0))</f>
        <v/>
      </c>
      <c r="BH201" s="225">
        <f>IF(BD201=FALSE,"",MIN(BI201:$BK201)-ROUND(($BK201-1-ROUND(80/$AZ201,0))/COUNTIF($BB201:$BE201,TRUE),0))</f>
        <v>17</v>
      </c>
      <c r="BI201" s="225" t="str">
        <f>IF(BE201=FALSE,"",MIN(BJ201:$BK201)-ROUND(($BK201-1-ROUND(80/$AZ201,0))/COUNTIF($BB201:$BE201,TRUE),0))</f>
        <v/>
      </c>
      <c r="BJ201" s="225" t="str">
        <f>IF(BB201=FALSE,"",MIN($BK201:BK201)-ROUND(($BK201-1-ROUND(80/$AZ201,0))/COUNTIF($BB201:$BE201,TRUE),0))</f>
        <v/>
      </c>
      <c r="BK201" s="107">
        <f>101-ROUND(Ag!BU$7*100,0)</f>
        <v>96</v>
      </c>
      <c r="BL201" s="63">
        <v>3</v>
      </c>
      <c r="BM201" s="82">
        <f t="array" ref="BM201">MIN(BL201,INDEX([1]Basic!L$26:L$34, MATCH([1]Basic!D$5,[1]Basic!B$26:B$34,0)))</f>
        <v>3</v>
      </c>
    </row>
    <row r="202" spans="26:65" ht="15.75" customHeight="1">
      <c r="Z202" s="31"/>
      <c r="AA202" s="31"/>
      <c r="AB202" s="31"/>
      <c r="AC202" s="31"/>
      <c r="AD202" s="31"/>
      <c r="AE202" s="31"/>
      <c r="AF202" s="31"/>
      <c r="AG202" s="31"/>
      <c r="AH202" s="31"/>
      <c r="AI202" s="31"/>
      <c r="AK202" s="389"/>
      <c r="AL202" s="452" t="s">
        <v>333</v>
      </c>
      <c r="AM202" s="369"/>
      <c r="AN202" s="241">
        <v>4</v>
      </c>
      <c r="AO202" s="218" t="e">
        <f ca="1">ROUND(AN202*_xludf.ifs(
AND(AU202=TRUE,AW202=TRUE),1,
AU202=TRUE,AV202,
AW202=TRUE,AX202,
TRUE,1),0)</f>
        <v>#NAME?</v>
      </c>
      <c r="AP202" s="57" t="e">
        <f ca="1">ROUND(AO202/SUM(AO$32:AO$252)*AM$27,0)</f>
        <v>#NAME?</v>
      </c>
      <c r="AQ202" s="5" t="str">
        <f ca="1">IFERROR(__xludf.DUMMYFUNCTION("if(O202=0,"""",
filter(I$32:I201,row(I$32:I201)=max(filter(arrayformula(row(I$32:I201)),I$32:I201&lt;&gt;"""")))+
filter(G$32:G201,row(G$32:G201)=max(filter(arrayformula(row(G$32:G201)),G$32:G201&lt;&gt;"""")))
)"),"")</f>
        <v/>
      </c>
      <c r="AR202" s="198" t="str">
        <f ca="1">IFERROR(__xludf.DUMMYFUNCTION("if(G202="""","""",G202-(
filter(G$32:G$252,row(G$32:G$252)=max(filter(arrayformula(row(G$32:G$252)),G$32:G$252&lt;&gt;"""")))
-(10001-
filter(I$32:I$252,row(I$32:I$252)=max(filter(arrayformula(row(I$32:I$252)),I$32:I$252&lt;&gt;""""))))))"),"")</f>
        <v/>
      </c>
      <c r="AS202" s="198" t="e">
        <f ca="1">IF(AY202=0,"",ROUND(AY202/AM$3*10000,0))</f>
        <v>#NAME?</v>
      </c>
      <c r="AT202" s="237" t="b">
        <v>0</v>
      </c>
      <c r="AU202" s="179" t="b">
        <f>OR(AM23)</f>
        <v>0</v>
      </c>
      <c r="AV202" s="220">
        <v>0</v>
      </c>
      <c r="AW202" s="82" t="b">
        <f>IF(AM23=TRUE,FALSE,OR(AU22,AQ13))</f>
        <v>0</v>
      </c>
      <c r="AX202" s="220">
        <v>2</v>
      </c>
      <c r="AY202" s="56" t="e">
        <f ca="1">MAX(ROUND(AP202*(AM$1/AM$27),0),IF(AT202=TRUE,1,0))</f>
        <v>#NAME?</v>
      </c>
      <c r="AZ202" s="220">
        <v>5</v>
      </c>
      <c r="BA202" s="221">
        <v>0</v>
      </c>
      <c r="BB202" s="222" t="b">
        <v>0</v>
      </c>
      <c r="BC202" s="223" t="b">
        <v>0</v>
      </c>
      <c r="BD202" s="228" t="b">
        <v>1</v>
      </c>
      <c r="BE202" s="229" t="b">
        <v>1</v>
      </c>
      <c r="BF202" s="179">
        <v>1</v>
      </c>
      <c r="BG202" s="225" t="str">
        <f>IF(BC202=FALSE,"",MIN(BH202:$BK202)-ROUND(($BK202-1-ROUND(80/$AZ202,0))/COUNTIF($BB202:$BE202,TRUE),0))</f>
        <v/>
      </c>
      <c r="BH202" s="225">
        <f>IF(BD202=FALSE,"",MIN(BI202:$BK202)-ROUND(($BK202-1-ROUND(80/$AZ202,0))/COUNTIF($BB202:$BE202,TRUE),0))</f>
        <v>16</v>
      </c>
      <c r="BI202" s="225">
        <f>IF(BE202=FALSE,"",MIN(BJ202:$BK202)-ROUND(($BK202-1-ROUND(80/$AZ202,0))/COUNTIF($BB202:$BE202,TRUE),0))</f>
        <v>56</v>
      </c>
      <c r="BJ202" s="225" t="str">
        <f>IF(BB202=FALSE,"",MIN($BK202:BK202)-ROUND(($BK202-1-ROUND(80/$AZ202,0))/COUNTIF($BB202:$BE202,TRUE),0))</f>
        <v/>
      </c>
      <c r="BK202" s="107">
        <f>101-ROUND(Ag!BU$7*100,0)</f>
        <v>96</v>
      </c>
      <c r="BL202" s="63">
        <v>3</v>
      </c>
      <c r="BM202" s="82">
        <f t="array" ref="BM202">MIN(BL202,INDEX([1]Basic!L$26:L$34, MATCH([1]Basic!D$5,[1]Basic!B$26:B$34,0)))</f>
        <v>3</v>
      </c>
    </row>
    <row r="203" spans="26:65" ht="15.75" customHeight="1">
      <c r="Z203" s="31"/>
      <c r="AA203" s="31"/>
      <c r="AB203" s="31"/>
      <c r="AC203" s="31"/>
      <c r="AD203" s="31"/>
      <c r="AE203" s="31"/>
      <c r="AF203" s="31"/>
      <c r="AG203" s="31"/>
      <c r="AH203" s="31"/>
      <c r="AI203" s="31"/>
      <c r="AK203" s="389"/>
      <c r="AL203" s="452" t="s">
        <v>338</v>
      </c>
      <c r="AM203" s="369"/>
      <c r="AN203" s="229">
        <v>20</v>
      </c>
      <c r="AO203" s="218" t="e">
        <f ca="1">ROUND(AN203*_xludf.ifs(
AND(AU203=TRUE,AW203=TRUE),1,
AU203=TRUE,AV203,
AW203=TRUE,AX203,
TRUE,1),0)</f>
        <v>#NAME?</v>
      </c>
      <c r="AP203" s="57" t="e">
        <f ca="1">ROUND(AO203/SUM(AO$32:AO$252)*AM$27,0)</f>
        <v>#NAME?</v>
      </c>
      <c r="AQ203" s="5" t="str">
        <f ca="1">IFERROR(__xludf.DUMMYFUNCTION("if(O203=0,"""",
filter(I$32:I202,row(I$32:I202)=max(filter(arrayformula(row(I$32:I202)),I$32:I202&lt;&gt;"""")))+
filter(G$32:G202,row(G$32:G202)=max(filter(arrayformula(row(G$32:G202)),G$32:G202&lt;&gt;"""")))
)"),"")</f>
        <v/>
      </c>
      <c r="AR203" s="198" t="str">
        <f ca="1">IFERROR(__xludf.DUMMYFUNCTION("if(G203="""","""",G203-(
filter(G$32:G$252,row(G$32:G$252)=max(filter(arrayformula(row(G$32:G$252)),G$32:G$252&lt;&gt;"""")))
-(10001-
filter(I$32:I$252,row(I$32:I$252)=max(filter(arrayformula(row(I$32:I$252)),I$32:I$252&lt;&gt;""""))))))"),"")</f>
        <v/>
      </c>
      <c r="AS203" s="198" t="e">
        <f ca="1">IF(AY203=0,"",ROUND(AY203/AM$3*10000,0))</f>
        <v>#NAME?</v>
      </c>
      <c r="AT203" s="237" t="b">
        <v>0</v>
      </c>
      <c r="AU203" s="57"/>
      <c r="AV203" s="220">
        <v>0</v>
      </c>
      <c r="AW203" s="82" t="b">
        <f>OR(AQ13)</f>
        <v>0</v>
      </c>
      <c r="AX203" s="220">
        <v>2</v>
      </c>
      <c r="AY203" s="56" t="e">
        <f ca="1">MAX(ROUND(AP203*(AM$1/AM$27),0),IF(AT203=TRUE,1,0))</f>
        <v>#NAME?</v>
      </c>
      <c r="AZ203" s="220">
        <v>5</v>
      </c>
      <c r="BA203" s="221">
        <v>0</v>
      </c>
      <c r="BB203" s="222" t="b">
        <v>0</v>
      </c>
      <c r="BC203" s="223" t="b">
        <v>0</v>
      </c>
      <c r="BD203" s="228" t="b">
        <v>1</v>
      </c>
      <c r="BE203" s="224" t="b">
        <v>0</v>
      </c>
      <c r="BF203" s="179">
        <v>1</v>
      </c>
      <c r="BG203" s="225" t="str">
        <f>IF(BC203=FALSE,"",MIN(BH203:$BK203)-ROUND(($BK203-1-ROUND(80/$AZ203,0))/COUNTIF($BB203:$BE203,TRUE),0))</f>
        <v/>
      </c>
      <c r="BH203" s="225">
        <f>IF(BD203=FALSE,"",MIN(BI203:$BK203)-ROUND(($BK203-1-ROUND(80/$AZ203,0))/COUNTIF($BB203:$BE203,TRUE),0))</f>
        <v>17</v>
      </c>
      <c r="BI203" s="225" t="str">
        <f>IF(BE203=FALSE,"",MIN(BJ203:$BK203)-ROUND(($BK203-1-ROUND(80/$AZ203,0))/COUNTIF($BB203:$BE203,TRUE),0))</f>
        <v/>
      </c>
      <c r="BJ203" s="225" t="str">
        <f>IF(BB203=FALSE,"",MIN($BK203:BK203)-ROUND(($BK203-1-ROUND(80/$AZ203,0))/COUNTIF($BB203:$BE203,TRUE),0))</f>
        <v/>
      </c>
      <c r="BK203" s="107">
        <f>101-ROUND(Ag!BU$7*100,0)</f>
        <v>96</v>
      </c>
      <c r="BL203" s="63">
        <v>2</v>
      </c>
      <c r="BM203" s="82">
        <f t="array" ref="BM203">MIN(BL203,INDEX([1]Basic!L$26:L$34, MATCH([1]Basic!D$5,[1]Basic!B$26:B$34,0)))</f>
        <v>2</v>
      </c>
    </row>
    <row r="204" spans="26:65" ht="15.75" customHeight="1">
      <c r="Z204" s="31"/>
      <c r="AA204" s="31"/>
      <c r="AB204" s="31"/>
      <c r="AC204" s="31"/>
      <c r="AD204" s="31"/>
      <c r="AE204" s="31"/>
      <c r="AF204" s="31"/>
      <c r="AG204" s="31"/>
      <c r="AH204" s="31"/>
      <c r="AI204" s="31"/>
      <c r="AK204" s="389"/>
      <c r="AL204" s="452" t="s">
        <v>343</v>
      </c>
      <c r="AM204" s="369"/>
      <c r="AN204" s="229">
        <v>160</v>
      </c>
      <c r="AO204" s="218" t="e">
        <f ca="1">ROUND(AN204*_xludf.ifs(
AND(AU204=TRUE,AW204=TRUE),1,
AU204=TRUE,AV204,
AW204=TRUE,AX204,
TRUE,1),0)</f>
        <v>#NAME?</v>
      </c>
      <c r="AP204" s="57" t="e">
        <f ca="1">ROUND(AO204/SUM(AO$32:AO$252)*AM$27,0)</f>
        <v>#NAME?</v>
      </c>
      <c r="AQ204" s="5" t="str">
        <f ca="1">IFERROR(__xludf.DUMMYFUNCTION("if(O204=0,"""",
filter(I$32:I203,row(I$32:I203)=max(filter(arrayformula(row(I$32:I203)),I$32:I203&lt;&gt;"""")))+
filter(G$32:G203,row(G$32:G203)=max(filter(arrayformula(row(G$32:G203)),G$32:G203&lt;&gt;"""")))
)"),"")</f>
        <v/>
      </c>
      <c r="AR204" s="198" t="str">
        <f ca="1">IFERROR(__xludf.DUMMYFUNCTION("if(G204="""","""",G204-(
filter(G$32:G$252,row(G$32:G$252)=max(filter(arrayformula(row(G$32:G$252)),G$32:G$252&lt;&gt;"""")))
-(10001-
filter(I$32:I$252,row(I$32:I$252)=max(filter(arrayformula(row(I$32:I$252)),I$32:I$252&lt;&gt;""""))))))"),"")</f>
        <v/>
      </c>
      <c r="AS204" s="198" t="e">
        <f ca="1">IF(AY204=0,"",ROUND(AY204/AM$3*10000,0))</f>
        <v>#NAME?</v>
      </c>
      <c r="AT204" s="237" t="b">
        <v>0</v>
      </c>
      <c r="AU204" s="57"/>
      <c r="AV204" s="220">
        <v>0</v>
      </c>
      <c r="AW204" s="82" t="b">
        <f>OR(AQ13)</f>
        <v>0</v>
      </c>
      <c r="AX204" s="220">
        <v>2</v>
      </c>
      <c r="AY204" s="56" t="e">
        <f ca="1">MAX(ROUND(AP204*(AM$1/AM$27),0),IF(AT204=TRUE,1,0))</f>
        <v>#NAME?</v>
      </c>
      <c r="AZ204" s="220">
        <v>3</v>
      </c>
      <c r="BA204" s="221">
        <v>0</v>
      </c>
      <c r="BB204" s="222" t="b">
        <v>0</v>
      </c>
      <c r="BC204" s="223" t="b">
        <v>0</v>
      </c>
      <c r="BD204" s="228" t="b">
        <v>1</v>
      </c>
      <c r="BE204" s="224" t="b">
        <v>0</v>
      </c>
      <c r="BF204" s="179">
        <v>1</v>
      </c>
      <c r="BG204" s="225" t="str">
        <f>IF(BC204=FALSE,"",MIN(BH204:$BK204)-ROUND(($BK204-1-ROUND(80/$AZ204,0))/COUNTIF($BB204:$BE204,TRUE),0))</f>
        <v/>
      </c>
      <c r="BH204" s="225">
        <f>IF(BD204=FALSE,"",MIN(BI204:$BK204)-ROUND(($BK204-1-ROUND(80/$AZ204,0))/COUNTIF($BB204:$BE204,TRUE),0))</f>
        <v>28</v>
      </c>
      <c r="BI204" s="225" t="str">
        <f>IF(BE204=FALSE,"",MIN(BJ204:$BK204)-ROUND(($BK204-1-ROUND(80/$AZ204,0))/COUNTIF($BB204:$BE204,TRUE),0))</f>
        <v/>
      </c>
      <c r="BJ204" s="225" t="str">
        <f>IF(BB204=FALSE,"",MIN($BK204:BK204)-ROUND(($BK204-1-ROUND(80/$AZ204,0))/COUNTIF($BB204:$BE204,TRUE),0))</f>
        <v/>
      </c>
      <c r="BK204" s="107">
        <f>101-ROUND(Ag!BU$7*100,0)</f>
        <v>96</v>
      </c>
      <c r="BL204" s="63">
        <v>2</v>
      </c>
      <c r="BM204" s="82">
        <f t="array" ref="BM204">MIN(BL204,INDEX([1]Basic!L$26:L$34, MATCH([1]Basic!D$5,[1]Basic!B$26:B$34,0)))</f>
        <v>2</v>
      </c>
    </row>
    <row r="205" spans="26:65" ht="15.75" customHeight="1">
      <c r="Z205" s="31"/>
      <c r="AA205" s="31"/>
      <c r="AB205" s="31"/>
      <c r="AC205" s="31"/>
      <c r="AD205" s="31"/>
      <c r="AE205" s="31"/>
      <c r="AF205" s="31"/>
      <c r="AG205" s="31"/>
      <c r="AH205" s="31"/>
      <c r="AI205" s="31"/>
      <c r="AK205" s="389"/>
      <c r="AL205" s="452" t="s">
        <v>349</v>
      </c>
      <c r="AM205" s="369"/>
      <c r="AN205" s="241">
        <v>80</v>
      </c>
      <c r="AO205" s="218" t="e">
        <f ca="1">ROUND(AN205*_xludf.ifs(
AND(AU205=TRUE,AW205=TRUE),1,
AU205=TRUE,AV205,
AW205=TRUE,AX205,
TRUE,1),0)</f>
        <v>#NAME?</v>
      </c>
      <c r="AP205" s="57" t="e">
        <f ca="1">ROUND(AO205/SUM(AO$32:AO$252)*AM$27,0)</f>
        <v>#NAME?</v>
      </c>
      <c r="AQ205" s="5" t="str">
        <f ca="1">IFERROR(__xludf.DUMMYFUNCTION("if(O205=0,"""",
filter(I$32:I204,row(I$32:I204)=max(filter(arrayformula(row(I$32:I204)),I$32:I204&lt;&gt;"""")))+
filter(G$32:G204,row(G$32:G204)=max(filter(arrayformula(row(G$32:G204)),G$32:G204&lt;&gt;"""")))
)"),"")</f>
        <v/>
      </c>
      <c r="AR205" s="198" t="str">
        <f ca="1">IFERROR(__xludf.DUMMYFUNCTION("if(G205="""","""",G205-(
filter(G$32:G$252,row(G$32:G$252)=max(filter(arrayformula(row(G$32:G$252)),G$32:G$252&lt;&gt;"""")))
-(10001-
filter(I$32:I$252,row(I$32:I$252)=max(filter(arrayformula(row(I$32:I$252)),I$32:I$252&lt;&gt;""""))))))"),"")</f>
        <v/>
      </c>
      <c r="AS205" s="198" t="e">
        <f ca="1">IF(AY205=0,"",ROUND(AY205/AM$3*10000,0))</f>
        <v>#NAME?</v>
      </c>
      <c r="AT205" s="237" t="b">
        <v>0</v>
      </c>
      <c r="AU205" s="57"/>
      <c r="AV205" s="220">
        <v>0</v>
      </c>
      <c r="AW205" s="82" t="b">
        <f>OR(AU22,AQ13)</f>
        <v>0</v>
      </c>
      <c r="AX205" s="220">
        <v>1.5</v>
      </c>
      <c r="AY205" s="56" t="e">
        <f ca="1">MAX(ROUND(AP205*(AM$1/AM$27),0),IF(AT205=TRUE,1,0))</f>
        <v>#NAME?</v>
      </c>
      <c r="AZ205" s="220">
        <v>3</v>
      </c>
      <c r="BA205" s="221">
        <v>0</v>
      </c>
      <c r="BB205" s="222" t="b">
        <v>0</v>
      </c>
      <c r="BC205" s="223" t="b">
        <v>0</v>
      </c>
      <c r="BD205" s="228" t="b">
        <v>1</v>
      </c>
      <c r="BE205" s="224" t="b">
        <v>0</v>
      </c>
      <c r="BF205" s="179">
        <v>1</v>
      </c>
      <c r="BG205" s="225" t="str">
        <f>IF(BC205=FALSE,"",MIN(BH205:$BK205)-ROUND(($BK205-1-ROUND(80/$AZ205,0))/COUNTIF($BB205:$BE205,TRUE),0))</f>
        <v/>
      </c>
      <c r="BH205" s="225">
        <f>IF(BD205=FALSE,"",MIN(BI205:$BK205)-ROUND(($BK205-1-ROUND(80/$AZ205,0))/COUNTIF($BB205:$BE205,TRUE),0))</f>
        <v>28</v>
      </c>
      <c r="BI205" s="225" t="str">
        <f>IF(BE205=FALSE,"",MIN(BJ205:$BK205)-ROUND(($BK205-1-ROUND(80/$AZ205,0))/COUNTIF($BB205:$BE205,TRUE),0))</f>
        <v/>
      </c>
      <c r="BJ205" s="225" t="str">
        <f>IF(BB205=FALSE,"",MIN($BK205:BK205)-ROUND(($BK205-1-ROUND(80/$AZ205,0))/COUNTIF($BB205:$BE205,TRUE),0))</f>
        <v/>
      </c>
      <c r="BK205" s="107">
        <f>101-ROUND(Ag!BU$7*100,0)</f>
        <v>96</v>
      </c>
      <c r="BL205" s="63">
        <v>3</v>
      </c>
      <c r="BM205" s="82">
        <f t="array" ref="BM205">MIN(BL205,INDEX([1]Basic!L$26:L$34, MATCH([1]Basic!D$5,[1]Basic!B$26:B$34,0)))</f>
        <v>3</v>
      </c>
    </row>
    <row r="206" spans="26:65" ht="15.75" customHeight="1">
      <c r="Z206" s="31"/>
      <c r="AA206" s="31"/>
      <c r="AB206" s="31"/>
      <c r="AC206" s="31"/>
      <c r="AD206" s="31"/>
      <c r="AE206" s="31"/>
      <c r="AF206" s="31"/>
      <c r="AG206" s="31"/>
      <c r="AH206" s="31"/>
      <c r="AI206" s="31"/>
      <c r="AK206" s="389"/>
      <c r="AL206" s="452" t="s">
        <v>354</v>
      </c>
      <c r="AM206" s="369"/>
      <c r="AN206" s="229">
        <v>12</v>
      </c>
      <c r="AO206" s="218" t="e">
        <f ca="1">ROUND(AN206*_xludf.ifs(
AND(AU206=TRUE,AW206=TRUE),1,
AU206=TRUE,AV206,
AW206=TRUE,AX206,
TRUE,1),0)</f>
        <v>#NAME?</v>
      </c>
      <c r="AP206" s="57" t="e">
        <f ca="1">ROUND(AO206/SUM(AO$32:AO$252)*AM$27,0)</f>
        <v>#NAME?</v>
      </c>
      <c r="AQ206" s="5" t="str">
        <f ca="1">IFERROR(__xludf.DUMMYFUNCTION("if(O206=0,"""",
filter(I$32:I205,row(I$32:I205)=max(filter(arrayformula(row(I$32:I205)),I$32:I205&lt;&gt;"""")))+
filter(G$32:G205,row(G$32:G205)=max(filter(arrayformula(row(G$32:G205)),G$32:G205&lt;&gt;"""")))
)"),"")</f>
        <v/>
      </c>
      <c r="AR206" s="198" t="str">
        <f ca="1">IFERROR(__xludf.DUMMYFUNCTION("if(G206="""","""",G206-(
filter(G$32:G$252,row(G$32:G$252)=max(filter(arrayformula(row(G$32:G$252)),G$32:G$252&lt;&gt;"""")))
-(10001-
filter(I$32:I$252,row(I$32:I$252)=max(filter(arrayformula(row(I$32:I$252)),I$32:I$252&lt;&gt;""""))))))"),"")</f>
        <v/>
      </c>
      <c r="AS206" s="198" t="e">
        <f ca="1">IF(AY206=0,"",ROUND(AY206/AM$3*10000,0))</f>
        <v>#NAME?</v>
      </c>
      <c r="AT206" s="237" t="b">
        <v>0</v>
      </c>
      <c r="AU206" s="179" t="b">
        <f>OR(AM7)</f>
        <v>0</v>
      </c>
      <c r="AV206" s="220">
        <v>0.05</v>
      </c>
      <c r="AW206" s="82" t="b">
        <f>OR(AU7)</f>
        <v>0</v>
      </c>
      <c r="AX206" s="220">
        <v>2</v>
      </c>
      <c r="AY206" s="56" t="e">
        <f ca="1">MAX(ROUND(AP206*(AM$1/AM$27),0),IF(AT206=TRUE,1,0))</f>
        <v>#NAME?</v>
      </c>
      <c r="AZ206" s="220">
        <v>5</v>
      </c>
      <c r="BA206" s="221">
        <v>0</v>
      </c>
      <c r="BB206" s="222" t="b">
        <v>0</v>
      </c>
      <c r="BC206" s="223" t="b">
        <v>0</v>
      </c>
      <c r="BD206" s="228" t="b">
        <v>1</v>
      </c>
      <c r="BE206" s="224" t="b">
        <v>0</v>
      </c>
      <c r="BF206" s="179">
        <v>1</v>
      </c>
      <c r="BG206" s="225" t="str">
        <f>IF(BC206=FALSE,"",MIN(BH206:$BK206)-ROUND(($BK206-1-ROUND(80/$AZ206,0))/COUNTIF($BB206:$BE206,TRUE),0))</f>
        <v/>
      </c>
      <c r="BH206" s="225">
        <f>IF(BD206=FALSE,"",MIN(BI206:$BK206)-ROUND(($BK206-1-ROUND(80/$AZ206,0))/COUNTIF($BB206:$BE206,TRUE),0))</f>
        <v>17</v>
      </c>
      <c r="BI206" s="225" t="str">
        <f>IF(BE206=FALSE,"",MIN(BJ206:$BK206)-ROUND(($BK206-1-ROUND(80/$AZ206,0))/COUNTIF($BB206:$BE206,TRUE),0))</f>
        <v/>
      </c>
      <c r="BJ206" s="225" t="str">
        <f>IF(BB206=FALSE,"",MIN($BK206:BK206)-ROUND(($BK206-1-ROUND(80/$AZ206,0))/COUNTIF($BB206:$BE206,TRUE),0))</f>
        <v/>
      </c>
      <c r="BK206" s="107">
        <f>101-ROUND(Ag!BU$7*100,0)</f>
        <v>96</v>
      </c>
      <c r="BL206" s="63">
        <v>4</v>
      </c>
      <c r="BM206" s="82">
        <f t="array" ref="BM206">MIN(BL206,INDEX([1]Basic!L$26:L$34, MATCH([1]Basic!D$5,[1]Basic!B$26:B$34,0)))</f>
        <v>3</v>
      </c>
    </row>
    <row r="207" spans="26:65" ht="15.75" customHeight="1">
      <c r="Z207" s="31"/>
      <c r="AA207" s="31"/>
      <c r="AB207" s="31"/>
      <c r="AC207" s="31"/>
      <c r="AD207" s="31"/>
      <c r="AE207" s="31"/>
      <c r="AF207" s="31"/>
      <c r="AG207" s="31"/>
      <c r="AH207" s="31"/>
      <c r="AI207" s="31"/>
      <c r="AK207" s="389"/>
      <c r="AL207" s="452" t="s">
        <v>358</v>
      </c>
      <c r="AM207" s="369"/>
      <c r="AN207" s="241">
        <v>8</v>
      </c>
      <c r="AO207" s="218" t="e">
        <f ca="1">ROUND(AN207*_xludf.ifs(
AND(AU207=TRUE,AW207=TRUE),1,
AU207=TRUE,AV207,
AW207=TRUE,AX207,
TRUE,1),0)</f>
        <v>#NAME?</v>
      </c>
      <c r="AP207" s="57" t="e">
        <f ca="1">ROUND(AO207/SUM(AO$32:AO$252)*AM$27,0)</f>
        <v>#NAME?</v>
      </c>
      <c r="AQ207" s="5" t="str">
        <f ca="1">IFERROR(__xludf.DUMMYFUNCTION("if(O207=0,"""",
filter(I$32:I206,row(I$32:I206)=max(filter(arrayformula(row(I$32:I206)),I$32:I206&lt;&gt;"""")))+
filter(G$32:G206,row(G$32:G206)=max(filter(arrayformula(row(G$32:G206)),G$32:G206&lt;&gt;"""")))
)"),"")</f>
        <v/>
      </c>
      <c r="AR207" s="198" t="str">
        <f ca="1">IFERROR(__xludf.DUMMYFUNCTION("if(G207="""","""",G207-(
filter(G$32:G$252,row(G$32:G$252)=max(filter(arrayformula(row(G$32:G$252)),G$32:G$252&lt;&gt;"""")))
-(10001-
filter(I$32:I$252,row(I$32:I$252)=max(filter(arrayformula(row(I$32:I$252)),I$32:I$252&lt;&gt;""""))))))"),"")</f>
        <v/>
      </c>
      <c r="AS207" s="198" t="e">
        <f ca="1">IF(AY207=0,"",ROUND(AY207/AM$3*10000,0))</f>
        <v>#NAME?</v>
      </c>
      <c r="AT207" s="237" t="b">
        <v>0</v>
      </c>
      <c r="AU207" s="57"/>
      <c r="AV207" s="220">
        <v>0</v>
      </c>
      <c r="AW207" s="82" t="b">
        <f>OR(AU22,AU13)</f>
        <v>0</v>
      </c>
      <c r="AX207" s="220">
        <v>2</v>
      </c>
      <c r="AY207" s="56" t="e">
        <f ca="1">MAX(ROUND(AP207*(AM$1/AM$27),0),IF(AT207=TRUE,1,0))</f>
        <v>#NAME?</v>
      </c>
      <c r="AZ207" s="220">
        <v>5</v>
      </c>
      <c r="BA207" s="221">
        <v>0</v>
      </c>
      <c r="BB207" s="222" t="b">
        <v>0</v>
      </c>
      <c r="BC207" s="223" t="b">
        <v>0</v>
      </c>
      <c r="BD207" s="228" t="b">
        <v>1</v>
      </c>
      <c r="BE207" s="224" t="b">
        <v>0</v>
      </c>
      <c r="BF207" s="179">
        <v>1</v>
      </c>
      <c r="BG207" s="225" t="str">
        <f>IF(BC207=FALSE,"",MIN(BH207:$BK207)-ROUND(($BK207-1-ROUND(80/$AZ207,0))/COUNTIF($BB207:$BE207,TRUE),0))</f>
        <v/>
      </c>
      <c r="BH207" s="225">
        <f>IF(BD207=FALSE,"",MIN(BI207:$BK207)-ROUND(($BK207-1-ROUND(80/$AZ207,0))/COUNTIF($BB207:$BE207,TRUE),0))</f>
        <v>17</v>
      </c>
      <c r="BI207" s="225" t="str">
        <f>IF(BE207=FALSE,"",MIN(BJ207:$BK207)-ROUND(($BK207-1-ROUND(80/$AZ207,0))/COUNTIF($BB207:$BE207,TRUE),0))</f>
        <v/>
      </c>
      <c r="BJ207" s="225" t="str">
        <f>IF(BB207=FALSE,"",MIN($BK207:BK207)-ROUND(($BK207-1-ROUND(80/$AZ207,0))/COUNTIF($BB207:$BE207,TRUE),0))</f>
        <v/>
      </c>
      <c r="BK207" s="107">
        <f>101-ROUND(Ag!BU$7*100,0)</f>
        <v>96</v>
      </c>
      <c r="BL207" s="63">
        <v>3</v>
      </c>
      <c r="BM207" s="82">
        <f t="array" ref="BM207">MIN(BL207,INDEX([1]Basic!L$26:L$34, MATCH([1]Basic!D$5,[1]Basic!B$26:B$34,0)))</f>
        <v>3</v>
      </c>
    </row>
    <row r="208" spans="26:65" ht="15.75" customHeight="1">
      <c r="Z208" s="31"/>
      <c r="AA208" s="31"/>
      <c r="AB208" s="31"/>
      <c r="AC208" s="31"/>
      <c r="AD208" s="31"/>
      <c r="AE208" s="31"/>
      <c r="AF208" s="31"/>
      <c r="AG208" s="31"/>
      <c r="AH208" s="31"/>
      <c r="AI208" s="31"/>
      <c r="AK208" s="389"/>
      <c r="AL208" s="452" t="s">
        <v>362</v>
      </c>
      <c r="AM208" s="369"/>
      <c r="AN208" s="229">
        <v>4</v>
      </c>
      <c r="AO208" s="218" t="e">
        <f ca="1">ROUND(AN208*_xludf.ifs(
AND(AU208=TRUE,AW208=TRUE),1,
AU208=TRUE,AV208,
AW208=TRUE,AX208,
TRUE,1),0)</f>
        <v>#NAME?</v>
      </c>
      <c r="AP208" s="57" t="e">
        <f ca="1">ROUND(AO208/SUM(AO$32:AO$252)*AM$27,0)</f>
        <v>#NAME?</v>
      </c>
      <c r="AQ208" s="5" t="str">
        <f ca="1">IFERROR(__xludf.DUMMYFUNCTION("if(O208=0,"""",
filter(I$32:I207,row(I$32:I207)=max(filter(arrayformula(row(I$32:I207)),I$32:I207&lt;&gt;"""")))+
filter(G$32:G207,row(G$32:G207)=max(filter(arrayformula(row(G$32:G207)),G$32:G207&lt;&gt;"""")))
)"),"")</f>
        <v/>
      </c>
      <c r="AR208" s="198" t="str">
        <f ca="1">IFERROR(__xludf.DUMMYFUNCTION("if(G208="""","""",G208-(
filter(G$32:G$252,row(G$32:G$252)=max(filter(arrayformula(row(G$32:G$252)),G$32:G$252&lt;&gt;"""")))
-(10001-
filter(I$32:I$252,row(I$32:I$252)=max(filter(arrayformula(row(I$32:I$252)),I$32:I$252&lt;&gt;""""))))))"),"")</f>
        <v/>
      </c>
      <c r="AS208" s="198" t="e">
        <f ca="1">IF(AY208=0,"",ROUND(AY208/AM$3*10000,0))</f>
        <v>#NAME?</v>
      </c>
      <c r="AT208" s="237" t="b">
        <v>0</v>
      </c>
      <c r="AU208" s="57"/>
      <c r="AV208" s="220">
        <v>0</v>
      </c>
      <c r="AW208" s="82" t="b">
        <f>OR(AU14,AU19)</f>
        <v>0</v>
      </c>
      <c r="AX208" s="220">
        <v>2</v>
      </c>
      <c r="AY208" s="56" t="e">
        <f ca="1">MAX(ROUND(AP208*(AM$1/AM$27),0),IF(AT208=TRUE,1,0))</f>
        <v>#NAME?</v>
      </c>
      <c r="AZ208" s="220">
        <v>3</v>
      </c>
      <c r="BA208" s="221">
        <v>0</v>
      </c>
      <c r="BB208" s="222" t="b">
        <v>0</v>
      </c>
      <c r="BC208" s="223" t="b">
        <v>0</v>
      </c>
      <c r="BD208" s="228" t="b">
        <v>1</v>
      </c>
      <c r="BE208" s="224" t="b">
        <v>0</v>
      </c>
      <c r="BF208" s="179">
        <v>1</v>
      </c>
      <c r="BG208" s="225" t="str">
        <f>IF(BC208=FALSE,"",MIN(BH208:$BK208)-ROUND(($BK208-1-ROUND(80/$AZ208,0))/COUNTIF($BB208:$BE208,TRUE),0))</f>
        <v/>
      </c>
      <c r="BH208" s="225">
        <f>IF(BD208=FALSE,"",MIN(BI208:$BK208)-ROUND(($BK208-1-ROUND(80/$AZ208,0))/COUNTIF($BB208:$BE208,TRUE),0))</f>
        <v>28</v>
      </c>
      <c r="BI208" s="225" t="str">
        <f>IF(BE208=FALSE,"",MIN(BJ208:$BK208)-ROUND(($BK208-1-ROUND(80/$AZ208,0))/COUNTIF($BB208:$BE208,TRUE),0))</f>
        <v/>
      </c>
      <c r="BJ208" s="225" t="str">
        <f>IF(BB208=FALSE,"",MIN($BK208:BK208)-ROUND(($BK208-1-ROUND(80/$AZ208,0))/COUNTIF($BB208:$BE208,TRUE),0))</f>
        <v/>
      </c>
      <c r="BK208" s="107">
        <f>101-ROUND(Ag!BU$7*100,0)</f>
        <v>96</v>
      </c>
      <c r="BL208" s="63">
        <v>3</v>
      </c>
      <c r="BM208" s="82">
        <f t="array" ref="BM208">MIN(BL208,INDEX([1]Basic!L$26:L$34, MATCH([1]Basic!D$5,[1]Basic!B$26:B$34,0)))</f>
        <v>3</v>
      </c>
    </row>
    <row r="209" spans="26:65" ht="15.75" customHeight="1">
      <c r="Z209" s="31"/>
      <c r="AA209" s="31"/>
      <c r="AB209" s="31"/>
      <c r="AC209" s="31"/>
      <c r="AD209" s="31"/>
      <c r="AE209" s="31"/>
      <c r="AF209" s="31"/>
      <c r="AG209" s="31"/>
      <c r="AH209" s="31"/>
      <c r="AI209" s="31"/>
      <c r="AK209" s="389"/>
      <c r="AL209" s="452" t="s">
        <v>366</v>
      </c>
      <c r="AM209" s="369"/>
      <c r="AN209" s="229">
        <v>8</v>
      </c>
      <c r="AO209" s="218" t="e">
        <f ca="1">ROUND(AN209*_xludf.ifs(
AND(AU209=TRUE,AW209=TRUE),1,
AU209=TRUE,AV209,
AW209=TRUE,AX209,
TRUE,1),0)</f>
        <v>#NAME?</v>
      </c>
      <c r="AP209" s="57" t="e">
        <f ca="1">ROUND(AO209/SUM(AO$32:AO$252)*AM$27,0)</f>
        <v>#NAME?</v>
      </c>
      <c r="AQ209" s="5" t="str">
        <f ca="1">IFERROR(__xludf.DUMMYFUNCTION("if(O209=0,"""",
filter(I$32:I208,row(I$32:I208)=max(filter(arrayformula(row(I$32:I208)),I$32:I208&lt;&gt;"""")))+
filter(G$32:G208,row(G$32:G208)=max(filter(arrayformula(row(G$32:G208)),G$32:G208&lt;&gt;"""")))
)"),"")</f>
        <v/>
      </c>
      <c r="AR209" s="198" t="str">
        <f ca="1">IFERROR(__xludf.DUMMYFUNCTION("if(G209="""","""",G209-(
filter(G$32:G$252,row(G$32:G$252)=max(filter(arrayformula(row(G$32:G$252)),G$32:G$252&lt;&gt;"""")))
-(10001-
filter(I$32:I$252,row(I$32:I$252)=max(filter(arrayformula(row(I$32:I$252)),I$32:I$252&lt;&gt;""""))))))"),"")</f>
        <v/>
      </c>
      <c r="AS209" s="198" t="e">
        <f ca="1">IF(AY209=0,"",ROUND(AY209/AM$3*10000,0))</f>
        <v>#NAME?</v>
      </c>
      <c r="AT209" s="237" t="b">
        <v>0</v>
      </c>
      <c r="AU209" s="57"/>
      <c r="AV209" s="220">
        <v>0</v>
      </c>
      <c r="AW209" s="82" t="b">
        <f>OR(AU18)</f>
        <v>0</v>
      </c>
      <c r="AX209" s="220">
        <v>2</v>
      </c>
      <c r="AY209" s="56" t="e">
        <f ca="1">MAX(ROUND(AP209*(AM$1/AM$27),0),IF(AT209=TRUE,1,0))</f>
        <v>#NAME?</v>
      </c>
      <c r="AZ209" s="220">
        <v>3</v>
      </c>
      <c r="BA209" s="221">
        <v>0</v>
      </c>
      <c r="BB209" s="222" t="b">
        <v>0</v>
      </c>
      <c r="BC209" s="223" t="b">
        <v>0</v>
      </c>
      <c r="BD209" s="228" t="b">
        <v>1</v>
      </c>
      <c r="BE209" s="224" t="b">
        <v>0</v>
      </c>
      <c r="BF209" s="179">
        <v>1</v>
      </c>
      <c r="BG209" s="225" t="str">
        <f>IF(BC209=FALSE,"",MIN(BH209:$BK209)-ROUND(($BK209-1-ROUND(80/$AZ209,0))/COUNTIF($BB209:$BE209,TRUE),0))</f>
        <v/>
      </c>
      <c r="BH209" s="225">
        <f>IF(BD209=FALSE,"",MIN(BI209:$BK209)-ROUND(($BK209-1-ROUND(80/$AZ209,0))/COUNTIF($BB209:$BE209,TRUE),0))</f>
        <v>28</v>
      </c>
      <c r="BI209" s="225" t="str">
        <f>IF(BE209=FALSE,"",MIN(BJ209:$BK209)-ROUND(($BK209-1-ROUND(80/$AZ209,0))/COUNTIF($BB209:$BE209,TRUE),0))</f>
        <v/>
      </c>
      <c r="BJ209" s="225" t="str">
        <f>IF(BB209=FALSE,"",MIN($BK209:BK209)-ROUND(($BK209-1-ROUND(80/$AZ209,0))/COUNTIF($BB209:$BE209,TRUE),0))</f>
        <v/>
      </c>
      <c r="BK209" s="107">
        <f>101-ROUND(Ag!BU$7*100,0)</f>
        <v>96</v>
      </c>
      <c r="BL209" s="63">
        <v>3</v>
      </c>
      <c r="BM209" s="82">
        <f t="array" ref="BM209">MIN(BL209,INDEX([1]Basic!L$26:L$34, MATCH([1]Basic!D$5,[1]Basic!B$26:B$34,0)))</f>
        <v>3</v>
      </c>
    </row>
    <row r="210" spans="26:65" ht="15.75" customHeight="1">
      <c r="Z210" s="31"/>
      <c r="AA210" s="31"/>
      <c r="AB210" s="31"/>
      <c r="AC210" s="31"/>
      <c r="AD210" s="31"/>
      <c r="AE210" s="31"/>
      <c r="AF210" s="31"/>
      <c r="AG210" s="31"/>
      <c r="AH210" s="31"/>
      <c r="AI210" s="31"/>
      <c r="AK210" s="389"/>
      <c r="AL210" s="452" t="s">
        <v>370</v>
      </c>
      <c r="AM210" s="369"/>
      <c r="AN210" s="241">
        <v>50</v>
      </c>
      <c r="AO210" s="218" t="e">
        <f ca="1">ROUND(AN210*_xludf.ifs(
AND(AU210=TRUE,AW210=TRUE),1,
AU210=TRUE,AV210,
AW210=TRUE,AX210,
TRUE,1),0)</f>
        <v>#NAME?</v>
      </c>
      <c r="AP210" s="57" t="e">
        <f ca="1">ROUND(AO210/SUM(AO$32:AO$252)*AM$27,0)</f>
        <v>#NAME?</v>
      </c>
      <c r="AQ210" s="5" t="str">
        <f ca="1">IFERROR(__xludf.DUMMYFUNCTION("if(O210=0,"""",
filter(I$32:I209,row(I$32:I209)=max(filter(arrayformula(row(I$32:I209)),I$32:I209&lt;&gt;"""")))+
filter(G$32:G209,row(G$32:G209)=max(filter(arrayformula(row(G$32:G209)),G$32:G209&lt;&gt;"""")))
)"),"")</f>
        <v/>
      </c>
      <c r="AR210" s="198" t="str">
        <f ca="1">IFERROR(__xludf.DUMMYFUNCTION("if(G210="""","""",G210-(
filter(G$32:G$252,row(G$32:G$252)=max(filter(arrayformula(row(G$32:G$252)),G$32:G$252&lt;&gt;"""")))
-(10001-
filter(I$32:I$252,row(I$32:I$252)=max(filter(arrayformula(row(I$32:I$252)),I$32:I$252&lt;&gt;""""))))))"),"")</f>
        <v/>
      </c>
      <c r="AS210" s="198" t="e">
        <f ca="1">IF(AY210=0,"",ROUND(AY210/AM$3*10000,0))</f>
        <v>#NAME?</v>
      </c>
      <c r="AT210" s="237" t="b">
        <v>0</v>
      </c>
      <c r="AU210" s="57"/>
      <c r="AV210" s="220">
        <v>0</v>
      </c>
      <c r="AW210" s="82" t="b">
        <f>OR(AU19)</f>
        <v>0</v>
      </c>
      <c r="AX210" s="220">
        <v>2</v>
      </c>
      <c r="AY210" s="56" t="e">
        <f ca="1">MAX(ROUND(AP210*(AM$1/AM$27),0),IF(AT210=TRUE,1,0))</f>
        <v>#NAME?</v>
      </c>
      <c r="AZ210" s="220">
        <v>3</v>
      </c>
      <c r="BA210" s="221">
        <v>0</v>
      </c>
      <c r="BB210" s="222" t="b">
        <v>0</v>
      </c>
      <c r="BC210" s="223" t="b">
        <v>0</v>
      </c>
      <c r="BD210" s="228" t="b">
        <v>1</v>
      </c>
      <c r="BE210" s="224" t="b">
        <v>0</v>
      </c>
      <c r="BF210" s="179">
        <v>1</v>
      </c>
      <c r="BG210" s="225" t="str">
        <f>IF(BC210=FALSE,"",MIN(BH210:$BK210)-ROUND(($BK210-1-ROUND(80/$AZ210,0))/COUNTIF($BB210:$BE210,TRUE),0))</f>
        <v/>
      </c>
      <c r="BH210" s="225">
        <f>IF(BD210=FALSE,"",MIN(BI210:$BK210)-ROUND(($BK210-1-ROUND(80/$AZ210,0))/COUNTIF($BB210:$BE210,TRUE),0))</f>
        <v>28</v>
      </c>
      <c r="BI210" s="225" t="str">
        <f>IF(BE210=FALSE,"",MIN(BJ210:$BK210)-ROUND(($BK210-1-ROUND(80/$AZ210,0))/COUNTIF($BB210:$BE210,TRUE),0))</f>
        <v/>
      </c>
      <c r="BJ210" s="225" t="str">
        <f>IF(BB210=FALSE,"",MIN($BK210:BK210)-ROUND(($BK210-1-ROUND(80/$AZ210,0))/COUNTIF($BB210:$BE210,TRUE),0))</f>
        <v/>
      </c>
      <c r="BK210" s="107">
        <f>101-ROUND(Ag!BU$7*100,0)</f>
        <v>96</v>
      </c>
      <c r="BL210" s="63">
        <v>3</v>
      </c>
      <c r="BM210" s="82">
        <f t="array" ref="BM210">MIN(BL210,INDEX([1]Basic!L$26:L$34, MATCH([1]Basic!D$5,[1]Basic!B$26:B$34,0)))</f>
        <v>3</v>
      </c>
    </row>
    <row r="211" spans="26:65" ht="15.75" customHeight="1">
      <c r="Z211" s="31"/>
      <c r="AA211" s="31"/>
      <c r="AB211" s="31"/>
      <c r="AC211" s="31"/>
      <c r="AD211" s="31"/>
      <c r="AE211" s="31"/>
      <c r="AF211" s="31"/>
      <c r="AG211" s="31"/>
      <c r="AH211" s="31"/>
      <c r="AI211" s="31"/>
      <c r="AK211" s="389"/>
      <c r="AL211" s="452" t="s">
        <v>373</v>
      </c>
      <c r="AM211" s="369"/>
      <c r="AN211" s="229">
        <v>20</v>
      </c>
      <c r="AO211" s="218" t="e">
        <f ca="1">ROUND(AN211*_xludf.ifs(
AND(AU211=TRUE,AW211=TRUE),1,
AU211=TRUE,AV211,
AW211=TRUE,AX211,
TRUE,1),0)</f>
        <v>#NAME?</v>
      </c>
      <c r="AP211" s="57" t="e">
        <f ca="1">ROUND(AO211/SUM(AO$32:AO$252)*AM$27,0)</f>
        <v>#NAME?</v>
      </c>
      <c r="AQ211" s="5" t="str">
        <f ca="1">IFERROR(__xludf.DUMMYFUNCTION("if(O211=0,"""",
filter(I$32:I210,row(I$32:I210)=max(filter(arrayformula(row(I$32:I210)),I$32:I210&lt;&gt;"""")))+
filter(G$32:G210,row(G$32:G210)=max(filter(arrayformula(row(G$32:G210)),G$32:G210&lt;&gt;"""")))
)"),"")</f>
        <v/>
      </c>
      <c r="AR211" s="198" t="str">
        <f ca="1">IFERROR(__xludf.DUMMYFUNCTION("if(G211="""","""",G211-(
filter(G$32:G$252,row(G$32:G$252)=max(filter(arrayformula(row(G$32:G$252)),G$32:G$252&lt;&gt;"""")))
-(10001-
filter(I$32:I$252,row(I$32:I$252)=max(filter(arrayformula(row(I$32:I$252)),I$32:I$252&lt;&gt;""""))))))"),"")</f>
        <v/>
      </c>
      <c r="AS211" s="198" t="e">
        <f ca="1">IF(AY211=0,"",ROUND(AY211/AM$3*10000,0))</f>
        <v>#NAME?</v>
      </c>
      <c r="AT211" s="237" t="b">
        <v>0</v>
      </c>
      <c r="AU211" s="57"/>
      <c r="AV211" s="220">
        <v>0</v>
      </c>
      <c r="AW211" s="82" t="b">
        <f>OR(AU13,AQ22,AQ21,AQ16)</f>
        <v>0</v>
      </c>
      <c r="AX211" s="220">
        <v>2</v>
      </c>
      <c r="AY211" s="56" t="e">
        <f ca="1">MAX(ROUND(AP211*(AM$1/AM$27),0),IF(AT211=TRUE,1,0))</f>
        <v>#NAME?</v>
      </c>
      <c r="AZ211" s="220">
        <v>3</v>
      </c>
      <c r="BA211" s="221">
        <v>0</v>
      </c>
      <c r="BB211" s="222" t="b">
        <v>0</v>
      </c>
      <c r="BC211" s="223" t="b">
        <v>0</v>
      </c>
      <c r="BD211" s="228" t="b">
        <v>1</v>
      </c>
      <c r="BE211" s="224" t="b">
        <v>0</v>
      </c>
      <c r="BF211" s="179">
        <v>1</v>
      </c>
      <c r="BG211" s="225" t="str">
        <f>IF(BC211=FALSE,"",MIN(BH211:$BK211)-ROUND(($BK211-1-ROUND(80/$AZ211,0))/COUNTIF($BB211:$BE211,TRUE),0))</f>
        <v/>
      </c>
      <c r="BH211" s="225">
        <f>IF(BD211=FALSE,"",MIN(BI211:$BK211)-ROUND(($BK211-1-ROUND(80/$AZ211,0))/COUNTIF($BB211:$BE211,TRUE),0))</f>
        <v>28</v>
      </c>
      <c r="BI211" s="225" t="str">
        <f>IF(BE211=FALSE,"",MIN(BJ211:$BK211)-ROUND(($BK211-1-ROUND(80/$AZ211,0))/COUNTIF($BB211:$BE211,TRUE),0))</f>
        <v/>
      </c>
      <c r="BJ211" s="225" t="str">
        <f>IF(BB211=FALSE,"",MIN($BK211:BK211)-ROUND(($BK211-1-ROUND(80/$AZ211,0))/COUNTIF($BB211:$BE211,TRUE),0))</f>
        <v/>
      </c>
      <c r="BK211" s="107">
        <f>101-ROUND(Ag!BU$7*100,0)</f>
        <v>96</v>
      </c>
      <c r="BL211" s="63">
        <v>3</v>
      </c>
      <c r="BM211" s="82">
        <f t="array" ref="BM211">MIN(BL211,INDEX([1]Basic!L$26:L$34, MATCH([1]Basic!D$5,[1]Basic!B$26:B$34,0)))</f>
        <v>3</v>
      </c>
    </row>
    <row r="212" spans="26:65" ht="15.75" customHeight="1">
      <c r="Z212" s="31"/>
      <c r="AA212" s="31"/>
      <c r="AB212" s="31"/>
      <c r="AC212" s="31"/>
      <c r="AD212" s="31"/>
      <c r="AE212" s="31"/>
      <c r="AF212" s="31"/>
      <c r="AG212" s="31"/>
      <c r="AH212" s="31"/>
      <c r="AI212" s="31"/>
      <c r="AK212" s="389"/>
      <c r="AL212" s="452" t="s">
        <v>375</v>
      </c>
      <c r="AM212" s="369"/>
      <c r="AN212" s="241">
        <v>16</v>
      </c>
      <c r="AO212" s="218" t="e">
        <f ca="1">ROUND(AN212*_xludf.ifs(
AND(AU212=TRUE,AW212=TRUE),1,
AU212=TRUE,AV212,
AW212=TRUE,AX212,
TRUE,1),0)</f>
        <v>#NAME?</v>
      </c>
      <c r="AP212" s="57" t="e">
        <f ca="1">ROUND(AO212/SUM(AO$32:AO$252)*AM$27,0)</f>
        <v>#NAME?</v>
      </c>
      <c r="AQ212" s="5" t="str">
        <f ca="1">IFERROR(__xludf.DUMMYFUNCTION("if(O212=0,"""",
filter(I$32:I211,row(I$32:I211)=max(filter(arrayformula(row(I$32:I211)),I$32:I211&lt;&gt;"""")))+
filter(G$32:G211,row(G$32:G211)=max(filter(arrayformula(row(G$32:G211)),G$32:G211&lt;&gt;"""")))
)"),"")</f>
        <v/>
      </c>
      <c r="AR212" s="198" t="str">
        <f ca="1">IFERROR(__xludf.DUMMYFUNCTION("if(G212="""","""",G212-(
filter(G$32:G$252,row(G$32:G$252)=max(filter(arrayformula(row(G$32:G$252)),G$32:G$252&lt;&gt;"""")))
-(10001-
filter(I$32:I$252,row(I$32:I$252)=max(filter(arrayformula(row(I$32:I$252)),I$32:I$252&lt;&gt;""""))))))"),"")</f>
        <v/>
      </c>
      <c r="AS212" s="198" t="e">
        <f ca="1">IF(AY212=0,"",ROUND(AY212/AM$3*10000,0))</f>
        <v>#NAME?</v>
      </c>
      <c r="AT212" s="237" t="b">
        <v>0</v>
      </c>
      <c r="AU212" s="179" t="b">
        <f>OR(AM7)</f>
        <v>0</v>
      </c>
      <c r="AV212" s="220">
        <v>0.05</v>
      </c>
      <c r="AW212" s="82" t="b">
        <f>OR(AU8)</f>
        <v>0</v>
      </c>
      <c r="AX212" s="220">
        <v>2</v>
      </c>
      <c r="AY212" s="56" t="e">
        <f ca="1">MAX(ROUND(AP212*(AM$1/AM$27),0),IF(AT212=TRUE,1,0))</f>
        <v>#NAME?</v>
      </c>
      <c r="AZ212" s="220">
        <v>5</v>
      </c>
      <c r="BA212" s="221">
        <v>0</v>
      </c>
      <c r="BB212" s="222" t="b">
        <v>0</v>
      </c>
      <c r="BC212" s="223" t="b">
        <v>0</v>
      </c>
      <c r="BD212" s="228" t="b">
        <v>1</v>
      </c>
      <c r="BE212" s="224" t="b">
        <v>0</v>
      </c>
      <c r="BF212" s="179">
        <v>1</v>
      </c>
      <c r="BG212" s="225" t="str">
        <f>IF(BC212=FALSE,"",MIN(BH212:$BK212)-ROUND(($BK212-1-ROUND(80/$AZ212,0))/COUNTIF($BB212:$BE212,TRUE),0))</f>
        <v/>
      </c>
      <c r="BH212" s="225">
        <f>IF(BD212=FALSE,"",MIN(BI212:$BK212)-ROUND(($BK212-1-ROUND(80/$AZ212,0))/COUNTIF($BB212:$BE212,TRUE),0))</f>
        <v>17</v>
      </c>
      <c r="BI212" s="225" t="str">
        <f>IF(BE212=FALSE,"",MIN(BJ212:$BK212)-ROUND(($BK212-1-ROUND(80/$AZ212,0))/COUNTIF($BB212:$BE212,TRUE),0))</f>
        <v/>
      </c>
      <c r="BJ212" s="225" t="str">
        <f>IF(BB212=FALSE,"",MIN($BK212:BK212)-ROUND(($BK212-1-ROUND(80/$AZ212,0))/COUNTIF($BB212:$BE212,TRUE),0))</f>
        <v/>
      </c>
      <c r="BK212" s="107">
        <f>101-ROUND(Ag!BU$7*100,0)</f>
        <v>96</v>
      </c>
      <c r="BL212" s="63">
        <v>4</v>
      </c>
      <c r="BM212" s="82">
        <f t="array" ref="BM212">MIN(BL212,INDEX([1]Basic!L$26:L$34, MATCH([1]Basic!D$5,[1]Basic!B$26:B$34,0)))</f>
        <v>3</v>
      </c>
    </row>
    <row r="213" spans="26:65" ht="15.75" customHeight="1">
      <c r="Z213" s="31"/>
      <c r="AA213" s="31"/>
      <c r="AB213" s="31"/>
      <c r="AC213" s="31"/>
      <c r="AD213" s="31"/>
      <c r="AE213" s="31"/>
      <c r="AF213" s="31"/>
      <c r="AG213" s="31"/>
      <c r="AH213" s="31"/>
      <c r="AI213" s="31"/>
      <c r="AK213" s="389"/>
      <c r="AL213" s="452" t="s">
        <v>377</v>
      </c>
      <c r="AM213" s="369"/>
      <c r="AN213" s="229">
        <v>10</v>
      </c>
      <c r="AO213" s="218" t="e">
        <f ca="1">ROUND(AN213*_xludf.ifs(
AND(AU213=TRUE,AW213=TRUE),1,
AU213=TRUE,AV213,
AW213=TRUE,AX213,
TRUE,1),0)</f>
        <v>#NAME?</v>
      </c>
      <c r="AP213" s="57" t="e">
        <f ca="1">ROUND(AO213/SUM(AO$32:AO$252)*AM$27,0)</f>
        <v>#NAME?</v>
      </c>
      <c r="AQ213" s="5" t="str">
        <f ca="1">IFERROR(__xludf.DUMMYFUNCTION("if(O213=0,"""",
filter(I$32:I212,row(I$32:I212)=max(filter(arrayformula(row(I$32:I212)),I$32:I212&lt;&gt;"""")))+
filter(G$32:G212,row(G$32:G212)=max(filter(arrayformula(row(G$32:G212)),G$32:G212&lt;&gt;"""")))
)"),"")</f>
        <v/>
      </c>
      <c r="AR213" s="198" t="str">
        <f ca="1">IFERROR(__xludf.DUMMYFUNCTION("if(G213="""","""",G213-(
filter(G$32:G$252,row(G$32:G$252)=max(filter(arrayformula(row(G$32:G$252)),G$32:G$252&lt;&gt;"""")))
-(10001-
filter(I$32:I$252,row(I$32:I$252)=max(filter(arrayformula(row(I$32:I$252)),I$32:I$252&lt;&gt;""""))))))"),"")</f>
        <v/>
      </c>
      <c r="AS213" s="198" t="e">
        <f ca="1">IF(AY213=0,"",ROUND(AY213/AM$3*10000,0))</f>
        <v>#NAME?</v>
      </c>
      <c r="AT213" s="237" t="b">
        <v>0</v>
      </c>
      <c r="AU213" s="57"/>
      <c r="AV213" s="220">
        <v>0</v>
      </c>
      <c r="AW213" s="82" t="b">
        <f>OR(AU22,AU16)</f>
        <v>0</v>
      </c>
      <c r="AX213" s="220">
        <v>2</v>
      </c>
      <c r="AY213" s="56" t="e">
        <f ca="1">MAX(ROUND(AP213*(AM$1/AM$27),0),IF(AT213=TRUE,1,0))</f>
        <v>#NAME?</v>
      </c>
      <c r="AZ213" s="220">
        <v>3</v>
      </c>
      <c r="BA213" s="221">
        <v>0</v>
      </c>
      <c r="BB213" s="222" t="b">
        <v>0</v>
      </c>
      <c r="BC213" s="223" t="b">
        <v>0</v>
      </c>
      <c r="BD213" s="228" t="b">
        <v>1</v>
      </c>
      <c r="BE213" s="224" t="b">
        <v>0</v>
      </c>
      <c r="BF213" s="179">
        <v>1</v>
      </c>
      <c r="BG213" s="225" t="str">
        <f>IF(BC213=FALSE,"",MIN(BH213:$BK213)-ROUND(($BK213-1-ROUND(80/$AZ213,0))/COUNTIF($BB213:$BE213,TRUE),0))</f>
        <v/>
      </c>
      <c r="BH213" s="225">
        <f>IF(BD213=FALSE,"",MIN(BI213:$BK213)-ROUND(($BK213-1-ROUND(80/$AZ213,0))/COUNTIF($BB213:$BE213,TRUE),0))</f>
        <v>28</v>
      </c>
      <c r="BI213" s="225" t="str">
        <f>IF(BE213=FALSE,"",MIN(BJ213:$BK213)-ROUND(($BK213-1-ROUND(80/$AZ213,0))/COUNTIF($BB213:$BE213,TRUE),0))</f>
        <v/>
      </c>
      <c r="BJ213" s="225" t="str">
        <f>IF(BB213=FALSE,"",MIN($BK213:BK213)-ROUND(($BK213-1-ROUND(80/$AZ213,0))/COUNTIF($BB213:$BE213,TRUE),0))</f>
        <v/>
      </c>
      <c r="BK213" s="107">
        <f>101-ROUND(Ag!BU$7*100,0)</f>
        <v>96</v>
      </c>
      <c r="BL213" s="63">
        <v>3</v>
      </c>
      <c r="BM213" s="82">
        <f t="array" ref="BM213">MIN(BL213,INDEX([1]Basic!L$26:L$34, MATCH([1]Basic!D$5,[1]Basic!B$26:B$34,0)))</f>
        <v>3</v>
      </c>
    </row>
    <row r="214" spans="26:65" ht="15.75" customHeight="1" thickBot="1">
      <c r="Z214" s="31"/>
      <c r="AA214" s="31"/>
      <c r="AB214" s="31"/>
      <c r="AC214" s="31"/>
      <c r="AD214" s="31"/>
      <c r="AE214" s="31"/>
      <c r="AF214" s="31"/>
      <c r="AG214" s="31"/>
      <c r="AH214" s="31"/>
      <c r="AI214" s="31"/>
      <c r="AK214" s="359"/>
      <c r="AL214" s="451" t="s">
        <v>379</v>
      </c>
      <c r="AM214" s="361"/>
      <c r="AN214" s="238">
        <v>15</v>
      </c>
      <c r="AO214" s="218" t="e">
        <f ca="1">ROUND(AN214*_xludf.ifs(
AND(AU214=TRUE,AW214=TRUE),1,
AU214=TRUE,AV214,
AW214=TRUE,AX214,
TRUE,1),0)</f>
        <v>#NAME?</v>
      </c>
      <c r="AP214" s="57" t="e">
        <f ca="1">ROUND(AO214/SUM(AO$32:AO$252)*AM$27,0)</f>
        <v>#NAME?</v>
      </c>
      <c r="AQ214" s="6" t="str">
        <f ca="1">IFERROR(__xludf.DUMMYFUNCTION("if(O214=0,"""",
filter(I$32:I213,row(I$32:I213)=max(filter(arrayformula(row(I$32:I213)),I$32:I213&lt;&gt;"""")))+
filter(G$32:G213,row(G$32:G213)=max(filter(arrayformula(row(G$32:G213)),G$32:G213&lt;&gt;"""")))
)"),"")</f>
        <v/>
      </c>
      <c r="AR214" s="206" t="str">
        <f ca="1">IFERROR(__xludf.DUMMYFUNCTION("if(G214="""","""",G214-(
filter(G$32:G$252,row(G$32:G$252)=max(filter(arrayformula(row(G$32:G$252)),G$32:G$252&lt;&gt;"""")))
-(10001-
filter(I$32:I$252,row(I$32:I$252)=max(filter(arrayformula(row(I$32:I$252)),I$32:I$252&lt;&gt;""""))))))"),"")</f>
        <v/>
      </c>
      <c r="AS214" s="206" t="e">
        <f ca="1">IF(AY214=0,"",ROUND(AY214/AM$3*10000,0))</f>
        <v>#NAME?</v>
      </c>
      <c r="AT214" s="239" t="b">
        <v>0</v>
      </c>
      <c r="AU214" s="59"/>
      <c r="AV214" s="232">
        <v>0</v>
      </c>
      <c r="AW214" s="83" t="b">
        <f>OR(AU13,AU19)</f>
        <v>0</v>
      </c>
      <c r="AX214" s="232">
        <v>2</v>
      </c>
      <c r="AY214" s="58" t="e">
        <f ca="1">MAX(ROUND(AP214*(AM$1/AM$27),0),IF(AT214=TRUE,1,0))</f>
        <v>#NAME?</v>
      </c>
      <c r="AZ214" s="232">
        <v>3</v>
      </c>
      <c r="BA214" s="233">
        <v>0</v>
      </c>
      <c r="BB214" s="222" t="b">
        <v>0</v>
      </c>
      <c r="BC214" s="223" t="b">
        <v>0</v>
      </c>
      <c r="BD214" s="228" t="b">
        <v>1</v>
      </c>
      <c r="BE214" s="224" t="b">
        <v>0</v>
      </c>
      <c r="BF214" s="78">
        <v>1</v>
      </c>
      <c r="BG214" s="240" t="str">
        <f>IF(BC214=FALSE,"",MIN(BH214:$BK214)-ROUND(($BK214-1-ROUND(80/$AZ214,0))/COUNTIF($BB214:$BE214,TRUE),0))</f>
        <v/>
      </c>
      <c r="BH214" s="240">
        <f>IF(BD214=FALSE,"",MIN(BI214:$BK214)-ROUND(($BK214-1-ROUND(80/$AZ214,0))/COUNTIF($BB214:$BE214,TRUE),0))</f>
        <v>28</v>
      </c>
      <c r="BI214" s="240" t="str">
        <f>IF(BE214=FALSE,"",MIN(BJ214:$BK214)-ROUND(($BK214-1-ROUND(80/$AZ214,0))/COUNTIF($BB214:$BE214,TRUE),0))</f>
        <v/>
      </c>
      <c r="BJ214" s="240" t="str">
        <f>IF(BB214=FALSE,"",MIN($BK214:BK214)-ROUND(($BK214-1-ROUND(80/$AZ214,0))/COUNTIF($BB214:$BE214,TRUE),0))</f>
        <v/>
      </c>
      <c r="BK214" s="192">
        <f>101-ROUND(Ag!BU$7*100,0)</f>
        <v>96</v>
      </c>
      <c r="BL214" s="66">
        <v>3</v>
      </c>
      <c r="BM214" s="82">
        <f t="array" ref="BM214">MIN(BL214,INDEX([1]Basic!L$26:L$34, MATCH([1]Basic!D$5,[1]Basic!B$26:B$34,0)))</f>
        <v>3</v>
      </c>
    </row>
    <row r="215" spans="26:65" ht="15.75" customHeight="1" thickTop="1">
      <c r="Z215" s="31"/>
      <c r="AA215" s="31"/>
      <c r="AB215" s="31"/>
      <c r="AC215" s="31"/>
      <c r="AD215" s="31"/>
      <c r="AE215" s="31"/>
      <c r="AF215" s="31"/>
      <c r="AG215" s="31"/>
      <c r="AH215" s="31"/>
      <c r="AI215" s="31"/>
      <c r="AK215" s="453" t="s">
        <v>793</v>
      </c>
      <c r="AL215" s="450" t="s">
        <v>794</v>
      </c>
      <c r="AM215" s="358"/>
      <c r="AN215" s="248">
        <v>200</v>
      </c>
      <c r="AO215" s="54" t="e">
        <f ca="1">ROUND(AN215*_xludf.ifs(
AND(AU215=TRUE,AW215=TRUE),1,
AU215=TRUE,AV215,
AW215=TRUE,AX215,
TRUE,1),0)</f>
        <v>#NAME?</v>
      </c>
      <c r="AP215" s="118" t="e">
        <f ca="1">ROUND(AO215/SUM(AO$32:AO$252)*AM$27,0)</f>
        <v>#NAME?</v>
      </c>
      <c r="AQ215" s="5" t="str">
        <f ca="1">IFERROR(__xludf.DUMMYFUNCTION("if(O215=0,"""",
filter(I$32:I214,row(I$32:I214)=max(filter(arrayformula(row(I$32:I214)),I$32:I214&lt;&gt;"""")))+
filter(G$32:G214,row(G$32:G214)=max(filter(arrayformula(row(G$32:G214)),G$32:G214&lt;&gt;"""")))
)"),"")</f>
        <v/>
      </c>
      <c r="AR215" s="198" t="str">
        <f ca="1">IFERROR(__xludf.DUMMYFUNCTION("if(G215="""","""",G215-(
filter(G$32:G$252,row(G$32:G$252)=max(filter(arrayformula(row(G$32:G$252)),G$32:G$252&lt;&gt;"""")))
-(10001-
filter(I$32:I$252,row(I$32:I$252)=max(filter(arrayformula(row(I$32:I$252)),I$32:I$252&lt;&gt;""""))))))"),"")</f>
        <v/>
      </c>
      <c r="AS215" s="198" t="e">
        <f ca="1">IF(AY215=0,"",ROUND(AY215/AM$3*10000,0))</f>
        <v>#NAME?</v>
      </c>
      <c r="AT215" s="210" t="b">
        <v>0</v>
      </c>
      <c r="AU215" s="180" t="b">
        <f>OR(AM18)</f>
        <v>0</v>
      </c>
      <c r="AV215" s="211">
        <v>0.05</v>
      </c>
      <c r="AW215" s="80" t="b">
        <f>OR(AQ16,AM21)</f>
        <v>0</v>
      </c>
      <c r="AX215" s="211">
        <v>2</v>
      </c>
      <c r="AY215" s="56" t="e">
        <f ca="1">MAX(ROUND(AP215*(AM$1/AM$27),0),IF(AT215=TRUE,1,0))</f>
        <v>#NAME?</v>
      </c>
      <c r="AZ215" s="220">
        <v>10</v>
      </c>
      <c r="BA215" s="221">
        <v>10</v>
      </c>
      <c r="BB215" s="214" t="b">
        <v>1</v>
      </c>
      <c r="BC215" s="214" t="b">
        <v>1</v>
      </c>
      <c r="BD215" s="214" t="b">
        <v>1</v>
      </c>
      <c r="BE215" s="215" t="b">
        <v>1</v>
      </c>
      <c r="BF215" s="180">
        <v>1</v>
      </c>
      <c r="BG215" s="216">
        <f>IF(BC215=FALSE,"",MIN(BH215:$BK215)-ROUND(($BK215-1-ROUND(80/$AZ215,0))/COUNTIF($BB215:$BE215,TRUE),0))</f>
        <v>8</v>
      </c>
      <c r="BH215" s="216">
        <f>IF(BD215=FALSE,"",MIN(BI215:$BK215)-ROUND(($BK215-1-ROUND(80/$AZ215,0))/COUNTIF($BB215:$BE215,TRUE),0))</f>
        <v>30</v>
      </c>
      <c r="BI215" s="216">
        <f>IF(BE215=FALSE,"",MIN(BJ215:$BK215)-ROUND(($BK215-1-ROUND(80/$AZ215,0))/COUNTIF($BB215:$BE215,TRUE),0))</f>
        <v>52</v>
      </c>
      <c r="BJ215" s="216">
        <f>IF(BB215=FALSE,"",MIN($BK215:BK215)-ROUND(($BK215-1-ROUND(80/$AZ215,0))/COUNTIF($BB215:$BE215,TRUE),0))</f>
        <v>74</v>
      </c>
      <c r="BK215" s="177">
        <f>101-ROUND(Ag!BU$7*100,0)</f>
        <v>96</v>
      </c>
      <c r="BL215" s="61">
        <v>3</v>
      </c>
      <c r="BM215" s="82">
        <f t="array" ref="BM215">MIN(BL215,INDEX([1]Basic!L$26:L$34, MATCH([1]Basic!D$5,[1]Basic!B$26:B$34,0)))</f>
        <v>3</v>
      </c>
    </row>
    <row r="216" spans="26:65" ht="15.75" customHeight="1">
      <c r="Z216" s="31"/>
      <c r="AA216" s="31"/>
      <c r="AB216" s="31"/>
      <c r="AC216" s="31"/>
      <c r="AD216" s="31"/>
      <c r="AE216" s="31"/>
      <c r="AF216" s="31"/>
      <c r="AG216" s="31"/>
      <c r="AH216" s="31"/>
      <c r="AI216" s="31"/>
      <c r="AK216" s="389"/>
      <c r="AL216" s="452" t="s">
        <v>158</v>
      </c>
      <c r="AM216" s="369"/>
      <c r="AN216" s="217">
        <v>6</v>
      </c>
      <c r="AO216" s="218" t="e">
        <f ca="1">ROUND(AN216*_xludf.ifs(
AND(AU216=TRUE,AW216=TRUE),1,
AU216=TRUE,AV216,
AW216=TRUE,AX216,
TRUE,1),0)</f>
        <v>#NAME?</v>
      </c>
      <c r="AP216" s="57" t="e">
        <f ca="1">ROUND(AO216/SUM(AO$32:AO$252)*AM$27,0)</f>
        <v>#NAME?</v>
      </c>
      <c r="AQ216" s="5" t="str">
        <f ca="1">IFERROR(__xludf.DUMMYFUNCTION("if(O216=0,"""",
filter(I$32:I215,row(I$32:I215)=max(filter(arrayformula(row(I$32:I215)),I$32:I215&lt;&gt;"""")))+
filter(G$32:G215,row(G$32:G215)=max(filter(arrayformula(row(G$32:G215)),G$32:G215&lt;&gt;"""")))
)"),"")</f>
        <v/>
      </c>
      <c r="AR216" s="198" t="str">
        <f ca="1">IFERROR(__xludf.DUMMYFUNCTION("if(G216="""","""",G216-(
filter(G$32:G$252,row(G$32:G$252)=max(filter(arrayformula(row(G$32:G$252)),G$32:G$252&lt;&gt;"""")))
-(10001-
filter(I$32:I$252,row(I$32:I$252)=max(filter(arrayformula(row(I$32:I$252)),I$32:I$252&lt;&gt;""""))))))"),"")</f>
        <v/>
      </c>
      <c r="AS216" s="198" t="e">
        <f ca="1">IF(AY216=0,"",ROUND(AY216/AM$3*10000,0))</f>
        <v>#NAME?</v>
      </c>
      <c r="AT216" s="237" t="b">
        <v>0</v>
      </c>
      <c r="AU216" s="179" t="b">
        <f>OR(AM10,AM11)</f>
        <v>0</v>
      </c>
      <c r="AV216" s="220">
        <v>0.1</v>
      </c>
      <c r="AW216" s="82" t="b">
        <f>OR(AQ15,AU24)</f>
        <v>0</v>
      </c>
      <c r="AX216" s="220">
        <v>2</v>
      </c>
      <c r="AY216" s="56" t="e">
        <f ca="1">MAX(ROUND(AP216*(AM$1/AM$27),0),IF(AT216=TRUE,1,0))</f>
        <v>#NAME?</v>
      </c>
      <c r="AZ216" s="220">
        <v>10</v>
      </c>
      <c r="BA216" s="221">
        <v>1</v>
      </c>
      <c r="BB216" s="227" t="b">
        <v>1</v>
      </c>
      <c r="BC216" s="228" t="b">
        <v>1</v>
      </c>
      <c r="BD216" s="228" t="b">
        <v>1</v>
      </c>
      <c r="BE216" s="229" t="b">
        <v>1</v>
      </c>
      <c r="BF216" s="179">
        <v>1</v>
      </c>
      <c r="BG216" s="225">
        <f>IF(BC216=FALSE,"",MIN(BH216:$BK216)-ROUND(($BK216-1-ROUND(80/$AZ216,0))/COUNTIF($BB216:$BE216,TRUE),0))</f>
        <v>8</v>
      </c>
      <c r="BH216" s="225">
        <f>IF(BD216=FALSE,"",MIN(BI216:$BK216)-ROUND(($BK216-1-ROUND(80/$AZ216,0))/COUNTIF($BB216:$BE216,TRUE),0))</f>
        <v>30</v>
      </c>
      <c r="BI216" s="225">
        <f>IF(BE216=FALSE,"",MIN(BJ216:$BK216)-ROUND(($BK216-1-ROUND(80/$AZ216,0))/COUNTIF($BB216:$BE216,TRUE),0))</f>
        <v>52</v>
      </c>
      <c r="BJ216" s="225">
        <f>IF(BB216=FALSE,"",MIN($BK216:BK216)-ROUND(($BK216-1-ROUND(80/$AZ216,0))/COUNTIF($BB216:$BE216,TRUE),0))</f>
        <v>74</v>
      </c>
      <c r="BK216" s="107">
        <f>101-ROUND(Ag!BU$7*100,0)</f>
        <v>96</v>
      </c>
      <c r="BL216" s="63">
        <v>3</v>
      </c>
      <c r="BM216" s="82">
        <f t="array" ref="BM216">MIN(BL216,INDEX([1]Basic!L$26:L$34, MATCH([1]Basic!D$5,[1]Basic!B$26:B$34,0)))</f>
        <v>3</v>
      </c>
    </row>
    <row r="217" spans="26:65" ht="15.75" customHeight="1">
      <c r="Z217" s="31"/>
      <c r="AA217" s="31"/>
      <c r="AB217" s="31"/>
      <c r="AC217" s="31"/>
      <c r="AD217" s="31"/>
      <c r="AE217" s="31"/>
      <c r="AF217" s="31"/>
      <c r="AG217" s="31"/>
      <c r="AH217" s="31"/>
      <c r="AI217" s="31"/>
      <c r="AK217" s="389"/>
      <c r="AL217" s="452" t="s">
        <v>164</v>
      </c>
      <c r="AM217" s="369"/>
      <c r="AN217" s="226">
        <v>4</v>
      </c>
      <c r="AO217" s="218" t="e">
        <f ca="1">ROUND(AN217*_xludf.ifs(
AND(AU217=TRUE,AW217=TRUE),1,
AU217=TRUE,AV217,
AW217=TRUE,AX217,
TRUE,1),0)</f>
        <v>#NAME?</v>
      </c>
      <c r="AP217" s="57" t="e">
        <f ca="1">ROUND(AO217/SUM(AO$32:AO$252)*AM$27,0)</f>
        <v>#NAME?</v>
      </c>
      <c r="AQ217" s="5" t="str">
        <f ca="1">IFERROR(__xludf.DUMMYFUNCTION("if(O217=0,"""",
filter(I$32:I216,row(I$32:I216)=max(filter(arrayformula(row(I$32:I216)),I$32:I216&lt;&gt;"""")))+
filter(G$32:G216,row(G$32:G216)=max(filter(arrayformula(row(G$32:G216)),G$32:G216&lt;&gt;"""")))
)"),"")</f>
        <v/>
      </c>
      <c r="AR217" s="198" t="str">
        <f ca="1">IFERROR(__xludf.DUMMYFUNCTION("if(G217="""","""",G217-(
filter(G$32:G$252,row(G$32:G$252)=max(filter(arrayformula(row(G$32:G$252)),G$32:G$252&lt;&gt;"""")))
-(10001-
filter(I$32:I$252,row(I$32:I$252)=max(filter(arrayformula(row(I$32:I$252)),I$32:I$252&lt;&gt;""""))))))"),"")</f>
        <v/>
      </c>
      <c r="AS217" s="198" t="e">
        <f ca="1">IF(AY217=0,"",ROUND(AY217/AM$3*10000,0))</f>
        <v>#NAME?</v>
      </c>
      <c r="AT217" s="237" t="b">
        <v>0</v>
      </c>
      <c r="AU217" s="179" t="b">
        <f>OR(AM10)</f>
        <v>0</v>
      </c>
      <c r="AV217" s="220">
        <v>0</v>
      </c>
      <c r="AW217" s="82" t="b">
        <f>OR(AQ15,AU24,AQ12)</f>
        <v>0</v>
      </c>
      <c r="AX217" s="220">
        <v>2</v>
      </c>
      <c r="AY217" s="56" t="e">
        <f ca="1">MAX(ROUND(AP217*(AM$1/AM$27),0),IF(AT217=TRUE,1,0))</f>
        <v>#NAME?</v>
      </c>
      <c r="AZ217" s="220">
        <v>5</v>
      </c>
      <c r="BA217" s="221">
        <v>0</v>
      </c>
      <c r="BB217" s="227" t="b">
        <v>1</v>
      </c>
      <c r="BC217" s="228" t="b">
        <v>1</v>
      </c>
      <c r="BD217" s="228" t="b">
        <v>1</v>
      </c>
      <c r="BE217" s="224" t="b">
        <v>0</v>
      </c>
      <c r="BF217" s="179">
        <v>1</v>
      </c>
      <c r="BG217" s="225">
        <f>IF(BC217=FALSE,"",MIN(BH217:$BK217)-ROUND(($BK217-1-ROUND(80/$AZ217,0))/COUNTIF($BB217:$BE217,TRUE),0))</f>
        <v>18</v>
      </c>
      <c r="BH217" s="225">
        <f>IF(BD217=FALSE,"",MIN(BI217:$BK217)-ROUND(($BK217-1-ROUND(80/$AZ217,0))/COUNTIF($BB217:$BE217,TRUE),0))</f>
        <v>44</v>
      </c>
      <c r="BI217" s="225" t="str">
        <f>IF(BE217=FALSE,"",MIN(BJ217:$BK217)-ROUND(($BK217-1-ROUND(80/$AZ217,0))/COUNTIF($BB217:$BE217,TRUE),0))</f>
        <v/>
      </c>
      <c r="BJ217" s="225">
        <f>IF(BB217=FALSE,"",MIN($BK217:BK217)-ROUND(($BK217-1-ROUND(80/$AZ217,0))/COUNTIF($BB217:$BE217,TRUE),0))</f>
        <v>70</v>
      </c>
      <c r="BK217" s="107">
        <f>101-ROUND(Ag!BU$7*100,0)</f>
        <v>96</v>
      </c>
      <c r="BL217" s="63">
        <v>3</v>
      </c>
      <c r="BM217" s="82">
        <f t="array" ref="BM217">MIN(BL217,INDEX([1]Basic!L$26:L$34, MATCH([1]Basic!D$5,[1]Basic!B$26:B$34,0)))</f>
        <v>3</v>
      </c>
    </row>
    <row r="218" spans="26:65" ht="15.75" customHeight="1">
      <c r="Z218" s="31"/>
      <c r="AA218" s="31"/>
      <c r="AB218" s="31"/>
      <c r="AC218" s="31"/>
      <c r="AD218" s="31"/>
      <c r="AE218" s="31"/>
      <c r="AF218" s="31"/>
      <c r="AG218" s="31"/>
      <c r="AH218" s="31"/>
      <c r="AI218" s="31"/>
      <c r="AK218" s="389"/>
      <c r="AL218" s="452" t="s">
        <v>169</v>
      </c>
      <c r="AM218" s="369"/>
      <c r="AN218" s="217">
        <v>5</v>
      </c>
      <c r="AO218" s="218" t="e">
        <f ca="1">ROUND(AN218*_xludf.ifs(
AND(AU218=TRUE,AW218=TRUE),1,
AU218=TRUE,AV218,
AW218=TRUE,AX218,
TRUE,1),0)</f>
        <v>#NAME?</v>
      </c>
      <c r="AP218" s="57" t="e">
        <f ca="1">ROUND(AO218/SUM(AO$32:AO$252)*AM$27,0)</f>
        <v>#NAME?</v>
      </c>
      <c r="AQ218" s="5" t="str">
        <f ca="1">IFERROR(__xludf.DUMMYFUNCTION("if(O218=0,"""",
filter(I$32:I217,row(I$32:I217)=max(filter(arrayformula(row(I$32:I217)),I$32:I217&lt;&gt;"""")))+
filter(G$32:G217,row(G$32:G217)=max(filter(arrayformula(row(G$32:G217)),G$32:G217&lt;&gt;"""")))
)"),"")</f>
        <v/>
      </c>
      <c r="AR218" s="198" t="str">
        <f ca="1">IFERROR(__xludf.DUMMYFUNCTION("if(G218="""","""",G218-(
filter(G$32:G$252,row(G$32:G$252)=max(filter(arrayformula(row(G$32:G$252)),G$32:G$252&lt;&gt;"""")))
-(10001-
filter(I$32:I$252,row(I$32:I$252)=max(filter(arrayformula(row(I$32:I$252)),I$32:I$252&lt;&gt;""""))))))"),"")</f>
        <v/>
      </c>
      <c r="AS218" s="198" t="e">
        <f ca="1">IF(AY218=0,"",ROUND(AY218/AM$3*10000,0))</f>
        <v>#NAME?</v>
      </c>
      <c r="AT218" s="237" t="b">
        <v>0</v>
      </c>
      <c r="AU218" s="179" t="b">
        <f>OR(AM10)</f>
        <v>0</v>
      </c>
      <c r="AV218" s="220">
        <v>0</v>
      </c>
      <c r="AW218" s="82" t="b">
        <f>OR(AQ15)</f>
        <v>0</v>
      </c>
      <c r="AX218" s="220">
        <v>2</v>
      </c>
      <c r="AY218" s="56" t="e">
        <f ca="1">MAX(ROUND(AP218*(AM$1/AM$27),0),IF(AT218=TRUE,1,0))</f>
        <v>#NAME?</v>
      </c>
      <c r="AZ218" s="220">
        <v>10</v>
      </c>
      <c r="BA218" s="221">
        <v>1</v>
      </c>
      <c r="BB218" s="227" t="b">
        <v>1</v>
      </c>
      <c r="BC218" s="228" t="b">
        <v>1</v>
      </c>
      <c r="BD218" s="228" t="b">
        <v>1</v>
      </c>
      <c r="BE218" s="229" t="b">
        <v>1</v>
      </c>
      <c r="BF218" s="179">
        <v>1</v>
      </c>
      <c r="BG218" s="225">
        <f>IF(BC218=FALSE,"",MIN(BH218:$BK218)-ROUND(($BK218-1-ROUND(80/$AZ218,0))/COUNTIF($BB218:$BE218,TRUE),0))</f>
        <v>8</v>
      </c>
      <c r="BH218" s="225">
        <f>IF(BD218=FALSE,"",MIN(BI218:$BK218)-ROUND(($BK218-1-ROUND(80/$AZ218,0))/COUNTIF($BB218:$BE218,TRUE),0))</f>
        <v>30</v>
      </c>
      <c r="BI218" s="225">
        <f>IF(BE218=FALSE,"",MIN(BJ218:$BK218)-ROUND(($BK218-1-ROUND(80/$AZ218,0))/COUNTIF($BB218:$BE218,TRUE),0))</f>
        <v>52</v>
      </c>
      <c r="BJ218" s="225">
        <f>IF(BB218=FALSE,"",MIN($BK218:BK218)-ROUND(($BK218-1-ROUND(80/$AZ218,0))/COUNTIF($BB218:$BE218,TRUE),0))</f>
        <v>74</v>
      </c>
      <c r="BK218" s="107">
        <f>101-ROUND(Ag!BU$7*100,0)</f>
        <v>96</v>
      </c>
      <c r="BL218" s="63">
        <v>3</v>
      </c>
      <c r="BM218" s="82">
        <f t="array" ref="BM218">MIN(BL218,INDEX([1]Basic!L$26:L$34, MATCH([1]Basic!D$5,[1]Basic!B$26:B$34,0)))</f>
        <v>3</v>
      </c>
    </row>
    <row r="219" spans="26:65" ht="15.75" customHeight="1" thickBot="1">
      <c r="Z219" s="31"/>
      <c r="AA219" s="31"/>
      <c r="AB219" s="31"/>
      <c r="AC219" s="31"/>
      <c r="AD219" s="31"/>
      <c r="AE219" s="31"/>
      <c r="AF219" s="31"/>
      <c r="AG219" s="31"/>
      <c r="AH219" s="31"/>
      <c r="AI219" s="31"/>
      <c r="AK219" s="389"/>
      <c r="AL219" s="452" t="s">
        <v>174</v>
      </c>
      <c r="AM219" s="369"/>
      <c r="AN219" s="226">
        <v>4</v>
      </c>
      <c r="AO219" s="218" t="e">
        <f ca="1">ROUND(AN219*_xludf.ifs(
AND(AU219=TRUE,AW219=TRUE),1,
AU219=TRUE,AV219,
AW219=TRUE,AX219,
TRUE,1),0)</f>
        <v>#NAME?</v>
      </c>
      <c r="AP219" s="57" t="e">
        <f ca="1">ROUND(AO219/SUM(AO$32:AO$252)*AM$27,0)</f>
        <v>#NAME?</v>
      </c>
      <c r="AQ219" s="5" t="str">
        <f ca="1">IFERROR(__xludf.DUMMYFUNCTION("if(O219=0,"""",
filter(I$32:I218,row(I$32:I218)=max(filter(arrayformula(row(I$32:I218)),I$32:I218&lt;&gt;"""")))+
filter(G$32:G218,row(G$32:G218)=max(filter(arrayformula(row(G$32:G218)),G$32:G218&lt;&gt;"""")))
)"),"")</f>
        <v/>
      </c>
      <c r="AR219" s="198" t="str">
        <f ca="1">IFERROR(__xludf.DUMMYFUNCTION("if(G219="""","""",G219-(
filter(G$32:G$252,row(G$32:G$252)=max(filter(arrayformula(row(G$32:G$252)),G$32:G$252&lt;&gt;"""")))
-(10001-
filter(I$32:I$252,row(I$32:I$252)=max(filter(arrayformula(row(I$32:I$252)),I$32:I$252&lt;&gt;""""))))))"),"")</f>
        <v/>
      </c>
      <c r="AS219" s="198" t="e">
        <f ca="1">IF(AY219=0,"",ROUND(AY219/AM$3*10000,0))</f>
        <v>#NAME?</v>
      </c>
      <c r="AT219" s="237" t="b">
        <v>0</v>
      </c>
      <c r="AU219" s="179" t="b">
        <f>OR(AM10)</f>
        <v>0</v>
      </c>
      <c r="AV219" s="220">
        <v>0</v>
      </c>
      <c r="AW219" s="82" t="b">
        <f>OR(AQ15,AQ12,AQ18)</f>
        <v>0</v>
      </c>
      <c r="AX219" s="220">
        <v>2</v>
      </c>
      <c r="AY219" s="56" t="e">
        <f ca="1">MAX(ROUND(AP219*(AM$1/AM$27),0),IF(AT219=TRUE,1,0))</f>
        <v>#NAME?</v>
      </c>
      <c r="AZ219" s="220">
        <v>10</v>
      </c>
      <c r="BA219" s="233">
        <v>0</v>
      </c>
      <c r="BB219" s="243" t="b">
        <v>1</v>
      </c>
      <c r="BC219" s="245" t="b">
        <v>1</v>
      </c>
      <c r="BD219" s="245" t="b">
        <v>1</v>
      </c>
      <c r="BE219" s="246" t="b">
        <v>0</v>
      </c>
      <c r="BF219" s="78">
        <v>1</v>
      </c>
      <c r="BG219" s="240">
        <f>IF(BC219=FALSE,"",MIN(BH219:$BK219)-ROUND(($BK219-1-ROUND(80/$AZ219,0))/COUNTIF($BB219:$BE219,TRUE),0))</f>
        <v>9</v>
      </c>
      <c r="BH219" s="240">
        <f>IF(BD219=FALSE,"",MIN(BI219:$BK219)-ROUND(($BK219-1-ROUND(80/$AZ219,0))/COUNTIF($BB219:$BE219,TRUE),0))</f>
        <v>38</v>
      </c>
      <c r="BI219" s="240" t="str">
        <f>IF(BE219=FALSE,"",MIN(BJ219:$BK219)-ROUND(($BK219-1-ROUND(80/$AZ219,0))/COUNTIF($BB219:$BE219,TRUE),0))</f>
        <v/>
      </c>
      <c r="BJ219" s="240">
        <f>IF(BB219=FALSE,"",MIN($BK219:BK219)-ROUND(($BK219-1-ROUND(80/$AZ219,0))/COUNTIF($BB219:$BE219,TRUE),0))</f>
        <v>67</v>
      </c>
      <c r="BK219" s="192">
        <f>101-ROUND(Ag!BU$7*100,0)</f>
        <v>96</v>
      </c>
      <c r="BL219" s="66">
        <v>3</v>
      </c>
      <c r="BM219" s="82">
        <f t="array" ref="BM219">MIN(BL219,INDEX([1]Basic!L$26:L$34, MATCH([1]Basic!D$5,[1]Basic!B$26:B$34,0)))</f>
        <v>3</v>
      </c>
    </row>
    <row r="220" spans="26:65" ht="15.75" customHeight="1" thickTop="1">
      <c r="Z220" s="31"/>
      <c r="AA220" s="31"/>
      <c r="AB220" s="31"/>
      <c r="AC220" s="31"/>
      <c r="AD220" s="31"/>
      <c r="AE220" s="31"/>
      <c r="AF220" s="31"/>
      <c r="AG220" s="31"/>
      <c r="AH220" s="31"/>
      <c r="AI220" s="31"/>
      <c r="AK220" s="389"/>
      <c r="AL220" s="450" t="s">
        <v>179</v>
      </c>
      <c r="AM220" s="358"/>
      <c r="AN220" s="214">
        <v>4</v>
      </c>
      <c r="AO220" s="17" t="e">
        <f ca="1">ROUND(AN220*_xludf.ifs(
AND(AU220=TRUE,AW220=TRUE),1,
AU220=TRUE,AV220,
AW220=TRUE,AX220,
TRUE,1),0)</f>
        <v>#NAME?</v>
      </c>
      <c r="AP220" s="70" t="e">
        <f ca="1">ROUND(AO220/SUM(AO$32:AO$252)*AM$27,0)</f>
        <v>#NAME?</v>
      </c>
      <c r="AQ220" s="18" t="str">
        <f ca="1">IFERROR(__xludf.DUMMYFUNCTION("if(O220=0,"""",
filter(I$32:I219,row(I$32:I219)=max(filter(arrayformula(row(I$32:I219)),I$32:I219&lt;&gt;"""")))+
filter(G$32:G219,row(G$32:G219)=max(filter(arrayformula(row(G$32:G219)),G$32:G219&lt;&gt;"""")))
)"),"")</f>
        <v/>
      </c>
      <c r="AR220" s="17" t="str">
        <f ca="1">IFERROR(__xludf.DUMMYFUNCTION("if(G220="""","""",G220-(
filter(G$32:G$252,row(G$32:G$252)=max(filter(arrayformula(row(G$32:G$252)),G$32:G$252&lt;&gt;"""")))
-(10001-
filter(I$32:I$252,row(I$32:I$252)=max(filter(arrayformula(row(I$32:I$252)),I$32:I$252&lt;&gt;""""))))))"),"")</f>
        <v/>
      </c>
      <c r="AS220" s="17" t="e">
        <f ca="1">IF(AY220=0,"",ROUND(AY220/AM$3*10000,0))</f>
        <v>#NAME?</v>
      </c>
      <c r="AT220" s="249" t="b">
        <v>0</v>
      </c>
      <c r="AU220" s="70"/>
      <c r="AV220" s="61">
        <v>0</v>
      </c>
      <c r="AW220" s="80"/>
      <c r="AX220" s="61">
        <v>2</v>
      </c>
      <c r="AY220" s="70" t="e">
        <f ca="1">MAX(ROUND(AP220*(AM$1/AM$27),0),IF(AT220=TRUE,1,0))</f>
        <v>#NAME?</v>
      </c>
      <c r="AZ220" s="61">
        <v>5</v>
      </c>
      <c r="BA220" s="221">
        <v>0</v>
      </c>
      <c r="BB220" s="222" t="b">
        <v>0</v>
      </c>
      <c r="BC220" s="223" t="b">
        <v>0</v>
      </c>
      <c r="BD220" s="228" t="b">
        <v>1</v>
      </c>
      <c r="BE220" s="224" t="b">
        <v>0</v>
      </c>
      <c r="BF220" s="179">
        <v>1</v>
      </c>
      <c r="BG220" s="225" t="str">
        <f>IF(BC220=FALSE,"",MIN(BH220:$BK220)-ROUND(($BK220-1-ROUND(80/$AZ220,0))/COUNTIF($BB220:$BE220,TRUE),0))</f>
        <v/>
      </c>
      <c r="BH220" s="225">
        <f>IF(BD220=FALSE,"",MIN(BI220:$BK220)-ROUND(($BK220-1-ROUND(80/$AZ220,0))/COUNTIF($BB220:$BE220,TRUE),0))</f>
        <v>17</v>
      </c>
      <c r="BI220" s="225" t="str">
        <f>IF(BE220=FALSE,"",MIN(BJ220:$BK220)-ROUND(($BK220-1-ROUND(80/$AZ220,0))/COUNTIF($BB220:$BE220,TRUE),0))</f>
        <v/>
      </c>
      <c r="BJ220" s="225" t="str">
        <f>IF(BB220=FALSE,"",MIN($BK220:BK220)-ROUND(($BK220-1-ROUND(80/$AZ220,0))/COUNTIF($BB220:$BE220,TRUE),0))</f>
        <v/>
      </c>
      <c r="BK220" s="107">
        <f>101-ROUND(Ag!BU$7*100,0)</f>
        <v>96</v>
      </c>
      <c r="BL220" s="63">
        <v>3</v>
      </c>
      <c r="BM220" s="82">
        <f t="array" ref="BM220">MIN(BL220,INDEX([1]Basic!L$26:L$34, MATCH([1]Basic!D$5,[1]Basic!B$26:B$34,0)))</f>
        <v>3</v>
      </c>
    </row>
    <row r="221" spans="26:65" ht="15.75" customHeight="1">
      <c r="Z221" s="31"/>
      <c r="AA221" s="31"/>
      <c r="AB221" s="31"/>
      <c r="AC221" s="31"/>
      <c r="AD221" s="31"/>
      <c r="AE221" s="31"/>
      <c r="AF221" s="31"/>
      <c r="AG221" s="31"/>
      <c r="AH221" s="31"/>
      <c r="AI221" s="31"/>
      <c r="AK221" s="389"/>
      <c r="AL221" s="452" t="s">
        <v>184</v>
      </c>
      <c r="AM221" s="369"/>
      <c r="AN221" s="228">
        <v>4</v>
      </c>
      <c r="AO221" s="198" t="e">
        <f ca="1">ROUND(AN221*_xludf.ifs(
AND(AU221=TRUE,AW221=TRUE),1,
AU221=TRUE,AV221,
AW221=TRUE,AX221,
TRUE,1),0)</f>
        <v>#NAME?</v>
      </c>
      <c r="AP221" s="56" t="e">
        <f ca="1">ROUND(AO221/SUM(AO$32:AO$252)*AM$27,0)</f>
        <v>#NAME?</v>
      </c>
      <c r="AQ221" s="19" t="str">
        <f ca="1">IFERROR(__xludf.DUMMYFUNCTION("if(O221=0,"""",
filter(I$32:I220,row(I$32:I220)=max(filter(arrayformula(row(I$32:I220)),I$32:I220&lt;&gt;"""")))+
filter(G$32:G220,row(G$32:G220)=max(filter(arrayformula(row(G$32:G220)),G$32:G220&lt;&gt;"""")))
)"),"")</f>
        <v/>
      </c>
      <c r="AR221" s="198" t="str">
        <f ca="1">IFERROR(__xludf.DUMMYFUNCTION("if(G221="""","""",G221-(
filter(G$32:G$252,row(G$32:G$252)=max(filter(arrayformula(row(G$32:G$252)),G$32:G$252&lt;&gt;"""")))
-(10001-
filter(I$32:I$252,row(I$32:I$252)=max(filter(arrayformula(row(I$32:I$252)),I$32:I$252&lt;&gt;""""))))))"),"")</f>
        <v/>
      </c>
      <c r="AS221" s="198" t="e">
        <f ca="1">IF(AY221=0,"",ROUND(AY221/AM$3*10000,0))</f>
        <v>#NAME?</v>
      </c>
      <c r="AT221" s="250" t="b">
        <v>0</v>
      </c>
      <c r="AU221" s="56"/>
      <c r="AV221" s="63">
        <v>0</v>
      </c>
      <c r="AW221" s="82" t="b">
        <f>OR(AU24)</f>
        <v>0</v>
      </c>
      <c r="AX221" s="63">
        <v>2</v>
      </c>
      <c r="AY221" s="56" t="e">
        <f ca="1">MAX(ROUND(AP221*(AM$1/AM$27),0),IF(AT221=TRUE,1,0))</f>
        <v>#NAME?</v>
      </c>
      <c r="AZ221" s="228">
        <v>5</v>
      </c>
      <c r="BA221" s="221">
        <v>0</v>
      </c>
      <c r="BB221" s="222" t="b">
        <v>0</v>
      </c>
      <c r="BC221" s="223" t="b">
        <v>0</v>
      </c>
      <c r="BD221" s="228" t="b">
        <v>1</v>
      </c>
      <c r="BE221" s="224" t="b">
        <v>0</v>
      </c>
      <c r="BF221" s="179">
        <v>1</v>
      </c>
      <c r="BG221" s="225" t="str">
        <f>IF(BC221=FALSE,"",MIN(BH221:$BK221)-ROUND(($BK221-1-ROUND(80/$AZ221,0))/COUNTIF($BB221:$BE221,TRUE),0))</f>
        <v/>
      </c>
      <c r="BH221" s="225">
        <f>IF(BD221=FALSE,"",MIN(BI221:$BK221)-ROUND(($BK221-1-ROUND(80/$AZ221,0))/COUNTIF($BB221:$BE221,TRUE),0))</f>
        <v>17</v>
      </c>
      <c r="BI221" s="225" t="str">
        <f>IF(BE221=FALSE,"",MIN(BJ221:$BK221)-ROUND(($BK221-1-ROUND(80/$AZ221,0))/COUNTIF($BB221:$BE221,TRUE),0))</f>
        <v/>
      </c>
      <c r="BJ221" s="225" t="str">
        <f>IF(BB221=FALSE,"",MIN($BK221:BK221)-ROUND(($BK221-1-ROUND(80/$AZ221,0))/COUNTIF($BB221:$BE221,TRUE),0))</f>
        <v/>
      </c>
      <c r="BK221" s="107">
        <f>101-ROUND(Ag!BU$7*100,0)</f>
        <v>96</v>
      </c>
      <c r="BL221" s="63">
        <v>3</v>
      </c>
      <c r="BM221" s="82">
        <f t="array" ref="BM221">MIN(BL221,INDEX([1]Basic!L$26:L$34, MATCH([1]Basic!D$5,[1]Basic!B$26:B$34,0)))</f>
        <v>3</v>
      </c>
    </row>
    <row r="222" spans="26:65" ht="15.75" customHeight="1">
      <c r="Z222" s="31"/>
      <c r="AA222" s="31"/>
      <c r="AB222" s="31"/>
      <c r="AC222" s="31"/>
      <c r="AD222" s="31"/>
      <c r="AE222" s="31"/>
      <c r="AF222" s="31"/>
      <c r="AG222" s="31"/>
      <c r="AH222" s="31"/>
      <c r="AI222" s="31"/>
      <c r="AK222" s="389"/>
      <c r="AL222" s="452" t="s">
        <v>189</v>
      </c>
      <c r="AM222" s="369"/>
      <c r="AN222" s="228">
        <v>2</v>
      </c>
      <c r="AO222" s="198" t="e">
        <f ca="1">ROUND(AN222*_xludf.ifs(
AND(AU222=TRUE,AW222=TRUE),1,
AU222=TRUE,AV222,
AW222=TRUE,AX222,
TRUE,1),0)</f>
        <v>#NAME?</v>
      </c>
      <c r="AP222" s="56" t="e">
        <f ca="1">ROUND(AO222/SUM(AO$32:AO$252)*AM$27,0)</f>
        <v>#NAME?</v>
      </c>
      <c r="AQ222" s="19" t="str">
        <f ca="1">IFERROR(__xludf.DUMMYFUNCTION("if(O222=0,"""",
filter(I$32:I221,row(I$32:I221)=max(filter(arrayformula(row(I$32:I221)),I$32:I221&lt;&gt;"""")))+
filter(G$32:G221,row(G$32:G221)=max(filter(arrayformula(row(G$32:G221)),G$32:G221&lt;&gt;"""")))
)"),"")</f>
        <v/>
      </c>
      <c r="AR222" s="198" t="str">
        <f ca="1">IFERROR(__xludf.DUMMYFUNCTION("if(G222="""","""",G222-(
filter(G$32:G$252,row(G$32:G$252)=max(filter(arrayformula(row(G$32:G$252)),G$32:G$252&lt;&gt;"""")))
-(10001-
filter(I$32:I$252,row(I$32:I$252)=max(filter(arrayformula(row(I$32:I$252)),I$32:I$252&lt;&gt;""""))))))"),"")</f>
        <v/>
      </c>
      <c r="AS222" s="198" t="e">
        <f ca="1">IF(AY222=0,"",ROUND(AY222/AM$3*10000,0))</f>
        <v>#NAME?</v>
      </c>
      <c r="AT222" s="250" t="b">
        <v>0</v>
      </c>
      <c r="AU222" s="82"/>
      <c r="AV222" s="63">
        <v>0</v>
      </c>
      <c r="AW222" s="82" t="b">
        <f>OR(AU22)</f>
        <v>0</v>
      </c>
      <c r="AX222" s="63">
        <v>3</v>
      </c>
      <c r="AY222" s="56" t="e">
        <f ca="1">MAX(ROUND(AP222*(AM$1/AM$27),0),IF(AT222=TRUE,1,0))</f>
        <v>#NAME?</v>
      </c>
      <c r="AZ222" s="228">
        <v>5</v>
      </c>
      <c r="BA222" s="221">
        <v>0</v>
      </c>
      <c r="BB222" s="222" t="b">
        <v>0</v>
      </c>
      <c r="BC222" s="223" t="b">
        <v>0</v>
      </c>
      <c r="BD222" s="228" t="b">
        <v>1</v>
      </c>
      <c r="BE222" s="224" t="b">
        <v>0</v>
      </c>
      <c r="BF222" s="179">
        <v>1</v>
      </c>
      <c r="BG222" s="225" t="str">
        <f>IF(BC222=FALSE,"",MIN(BH222:$BK222)-ROUND(($BK222-1-ROUND(80/$AZ222,0))/COUNTIF($BB222:$BE222,TRUE),0))</f>
        <v/>
      </c>
      <c r="BH222" s="225">
        <f>IF(BD222=FALSE,"",MIN(BI222:$BK222)-ROUND(($BK222-1-ROUND(80/$AZ222,0))/COUNTIF($BB222:$BE222,TRUE),0))</f>
        <v>17</v>
      </c>
      <c r="BI222" s="225" t="str">
        <f>IF(BE222=FALSE,"",MIN(BJ222:$BK222)-ROUND(($BK222-1-ROUND(80/$AZ222,0))/COUNTIF($BB222:$BE222,TRUE),0))</f>
        <v/>
      </c>
      <c r="BJ222" s="225" t="str">
        <f>IF(BB222=FALSE,"",MIN($BK222:BK222)-ROUND(($BK222-1-ROUND(80/$AZ222,0))/COUNTIF($BB222:$BE222,TRUE),0))</f>
        <v/>
      </c>
      <c r="BK222" s="107">
        <f>101-ROUND(Ag!BU$7*100,0)</f>
        <v>96</v>
      </c>
      <c r="BL222" s="63">
        <v>3</v>
      </c>
      <c r="BM222" s="82">
        <f t="array" ref="BM222">MIN(BL222,INDEX([1]Basic!L$26:L$34, MATCH([1]Basic!D$5,[1]Basic!B$26:B$34,0)))</f>
        <v>3</v>
      </c>
    </row>
    <row r="223" spans="26:65" ht="15.75" customHeight="1">
      <c r="Z223" s="31"/>
      <c r="AA223" s="31"/>
      <c r="AB223" s="31"/>
      <c r="AC223" s="31"/>
      <c r="AD223" s="31"/>
      <c r="AE223" s="31"/>
      <c r="AF223" s="31"/>
      <c r="AG223" s="31"/>
      <c r="AH223" s="31"/>
      <c r="AI223" s="31"/>
      <c r="AK223" s="389"/>
      <c r="AL223" s="452" t="s">
        <v>195</v>
      </c>
      <c r="AM223" s="369"/>
      <c r="AN223" s="228">
        <v>2</v>
      </c>
      <c r="AO223" s="198" t="e">
        <f ca="1">ROUND(AN223*_xludf.ifs(
AND(AU223=TRUE,AW223=TRUE),1,
AU223=TRUE,AV223,
AW223=TRUE,AX223,
TRUE,1),0)</f>
        <v>#NAME?</v>
      </c>
      <c r="AP223" s="56" t="e">
        <f ca="1">ROUND(AO223/SUM(AO$32:AO$252)*AM$27,0)</f>
        <v>#NAME?</v>
      </c>
      <c r="AQ223" s="19" t="str">
        <f ca="1">IFERROR(__xludf.DUMMYFUNCTION("if(O223=0,"""",
filter(I$32:I222,row(I$32:I222)=max(filter(arrayformula(row(I$32:I222)),I$32:I222&lt;&gt;"""")))+
filter(G$32:G222,row(G$32:G222)=max(filter(arrayformula(row(G$32:G222)),G$32:G222&lt;&gt;"""")))
)"),"")</f>
        <v/>
      </c>
      <c r="AR223" s="198" t="str">
        <f ca="1">IFERROR(__xludf.DUMMYFUNCTION("if(G223="""","""",G223-(
filter(G$32:G$252,row(G$32:G$252)=max(filter(arrayformula(row(G$32:G$252)),G$32:G$252&lt;&gt;"""")))
-(10001-
filter(I$32:I$252,row(I$32:I$252)=max(filter(arrayformula(row(I$32:I$252)),I$32:I$252&lt;&gt;""""))))))"),"")</f>
        <v/>
      </c>
      <c r="AS223" s="198" t="e">
        <f ca="1">IF(AY223=0,"",ROUND(AY223/AM$3*10000,0))</f>
        <v>#NAME?</v>
      </c>
      <c r="AT223" s="250" t="b">
        <v>0</v>
      </c>
      <c r="AU223" s="56"/>
      <c r="AV223" s="63">
        <v>0</v>
      </c>
      <c r="AW223" s="82" t="b">
        <f>OR(AU22)</f>
        <v>0</v>
      </c>
      <c r="AX223" s="63">
        <v>2</v>
      </c>
      <c r="AY223" s="56" t="e">
        <f ca="1">MAX(ROUND(AP223*(AM$1/AM$27),0),IF(AT223=TRUE,1,0))</f>
        <v>#NAME?</v>
      </c>
      <c r="AZ223" s="228">
        <v>5</v>
      </c>
      <c r="BA223" s="221">
        <v>0</v>
      </c>
      <c r="BB223" s="222" t="b">
        <v>0</v>
      </c>
      <c r="BC223" s="223" t="b">
        <v>0</v>
      </c>
      <c r="BD223" s="228" t="b">
        <v>1</v>
      </c>
      <c r="BE223" s="229" t="b">
        <v>1</v>
      </c>
      <c r="BF223" s="179">
        <v>1</v>
      </c>
      <c r="BG223" s="225" t="str">
        <f>IF(BC223=FALSE,"",MIN(BH223:$BK223)-ROUND(($BK223-1-ROUND(80/$AZ223,0))/COUNTIF($BB223:$BE223,TRUE),0))</f>
        <v/>
      </c>
      <c r="BH223" s="225">
        <f>IF(BD223=FALSE,"",MIN(BI223:$BK223)-ROUND(($BK223-1-ROUND(80/$AZ223,0))/COUNTIF($BB223:$BE223,TRUE),0))</f>
        <v>16</v>
      </c>
      <c r="BI223" s="225">
        <f>IF(BE223=FALSE,"",MIN(BJ223:$BK223)-ROUND(($BK223-1-ROUND(80/$AZ223,0))/COUNTIF($BB223:$BE223,TRUE),0))</f>
        <v>56</v>
      </c>
      <c r="BJ223" s="225" t="str">
        <f>IF(BB223=FALSE,"",MIN($BK223:BK223)-ROUND(($BK223-1-ROUND(80/$AZ223,0))/COUNTIF($BB223:$BE223,TRUE),0))</f>
        <v/>
      </c>
      <c r="BK223" s="107">
        <f>101-ROUND(Ag!BU$7*100,0)</f>
        <v>96</v>
      </c>
      <c r="BL223" s="63">
        <v>3</v>
      </c>
      <c r="BM223" s="82">
        <f t="array" ref="BM223">MIN(BL223,INDEX([1]Basic!L$26:L$34, MATCH([1]Basic!D$5,[1]Basic!B$26:B$34,0)))</f>
        <v>3</v>
      </c>
    </row>
    <row r="224" spans="26:65" ht="15.75" customHeight="1" thickBot="1">
      <c r="Z224" s="31"/>
      <c r="AA224" s="31"/>
      <c r="AB224" s="31"/>
      <c r="AC224" s="31"/>
      <c r="AD224" s="31"/>
      <c r="AE224" s="31"/>
      <c r="AF224" s="31"/>
      <c r="AG224" s="31"/>
      <c r="AH224" s="31"/>
      <c r="AI224" s="31"/>
      <c r="AK224" s="389"/>
      <c r="AL224" s="451" t="s">
        <v>201</v>
      </c>
      <c r="AM224" s="361"/>
      <c r="AN224" s="245">
        <v>2</v>
      </c>
      <c r="AO224" s="206" t="e">
        <f ca="1">ROUND(AN224*_xludf.ifs(
AND(AU224=TRUE,AW224=TRUE),1,
AU224=TRUE,AV224,
AW224=TRUE,AX224,
TRUE,1),0)</f>
        <v>#NAME?</v>
      </c>
      <c r="AP224" s="58" t="e">
        <f ca="1">ROUND(AO224/SUM(AO$32:AO$252)*AM$27,0)</f>
        <v>#NAME?</v>
      </c>
      <c r="AQ224" s="20" t="str">
        <f ca="1">IFERROR(__xludf.DUMMYFUNCTION("if(O224=0,"""",
filter(I$32:I223,row(I$32:I223)=max(filter(arrayformula(row(I$32:I223)),I$32:I223&lt;&gt;"""")))+
filter(G$32:G223,row(G$32:G223)=max(filter(arrayformula(row(G$32:G223)),G$32:G223&lt;&gt;"""")))
)"),"")</f>
        <v/>
      </c>
      <c r="AR224" s="206" t="str">
        <f ca="1">IFERROR(__xludf.DUMMYFUNCTION("if(G224="""","""",G224-(
filter(G$32:G$252,row(G$32:G$252)=max(filter(arrayformula(row(G$32:G$252)),G$32:G$252&lt;&gt;"""")))
-(10001-
filter(I$32:I$252,row(I$32:I$252)=max(filter(arrayformula(row(I$32:I$252)),I$32:I$252&lt;&gt;""""))))))"),"")</f>
        <v/>
      </c>
      <c r="AS224" s="206" t="e">
        <f ca="1">IF(AY224=0,"",ROUND(AY224/AM$3*10000,0))</f>
        <v>#NAME?</v>
      </c>
      <c r="AT224" s="251" t="b">
        <v>0</v>
      </c>
      <c r="AU224" s="58"/>
      <c r="AV224" s="66">
        <v>0</v>
      </c>
      <c r="AW224" s="83"/>
      <c r="AX224" s="66">
        <v>2</v>
      </c>
      <c r="AY224" s="58" t="e">
        <f ca="1">MAX(ROUND(AP224*(AM$1/AM$27),0),IF(AT224=TRUE,1,0))</f>
        <v>#NAME?</v>
      </c>
      <c r="AZ224" s="245">
        <v>1</v>
      </c>
      <c r="BA224" s="233">
        <v>0</v>
      </c>
      <c r="BB224" s="222" t="b">
        <v>0</v>
      </c>
      <c r="BC224" s="223" t="b">
        <v>0</v>
      </c>
      <c r="BD224" s="223" t="b">
        <v>0</v>
      </c>
      <c r="BE224" s="224" t="b">
        <v>0</v>
      </c>
      <c r="BF224" s="179">
        <v>1</v>
      </c>
      <c r="BG224" s="225" t="str">
        <f>IF(BC224=FALSE,"",MIN(BH224:$BK224)-ROUND(($BK224-1-ROUND(80/$AZ224,0))/COUNTIF($BB224:$BE224,TRUE),0))</f>
        <v/>
      </c>
      <c r="BH224" s="225" t="str">
        <f>IF(BD224=FALSE,"",MIN(BI224:$BK224)-ROUND(($BK224-1-ROUND(80/$AZ224,0))/COUNTIF($BB224:$BE224,TRUE),0))</f>
        <v/>
      </c>
      <c r="BI224" s="225" t="str">
        <f>IF(BE224=FALSE,"",MIN(BJ224:$BK224)-ROUND(($BK224-1-ROUND(80/$AZ224,0))/COUNTIF($BB224:$BE224,TRUE),0))</f>
        <v/>
      </c>
      <c r="BJ224" s="225" t="str">
        <f>IF(BB224=FALSE,"",MIN($BK224:BK224)-ROUND(($BK224-1-ROUND(80/$AZ224,0))/COUNTIF($BB224:$BE224,TRUE),0))</f>
        <v/>
      </c>
      <c r="BK224" s="107">
        <f>101-ROUND(Ag!BU$7*100,0)</f>
        <v>96</v>
      </c>
      <c r="BL224" s="63">
        <v>2</v>
      </c>
      <c r="BM224" s="82">
        <f t="array" ref="BM224">MIN(BL224,INDEX([1]Basic!L$26:L$34, MATCH([1]Basic!D$5,[1]Basic!B$26:B$34,0)))</f>
        <v>2</v>
      </c>
    </row>
    <row r="225" spans="26:65" ht="15.75" customHeight="1" thickTop="1">
      <c r="Z225" s="31"/>
      <c r="AA225" s="31"/>
      <c r="AB225" s="31"/>
      <c r="AC225" s="31"/>
      <c r="AD225" s="31"/>
      <c r="AE225" s="31"/>
      <c r="AF225" s="31"/>
      <c r="AG225" s="31"/>
      <c r="AH225" s="31"/>
      <c r="AI225" s="31"/>
      <c r="AK225" s="389"/>
      <c r="AL225" s="452" t="s">
        <v>206</v>
      </c>
      <c r="AM225" s="369"/>
      <c r="AN225" s="226">
        <v>5</v>
      </c>
      <c r="AO225" s="218" t="e">
        <f ca="1">ROUND(AN225*_xludf.ifs(
AND(AU225=TRUE,AW225=TRUE),1,
AU225=TRUE,AV225,
AW225=TRUE,AX225,
TRUE,1),0)</f>
        <v>#NAME?</v>
      </c>
      <c r="AP225" s="57" t="e">
        <f ca="1">ROUND(AO225/SUM(AO$32:AO$252)*AM$27,0)</f>
        <v>#NAME?</v>
      </c>
      <c r="AQ225" s="5" t="str">
        <f ca="1">IFERROR(__xludf.DUMMYFUNCTION("if(O225=0,"""",
filter(I$32:I224,row(I$32:I224)=max(filter(arrayformula(row(I$32:I224)),I$32:I224&lt;&gt;"""")))+
filter(G$32:G224,row(G$32:G224)=max(filter(arrayformula(row(G$32:G224)),G$32:G224&lt;&gt;"""")))
)"),"")</f>
        <v/>
      </c>
      <c r="AR225" s="198" t="str">
        <f ca="1">IFERROR(__xludf.DUMMYFUNCTION("if(G225="""","""",G225-(
filter(G$32:G$252,row(G$32:G$252)=max(filter(arrayformula(row(G$32:G$252)),G$32:G$252&lt;&gt;"""")))
-(10001-
filter(I$32:I$252,row(I$32:I$252)=max(filter(arrayformula(row(I$32:I$252)),I$32:I$252&lt;&gt;""""))))))"),"")</f>
        <v/>
      </c>
      <c r="AS225" s="198" t="e">
        <f ca="1">IF(AY225=0,"",ROUND(AY225/AM$3*10000,0))</f>
        <v>#NAME?</v>
      </c>
      <c r="AT225" s="237" t="b">
        <v>0</v>
      </c>
      <c r="AU225" s="57"/>
      <c r="AV225" s="220">
        <v>0</v>
      </c>
      <c r="AW225" s="82" t="b">
        <f>OR(AM9,AQ21,AQ17,AM7)</f>
        <v>0</v>
      </c>
      <c r="AX225" s="220">
        <v>3</v>
      </c>
      <c r="AY225" s="56" t="e">
        <f ca="1">MAX(ROUND(AP225*(AM$1/AM$27),0),IF(AT225=TRUE,1,0))</f>
        <v>#NAME?</v>
      </c>
      <c r="AZ225" s="229">
        <v>5</v>
      </c>
      <c r="BA225" s="221">
        <v>0</v>
      </c>
      <c r="BB225" s="234" t="b">
        <v>0</v>
      </c>
      <c r="BC225" s="214" t="b">
        <v>1</v>
      </c>
      <c r="BD225" s="214" t="b">
        <v>1</v>
      </c>
      <c r="BE225" s="236" t="b">
        <v>0</v>
      </c>
      <c r="BF225" s="180">
        <v>1</v>
      </c>
      <c r="BG225" s="216">
        <f>IF(BC225=FALSE,"",MIN(BH225:$BK225)-ROUND(($BK225-1-ROUND(80/$AZ225,0))/COUNTIF($BB225:$BE225,TRUE),0))</f>
        <v>16</v>
      </c>
      <c r="BH225" s="216">
        <f>IF(BD225=FALSE,"",MIN(BI225:$BK225)-ROUND(($BK225-1-ROUND(80/$AZ225,0))/COUNTIF($BB225:$BE225,TRUE),0))</f>
        <v>56</v>
      </c>
      <c r="BI225" s="216" t="str">
        <f>IF(BE225=FALSE,"",MIN(BJ225:$BK225)-ROUND(($BK225-1-ROUND(80/$AZ225,0))/COUNTIF($BB225:$BE225,TRUE),0))</f>
        <v/>
      </c>
      <c r="BJ225" s="216" t="str">
        <f>IF(BB225=FALSE,"",MIN($BK225:BK225)-ROUND(($BK225-1-ROUND(80/$AZ225,0))/COUNTIF($BB225:$BE225,TRUE),0))</f>
        <v/>
      </c>
      <c r="BK225" s="177">
        <f>101-ROUND(Ag!BU$7*100,0)</f>
        <v>96</v>
      </c>
      <c r="BL225" s="61">
        <v>3</v>
      </c>
      <c r="BM225" s="82">
        <f t="array" ref="BM225">MIN(BL225,INDEX([1]Basic!L$26:L$34, MATCH([1]Basic!D$5,[1]Basic!B$26:B$34,0)))</f>
        <v>3</v>
      </c>
    </row>
    <row r="226" spans="26:65" ht="15.75" customHeight="1">
      <c r="Z226" s="31"/>
      <c r="AA226" s="31"/>
      <c r="AB226" s="31"/>
      <c r="AC226" s="31"/>
      <c r="AD226" s="31"/>
      <c r="AE226" s="31"/>
      <c r="AF226" s="31"/>
      <c r="AG226" s="31"/>
      <c r="AH226" s="31"/>
      <c r="AI226" s="31"/>
      <c r="AK226" s="389"/>
      <c r="AL226" s="452" t="s">
        <v>212</v>
      </c>
      <c r="AM226" s="369"/>
      <c r="AN226" s="217">
        <v>5</v>
      </c>
      <c r="AO226" s="218" t="e">
        <f ca="1">ROUND(AN226*_xludf.ifs(
AND(AU226=TRUE,AW226=TRUE),1,
AU226=TRUE,AV226,
AW226=TRUE,AX226,
TRUE,1),0)</f>
        <v>#NAME?</v>
      </c>
      <c r="AP226" s="57" t="e">
        <f ca="1">ROUND(AO226/SUM(AO$32:AO$252)*AM$27,0)</f>
        <v>#NAME?</v>
      </c>
      <c r="AQ226" s="5" t="str">
        <f ca="1">IFERROR(__xludf.DUMMYFUNCTION("if(O226=0,"""",
filter(I$32:I225,row(I$32:I225)=max(filter(arrayformula(row(I$32:I225)),I$32:I225&lt;&gt;"""")))+
filter(G$32:G225,row(G$32:G225)=max(filter(arrayformula(row(G$32:G225)),G$32:G225&lt;&gt;"""")))
)"),"")</f>
        <v/>
      </c>
      <c r="AR226" s="198" t="str">
        <f ca="1">IFERROR(__xludf.DUMMYFUNCTION("if(G226="""","""",G226-(
filter(G$32:G$252,row(G$32:G$252)=max(filter(arrayformula(row(G$32:G$252)),G$32:G$252&lt;&gt;"""")))
-(10001-
filter(I$32:I$252,row(I$32:I$252)=max(filter(arrayformula(row(I$32:I$252)),I$32:I$252&lt;&gt;""""))))))"),"")</f>
        <v/>
      </c>
      <c r="AS226" s="198" t="e">
        <f ca="1">IF(AY226=0,"",ROUND(AY226/AM$3*10000,0))</f>
        <v>#NAME?</v>
      </c>
      <c r="AT226" s="237" t="b">
        <v>0</v>
      </c>
      <c r="AU226" s="57"/>
      <c r="AV226" s="220">
        <v>0</v>
      </c>
      <c r="AW226" s="82" t="b">
        <f>OR(AM9,AQ21)</f>
        <v>0</v>
      </c>
      <c r="AX226" s="220">
        <v>3</v>
      </c>
      <c r="AY226" s="56" t="e">
        <f ca="1">MAX(ROUND(AP226*(AM$1/AM$27),0),IF(AT226=TRUE,1,0))</f>
        <v>#NAME?</v>
      </c>
      <c r="AZ226" s="229">
        <v>1</v>
      </c>
      <c r="BA226" s="221">
        <v>0</v>
      </c>
      <c r="BB226" s="222" t="b">
        <v>0</v>
      </c>
      <c r="BC226" s="223" t="b">
        <v>0</v>
      </c>
      <c r="BD226" s="223" t="b">
        <v>0</v>
      </c>
      <c r="BE226" s="224" t="b">
        <v>0</v>
      </c>
      <c r="BF226" s="179">
        <v>1</v>
      </c>
      <c r="BG226" s="225" t="str">
        <f>IF(BC226=FALSE,"",MIN(BH226:$BK226)-ROUND(($BK226-1-ROUND(80/$AZ226,0))/COUNTIF($BB226:$BE226,TRUE),0))</f>
        <v/>
      </c>
      <c r="BH226" s="225" t="str">
        <f>IF(BD226=FALSE,"",MIN(BI226:$BK226)-ROUND(($BK226-1-ROUND(80/$AZ226,0))/COUNTIF($BB226:$BE226,TRUE),0))</f>
        <v/>
      </c>
      <c r="BI226" s="225" t="str">
        <f>IF(BE226=FALSE,"",MIN(BJ226:$BK226)-ROUND(($BK226-1-ROUND(80/$AZ226,0))/COUNTIF($BB226:$BE226,TRUE),0))</f>
        <v/>
      </c>
      <c r="BJ226" s="225" t="str">
        <f>IF(BB226=FALSE,"",MIN($BK226:BK226)-ROUND(($BK226-1-ROUND(80/$AZ226,0))/COUNTIF($BB226:$BE226,TRUE),0))</f>
        <v/>
      </c>
      <c r="BK226" s="107">
        <f>101-ROUND(Ag!BU$7*100,0)</f>
        <v>96</v>
      </c>
      <c r="BL226" s="63">
        <v>2</v>
      </c>
      <c r="BM226" s="82">
        <f t="array" ref="BM226">MIN(BL226,INDEX([1]Basic!L$26:L$34, MATCH([1]Basic!D$5,[1]Basic!B$26:B$34,0)))</f>
        <v>2</v>
      </c>
    </row>
    <row r="227" spans="26:65" ht="15.75" customHeight="1">
      <c r="Z227" s="31"/>
      <c r="AA227" s="31"/>
      <c r="AB227" s="31"/>
      <c r="AC227" s="31"/>
      <c r="AD227" s="31"/>
      <c r="AE227" s="31"/>
      <c r="AF227" s="31"/>
      <c r="AG227" s="31"/>
      <c r="AH227" s="31"/>
      <c r="AI227" s="31"/>
      <c r="AK227" s="389"/>
      <c r="AL227" s="452" t="s">
        <v>217</v>
      </c>
      <c r="AM227" s="369"/>
      <c r="AN227" s="217">
        <v>6</v>
      </c>
      <c r="AO227" s="218" t="e">
        <f ca="1">ROUND(AN227*_xludf.ifs(
AND(AU227=TRUE,AW227=TRUE),1,
AU227=TRUE,AV227,
AW227=TRUE,AX227,
TRUE,1),0)</f>
        <v>#NAME?</v>
      </c>
      <c r="AP227" s="57" t="e">
        <f ca="1">ROUND(AO227/SUM(AO$32:AO$252)*AM$27,0)</f>
        <v>#NAME?</v>
      </c>
      <c r="AQ227" s="5" t="str">
        <f ca="1">IFERROR(__xludf.DUMMYFUNCTION("if(O227=0,"""",
filter(I$32:I226,row(I$32:I226)=max(filter(arrayformula(row(I$32:I226)),I$32:I226&lt;&gt;"""")))+
filter(G$32:G226,row(G$32:G226)=max(filter(arrayformula(row(G$32:G226)),G$32:G226&lt;&gt;"""")))
)"),"")</f>
        <v/>
      </c>
      <c r="AR227" s="198" t="str">
        <f ca="1">IFERROR(__xludf.DUMMYFUNCTION("if(G227="""","""",G227-(
filter(G$32:G$252,row(G$32:G$252)=max(filter(arrayformula(row(G$32:G$252)),G$32:G$252&lt;&gt;"""")))
-(10001-
filter(I$32:I$252,row(I$32:I$252)=max(filter(arrayformula(row(I$32:I$252)),I$32:I$252&lt;&gt;""""))))))"),"")</f>
        <v/>
      </c>
      <c r="AS227" s="198" t="e">
        <f ca="1">IF(AY227=0,"",ROUND(AY227/AM$3*10000,0))</f>
        <v>#NAME?</v>
      </c>
      <c r="AT227" s="237" t="b">
        <v>0</v>
      </c>
      <c r="AU227" s="57"/>
      <c r="AV227" s="220">
        <v>0</v>
      </c>
      <c r="AW227" s="82" t="b">
        <f>OR(AQ22,AQ13)</f>
        <v>0</v>
      </c>
      <c r="AX227" s="220">
        <v>2</v>
      </c>
      <c r="AY227" s="56" t="e">
        <f ca="1">MAX(ROUND(AP227*(AM$1/AM$27),0),IF(AT227=TRUE,1,0))</f>
        <v>#NAME?</v>
      </c>
      <c r="AZ227" s="229">
        <v>3</v>
      </c>
      <c r="BA227" s="221">
        <v>0</v>
      </c>
      <c r="BB227" s="222" t="b">
        <v>0</v>
      </c>
      <c r="BC227" s="223" t="b">
        <v>0</v>
      </c>
      <c r="BD227" s="228" t="b">
        <v>1</v>
      </c>
      <c r="BE227" s="224" t="b">
        <v>0</v>
      </c>
      <c r="BF227" s="179">
        <v>1</v>
      </c>
      <c r="BG227" s="225" t="str">
        <f>IF(BC227=FALSE,"",MIN(BH227:$BK227)-ROUND(($BK227-1-ROUND(80/$AZ227,0))/COUNTIF($BB227:$BE227,TRUE),0))</f>
        <v/>
      </c>
      <c r="BH227" s="225">
        <f>IF(BD227=FALSE,"",MIN(BI227:$BK227)-ROUND(($BK227-1-ROUND(80/$AZ227,0))/COUNTIF($BB227:$BE227,TRUE),0))</f>
        <v>28</v>
      </c>
      <c r="BI227" s="225" t="str">
        <f>IF(BE227=FALSE,"",MIN(BJ227:$BK227)-ROUND(($BK227-1-ROUND(80/$AZ227,0))/COUNTIF($BB227:$BE227,TRUE),0))</f>
        <v/>
      </c>
      <c r="BJ227" s="225" t="str">
        <f>IF(BB227=FALSE,"",MIN($BK227:BK227)-ROUND(($BK227-1-ROUND(80/$AZ227,0))/COUNTIF($BB227:$BE227,TRUE),0))</f>
        <v/>
      </c>
      <c r="BK227" s="107">
        <f>101-ROUND(Ag!BU$7*100,0)</f>
        <v>96</v>
      </c>
      <c r="BL227" s="63">
        <v>3</v>
      </c>
      <c r="BM227" s="82">
        <f t="array" ref="BM227">MIN(BL227,INDEX([1]Basic!L$26:L$34, MATCH([1]Basic!D$5,[1]Basic!B$26:B$34,0)))</f>
        <v>3</v>
      </c>
    </row>
    <row r="228" spans="26:65" ht="15.75" customHeight="1">
      <c r="Z228" s="31"/>
      <c r="AA228" s="31"/>
      <c r="AB228" s="31"/>
      <c r="AC228" s="31"/>
      <c r="AD228" s="31"/>
      <c r="AE228" s="31"/>
      <c r="AF228" s="31"/>
      <c r="AG228" s="31"/>
      <c r="AH228" s="31"/>
      <c r="AI228" s="31"/>
      <c r="AK228" s="389"/>
      <c r="AL228" s="452" t="s">
        <v>223</v>
      </c>
      <c r="AM228" s="369"/>
      <c r="AN228" s="217">
        <v>2</v>
      </c>
      <c r="AO228" s="218" t="e">
        <f ca="1">ROUND(AN228*_xludf.ifs(
AND(AU228=TRUE,AW228=TRUE),1,
AU228=TRUE,AV228,
AW228=TRUE,AX228,
TRUE,1),0)</f>
        <v>#NAME?</v>
      </c>
      <c r="AP228" s="57" t="e">
        <f ca="1">ROUND(AO228/SUM(AO$32:AO$252)*AM$27,0)</f>
        <v>#NAME?</v>
      </c>
      <c r="AQ228" s="5" t="str">
        <f ca="1">IFERROR(__xludf.DUMMYFUNCTION("if(O228=0,"""",
filter(I$32:I227,row(I$32:I227)=max(filter(arrayformula(row(I$32:I227)),I$32:I227&lt;&gt;"""")))+
filter(G$32:G227,row(G$32:G227)=max(filter(arrayformula(row(G$32:G227)),G$32:G227&lt;&gt;"""")))
)"),"")</f>
        <v/>
      </c>
      <c r="AR228" s="198" t="str">
        <f ca="1">IFERROR(__xludf.DUMMYFUNCTION("if(G228="""","""",G228-(
filter(G$32:G$252,row(G$32:G$252)=max(filter(arrayformula(row(G$32:G$252)),G$32:G$252&lt;&gt;"""")))
-(10001-
filter(I$32:I$252,row(I$32:I$252)=max(filter(arrayformula(row(I$32:I$252)),I$32:I$252&lt;&gt;""""))))))"),"")</f>
        <v/>
      </c>
      <c r="AS228" s="198" t="e">
        <f ca="1">IF(AY228=0,"",ROUND(AY228/AM$3*10000,0))</f>
        <v>#NAME?</v>
      </c>
      <c r="AT228" s="237" t="b">
        <v>0</v>
      </c>
      <c r="AU228" s="57"/>
      <c r="AV228" s="220">
        <v>0</v>
      </c>
      <c r="AW228" s="82" t="b">
        <f>OR(AQ22,AQ13)</f>
        <v>0</v>
      </c>
      <c r="AX228" s="220">
        <v>2</v>
      </c>
      <c r="AY228" s="56" t="e">
        <f ca="1">MAX(ROUND(AP228*(AM$1/AM$27),0),IF(AT228=TRUE,1,0))</f>
        <v>#NAME?</v>
      </c>
      <c r="AZ228" s="229">
        <v>5</v>
      </c>
      <c r="BA228" s="221">
        <v>0</v>
      </c>
      <c r="BB228" s="222" t="b">
        <v>0</v>
      </c>
      <c r="BC228" s="228" t="b">
        <v>1</v>
      </c>
      <c r="BD228" s="228" t="b">
        <v>1</v>
      </c>
      <c r="BE228" s="224" t="b">
        <v>0</v>
      </c>
      <c r="BF228" s="179">
        <v>1</v>
      </c>
      <c r="BG228" s="225">
        <f>IF(BC228=FALSE,"",MIN(BH228:$BK228)-ROUND(($BK228-1-ROUND(80/$AZ228,0))/COUNTIF($BB228:$BE228,TRUE),0))</f>
        <v>16</v>
      </c>
      <c r="BH228" s="225">
        <f>IF(BD228=FALSE,"",MIN(BI228:$BK228)-ROUND(($BK228-1-ROUND(80/$AZ228,0))/COUNTIF($BB228:$BE228,TRUE),0))</f>
        <v>56</v>
      </c>
      <c r="BI228" s="225" t="str">
        <f>IF(BE228=FALSE,"",MIN(BJ228:$BK228)-ROUND(($BK228-1-ROUND(80/$AZ228,0))/COUNTIF($BB228:$BE228,TRUE),0))</f>
        <v/>
      </c>
      <c r="BJ228" s="225" t="str">
        <f>IF(BB228=FALSE,"",MIN($BK228:BK228)-ROUND(($BK228-1-ROUND(80/$AZ228,0))/COUNTIF($BB228:$BE228,TRUE),0))</f>
        <v/>
      </c>
      <c r="BK228" s="107">
        <f>101-ROUND(Ag!BU$7*100,0)</f>
        <v>96</v>
      </c>
      <c r="BL228" s="63">
        <v>3</v>
      </c>
      <c r="BM228" s="82">
        <f t="array" ref="BM228">MIN(BL228,INDEX([1]Basic!L$26:L$34, MATCH([1]Basic!D$5,[1]Basic!B$26:B$34,0)))</f>
        <v>3</v>
      </c>
    </row>
    <row r="229" spans="26:65" ht="15.75" customHeight="1">
      <c r="Z229" s="31"/>
      <c r="AA229" s="31"/>
      <c r="AB229" s="31"/>
      <c r="AC229" s="31"/>
      <c r="AD229" s="31"/>
      <c r="AE229" s="31"/>
      <c r="AF229" s="31"/>
      <c r="AG229" s="31"/>
      <c r="AH229" s="31"/>
      <c r="AI229" s="31"/>
      <c r="AK229" s="389"/>
      <c r="AL229" s="452" t="s">
        <v>228</v>
      </c>
      <c r="AM229" s="369"/>
      <c r="AN229" s="217">
        <v>4</v>
      </c>
      <c r="AO229" s="218" t="e">
        <f ca="1">ROUND(AN229*_xludf.ifs(
AND(AU229=TRUE,AW229=TRUE),1,
AU229=TRUE,AV229,
AW229=TRUE,AX229,
TRUE,1),0)</f>
        <v>#NAME?</v>
      </c>
      <c r="AP229" s="57" t="e">
        <f ca="1">ROUND(AO229/SUM(AO$32:AO$252)*AM$27,0)</f>
        <v>#NAME?</v>
      </c>
      <c r="AQ229" s="5" t="str">
        <f ca="1">IFERROR(__xludf.DUMMYFUNCTION("if(O229=0,"""",
filter(I$32:I228,row(I$32:I228)=max(filter(arrayformula(row(I$32:I228)),I$32:I228&lt;&gt;"""")))+
filter(G$32:G228,row(G$32:G228)=max(filter(arrayformula(row(G$32:G228)),G$32:G228&lt;&gt;"""")))
)"),"")</f>
        <v/>
      </c>
      <c r="AR229" s="198" t="str">
        <f ca="1">IFERROR(__xludf.DUMMYFUNCTION("if(G229="""","""",G229-(
filter(G$32:G$252,row(G$32:G$252)=max(filter(arrayformula(row(G$32:G$252)),G$32:G$252&lt;&gt;"""")))
-(10001-
filter(I$32:I$252,row(I$32:I$252)=max(filter(arrayformula(row(I$32:I$252)),I$32:I$252&lt;&gt;""""))))))"),"")</f>
        <v/>
      </c>
      <c r="AS229" s="198" t="e">
        <f ca="1">IF(AY229=0,"",ROUND(AY229/AM$3*10000,0))</f>
        <v>#NAME?</v>
      </c>
      <c r="AT229" s="237" t="b">
        <v>0</v>
      </c>
      <c r="AU229" s="57"/>
      <c r="AV229" s="220">
        <v>0</v>
      </c>
      <c r="AW229" s="82" t="b">
        <f>OR(AM9,AQ22,AQ13)</f>
        <v>0</v>
      </c>
      <c r="AX229" s="220">
        <v>2</v>
      </c>
      <c r="AY229" s="56" t="e">
        <f ca="1">MAX(ROUND(AP229*(AM$1/AM$27),0),IF(AT229=TRUE,1,0))</f>
        <v>#NAME?</v>
      </c>
      <c r="AZ229" s="229">
        <v>3</v>
      </c>
      <c r="BA229" s="221">
        <v>0</v>
      </c>
      <c r="BB229" s="222" t="b">
        <v>0</v>
      </c>
      <c r="BC229" s="223" t="b">
        <v>0</v>
      </c>
      <c r="BD229" s="228" t="b">
        <v>1</v>
      </c>
      <c r="BE229" s="224" t="b">
        <v>0</v>
      </c>
      <c r="BF229" s="179">
        <v>1</v>
      </c>
      <c r="BG229" s="225" t="str">
        <f>IF(BC229=FALSE,"",MIN(BH229:$BK229)-ROUND(($BK229-1-ROUND(80/$AZ229,0))/COUNTIF($BB229:$BE229,TRUE),0))</f>
        <v/>
      </c>
      <c r="BH229" s="225">
        <f>IF(BD229=FALSE,"",MIN(BI229:$BK229)-ROUND(($BK229-1-ROUND(80/$AZ229,0))/COUNTIF($BB229:$BE229,TRUE),0))</f>
        <v>28</v>
      </c>
      <c r="BI229" s="225" t="str">
        <f>IF(BE229=FALSE,"",MIN(BJ229:$BK229)-ROUND(($BK229-1-ROUND(80/$AZ229,0))/COUNTIF($BB229:$BE229,TRUE),0))</f>
        <v/>
      </c>
      <c r="BJ229" s="225" t="str">
        <f>IF(BB229=FALSE,"",MIN($BK229:BK229)-ROUND(($BK229-1-ROUND(80/$AZ229,0))/COUNTIF($BB229:$BE229,TRUE),0))</f>
        <v/>
      </c>
      <c r="BK229" s="107">
        <f>101-ROUND(Ag!BU$7*100,0)</f>
        <v>96</v>
      </c>
      <c r="BL229" s="63">
        <v>4</v>
      </c>
      <c r="BM229" s="82">
        <f t="array" ref="BM229">MIN(BL229,INDEX([1]Basic!L$26:L$34, MATCH([1]Basic!D$5,[1]Basic!B$26:B$34,0)))</f>
        <v>3</v>
      </c>
    </row>
    <row r="230" spans="26:65" ht="15.75" customHeight="1" thickBot="1">
      <c r="Z230" s="31"/>
      <c r="AA230" s="31"/>
      <c r="AB230" s="31"/>
      <c r="AC230" s="31"/>
      <c r="AD230" s="31"/>
      <c r="AE230" s="31"/>
      <c r="AF230" s="31"/>
      <c r="AG230" s="31"/>
      <c r="AH230" s="31"/>
      <c r="AI230" s="31"/>
      <c r="AK230" s="389"/>
      <c r="AL230" s="451" t="s">
        <v>233</v>
      </c>
      <c r="AM230" s="361"/>
      <c r="AN230" s="245">
        <v>8</v>
      </c>
      <c r="AO230" s="206" t="e">
        <f ca="1">ROUND(AN230*_xludf.ifs(
AND(AU230=TRUE,AW230=TRUE),1,
AU230=TRUE,AV230,
AW230=TRUE,AX230,
TRUE,1),0)</f>
        <v>#NAME?</v>
      </c>
      <c r="AP230" s="58" t="e">
        <f ca="1">ROUND(AO230/SUM(AO$32:AO$252)*AM$27,0)</f>
        <v>#NAME?</v>
      </c>
      <c r="AQ230" s="20" t="str">
        <f ca="1">IFERROR(__xludf.DUMMYFUNCTION("if(O230=0,"""",
filter(I$32:I229,row(I$32:I229)=max(filter(arrayformula(row(I$32:I229)),I$32:I229&lt;&gt;"""")))+
filter(G$32:G229,row(G$32:G229)=max(filter(arrayformula(row(G$32:G229)),G$32:G229&lt;&gt;"""")))
)"),"")</f>
        <v/>
      </c>
      <c r="AR230" s="206" t="str">
        <f ca="1">IFERROR(__xludf.DUMMYFUNCTION("if(G230="""","""",G230-(
filter(G$32:G$252,row(G$32:G$252)=max(filter(arrayformula(row(G$32:G$252)),G$32:G$252&lt;&gt;"""")))
-(10001-
filter(I$32:I$252,row(I$32:I$252)=max(filter(arrayformula(row(I$32:I$252)),I$32:I$252&lt;&gt;""""))))))"),"")</f>
        <v/>
      </c>
      <c r="AS230" s="206" t="e">
        <f ca="1">IF(AY230=0,"",ROUND(AY230/AM$3*10000,0))</f>
        <v>#NAME?</v>
      </c>
      <c r="AT230" s="251" t="b">
        <v>0</v>
      </c>
      <c r="AU230" s="58"/>
      <c r="AV230" s="66">
        <v>0</v>
      </c>
      <c r="AW230" s="83" t="b">
        <f>OR(AQ22)</f>
        <v>0</v>
      </c>
      <c r="AX230" s="66">
        <v>2</v>
      </c>
      <c r="AY230" s="58" t="e">
        <f ca="1">MAX(ROUND(AP230*(AM$1/AM$27),0),IF(AT230=TRUE,1,0))</f>
        <v>#NAME?</v>
      </c>
      <c r="AZ230" s="245">
        <v>1</v>
      </c>
      <c r="BA230" s="233">
        <v>0</v>
      </c>
      <c r="BB230" s="247" t="b">
        <v>0</v>
      </c>
      <c r="BC230" s="244" t="b">
        <v>0</v>
      </c>
      <c r="BD230" s="244" t="b">
        <v>0</v>
      </c>
      <c r="BE230" s="246" t="b">
        <v>0</v>
      </c>
      <c r="BF230" s="78">
        <v>1</v>
      </c>
      <c r="BG230" s="240" t="str">
        <f>IF(BC230=FALSE,"",MIN(BH230:$BK230)-ROUND(($BK230-1-ROUND(80/$AZ230,0))/COUNTIF($BB230:$BE230,TRUE),0))</f>
        <v/>
      </c>
      <c r="BH230" s="240" t="str">
        <f>IF(BD230=FALSE,"",MIN(BI230:$BK230)-ROUND(($BK230-1-ROUND(80/$AZ230,0))/COUNTIF($BB230:$BE230,TRUE),0))</f>
        <v/>
      </c>
      <c r="BI230" s="240" t="str">
        <f>IF(BE230=FALSE,"",MIN(BJ230:$BK230)-ROUND(($BK230-1-ROUND(80/$AZ230,0))/COUNTIF($BB230:$BE230,TRUE),0))</f>
        <v/>
      </c>
      <c r="BJ230" s="240" t="str">
        <f>IF(BB230=FALSE,"",MIN($BK230:BK230)-ROUND(($BK230-1-ROUND(80/$AZ230,0))/COUNTIF($BB230:$BE230,TRUE),0))</f>
        <v/>
      </c>
      <c r="BK230" s="192">
        <f>101-ROUND(Ag!BU$7*100,0)</f>
        <v>96</v>
      </c>
      <c r="BL230" s="66">
        <v>2</v>
      </c>
      <c r="BM230" s="82">
        <f t="array" ref="BM230">MIN(BL230,INDEX([1]Basic!L$26:L$34, MATCH([1]Basic!D$5,[1]Basic!B$26:B$34,0)))</f>
        <v>2</v>
      </c>
    </row>
    <row r="231" spans="26:65" ht="15.75" customHeight="1" thickTop="1">
      <c r="Z231" s="31"/>
      <c r="AA231" s="31"/>
      <c r="AB231" s="31"/>
      <c r="AC231" s="31"/>
      <c r="AD231" s="31"/>
      <c r="AE231" s="31"/>
      <c r="AF231" s="31"/>
      <c r="AG231" s="31"/>
      <c r="AH231" s="31"/>
      <c r="AI231" s="31"/>
      <c r="AK231" s="389"/>
      <c r="AL231" s="452" t="s">
        <v>238</v>
      </c>
      <c r="AM231" s="369"/>
      <c r="AN231" s="217">
        <v>6</v>
      </c>
      <c r="AO231" s="218" t="e">
        <f ca="1">ROUND(AN231*_xludf.ifs(
AND(AU231=TRUE,AW231=TRUE),1,
AU231=TRUE,AV231,
AW231=TRUE,AX231,
TRUE,1),0)</f>
        <v>#NAME?</v>
      </c>
      <c r="AP231" s="57" t="e">
        <f ca="1">ROUND(AO231/SUM(AO$32:AO$252)*AM$27,0)</f>
        <v>#NAME?</v>
      </c>
      <c r="AQ231" s="5" t="str">
        <f ca="1">IFERROR(__xludf.DUMMYFUNCTION("if(O231=0,"""",
filter(I$32:I230,row(I$32:I230)=max(filter(arrayformula(row(I$32:I230)),I$32:I230&lt;&gt;"""")))+
filter(G$32:G230,row(G$32:G230)=max(filter(arrayformula(row(G$32:G230)),G$32:G230&lt;&gt;"""")))
)"),"")</f>
        <v/>
      </c>
      <c r="AR231" s="198" t="str">
        <f ca="1">IFERROR(__xludf.DUMMYFUNCTION("if(G231="""","""",G231-(
filter(G$32:G$252,row(G$32:G$252)=max(filter(arrayformula(row(G$32:G$252)),G$32:G$252&lt;&gt;"""")))
-(10001-
filter(I$32:I$252,row(I$32:I$252)=max(filter(arrayformula(row(I$32:I$252)),I$32:I$252&lt;&gt;""""))))))"),"")</f>
        <v/>
      </c>
      <c r="AS231" s="198" t="e">
        <f ca="1">IF(AY231=0,"",ROUND(AY231/AM$3*10000,0))</f>
        <v>#NAME?</v>
      </c>
      <c r="AT231" s="237" t="b">
        <v>0</v>
      </c>
      <c r="AU231" s="57"/>
      <c r="AV231" s="220">
        <v>0</v>
      </c>
      <c r="AW231" s="82"/>
      <c r="AX231" s="220">
        <v>2</v>
      </c>
      <c r="AY231" s="56" t="e">
        <f ca="1">MAX(ROUND(AP231*(AM$1/AM$27),0),IF(AT231=TRUE,1,0))</f>
        <v>#NAME?</v>
      </c>
      <c r="AZ231" s="229">
        <v>3</v>
      </c>
      <c r="BA231" s="212">
        <v>0</v>
      </c>
      <c r="BB231" s="222" t="b">
        <v>0</v>
      </c>
      <c r="BC231" s="223" t="b">
        <v>0</v>
      </c>
      <c r="BD231" s="228" t="b">
        <v>1</v>
      </c>
      <c r="BE231" s="224" t="b">
        <v>0</v>
      </c>
      <c r="BF231" s="179">
        <v>1</v>
      </c>
      <c r="BG231" s="225" t="str">
        <f>IF(BC231=FALSE,"",MIN(BH231:$BK231)-ROUND(($BK231-1-ROUND(80/$AZ231,0))/COUNTIF($BB231:$BE231,TRUE),0))</f>
        <v/>
      </c>
      <c r="BH231" s="225">
        <f>IF(BD231=FALSE,"",MIN(BI231:$BK231)-ROUND(($BK231-1-ROUND(80/$AZ231,0))/COUNTIF($BB231:$BE231,TRUE),0))</f>
        <v>28</v>
      </c>
      <c r="BI231" s="225" t="str">
        <f>IF(BE231=FALSE,"",MIN(BJ231:$BK231)-ROUND(($BK231-1-ROUND(80/$AZ231,0))/COUNTIF($BB231:$BE231,TRUE),0))</f>
        <v/>
      </c>
      <c r="BJ231" s="225" t="str">
        <f>IF(BB231=FALSE,"",MIN($BK231:BK231)-ROUND(($BK231-1-ROUND(80/$AZ231,0))/COUNTIF($BB231:$BE231,TRUE),0))</f>
        <v/>
      </c>
      <c r="BK231" s="107">
        <f>101-ROUND(Ag!BU$7*100,0)</f>
        <v>96</v>
      </c>
      <c r="BL231" s="63">
        <v>2</v>
      </c>
      <c r="BM231" s="82">
        <f t="array" ref="BM231">MIN(BL231,INDEX([1]Basic!L$26:L$34, MATCH([1]Basic!D$5,[1]Basic!B$26:B$34,0)))</f>
        <v>2</v>
      </c>
    </row>
    <row r="232" spans="26:65" ht="15.75" customHeight="1" thickBot="1">
      <c r="Z232" s="31"/>
      <c r="AA232" s="31"/>
      <c r="AB232" s="31"/>
      <c r="AC232" s="31"/>
      <c r="AD232" s="31"/>
      <c r="AE232" s="31"/>
      <c r="AF232" s="31"/>
      <c r="AG232" s="31"/>
      <c r="AH232" s="31"/>
      <c r="AI232" s="31"/>
      <c r="AK232" s="389"/>
      <c r="AL232" s="452" t="s">
        <v>244</v>
      </c>
      <c r="AM232" s="369"/>
      <c r="AN232" s="217">
        <v>2</v>
      </c>
      <c r="AO232" s="218" t="e">
        <f ca="1">ROUND(AN232*_xludf.ifs(
AND(AU232=TRUE,AW232=TRUE),1,
AU232=TRUE,AV232,
AW232=TRUE,AX232,
TRUE,1),0)</f>
        <v>#NAME?</v>
      </c>
      <c r="AP232" s="57" t="e">
        <f ca="1">ROUND(AO232/SUM(AO$32:AO$252)*AM$27,0)</f>
        <v>#NAME?</v>
      </c>
      <c r="AQ232" s="5" t="str">
        <f ca="1">IFERROR(__xludf.DUMMYFUNCTION("if(O232=0,"""",
filter(I$32:I231,row(I$32:I231)=max(filter(arrayformula(row(I$32:I231)),I$32:I231&lt;&gt;"""")))+
filter(G$32:G231,row(G$32:G231)=max(filter(arrayformula(row(G$32:G231)),G$32:G231&lt;&gt;"""")))
)"),"")</f>
        <v/>
      </c>
      <c r="AR232" s="198" t="str">
        <f ca="1">IFERROR(__xludf.DUMMYFUNCTION("if(G232="""","""",G232-(
filter(G$32:G$252,row(G$32:G$252)=max(filter(arrayformula(row(G$32:G$252)),G$32:G$252&lt;&gt;"""")))
-(10001-
filter(I$32:I$252,row(I$32:I$252)=max(filter(arrayformula(row(I$32:I$252)),I$32:I$252&lt;&gt;""""))))))"),"")</f>
        <v/>
      </c>
      <c r="AS232" s="198" t="e">
        <f ca="1">IF(AY232=0,"",ROUND(AY232/AM$3*10000,0))</f>
        <v>#NAME?</v>
      </c>
      <c r="AT232" s="237" t="b">
        <v>0</v>
      </c>
      <c r="AU232" s="57"/>
      <c r="AV232" s="220">
        <v>0</v>
      </c>
      <c r="AW232" s="82" t="b">
        <f>OR(AU24,AM21)</f>
        <v>0</v>
      </c>
      <c r="AX232" s="220">
        <v>3</v>
      </c>
      <c r="AY232" s="56" t="e">
        <f ca="1">MAX(ROUND(AP232*(AM$1/AM$27),0),IF(AT232=TRUE,1,0))</f>
        <v>#NAME?</v>
      </c>
      <c r="AZ232" s="229">
        <v>5</v>
      </c>
      <c r="BA232" s="233">
        <v>0</v>
      </c>
      <c r="BB232" s="227" t="b">
        <v>1</v>
      </c>
      <c r="BC232" s="223" t="b">
        <v>0</v>
      </c>
      <c r="BD232" s="228" t="b">
        <v>1</v>
      </c>
      <c r="BE232" s="224" t="b">
        <v>0</v>
      </c>
      <c r="BF232" s="179">
        <v>1</v>
      </c>
      <c r="BG232" s="225" t="str">
        <f>IF(BC232=FALSE,"",MIN(BH232:$BK232)-ROUND(($BK232-1-ROUND(80/$AZ232,0))/COUNTIF($BB232:$BE232,TRUE),0))</f>
        <v/>
      </c>
      <c r="BH232" s="225">
        <f>IF(BD232=FALSE,"",MIN(BI232:$BK232)-ROUND(($BK232-1-ROUND(80/$AZ232,0))/COUNTIF($BB232:$BE232,TRUE),0))</f>
        <v>16</v>
      </c>
      <c r="BI232" s="225" t="str">
        <f>IF(BE232=FALSE,"",MIN(BJ232:$BK232)-ROUND(($BK232-1-ROUND(80/$AZ232,0))/COUNTIF($BB232:$BE232,TRUE),0))</f>
        <v/>
      </c>
      <c r="BJ232" s="225">
        <f>IF(BB232=FALSE,"",MIN($BK232:BK232)-ROUND(($BK232-1-ROUND(80/$AZ232,0))/COUNTIF($BB232:$BE232,TRUE),0))</f>
        <v>56</v>
      </c>
      <c r="BK232" s="107">
        <f>101-ROUND(Ag!BU$7*100,0)</f>
        <v>96</v>
      </c>
      <c r="BL232" s="63">
        <v>3</v>
      </c>
      <c r="BM232" s="82">
        <f t="array" ref="BM232">MIN(BL232,INDEX([1]Basic!L$26:L$34, MATCH([1]Basic!D$5,[1]Basic!B$26:B$34,0)))</f>
        <v>3</v>
      </c>
    </row>
    <row r="233" spans="26:65" ht="15.75" customHeight="1" thickTop="1">
      <c r="Z233" s="31"/>
      <c r="AA233" s="31"/>
      <c r="AB233" s="31"/>
      <c r="AC233" s="31"/>
      <c r="AD233" s="31"/>
      <c r="AE233" s="31"/>
      <c r="AF233" s="31"/>
      <c r="AG233" s="31"/>
      <c r="AH233" s="31"/>
      <c r="AI233" s="31"/>
      <c r="AK233" s="389"/>
      <c r="AL233" s="450" t="s">
        <v>249</v>
      </c>
      <c r="AM233" s="358"/>
      <c r="AN233" s="208">
        <v>125</v>
      </c>
      <c r="AO233" s="54" t="e">
        <f ca="1">ROUND(AN233*_xludf.ifs(
AND(AU233=TRUE,AW233=TRUE),1,
AU233=TRUE,AV233,
AW233=TRUE,AX233,
TRUE,1),0)</f>
        <v>#NAME?</v>
      </c>
      <c r="AP233" s="118" t="e">
        <f ca="1">ROUND(AO233/SUM(AO$32:AO$252)*AM$27,0)</f>
        <v>#NAME?</v>
      </c>
      <c r="AQ233" s="4" t="str">
        <f ca="1">IFERROR(__xludf.DUMMYFUNCTION("if(O233=0,"""",
filter(I$32:I232,row(I$32:I232)=max(filter(arrayformula(row(I$32:I232)),I$32:I232&lt;&gt;"""")))+
filter(G$32:G232,row(G$32:G232)=max(filter(arrayformula(row(G$32:G232)),G$32:G232&lt;&gt;"""")))
)"),"")</f>
        <v/>
      </c>
      <c r="AR233" s="17" t="str">
        <f ca="1">IFERROR(__xludf.DUMMYFUNCTION("if(G233="""","""",G233-(
filter(G$32:G$252,row(G$32:G$252)=max(filter(arrayformula(row(G$32:G$252)),G$32:G$252&lt;&gt;"""")))
-(10001-
filter(I$32:I$252,row(I$32:I$252)=max(filter(arrayformula(row(I$32:I$252)),I$32:I$252&lt;&gt;""""))))))"),"")</f>
        <v/>
      </c>
      <c r="AS233" s="17" t="e">
        <f ca="1">IF(AY233=0,"",ROUND(AY233/AM$3*10000,0))</f>
        <v>#NAME?</v>
      </c>
      <c r="AT233" s="252" t="b">
        <v>0</v>
      </c>
      <c r="AU233" s="118"/>
      <c r="AV233" s="211">
        <v>0</v>
      </c>
      <c r="AW233" s="80" t="b">
        <f>OR(AM9,AM10,AU12,AU25,BB14:BB15,AM21)</f>
        <v>0</v>
      </c>
      <c r="AX233" s="211">
        <v>2</v>
      </c>
      <c r="AY233" s="70" t="e">
        <f ca="1">MAX(ROUND(AP233*(AM$1/AM$27),0),IF(AT233=TRUE,1,0))</f>
        <v>#NAME?</v>
      </c>
      <c r="AZ233" s="214">
        <v>10</v>
      </c>
      <c r="BA233" s="221">
        <v>1</v>
      </c>
      <c r="BB233" s="214" t="b">
        <v>1</v>
      </c>
      <c r="BC233" s="235" t="b">
        <v>0</v>
      </c>
      <c r="BD233" s="214" t="b">
        <v>0</v>
      </c>
      <c r="BE233" s="215" t="b">
        <v>1</v>
      </c>
      <c r="BF233" s="180">
        <v>1</v>
      </c>
      <c r="BG233" s="216" t="str">
        <f>IF(BC233=FALSE,"",MIN(BH233:$BK233)-ROUND(($BK233-1-ROUND(80/$AZ233,0))/COUNTIF($BB233:$BE233,TRUE),0))</f>
        <v/>
      </c>
      <c r="BH233" s="216" t="str">
        <f>IF(BD233=FALSE,"",MIN(BI233:$BK233)-ROUND(($BK233-1-ROUND(80/$AZ233,0))/COUNTIF($BB233:$BE233,TRUE),0))</f>
        <v/>
      </c>
      <c r="BI233" s="216">
        <f>IF(BE233=FALSE,"",MIN(BJ233:$BK233)-ROUND(($BK233-1-ROUND(80/$AZ233,0))/COUNTIF($BB233:$BE233,TRUE),0))</f>
        <v>8</v>
      </c>
      <c r="BJ233" s="216">
        <f>IF(BB233=FALSE,"",MIN($BK233:BK233)-ROUND(($BK233-1-ROUND(80/$AZ233,0))/COUNTIF($BB233:$BE233,TRUE),0))</f>
        <v>52</v>
      </c>
      <c r="BK233" s="177">
        <f>101-ROUND(Ag!BU$7*100,0)</f>
        <v>96</v>
      </c>
      <c r="BL233" s="61">
        <v>1</v>
      </c>
      <c r="BM233" s="82">
        <f t="array" ref="BM233">MIN(BL233,INDEX([1]Basic!L$26:L$34, MATCH([1]Basic!D$5,[1]Basic!B$26:B$34,0)))</f>
        <v>1</v>
      </c>
    </row>
    <row r="234" spans="26:65" ht="15.75" customHeight="1" thickBot="1">
      <c r="Z234" s="31"/>
      <c r="AA234" s="31"/>
      <c r="AB234" s="31"/>
      <c r="AC234" s="31"/>
      <c r="AD234" s="31"/>
      <c r="AE234" s="31"/>
      <c r="AF234" s="31"/>
      <c r="AG234" s="31"/>
      <c r="AH234" s="31"/>
      <c r="AI234" s="31"/>
      <c r="AK234" s="359"/>
      <c r="AL234" s="451" t="s">
        <v>254</v>
      </c>
      <c r="AM234" s="361"/>
      <c r="AN234" s="230">
        <v>250</v>
      </c>
      <c r="AO234" s="11" t="e">
        <f ca="1">ROUND(AN234*_xludf.ifs(
AND(AU234=TRUE,AW234=TRUE),1,
AU234=TRUE,AV234,
AW234=TRUE,AX234,
TRUE,1),0)</f>
        <v>#NAME?</v>
      </c>
      <c r="AP234" s="59" t="e">
        <f ca="1">ROUND(AO234/SUM(AO$32:AO$252)*AM$27,0)</f>
        <v>#NAME?</v>
      </c>
      <c r="AQ234" s="6" t="str">
        <f ca="1">IFERROR(__xludf.DUMMYFUNCTION("if(O234=0,"""",
filter(I$32:I233,row(I$32:I233)=max(filter(arrayformula(row(I$32:I233)),I$32:I233&lt;&gt;"""")))+
filter(G$32:G233,row(G$32:G233)=max(filter(arrayformula(row(G$32:G233)),G$32:G233&lt;&gt;"""")))
)"),"")</f>
        <v/>
      </c>
      <c r="AR234" s="206" t="str">
        <f ca="1">IFERROR(__xludf.DUMMYFUNCTION("if(G234="""","""",G234-(
filter(G$32:G$252,row(G$32:G$252)=max(filter(arrayformula(row(G$32:G$252)),G$32:G$252&lt;&gt;"""")))
-(10001-
filter(I$32:I$252,row(I$32:I$252)=max(filter(arrayformula(row(I$32:I$252)),I$32:I$252&lt;&gt;""""))))))"),"")</f>
        <v/>
      </c>
      <c r="AS234" s="206" t="e">
        <f ca="1">IF(AY234=0,"",ROUND(AY234/AM$3*10000,0))</f>
        <v>#NAME?</v>
      </c>
      <c r="AT234" s="239" t="b">
        <v>0</v>
      </c>
      <c r="AU234" s="59"/>
      <c r="AV234" s="232">
        <v>0</v>
      </c>
      <c r="AW234" s="83" t="b">
        <f>OR(AM9,AM10,AQ22,AQ17,AU22)</f>
        <v>0</v>
      </c>
      <c r="AX234" s="232">
        <v>1.6</v>
      </c>
      <c r="AY234" s="58" t="e">
        <f ca="1">MAX(ROUND(AP234*(AM$1/AM$27),0),IF(AT234=TRUE,1,0))</f>
        <v>#NAME?</v>
      </c>
      <c r="AZ234" s="245">
        <v>10</v>
      </c>
      <c r="BA234" s="233">
        <v>2</v>
      </c>
      <c r="BB234" s="228" t="b">
        <v>1</v>
      </c>
      <c r="BC234" s="223" t="b">
        <v>0</v>
      </c>
      <c r="BD234" s="228" t="b">
        <v>0</v>
      </c>
      <c r="BE234" s="229" t="b">
        <v>1</v>
      </c>
      <c r="BF234" s="78">
        <v>1</v>
      </c>
      <c r="BG234" s="240" t="str">
        <f>IF(BC234=FALSE,"",MIN(BH234:$BK234)-ROUND(($BK234-1-ROUND(80/$AZ234,0))/COUNTIF($BB234:$BE234,TRUE),0))</f>
        <v/>
      </c>
      <c r="BH234" s="240" t="str">
        <f>IF(BD234=FALSE,"",MIN(BI234:$BK234)-ROUND(($BK234-1-ROUND(80/$AZ234,0))/COUNTIF($BB234:$BE234,TRUE),0))</f>
        <v/>
      </c>
      <c r="BI234" s="240">
        <f>IF(BE234=FALSE,"",MIN(BJ234:$BK234)-ROUND(($BK234-1-ROUND(80/$AZ234,0))/COUNTIF($BB234:$BE234,TRUE),0))</f>
        <v>8</v>
      </c>
      <c r="BJ234" s="240">
        <f>IF(BB234=FALSE,"",MIN($BK234:BK234)-ROUND(($BK234-1-ROUND(80/$AZ234,0))/COUNTIF($BB234:$BE234,TRUE),0))</f>
        <v>52</v>
      </c>
      <c r="BK234" s="192">
        <f>101-ROUND(Ag!BU$7*100,0)</f>
        <v>96</v>
      </c>
      <c r="BL234" s="66">
        <v>3</v>
      </c>
      <c r="BM234" s="82">
        <f t="array" ref="BM234">MIN(BL234,INDEX([1]Basic!L$26:L$34, MATCH([1]Basic!D$5,[1]Basic!B$26:B$34,0)))</f>
        <v>3</v>
      </c>
    </row>
    <row r="235" spans="26:65" ht="15.75" customHeight="1" thickTop="1" thickBot="1">
      <c r="Z235" s="31"/>
      <c r="AA235" s="31"/>
      <c r="AB235" s="31"/>
      <c r="AC235" s="31"/>
      <c r="AD235" s="31"/>
      <c r="AE235" s="31"/>
      <c r="AF235" s="31"/>
      <c r="AG235" s="31"/>
      <c r="AH235" s="31"/>
      <c r="AI235" s="31"/>
      <c r="AK235" s="453" t="s">
        <v>119</v>
      </c>
      <c r="AL235" s="448" t="s">
        <v>120</v>
      </c>
      <c r="AM235" s="355"/>
      <c r="AN235" s="253">
        <v>200</v>
      </c>
      <c r="AO235" s="7" t="e">
        <f ca="1">ROUND(AN235*_xludf.ifs(
AND(AU235=TRUE,AW235=TRUE),1,
AU235=TRUE,AV235,
AW235=TRUE,AX235,
TRUE,1),0)</f>
        <v>#NAME?</v>
      </c>
      <c r="AP235" s="53" t="e">
        <f ca="1">ROUND(AO235/SUM(AO$32:AO$252)*AM$27,0)</f>
        <v>#NAME?</v>
      </c>
      <c r="AQ235" s="9" t="str">
        <f ca="1">IFERROR(__xludf.DUMMYFUNCTION("if(O235=0,"""",
filter(I$32:I234,row(I$32:I234)=max(filter(arrayformula(row(I$32:I234)),I$32:I234&lt;&gt;"""")))+
filter(G$32:G234,row(G$32:G234)=max(filter(arrayformula(row(G$32:G234)),G$32:G234&lt;&gt;"""")))
)"),"")</f>
        <v/>
      </c>
      <c r="AR235" s="146" t="str">
        <f ca="1">IFERROR(__xludf.DUMMYFUNCTION("if(G235="""","""",G235-(
filter(G$32:G$252,row(G$32:G$252)=max(filter(arrayformula(row(G$32:G$252)),G$32:G$252&lt;&gt;"""")))
-(10001-
filter(I$32:I$252,row(I$32:I$252)=max(filter(arrayformula(row(I$32:I$252)),I$32:I$252&lt;&gt;""""))))))"),"")</f>
        <v/>
      </c>
      <c r="AS235" s="146" t="e">
        <f ca="1">IF(AY235=0,"",ROUND(AY235/AM$3*10000,0))</f>
        <v>#NAME?</v>
      </c>
      <c r="AT235" s="254" t="b">
        <v>0</v>
      </c>
      <c r="AU235" s="255" t="b">
        <f>OR(AM$12)</f>
        <v>0</v>
      </c>
      <c r="AV235" s="256">
        <v>0.01</v>
      </c>
      <c r="AW235" s="257" t="b">
        <f>OR(AM$21,AQ18,AQ19)</f>
        <v>0</v>
      </c>
      <c r="AX235" s="256">
        <v>1.5</v>
      </c>
      <c r="AY235" s="60" t="e">
        <f ca="1">MAX(ROUND(AP235*(AM$1/AM$27),0),IF(AT235=TRUE,1,0))</f>
        <v>#NAME?</v>
      </c>
      <c r="AZ235" s="258">
        <v>10</v>
      </c>
      <c r="BA235" s="259">
        <v>2</v>
      </c>
      <c r="BB235" s="260" t="b">
        <v>1</v>
      </c>
      <c r="BC235" s="258" t="b">
        <v>1</v>
      </c>
      <c r="BD235" s="258" t="b">
        <v>1</v>
      </c>
      <c r="BE235" s="261" t="b">
        <v>1</v>
      </c>
      <c r="BF235" s="179">
        <v>1</v>
      </c>
      <c r="BG235" s="225">
        <f>IF(BC235=FALSE,"",MIN(BH235:$BK235)-ROUND(($BK235-1-ROUND(80/$AZ235,0))/COUNTIF($BB235:$BE235,TRUE),0))</f>
        <v>8</v>
      </c>
      <c r="BH235" s="225">
        <f>IF(BD235=FALSE,"",MIN(BI235:$BK235)-ROUND(($BK235-1-ROUND(80/$AZ235,0))/COUNTIF($BB235:$BE235,TRUE),0))</f>
        <v>30</v>
      </c>
      <c r="BI235" s="225">
        <f>IF(BE235=FALSE,"",MIN(BJ235:$BK235)-ROUND(($BK235-1-ROUND(80/$AZ235,0))/COUNTIF($BB235:$BE235,TRUE),0))</f>
        <v>52</v>
      </c>
      <c r="BJ235" s="225">
        <f>IF(BB235=FALSE,"",MIN($BK235:BK235)-ROUND(($BK235-1-ROUND(80/$AZ235,0))/COUNTIF($BB235:$BE235,TRUE),0))</f>
        <v>74</v>
      </c>
      <c r="BK235" s="107">
        <f>101-ROUND(Ag!BU$7*100,0)</f>
        <v>96</v>
      </c>
      <c r="BL235" s="63">
        <v>2</v>
      </c>
      <c r="BM235" s="82">
        <f t="array" ref="BM235">MIN(BL235,INDEX([1]Basic!L$26:L$34, MATCH([1]Basic!D$5,[1]Basic!B$26:B$34,0)))</f>
        <v>2</v>
      </c>
    </row>
    <row r="236" spans="26:65" ht="15.75" customHeight="1" thickTop="1">
      <c r="Z236" s="31"/>
      <c r="AA236" s="31"/>
      <c r="AB236" s="31"/>
      <c r="AC236" s="31"/>
      <c r="AD236" s="31"/>
      <c r="AE236" s="31"/>
      <c r="AF236" s="31"/>
      <c r="AG236" s="31"/>
      <c r="AH236" s="31"/>
      <c r="AI236" s="31"/>
      <c r="AK236" s="389"/>
      <c r="AL236" s="449" t="s">
        <v>263</v>
      </c>
      <c r="AM236" s="369"/>
      <c r="AN236" s="262">
        <v>6</v>
      </c>
      <c r="AO236" s="218" t="e">
        <f ca="1">ROUND(AN236*_xludf.ifs(
AND(AU236=TRUE,AW236=TRUE),1,
AU236=TRUE,AV236,
AW236=TRUE,AX236,
TRUE,1),0)</f>
        <v>#NAME?</v>
      </c>
      <c r="AP236" s="56" t="e">
        <f ca="1">ROUND(AO236/SUM(AO$32:AO$252)*AM$27,0)</f>
        <v>#NAME?</v>
      </c>
      <c r="AQ236" s="136" t="str">
        <f ca="1">IFERROR(__xludf.DUMMYFUNCTION("if(O236=0,"""",
filter(I$32:I235,row(I$32:I235)=max(filter(arrayformula(row(I$32:I235)),I$32:I235&lt;&gt;"""")))+
filter(G$32:G235,row(G$32:G235)=max(filter(arrayformula(row(G$32:G235)),G$32:G235&lt;&gt;"""")))
)"),"")</f>
        <v/>
      </c>
      <c r="AR236" s="198" t="str">
        <f ca="1">IFERROR(__xludf.DUMMYFUNCTION("if(G236="""","""",G236-(
filter(G$32:G$252,row(G$32:G$252)=max(filter(arrayformula(row(G$32:G$252)),G$32:G$252&lt;&gt;"""")))
-(10001-
filter(I$32:I$252,row(I$32:I$252)=max(filter(arrayformula(row(I$32:I$252)),I$32:I$252&lt;&gt;""""))))))"),"")</f>
        <v/>
      </c>
      <c r="AS236" s="198" t="e">
        <f ca="1">IF(AY236=0,"",ROUND(AY236/AM$3*10000,0))</f>
        <v>#NAME?</v>
      </c>
      <c r="AT236" s="263" t="b">
        <v>0</v>
      </c>
      <c r="AU236" s="264" t="b">
        <f>OR(AM$12)</f>
        <v>0</v>
      </c>
      <c r="AV236" s="265">
        <v>0</v>
      </c>
      <c r="AW236" s="266" t="b">
        <f>OR(AQ$21)</f>
        <v>0</v>
      </c>
      <c r="AX236" s="265">
        <v>4</v>
      </c>
      <c r="AY236" s="56" t="e">
        <f ca="1">MAX(ROUND(AP236*(AM$1/AM$27),0),IF(AT236=TRUE,1,0))</f>
        <v>#NAME?</v>
      </c>
      <c r="AZ236" s="229">
        <v>3</v>
      </c>
      <c r="BA236" s="212">
        <v>0</v>
      </c>
      <c r="BB236" s="222" t="b">
        <v>0</v>
      </c>
      <c r="BC236" s="223" t="b">
        <v>0</v>
      </c>
      <c r="BD236" s="228" t="b">
        <v>1</v>
      </c>
      <c r="BE236" s="224" t="b">
        <v>0</v>
      </c>
      <c r="BF236" s="180">
        <v>1</v>
      </c>
      <c r="BG236" s="216" t="str">
        <f>IF(BC236=FALSE,"",MIN(BH236:$BK236)-ROUND(($BK236-1-ROUND(80/$AZ236,0))/COUNTIF($BB236:$BE236,TRUE),0))</f>
        <v/>
      </c>
      <c r="BH236" s="216">
        <f>IF(BD236=FALSE,"",MIN(BI236:$BK236)-ROUND(($BK236-1-ROUND(80/$AZ236,0))/COUNTIF($BB236:$BE236,TRUE),0))</f>
        <v>28</v>
      </c>
      <c r="BI236" s="216" t="str">
        <f>IF(BE236=FALSE,"",MIN(BJ236:$BK236)-ROUND(($BK236-1-ROUND(80/$AZ236,0))/COUNTIF($BB236:$BE236,TRUE),0))</f>
        <v/>
      </c>
      <c r="BJ236" s="216" t="str">
        <f>IF(BB236=FALSE,"",MIN($BK236:BK236)-ROUND(($BK236-1-ROUND(80/$AZ236,0))/COUNTIF($BB236:$BE236,TRUE),0))</f>
        <v/>
      </c>
      <c r="BK236" s="177">
        <f>101-ROUND(Ag!BU$7*100,0)</f>
        <v>96</v>
      </c>
      <c r="BL236" s="61">
        <v>4</v>
      </c>
      <c r="BM236" s="82">
        <f t="array" ref="BM236">MIN(BL236,INDEX([1]Basic!L$26:L$34, MATCH([1]Basic!D$5,[1]Basic!B$26:B$34,0)))</f>
        <v>3</v>
      </c>
    </row>
    <row r="237" spans="26:65" ht="15.75" customHeight="1">
      <c r="Z237" s="31"/>
      <c r="AA237" s="31"/>
      <c r="AB237" s="31"/>
      <c r="AC237" s="31"/>
      <c r="AD237" s="31"/>
      <c r="AE237" s="31"/>
      <c r="AF237" s="31"/>
      <c r="AG237" s="31"/>
      <c r="AH237" s="31"/>
      <c r="AI237" s="31"/>
      <c r="AK237" s="389"/>
      <c r="AL237" s="449" t="s">
        <v>269</v>
      </c>
      <c r="AM237" s="369"/>
      <c r="AN237" s="262">
        <v>20</v>
      </c>
      <c r="AO237" s="218" t="e">
        <f ca="1">ROUND(AN237*_xludf.ifs(
AND(AU237=TRUE,AW237=TRUE),1,
AU237=TRUE,AV237,
AW237=TRUE,AX237,
TRUE,1),0)</f>
        <v>#NAME?</v>
      </c>
      <c r="AP237" s="56" t="e">
        <f ca="1">ROUND(AO237/SUM(AO$32:AO$252)*AM$27,0)</f>
        <v>#NAME?</v>
      </c>
      <c r="AQ237" s="136" t="str">
        <f ca="1">IFERROR(__xludf.DUMMYFUNCTION("if(O237=0,"""",
filter(I$32:I236,row(I$32:I236)=max(filter(arrayformula(row(I$32:I236)),I$32:I236&lt;&gt;"""")))+
filter(G$32:G236,row(G$32:G236)=max(filter(arrayformula(row(G$32:G236)),G$32:G236&lt;&gt;"""")))
)"),"")</f>
        <v/>
      </c>
      <c r="AR237" s="198" t="str">
        <f ca="1">IFERROR(__xludf.DUMMYFUNCTION("if(G237="""","""",G237-(
filter(G$32:G$252,row(G$32:G$252)=max(filter(arrayformula(row(G$32:G$252)),G$32:G$252&lt;&gt;"""")))
-(10001-
filter(I$32:I$252,row(I$32:I$252)=max(filter(arrayformula(row(I$32:I$252)),I$32:I$252&lt;&gt;""""))))))"),"")</f>
        <v/>
      </c>
      <c r="AS237" s="198" t="e">
        <f ca="1">IF(AY237=0,"",ROUND(AY237/AM$3*10000,0))</f>
        <v>#NAME?</v>
      </c>
      <c r="AT237" s="263" t="b">
        <v>0</v>
      </c>
      <c r="AU237" s="264" t="b">
        <f>OR(AM$12)</f>
        <v>0</v>
      </c>
      <c r="AV237" s="265">
        <v>0.05</v>
      </c>
      <c r="AW237" s="266" t="b">
        <f>OR(AM$8,AM$10)</f>
        <v>0</v>
      </c>
      <c r="AX237" s="265">
        <v>1.5</v>
      </c>
      <c r="AY237" s="56" t="e">
        <f ca="1">MAX(ROUND(AP237*(AM$1/AM$27),0),IF(AT237=TRUE,1,0))</f>
        <v>#NAME?</v>
      </c>
      <c r="AZ237" s="229">
        <v>5</v>
      </c>
      <c r="BA237" s="221">
        <v>0</v>
      </c>
      <c r="BB237" s="222" t="b">
        <v>0</v>
      </c>
      <c r="BC237" s="223" t="b">
        <v>0</v>
      </c>
      <c r="BD237" s="228" t="b">
        <v>1</v>
      </c>
      <c r="BE237" s="229" t="b">
        <v>1</v>
      </c>
      <c r="BF237" s="179">
        <v>1</v>
      </c>
      <c r="BG237" s="225" t="str">
        <f>IF(BC237=FALSE,"",MIN(BH237:$BK237)-ROUND(($BK237-1-ROUND(80/$AZ237,0))/COUNTIF($BB237:$BE237,TRUE),0))</f>
        <v/>
      </c>
      <c r="BH237" s="225">
        <f>IF(BD237=FALSE,"",MIN(BI237:$BK237)-ROUND(($BK237-1-ROUND(80/$AZ237,0))/COUNTIF($BB237:$BE237,TRUE),0))</f>
        <v>16</v>
      </c>
      <c r="BI237" s="225">
        <f>IF(BE237=FALSE,"",MIN(BJ237:$BK237)-ROUND(($BK237-1-ROUND(80/$AZ237,0))/COUNTIF($BB237:$BE237,TRUE),0))</f>
        <v>56</v>
      </c>
      <c r="BJ237" s="225" t="str">
        <f>IF(BB237=FALSE,"",MIN($BK237:BK237)-ROUND(($BK237-1-ROUND(80/$AZ237,0))/COUNTIF($BB237:$BE237,TRUE),0))</f>
        <v/>
      </c>
      <c r="BK237" s="107">
        <f>101-ROUND(Ag!BU$7*100,0)</f>
        <v>96</v>
      </c>
      <c r="BL237" s="63">
        <v>1</v>
      </c>
      <c r="BM237" s="82">
        <f t="array" ref="BM237">MIN(BL237,INDEX([1]Basic!L$26:L$34, MATCH([1]Basic!D$5,[1]Basic!B$26:B$34,0)))</f>
        <v>1</v>
      </c>
    </row>
    <row r="238" spans="26:65" ht="15.75" customHeight="1">
      <c r="Z238" s="31"/>
      <c r="AA238" s="31"/>
      <c r="AB238" s="31"/>
      <c r="AC238" s="31"/>
      <c r="AD238" s="31"/>
      <c r="AE238" s="31"/>
      <c r="AF238" s="31"/>
      <c r="AG238" s="31"/>
      <c r="AH238" s="31"/>
      <c r="AI238" s="31"/>
      <c r="AK238" s="389"/>
      <c r="AL238" s="449" t="s">
        <v>274</v>
      </c>
      <c r="AM238" s="369"/>
      <c r="AN238" s="262">
        <v>20</v>
      </c>
      <c r="AO238" s="218" t="e">
        <f ca="1">ROUND(AN238*_xludf.ifs(
AND(AU238=TRUE,AW238=TRUE),1,
AU238=TRUE,AV238,
AW238=TRUE,AX238,
TRUE,1),0)</f>
        <v>#NAME?</v>
      </c>
      <c r="AP238" s="56" t="e">
        <f ca="1">ROUND(AO238/SUM(AO$32:AO$252)*AM$27,0)</f>
        <v>#NAME?</v>
      </c>
      <c r="AQ238" s="136" t="str">
        <f ca="1">IFERROR(__xludf.DUMMYFUNCTION("if(O238=0,"""",
filter(I$32:I237,row(I$32:I237)=max(filter(arrayformula(row(I$32:I237)),I$32:I237&lt;&gt;"""")))+
filter(G$32:G237,row(G$32:G237)=max(filter(arrayformula(row(G$32:G237)),G$32:G237&lt;&gt;"""")))
)"),"")</f>
        <v/>
      </c>
      <c r="AR238" s="198" t="str">
        <f ca="1">IFERROR(__xludf.DUMMYFUNCTION("if(G238="""","""",G238-(
filter(G$32:G$252,row(G$32:G$252)=max(filter(arrayformula(row(G$32:G$252)),G$32:G$252&lt;&gt;"""")))
-(10001-
filter(I$32:I$252,row(I$32:I$252)=max(filter(arrayformula(row(I$32:I$252)),I$32:I$252&lt;&gt;""""))))))"),"")</f>
        <v/>
      </c>
      <c r="AS238" s="198" t="e">
        <f ca="1">IF(AY238=0,"",ROUND(AY238/AM$3*10000,0))</f>
        <v>#NAME?</v>
      </c>
      <c r="AT238" s="263" t="b">
        <v>0</v>
      </c>
      <c r="AU238" s="264" t="b">
        <f>OR(AM$12)</f>
        <v>0</v>
      </c>
      <c r="AV238" s="265">
        <v>0</v>
      </c>
      <c r="AW238" s="266" t="b">
        <f>OR(AQ$21)</f>
        <v>0</v>
      </c>
      <c r="AX238" s="265">
        <v>4</v>
      </c>
      <c r="AY238" s="56" t="e">
        <f ca="1">MAX(ROUND(AP238*(AM$1/AM$27),0),IF(AT238=TRUE,1,0))</f>
        <v>#NAME?</v>
      </c>
      <c r="AZ238" s="229">
        <v>3</v>
      </c>
      <c r="BA238" s="221">
        <v>0</v>
      </c>
      <c r="BB238" s="222" t="b">
        <v>0</v>
      </c>
      <c r="BC238" s="223" t="b">
        <v>0</v>
      </c>
      <c r="BD238" s="228" t="b">
        <v>1</v>
      </c>
      <c r="BE238" s="224" t="b">
        <v>0</v>
      </c>
      <c r="BF238" s="179">
        <v>1</v>
      </c>
      <c r="BG238" s="225" t="str">
        <f>IF(BC238=FALSE,"",MIN(BH238:$BK238)-ROUND(($BK238-1-ROUND(80/$AZ238,0))/COUNTIF($BB238:$BE238,TRUE),0))</f>
        <v/>
      </c>
      <c r="BH238" s="225">
        <f>IF(BD238=FALSE,"",MIN(BI238:$BK238)-ROUND(($BK238-1-ROUND(80/$AZ238,0))/COUNTIF($BB238:$BE238,TRUE),0))</f>
        <v>28</v>
      </c>
      <c r="BI238" s="225" t="str">
        <f>IF(BE238=FALSE,"",MIN(BJ238:$BK238)-ROUND(($BK238-1-ROUND(80/$AZ238,0))/COUNTIF($BB238:$BE238,TRUE),0))</f>
        <v/>
      </c>
      <c r="BJ238" s="225" t="str">
        <f>IF(BB238=FALSE,"",MIN($BK238:BK238)-ROUND(($BK238-1-ROUND(80/$AZ238,0))/COUNTIF($BB238:$BE238,TRUE),0))</f>
        <v/>
      </c>
      <c r="BK238" s="107">
        <f>101-ROUND(Ag!BU$7*100,0)</f>
        <v>96</v>
      </c>
      <c r="BL238" s="63">
        <v>2</v>
      </c>
      <c r="BM238" s="82">
        <f t="array" ref="BM238">MIN(BL238,INDEX([1]Basic!L$26:L$34, MATCH([1]Basic!D$5,[1]Basic!B$26:B$34,0)))</f>
        <v>2</v>
      </c>
    </row>
    <row r="239" spans="26:65" ht="15.75" customHeight="1">
      <c r="Z239" s="31"/>
      <c r="AA239" s="31"/>
      <c r="AB239" s="31"/>
      <c r="AC239" s="31"/>
      <c r="AD239" s="31"/>
      <c r="AE239" s="31"/>
      <c r="AF239" s="31"/>
      <c r="AG239" s="31"/>
      <c r="AH239" s="31"/>
      <c r="AI239" s="31"/>
      <c r="AK239" s="389"/>
      <c r="AL239" s="449" t="s">
        <v>279</v>
      </c>
      <c r="AM239" s="369"/>
      <c r="AN239" s="262">
        <v>40</v>
      </c>
      <c r="AO239" s="218" t="e">
        <f ca="1">ROUND(AN239*_xludf.ifs(
AND(AU239=TRUE,AW239=TRUE),1,
AU239=TRUE,AV239,
AW239=TRUE,AX239,
TRUE,1),0)</f>
        <v>#NAME?</v>
      </c>
      <c r="AP239" s="56" t="e">
        <f ca="1">ROUND(AO239/SUM(AO$32:AO$252)*AM$27,0)</f>
        <v>#NAME?</v>
      </c>
      <c r="AQ239" s="136" t="str">
        <f ca="1">IFERROR(__xludf.DUMMYFUNCTION("if(O239=0,"""",
filter(I$32:I238,row(I$32:I238)=max(filter(arrayformula(row(I$32:I238)),I$32:I238&lt;&gt;"""")))+
filter(G$32:G238,row(G$32:G238)=max(filter(arrayformula(row(G$32:G238)),G$32:G238&lt;&gt;"""")))
)"),"")</f>
        <v/>
      </c>
      <c r="AR239" s="198" t="str">
        <f ca="1">IFERROR(__xludf.DUMMYFUNCTION("if(G239="""","""",G239-(
filter(G$32:G$252,row(G$32:G$252)=max(filter(arrayformula(row(G$32:G$252)),G$32:G$252&lt;&gt;"""")))
-(10001-
filter(I$32:I$252,row(I$32:I$252)=max(filter(arrayformula(row(I$32:I$252)),I$32:I$252&lt;&gt;""""))))))"),"")</f>
        <v/>
      </c>
      <c r="AS239" s="198" t="e">
        <f ca="1">IF(AY239=0,"",ROUND(AY239/AM$3*10000,0))</f>
        <v>#NAME?</v>
      </c>
      <c r="AT239" s="263" t="b">
        <v>0</v>
      </c>
      <c r="AU239" s="264" t="b">
        <f>OR(AM$12)</f>
        <v>0</v>
      </c>
      <c r="AV239" s="265">
        <v>0</v>
      </c>
      <c r="AW239" s="266" t="b">
        <f>OR(AQ$21,AM21)</f>
        <v>0</v>
      </c>
      <c r="AX239" s="265">
        <v>4</v>
      </c>
      <c r="AY239" s="56" t="e">
        <f ca="1">MAX(ROUND(AP239*(AM$1/AM$27),0),IF(AT239=TRUE,1,0))</f>
        <v>#NAME?</v>
      </c>
      <c r="AZ239" s="229">
        <v>1</v>
      </c>
      <c r="BA239" s="221">
        <v>0</v>
      </c>
      <c r="BB239" s="222" t="b">
        <v>0</v>
      </c>
      <c r="BC239" s="223" t="b">
        <v>0</v>
      </c>
      <c r="BD239" s="223" t="b">
        <v>0</v>
      </c>
      <c r="BE239" s="224" t="b">
        <v>0</v>
      </c>
      <c r="BF239" s="179">
        <v>1</v>
      </c>
      <c r="BG239" s="225" t="str">
        <f>IF(BC239=FALSE,"",MIN(BH239:$BK239)-ROUND(($BK239-1-ROUND(80/$AZ239,0))/COUNTIF($BB239:$BE239,TRUE),0))</f>
        <v/>
      </c>
      <c r="BH239" s="225" t="str">
        <f>IF(BD239=FALSE,"",MIN(BI239:$BK239)-ROUND(($BK239-1-ROUND(80/$AZ239,0))/COUNTIF($BB239:$BE239,TRUE),0))</f>
        <v/>
      </c>
      <c r="BI239" s="225" t="str">
        <f>IF(BE239=FALSE,"",MIN(BJ239:$BK239)-ROUND(($BK239-1-ROUND(80/$AZ239,0))/COUNTIF($BB239:$BE239,TRUE),0))</f>
        <v/>
      </c>
      <c r="BJ239" s="225" t="str">
        <f>IF(BB239=FALSE,"",MIN($BK239:BK239)-ROUND(($BK239-1-ROUND(80/$AZ239,0))/COUNTIF($BB239:$BE239,TRUE),0))</f>
        <v/>
      </c>
      <c r="BK239" s="107">
        <f>101-ROUND(Ag!BU$7*100,0)</f>
        <v>96</v>
      </c>
      <c r="BL239" s="63">
        <v>1</v>
      </c>
      <c r="BM239" s="82">
        <f t="array" ref="BM239">MIN(BL239,INDEX([1]Basic!L$26:L$34, MATCH([1]Basic!D$5,[1]Basic!B$26:B$34,0)))</f>
        <v>1</v>
      </c>
    </row>
    <row r="240" spans="26:65" ht="15.75" customHeight="1">
      <c r="Z240" s="31"/>
      <c r="AA240" s="31"/>
      <c r="AB240" s="31"/>
      <c r="AC240" s="31"/>
      <c r="AD240" s="31"/>
      <c r="AE240" s="31"/>
      <c r="AF240" s="31"/>
      <c r="AG240" s="31"/>
      <c r="AH240" s="31"/>
      <c r="AI240" s="31"/>
      <c r="AK240" s="389"/>
      <c r="AL240" s="449" t="s">
        <v>286</v>
      </c>
      <c r="AM240" s="369"/>
      <c r="AN240" s="262">
        <v>4</v>
      </c>
      <c r="AO240" s="218" t="e">
        <f ca="1">ROUND(AN240*_xludf.ifs(
AND(AU240=TRUE,AW240=TRUE),1,
AU240=TRUE,AV240,
AW240=TRUE,AX240,
TRUE,1),0)</f>
        <v>#NAME?</v>
      </c>
      <c r="AP240" s="56" t="e">
        <f ca="1">ROUND(AO240/SUM(AO$32:AO$252)*AM$27,0)</f>
        <v>#NAME?</v>
      </c>
      <c r="AQ240" s="136" t="str">
        <f ca="1">IFERROR(__xludf.DUMMYFUNCTION("if(O240=0,"""",
filter(I$32:I239,row(I$32:I239)=max(filter(arrayformula(row(I$32:I239)),I$32:I239&lt;&gt;"""")))+
filter(G$32:G239,row(G$32:G239)=max(filter(arrayformula(row(G$32:G239)),G$32:G239&lt;&gt;"""")))
)"),"")</f>
        <v/>
      </c>
      <c r="AR240" s="198" t="str">
        <f ca="1">IFERROR(__xludf.DUMMYFUNCTION("if(G240="""","""",G240-(
filter(G$32:G$252,row(G$32:G$252)=max(filter(arrayformula(row(G$32:G$252)),G$32:G$252&lt;&gt;"""")))
-(10001-
filter(I$32:I$252,row(I$32:I$252)=max(filter(arrayformula(row(I$32:I$252)),I$32:I$252&lt;&gt;""""))))))"),"")</f>
        <v/>
      </c>
      <c r="AS240" s="198" t="e">
        <f ca="1">IF(AY240=0,"",ROUND(AY240/AM$3*10000,0))</f>
        <v>#NAME?</v>
      </c>
      <c r="AT240" s="263" t="b">
        <v>0</v>
      </c>
      <c r="AU240" s="264" t="b">
        <f>OR(AM$12)</f>
        <v>0</v>
      </c>
      <c r="AV240" s="265">
        <v>0</v>
      </c>
      <c r="AW240" s="266" t="b">
        <f>OR(AM$9,AQ$21,AQ$17)</f>
        <v>0</v>
      </c>
      <c r="AX240" s="265">
        <v>3</v>
      </c>
      <c r="AY240" s="56" t="e">
        <f ca="1">MAX(ROUND(AP240*(AM$1/AM$27),0),IF(AT240=TRUE,1,0))</f>
        <v>#NAME?</v>
      </c>
      <c r="AZ240" s="229">
        <v>10</v>
      </c>
      <c r="BA240" s="221">
        <v>0</v>
      </c>
      <c r="BB240" s="222" t="b">
        <v>0</v>
      </c>
      <c r="BC240" s="223" t="b">
        <v>0</v>
      </c>
      <c r="BD240" s="223" t="b">
        <v>0</v>
      </c>
      <c r="BE240" s="224" t="b">
        <v>0</v>
      </c>
      <c r="BF240" s="179">
        <v>1</v>
      </c>
      <c r="BG240" s="225" t="str">
        <f>IF(BC240=FALSE,"",MIN(BH240:$BK240)-ROUND(($BK240-1-ROUND(80/$AZ240,0))/COUNTIF($BB240:$BE240,TRUE),0))</f>
        <v/>
      </c>
      <c r="BH240" s="225" t="str">
        <f>IF(BD240=FALSE,"",MIN(BI240:$BK240)-ROUND(($BK240-1-ROUND(80/$AZ240,0))/COUNTIF($BB240:$BE240,TRUE),0))</f>
        <v/>
      </c>
      <c r="BI240" s="225" t="str">
        <f>IF(BE240=FALSE,"",MIN(BJ240:$BK240)-ROUND(($BK240-1-ROUND(80/$AZ240,0))/COUNTIF($BB240:$BE240,TRUE),0))</f>
        <v/>
      </c>
      <c r="BJ240" s="225" t="str">
        <f>IF(BB240=FALSE,"",MIN($BK240:BK240)-ROUND(($BK240-1-ROUND(80/$AZ240,0))/COUNTIF($BB240:$BE240,TRUE),0))</f>
        <v/>
      </c>
      <c r="BK240" s="107">
        <f>101-ROUND(Ag!BU$7*100,0)</f>
        <v>96</v>
      </c>
      <c r="BL240" s="63">
        <v>4</v>
      </c>
      <c r="BM240" s="82">
        <f t="array" ref="BM240">MIN(BL240,INDEX([1]Basic!L$26:L$34, MATCH([1]Basic!D$5,[1]Basic!B$26:B$34,0)))</f>
        <v>3</v>
      </c>
    </row>
    <row r="241" spans="26:65" ht="15.75" customHeight="1">
      <c r="Z241" s="31"/>
      <c r="AA241" s="31"/>
      <c r="AB241" s="31"/>
      <c r="AC241" s="31"/>
      <c r="AD241" s="31"/>
      <c r="AE241" s="31"/>
      <c r="AF241" s="31"/>
      <c r="AG241" s="31"/>
      <c r="AH241" s="31"/>
      <c r="AI241" s="31"/>
      <c r="AK241" s="389"/>
      <c r="AL241" s="449" t="s">
        <v>292</v>
      </c>
      <c r="AM241" s="369"/>
      <c r="AN241" s="267">
        <v>8</v>
      </c>
      <c r="AO241" s="268" t="e">
        <f ca="1">ROUND(AN241*_xludf.ifs(
AND(AU241=TRUE,AW241=TRUE),1,
AU241=TRUE,AV241,
AW241=TRUE,AX241,
TRUE,1),0)</f>
        <v>#NAME?</v>
      </c>
      <c r="AP241" s="56" t="e">
        <f ca="1">ROUND(AO241/SUM(AO$32:AO$252)*AM$27,0)</f>
        <v>#NAME?</v>
      </c>
      <c r="AQ241" s="136" t="str">
        <f ca="1">IFERROR(__xludf.DUMMYFUNCTION("if(O241=0,"""",
filter(I$32:I240,row(I$32:I240)=max(filter(arrayformula(row(I$32:I240)),I$32:I240&lt;&gt;"""")))+
filter(G$32:G240,row(G$32:G240)=max(filter(arrayformula(row(G$32:G240)),G$32:G240&lt;&gt;"""")))
)"),"")</f>
        <v/>
      </c>
      <c r="AR241" s="198" t="str">
        <f ca="1">IFERROR(__xludf.DUMMYFUNCTION("if(G241="""","""",G241-(
filter(G$32:G$252,row(G$32:G$252)=max(filter(arrayformula(row(G$32:G$252)),G$32:G$252&lt;&gt;"""")))
-(10001-
filter(I$32:I$252,row(I$32:I$252)=max(filter(arrayformula(row(I$32:I$252)),I$32:I$252&lt;&gt;""""))))))"),"")</f>
        <v/>
      </c>
      <c r="AS241" s="198" t="e">
        <f ca="1">IF(AY241=0,"",ROUND(AY241/AM$3*10000,0))</f>
        <v>#NAME?</v>
      </c>
      <c r="AT241" s="263" t="b">
        <v>0</v>
      </c>
      <c r="AU241" s="264" t="b">
        <f>OR(AM$12)</f>
        <v>0</v>
      </c>
      <c r="AV241" s="265">
        <v>0</v>
      </c>
      <c r="AW241" s="266" t="b">
        <f>OR(AM$21,AQ18,AQ19)</f>
        <v>0</v>
      </c>
      <c r="AX241" s="265">
        <v>2</v>
      </c>
      <c r="AY241" s="56" t="e">
        <f ca="1">MAX(ROUND(AP241*(AM$1/AM$27),0),IF(AT241=TRUE,1,0))</f>
        <v>#NAME?</v>
      </c>
      <c r="AZ241" s="229">
        <v>1</v>
      </c>
      <c r="BA241" s="221">
        <v>0</v>
      </c>
      <c r="BB241" s="227" t="b">
        <v>1</v>
      </c>
      <c r="BC241" s="228" t="b">
        <v>1</v>
      </c>
      <c r="BD241" s="228" t="b">
        <v>1</v>
      </c>
      <c r="BE241" s="224" t="b">
        <v>0</v>
      </c>
      <c r="BF241" s="179">
        <v>1</v>
      </c>
      <c r="BG241" s="225">
        <f>IF(BC241=FALSE,"",MIN(BH241:$BK241)-ROUND(($BK241-1-ROUND(80/$AZ241,0))/COUNTIF($BB241:$BE241,TRUE),0))</f>
        <v>81</v>
      </c>
      <c r="BH241" s="225">
        <f>IF(BD241=FALSE,"",MIN(BI241:$BK241)-ROUND(($BK241-1-ROUND(80/$AZ241,0))/COUNTIF($BB241:$BE241,TRUE),0))</f>
        <v>86</v>
      </c>
      <c r="BI241" s="225" t="str">
        <f>IF(BE241=FALSE,"",MIN(BJ241:$BK241)-ROUND(($BK241-1-ROUND(80/$AZ241,0))/COUNTIF($BB241:$BE241,TRUE),0))</f>
        <v/>
      </c>
      <c r="BJ241" s="225">
        <f>IF(BB241=FALSE,"",MIN($BK241:BK241)-ROUND(($BK241-1-ROUND(80/$AZ241,0))/COUNTIF($BB241:$BE241,TRUE),0))</f>
        <v>91</v>
      </c>
      <c r="BK241" s="107">
        <f>101-ROUND(Ag!BU$7*100,0)</f>
        <v>96</v>
      </c>
      <c r="BL241" s="63">
        <v>1</v>
      </c>
      <c r="BM241" s="82">
        <f t="array" ref="BM241">MIN(BL241,INDEX([1]Basic!L$26:L$34, MATCH([1]Basic!D$5,[1]Basic!B$26:B$34,0)))</f>
        <v>1</v>
      </c>
    </row>
    <row r="242" spans="26:65" ht="15.75" customHeight="1" thickBot="1">
      <c r="Z242" s="31"/>
      <c r="AA242" s="31"/>
      <c r="AB242" s="31"/>
      <c r="AC242" s="31"/>
      <c r="AD242" s="31"/>
      <c r="AE242" s="31"/>
      <c r="AF242" s="31"/>
      <c r="AG242" s="31"/>
      <c r="AH242" s="31"/>
      <c r="AI242" s="31"/>
      <c r="AK242" s="389"/>
      <c r="AL242" s="449" t="s">
        <v>297</v>
      </c>
      <c r="AM242" s="369"/>
      <c r="AN242" s="262">
        <v>2</v>
      </c>
      <c r="AO242" s="218" t="e">
        <f ca="1">ROUND(AN242*_xludf.ifs(
AND(AU242=TRUE,AW242=TRUE),1,
AU242=TRUE,AV242,
AW242=TRUE,AX242,
TRUE,1),0)</f>
        <v>#NAME?</v>
      </c>
      <c r="AP242" s="57" t="e">
        <f ca="1">ROUND(AO242/SUM(AO$32:AO$252)*AM$27,0)</f>
        <v>#NAME?</v>
      </c>
      <c r="AQ242" s="5" t="str">
        <f ca="1">IFERROR(__xludf.DUMMYFUNCTION("if(O242=0,"""",
filter(I$32:I241,row(I$32:I241)=max(filter(arrayformula(row(I$32:I241)),I$32:I241&lt;&gt;"""")))+
filter(G$32:G241,row(G$32:G241)=max(filter(arrayformula(row(G$32:G241)),G$32:G241&lt;&gt;"""")))
)"),"")</f>
        <v/>
      </c>
      <c r="AR242" s="198" t="str">
        <f ca="1">IFERROR(__xludf.DUMMYFUNCTION("if(G242="""","""",G242-(
filter(G$32:G$252,row(G$32:G$252)=max(filter(arrayformula(row(G$32:G$252)),G$32:G$252&lt;&gt;"""")))
-(10001-
filter(I$32:I$252,row(I$32:I$252)=max(filter(arrayformula(row(I$32:I$252)),I$32:I$252&lt;&gt;""""))))))"),"")</f>
        <v/>
      </c>
      <c r="AS242" s="198" t="e">
        <f ca="1">IF(AY242=0,"",ROUND(AY242/AM$3*10000,0))</f>
        <v>#NAME?</v>
      </c>
      <c r="AT242" s="263" t="b">
        <v>0</v>
      </c>
      <c r="AU242" s="264" t="b">
        <f>OR(AM$12)</f>
        <v>0</v>
      </c>
      <c r="AV242" s="265">
        <v>0</v>
      </c>
      <c r="AW242" s="266" t="b">
        <f>OR(AQ$21)</f>
        <v>0</v>
      </c>
      <c r="AX242" s="265">
        <v>4</v>
      </c>
      <c r="AY242" s="56" t="e">
        <f ca="1">MAX(ROUND(AP242*(AM$1/AM$27),0),IF(AT242=TRUE,1,0))</f>
        <v>#NAME?</v>
      </c>
      <c r="AZ242" s="229">
        <v>10</v>
      </c>
      <c r="BA242" s="233">
        <v>0</v>
      </c>
      <c r="BB242" s="227" t="b">
        <v>1</v>
      </c>
      <c r="BC242" s="228" t="b">
        <v>1</v>
      </c>
      <c r="BD242" s="228" t="b">
        <v>1</v>
      </c>
      <c r="BE242" s="229" t="b">
        <v>1</v>
      </c>
      <c r="BF242" s="78">
        <v>1</v>
      </c>
      <c r="BG242" s="240">
        <f>IF(BC242=FALSE,"",MIN(BH242:$BK242)-ROUND(($BK242-1-ROUND(80/$AZ242,0))/COUNTIF($BB242:$BE242,TRUE),0))</f>
        <v>8</v>
      </c>
      <c r="BH242" s="240">
        <f>IF(BD242=FALSE,"",MIN(BI242:$BK242)-ROUND(($BK242-1-ROUND(80/$AZ242,0))/COUNTIF($BB242:$BE242,TRUE),0))</f>
        <v>30</v>
      </c>
      <c r="BI242" s="240">
        <f>IF(BE242=FALSE,"",MIN(BJ242:$BK242)-ROUND(($BK242-1-ROUND(80/$AZ242,0))/COUNTIF($BB242:$BE242,TRUE),0))</f>
        <v>52</v>
      </c>
      <c r="BJ242" s="240">
        <f>IF(BB242=FALSE,"",MIN($BK242:BK242)-ROUND(($BK242-1-ROUND(80/$AZ242,0))/COUNTIF($BB242:$BE242,TRUE),0))</f>
        <v>74</v>
      </c>
      <c r="BK242" s="192">
        <f>101-ROUND(Ag!BU$7*100,0)</f>
        <v>96</v>
      </c>
      <c r="BL242" s="66">
        <v>4</v>
      </c>
      <c r="BM242" s="82">
        <f t="array" ref="BM242">MIN(BL242,INDEX([1]Basic!L$26:L$34, MATCH([1]Basic!D$5,[1]Basic!B$26:B$34,0)))</f>
        <v>3</v>
      </c>
    </row>
    <row r="243" spans="26:65" ht="15.75" customHeight="1" thickTop="1" thickBot="1">
      <c r="Z243" s="31"/>
      <c r="AA243" s="31"/>
      <c r="AB243" s="31"/>
      <c r="AC243" s="31"/>
      <c r="AD243" s="31"/>
      <c r="AE243" s="31"/>
      <c r="AF243" s="31"/>
      <c r="AG243" s="31"/>
      <c r="AH243" s="31"/>
      <c r="AI243" s="31"/>
      <c r="AK243" s="389"/>
      <c r="AL243" s="448" t="s">
        <v>302</v>
      </c>
      <c r="AM243" s="355"/>
      <c r="AN243" s="253">
        <v>12</v>
      </c>
      <c r="AO243" s="7" t="e">
        <f ca="1">ROUND(AN243*_xludf.ifs(
AND(AU243=TRUE,AW243=TRUE),1,
AU243=TRUE,AV243,
AW243=TRUE,AX243,
TRUE,1),0)</f>
        <v>#NAME?</v>
      </c>
      <c r="AP243" s="53" t="e">
        <f ca="1">ROUND(AO243/SUM(AO$32:AO$252)*AM$27,0)</f>
        <v>#NAME?</v>
      </c>
      <c r="AQ243" s="9" t="str">
        <f ca="1">IFERROR(__xludf.DUMMYFUNCTION("if(O243=0,"""",
filter(I$32:I242,row(I$32:I242)=max(filter(arrayformula(row(I$32:I242)),I$32:I242&lt;&gt;"""")))+
filter(G$32:G242,row(G$32:G242)=max(filter(arrayformula(row(G$32:G242)),G$32:G242&lt;&gt;"""")))
)"),"")</f>
        <v/>
      </c>
      <c r="AR243" s="146" t="str">
        <f ca="1">IFERROR(__xludf.DUMMYFUNCTION("if(G243="""","""",G243-(
filter(G$32:G$252,row(G$32:G$252)=max(filter(arrayformula(row(G$32:G$252)),G$32:G$252&lt;&gt;"""")))
-(10001-
filter(I$32:I$252,row(I$32:I$252)=max(filter(arrayformula(row(I$32:I$252)),I$32:I$252&lt;&gt;""""))))))"),"")</f>
        <v/>
      </c>
      <c r="AS243" s="146" t="e">
        <f ca="1">IF(AY243=0,"",ROUND(AY243/AM$3*10000,0))</f>
        <v>#NAME?</v>
      </c>
      <c r="AT243" s="254" t="b">
        <v>0</v>
      </c>
      <c r="AU243" s="255" t="b">
        <f>OR(AM$12)</f>
        <v>0</v>
      </c>
      <c r="AV243" s="256">
        <v>0</v>
      </c>
      <c r="AW243" s="257" t="b">
        <f>OR(AM$8,AM$9,AQ$17,AQ$20,AQ$21)</f>
        <v>0</v>
      </c>
      <c r="AX243" s="256">
        <v>3</v>
      </c>
      <c r="AY243" s="60" t="e">
        <f ca="1">MAX(ROUND(AP243*(AM$1/AM$27),0),IF(AT243=TRUE,1,0))</f>
        <v>#NAME?</v>
      </c>
      <c r="AZ243" s="258">
        <v>5</v>
      </c>
      <c r="BA243" s="221">
        <v>1</v>
      </c>
      <c r="BB243" s="260" t="b">
        <v>1</v>
      </c>
      <c r="BC243" s="269" t="b">
        <v>0</v>
      </c>
      <c r="BD243" s="258" t="b">
        <v>1</v>
      </c>
      <c r="BE243" s="261" t="b">
        <v>1</v>
      </c>
      <c r="BF243" s="179">
        <v>1</v>
      </c>
      <c r="BG243" s="225" t="str">
        <f>IF(BC243=FALSE,"",MIN(BH243:$BK243)-ROUND(($BK243-1-ROUND(80/$AZ243,0))/COUNTIF($BB243:$BE243,TRUE),0))</f>
        <v/>
      </c>
      <c r="BH243" s="225">
        <f>IF(BD243=FALSE,"",MIN(BI243:$BK243)-ROUND(($BK243-1-ROUND(80/$AZ243,0))/COUNTIF($BB243:$BE243,TRUE),0))</f>
        <v>18</v>
      </c>
      <c r="BI243" s="225">
        <f>IF(BE243=FALSE,"",MIN(BJ243:$BK243)-ROUND(($BK243-1-ROUND(80/$AZ243,0))/COUNTIF($BB243:$BE243,TRUE),0))</f>
        <v>44</v>
      </c>
      <c r="BJ243" s="225">
        <f>IF(BB243=FALSE,"",MIN($BK243:BK243)-ROUND(($BK243-1-ROUND(80/$AZ243,0))/COUNTIF($BB243:$BE243,TRUE),0))</f>
        <v>70</v>
      </c>
      <c r="BK243" s="107">
        <f>101-ROUND(Ag!BU$7*100,0)</f>
        <v>96</v>
      </c>
      <c r="BL243" s="63">
        <v>3</v>
      </c>
      <c r="BM243" s="82">
        <f t="array" ref="BM243">MIN(BL243,INDEX([1]Basic!L$26:L$34, MATCH([1]Basic!D$5,[1]Basic!B$26:B$34,0)))</f>
        <v>3</v>
      </c>
    </row>
    <row r="244" spans="26:65" ht="15.75" customHeight="1" thickTop="1">
      <c r="Z244" s="31"/>
      <c r="AA244" s="31"/>
      <c r="AB244" s="31"/>
      <c r="AC244" s="31"/>
      <c r="AD244" s="31"/>
      <c r="AE244" s="31"/>
      <c r="AF244" s="31"/>
      <c r="AG244" s="31"/>
      <c r="AH244" s="31"/>
      <c r="AI244" s="31"/>
      <c r="AK244" s="389"/>
      <c r="AL244" s="449" t="s">
        <v>307</v>
      </c>
      <c r="AM244" s="369"/>
      <c r="AN244" s="262">
        <v>24</v>
      </c>
      <c r="AO244" s="218" t="e">
        <f ca="1">ROUND(AN244*_xludf.ifs(
AND(AU244=TRUE,AW244=TRUE),1,
AU244=TRUE,AV244,
AW244=TRUE,AX244,
TRUE,1),0)</f>
        <v>#NAME?</v>
      </c>
      <c r="AP244" s="57" t="e">
        <f ca="1">ROUND(AO244/SUM(AO$32:AO$252)*AM$27,0)</f>
        <v>#NAME?</v>
      </c>
      <c r="AQ244" s="5" t="str">
        <f ca="1">IFERROR(__xludf.DUMMYFUNCTION("if(O244=0,"""",
filter(I$32:I243,row(I$32:I243)=max(filter(arrayformula(row(I$32:I243)),I$32:I243&lt;&gt;"""")))+
filter(G$32:G243,row(G$32:G243)=max(filter(arrayformula(row(G$32:G243)),G$32:G243&lt;&gt;"""")))
)"),"")</f>
        <v/>
      </c>
      <c r="AR244" s="198" t="str">
        <f ca="1">IFERROR(__xludf.DUMMYFUNCTION("if(G244="""","""",G244-(
filter(G$32:G$252,row(G$32:G$252)=max(filter(arrayformula(row(G$32:G$252)),G$32:G$252&lt;&gt;"""")))
-(10001-
filter(I$32:I$252,row(I$32:I$252)=max(filter(arrayformula(row(I$32:I$252)),I$32:I$252&lt;&gt;""""))))))"),"")</f>
        <v/>
      </c>
      <c r="AS244" s="198" t="e">
        <f ca="1">IF(AY244=0,"",ROUND(AY244/AM$3*10000,0))</f>
        <v>#NAME?</v>
      </c>
      <c r="AT244" s="263" t="b">
        <v>0</v>
      </c>
      <c r="AU244" s="264" t="b">
        <f>OR(AM$12)</f>
        <v>0</v>
      </c>
      <c r="AV244" s="265">
        <v>0.05</v>
      </c>
      <c r="AW244" s="266" t="b">
        <f>OR(AM$15)</f>
        <v>0</v>
      </c>
      <c r="AX244" s="265">
        <v>2</v>
      </c>
      <c r="AY244" s="56" t="e">
        <f ca="1">MAX(ROUND(AP244*(AM$1/AM$27),0),IF(AT244=TRUE,1,0))</f>
        <v>#NAME?</v>
      </c>
      <c r="AZ244" s="229">
        <v>3</v>
      </c>
      <c r="BA244" s="212">
        <v>0</v>
      </c>
      <c r="BB244" s="222" t="b">
        <v>0</v>
      </c>
      <c r="BC244" s="223" t="b">
        <v>0</v>
      </c>
      <c r="BD244" s="223" t="b">
        <v>0</v>
      </c>
      <c r="BE244" s="224" t="b">
        <v>0</v>
      </c>
      <c r="BF244" s="180">
        <v>1</v>
      </c>
      <c r="BG244" s="216" t="str">
        <f>IF(BC244=FALSE,"",MIN(BH244:$BK244)-ROUND(($BK244-1-ROUND(80/$AZ244,0))/COUNTIF($BB244:$BE244,TRUE),0))</f>
        <v/>
      </c>
      <c r="BH244" s="216" t="str">
        <f>IF(BD244=FALSE,"",MIN(BI244:$BK244)-ROUND(($BK244-1-ROUND(80/$AZ244,0))/COUNTIF($BB244:$BE244,TRUE),0))</f>
        <v/>
      </c>
      <c r="BI244" s="216" t="str">
        <f>IF(BE244=FALSE,"",MIN(BJ244:$BK244)-ROUND(($BK244-1-ROUND(80/$AZ244,0))/COUNTIF($BB244:$BE244,TRUE),0))</f>
        <v/>
      </c>
      <c r="BJ244" s="216" t="str">
        <f>IF(BB244=FALSE,"",MIN($BK244:BK244)-ROUND(($BK244-1-ROUND(80/$AZ244,0))/COUNTIF($BB244:$BE244,TRUE),0))</f>
        <v/>
      </c>
      <c r="BK244" s="177">
        <f>101-ROUND(Ag!BU$7*100,0)</f>
        <v>96</v>
      </c>
      <c r="BL244" s="61">
        <v>2</v>
      </c>
      <c r="BM244" s="82">
        <f t="array" ref="BM244">MIN(BL244,INDEX([1]Basic!L$26:L$34, MATCH([1]Basic!D$5,[1]Basic!B$26:B$34,0)))</f>
        <v>2</v>
      </c>
    </row>
    <row r="245" spans="26:65" ht="15.75" customHeight="1" thickBot="1">
      <c r="Z245" s="31"/>
      <c r="AA245" s="31"/>
      <c r="AB245" s="31"/>
      <c r="AC245" s="31"/>
      <c r="AD245" s="31"/>
      <c r="AE245" s="31"/>
      <c r="AF245" s="31"/>
      <c r="AG245" s="31"/>
      <c r="AH245" s="31"/>
      <c r="AI245" s="31"/>
      <c r="AK245" s="389"/>
      <c r="AL245" s="449" t="s">
        <v>312</v>
      </c>
      <c r="AM245" s="369"/>
      <c r="AN245" s="262">
        <v>5</v>
      </c>
      <c r="AO245" s="218" t="e">
        <f ca="1">ROUND(AN245*_xludf.ifs(
AND(AU245=TRUE,AW245=TRUE),1,
AU245=TRUE,AV245,
AW245=TRUE,AX245,
TRUE,1),0)</f>
        <v>#NAME?</v>
      </c>
      <c r="AP245" s="57" t="e">
        <f ca="1">ROUND(AO245/SUM(AO$32:AO$252)*AM$27,0)</f>
        <v>#NAME?</v>
      </c>
      <c r="AQ245" s="5" t="str">
        <f ca="1">IFERROR(__xludf.DUMMYFUNCTION("if(O245=0,"""",
filter(I$32:I244,row(I$32:I244)=max(filter(arrayformula(row(I$32:I244)),I$32:I244&lt;&gt;"""")))+
filter(G$32:G244,row(G$32:G244)=max(filter(arrayformula(row(G$32:G244)),G$32:G244&lt;&gt;"""")))
)"),"")</f>
        <v/>
      </c>
      <c r="AR245" s="198" t="str">
        <f ca="1">IFERROR(__xludf.DUMMYFUNCTION("if(G245="""","""",G245-(
filter(G$32:G$252,row(G$32:G$252)=max(filter(arrayformula(row(G$32:G$252)),G$32:G$252&lt;&gt;"""")))
-(10001-
filter(I$32:I$252,row(I$32:I$252)=max(filter(arrayformula(row(I$32:I$252)),I$32:I$252&lt;&gt;""""))))))"),"")</f>
        <v/>
      </c>
      <c r="AS245" s="198" t="e">
        <f ca="1">IF(AY245=0,"",ROUND(AY245/AM$3*10000,0))</f>
        <v>#NAME?</v>
      </c>
      <c r="AT245" s="263" t="b">
        <v>0</v>
      </c>
      <c r="AU245" s="264" t="b">
        <f>OR(AM$12)</f>
        <v>0</v>
      </c>
      <c r="AV245" s="265">
        <v>0</v>
      </c>
      <c r="AW245" s="266" t="b">
        <f>(AM$15)</f>
        <v>0</v>
      </c>
      <c r="AX245" s="265">
        <v>1.5</v>
      </c>
      <c r="AY245" s="56" t="e">
        <f ca="1">MAX(ROUND(AP245*(AM$1/AM$27),0),IF(AT245=TRUE,1,0))</f>
        <v>#NAME?</v>
      </c>
      <c r="AZ245" s="229">
        <v>3</v>
      </c>
      <c r="BA245" s="233">
        <v>0</v>
      </c>
      <c r="BB245" s="222" t="b">
        <v>0</v>
      </c>
      <c r="BC245" s="223" t="b">
        <v>0</v>
      </c>
      <c r="BD245" s="223" t="b">
        <v>0</v>
      </c>
      <c r="BE245" s="224" t="b">
        <v>0</v>
      </c>
      <c r="BF245" s="78">
        <v>1</v>
      </c>
      <c r="BG245" s="240" t="str">
        <f>IF(BC245=FALSE,"",MIN(BH245:$BK245)-ROUND(($BK245-1-ROUND(80/$AZ245,0))/COUNTIF($BB245:$BE245,TRUE),0))</f>
        <v/>
      </c>
      <c r="BH245" s="240" t="str">
        <f>IF(BD245=FALSE,"",MIN(BI245:$BK245)-ROUND(($BK245-1-ROUND(80/$AZ245,0))/COUNTIF($BB245:$BE245,TRUE),0))</f>
        <v/>
      </c>
      <c r="BI245" s="240" t="str">
        <f>IF(BE245=FALSE,"",MIN(BJ245:$BK245)-ROUND(($BK245-1-ROUND(80/$AZ245,0))/COUNTIF($BB245:$BE245,TRUE),0))</f>
        <v/>
      </c>
      <c r="BJ245" s="240" t="str">
        <f>IF(BB245=FALSE,"",MIN($BK245:BK245)-ROUND(($BK245-1-ROUND(80/$AZ245,0))/COUNTIF($BB245:$BE245,TRUE),0))</f>
        <v/>
      </c>
      <c r="BK245" s="192">
        <f>101-ROUND(Ag!BU$7*100,0)</f>
        <v>96</v>
      </c>
      <c r="BL245" s="66">
        <v>2</v>
      </c>
      <c r="BM245" s="82">
        <f t="array" ref="BM245">MIN(BL245,INDEX([1]Basic!L$26:L$34, MATCH([1]Basic!D$5,[1]Basic!B$26:B$34,0)))</f>
        <v>2</v>
      </c>
    </row>
    <row r="246" spans="26:65" ht="15.75" customHeight="1" thickTop="1" thickBot="1">
      <c r="Z246" s="31"/>
      <c r="AA246" s="31"/>
      <c r="AB246" s="31"/>
      <c r="AC246" s="31"/>
      <c r="AD246" s="31"/>
      <c r="AE246" s="31"/>
      <c r="AF246" s="31"/>
      <c r="AG246" s="31"/>
      <c r="AH246" s="31"/>
      <c r="AI246" s="31"/>
      <c r="AK246" s="389"/>
      <c r="AL246" s="448" t="s">
        <v>317</v>
      </c>
      <c r="AM246" s="355"/>
      <c r="AN246" s="253">
        <v>3</v>
      </c>
      <c r="AO246" s="7" t="e">
        <f ca="1">ROUND(AN246*_xludf.ifs(
AND(AU246=TRUE,AW246=TRUE),1,
AU246=TRUE,AV246,
AW246=TRUE,AX246,
TRUE,1),0)</f>
        <v>#NAME?</v>
      </c>
      <c r="AP246" s="53" t="e">
        <f ca="1">ROUND(AO246/SUM(AO$32:AO$252)*AM$27,0)</f>
        <v>#NAME?</v>
      </c>
      <c r="AQ246" s="9" t="str">
        <f ca="1">IFERROR(__xludf.DUMMYFUNCTION("if(O246=0,"""",
filter(I$32:I245,row(I$32:I245)=max(filter(arrayformula(row(I$32:I245)),I$32:I245&lt;&gt;"""")))+
filter(G$32:G245,row(G$32:G245)=max(filter(arrayformula(row(G$32:G245)),G$32:G245&lt;&gt;"""")))
)"),"")</f>
        <v/>
      </c>
      <c r="AR246" s="146" t="str">
        <f ca="1">IFERROR(__xludf.DUMMYFUNCTION("if(G246="""","""",G246-(
filter(G$32:G$252,row(G$32:G$252)=max(filter(arrayformula(row(G$32:G$252)),G$32:G$252&lt;&gt;"""")))
-(10001-
filter(I$32:I$252,row(I$32:I$252)=max(filter(arrayformula(row(I$32:I$252)),I$32:I$252&lt;&gt;""""))))))"),"")</f>
        <v/>
      </c>
      <c r="AS246" s="146" t="e">
        <f ca="1">IF(AY246=0,"",ROUND(AY246/AM$3*10000,0))</f>
        <v>#NAME?</v>
      </c>
      <c r="AT246" s="254" t="b">
        <v>0</v>
      </c>
      <c r="AU246" s="255" t="b">
        <f>OR(AM$12)</f>
        <v>0</v>
      </c>
      <c r="AV246" s="256">
        <v>0</v>
      </c>
      <c r="AW246" s="257" t="b">
        <f>OR(AM$8,AM$9,AQ$17,AQ$21)</f>
        <v>0</v>
      </c>
      <c r="AX246" s="256">
        <v>3</v>
      </c>
      <c r="AY246" s="60" t="e">
        <f ca="1">MAX(ROUND(AP246*(AM$1/AM$27),0),IF(AT246=TRUE,1,0))</f>
        <v>#NAME?</v>
      </c>
      <c r="AZ246" s="258">
        <v>5</v>
      </c>
      <c r="BA246" s="221">
        <v>0</v>
      </c>
      <c r="BB246" s="260" t="b">
        <v>1</v>
      </c>
      <c r="BC246" s="269" t="b">
        <v>0</v>
      </c>
      <c r="BD246" s="258" t="b">
        <v>1</v>
      </c>
      <c r="BE246" s="261" t="b">
        <v>1</v>
      </c>
      <c r="BF246" s="179">
        <v>1</v>
      </c>
      <c r="BG246" s="225" t="str">
        <f>IF(BC246=FALSE,"",MIN(BH246:$BK246)-ROUND(($BK246-1-ROUND(80/$AZ246,0))/COUNTIF($BB246:$BE246,TRUE),0))</f>
        <v/>
      </c>
      <c r="BH246" s="225">
        <f>IF(BD246=FALSE,"",MIN(BI246:$BK246)-ROUND(($BK246-1-ROUND(80/$AZ246,0))/COUNTIF($BB246:$BE246,TRUE),0))</f>
        <v>18</v>
      </c>
      <c r="BI246" s="225">
        <f>IF(BE246=FALSE,"",MIN(BJ246:$BK246)-ROUND(($BK246-1-ROUND(80/$AZ246,0))/COUNTIF($BB246:$BE246,TRUE),0))</f>
        <v>44</v>
      </c>
      <c r="BJ246" s="225">
        <f>IF(BB246=FALSE,"",MIN($BK246:BK246)-ROUND(($BK246-1-ROUND(80/$AZ246,0))/COUNTIF($BB246:$BE246,TRUE),0))</f>
        <v>70</v>
      </c>
      <c r="BK246" s="107">
        <f>101-ROUND(Ag!BU$7*100,0)</f>
        <v>96</v>
      </c>
      <c r="BL246" s="63">
        <v>3</v>
      </c>
      <c r="BM246" s="82">
        <f t="array" ref="BM246">MIN(BL246,INDEX([1]Basic!L$26:L$34, MATCH([1]Basic!D$5,[1]Basic!B$26:B$34,0)))</f>
        <v>3</v>
      </c>
    </row>
    <row r="247" spans="26:65" ht="15.75" customHeight="1" thickTop="1" thickBot="1">
      <c r="Z247" s="31"/>
      <c r="AA247" s="31"/>
      <c r="AB247" s="31"/>
      <c r="AC247" s="31"/>
      <c r="AD247" s="31"/>
      <c r="AE247" s="31"/>
      <c r="AF247" s="31"/>
      <c r="AG247" s="31"/>
      <c r="AH247" s="31"/>
      <c r="AI247" s="31"/>
      <c r="AK247" s="359"/>
      <c r="AL247" s="465" t="s">
        <v>322</v>
      </c>
      <c r="AM247" s="361"/>
      <c r="AN247" s="270">
        <v>16</v>
      </c>
      <c r="AO247" s="218" t="e">
        <f ca="1">ROUND(AN247*_xludf.ifs(
AND(AU247=TRUE,AW247=TRUE),1,
AU247=TRUE,AV247,
AW247=TRUE,AX247,
TRUE,1),0)</f>
        <v>#NAME?</v>
      </c>
      <c r="AP247" s="57" t="e">
        <f ca="1">ROUND(AO247/SUM(AO$32:AO$252)*AM$27,0)</f>
        <v>#NAME?</v>
      </c>
      <c r="AQ247" s="6">
        <f ca="1">IFERROR(__xludf.DUMMYFUNCTION("if(O247=0,"""",
filter(I$32:I246,row(I$32:I246)=max(filter(arrayformula(row(I$32:I246)),I$32:I246&lt;&gt;"""")))+
filter(G$32:G246,row(G$32:G246)=max(filter(arrayformula(row(G$32:G246)),G$32:G246&lt;&gt;"""")))
)"),9452)</f>
        <v>9452</v>
      </c>
      <c r="AR247" s="206">
        <f ca="1">IFERROR(__xludf.DUMMYFUNCTION("if(G247="""","""",G247-(
filter(G$32:G$252,row(G$32:G$252)=max(filter(arrayformula(row(G$32:G$252)),G$32:G$252&lt;&gt;"""")))
-(10001-
filter(I$32:I$252,row(I$32:I$252)=max(filter(arrayformula(row(I$32:I$252)),I$32:I$252&lt;&gt;""""))))))"),9445)</f>
        <v>9445</v>
      </c>
      <c r="AS247" s="206" t="e">
        <f ca="1">IF(AY247=0,"",ROUND(AY247/AM$3*10000,0))</f>
        <v>#NAME?</v>
      </c>
      <c r="AT247" s="271" t="b">
        <v>1</v>
      </c>
      <c r="AU247" s="272" t="b">
        <f>OR(AM$12)</f>
        <v>0</v>
      </c>
      <c r="AV247" s="273">
        <v>0.01</v>
      </c>
      <c r="AW247" s="274" t="b">
        <f>OR(AM$9,AQ$21)</f>
        <v>0</v>
      </c>
      <c r="AX247" s="273">
        <v>4</v>
      </c>
      <c r="AY247" s="58" t="e">
        <f ca="1">MAX(ROUND(AP247*(AM$1/AM$27),0),IF(AT247=TRUE,1,0))</f>
        <v>#NAME?</v>
      </c>
      <c r="AZ247" s="238">
        <v>10</v>
      </c>
      <c r="BA247" s="259">
        <v>1</v>
      </c>
      <c r="BB247" s="260" t="b">
        <v>1</v>
      </c>
      <c r="BC247" s="258" t="b">
        <v>1</v>
      </c>
      <c r="BD247" s="258" t="b">
        <v>1</v>
      </c>
      <c r="BE247" s="261" t="b">
        <v>1</v>
      </c>
      <c r="BF247" s="55">
        <v>1</v>
      </c>
      <c r="BG247" s="275">
        <f>IF(BC247=FALSE,"",MIN(BH247:$BK247)-ROUND(($BK247-1-ROUND(80/$AZ247,0))/COUNTIF($BB247:$BE247,TRUE),0))</f>
        <v>8</v>
      </c>
      <c r="BH247" s="275">
        <f>IF(BD247=FALSE,"",MIN(BI247:$BK247)-ROUND(($BK247-1-ROUND(80/$AZ247,0))/COUNTIF($BB247:$BE247,TRUE),0))</f>
        <v>30</v>
      </c>
      <c r="BI247" s="275">
        <f>IF(BE247=FALSE,"",MIN(BJ247:$BK247)-ROUND(($BK247-1-ROUND(80/$AZ247,0))/COUNTIF($BB247:$BE247,TRUE),0))</f>
        <v>52</v>
      </c>
      <c r="BJ247" s="275">
        <f>IF(BB247=FALSE,"",MIN($BK247:BK247)-ROUND(($BK247-1-ROUND(80/$AZ247,0))/COUNTIF($BB247:$BE247,TRUE),0))</f>
        <v>74</v>
      </c>
      <c r="BK247" s="276">
        <f>101-ROUND(Ag!BU$7*100,0)</f>
        <v>96</v>
      </c>
      <c r="BL247" s="277">
        <v>4</v>
      </c>
      <c r="BM247" s="82">
        <f t="array" ref="BM247">MIN(BL247,INDEX([1]Basic!L$26:L$34, MATCH([1]Basic!D$5,[1]Basic!B$26:B$34,0)))</f>
        <v>3</v>
      </c>
    </row>
    <row r="248" spans="26:65" ht="15.75" customHeight="1" thickTop="1">
      <c r="Z248" s="31"/>
      <c r="AA248" s="31"/>
      <c r="AB248" s="31"/>
      <c r="AC248" s="31"/>
      <c r="AD248" s="31"/>
      <c r="AE248" s="31"/>
      <c r="AF248" s="31"/>
      <c r="AG248" s="31"/>
      <c r="AH248" s="31"/>
      <c r="AI248" s="31"/>
      <c r="AK248" s="453" t="s">
        <v>795</v>
      </c>
      <c r="AL248" s="449" t="s">
        <v>329</v>
      </c>
      <c r="AM248" s="369"/>
      <c r="AN248" s="278">
        <v>8</v>
      </c>
      <c r="AO248" s="54" t="e">
        <f ca="1">ROUND(AN248*_xludf.ifs(
AND(AU248=TRUE,AW248=TRUE),1,
AU248=TRUE,AV248,
AW248=TRUE,AX248,
TRUE,1),0)</f>
        <v>#NAME?</v>
      </c>
      <c r="AP248" s="118" t="e">
        <f ca="1">ROUND(AO248/SUM(AO$32:AO$252)*AM$27,0)</f>
        <v>#NAME?</v>
      </c>
      <c r="AQ248" s="5" t="str">
        <f ca="1">IFERROR(__xludf.DUMMYFUNCTION("if(O248=0,"""",
filter(I$32:I247,row(I$32:I247)=max(filter(arrayformula(row(I$32:I247)),I$32:I247&lt;&gt;"""")))+
filter(G$32:G247,row(G$32:G247)=max(filter(arrayformula(row(G$32:G247)),G$32:G247&lt;&gt;"""")))
)"),"")</f>
        <v/>
      </c>
      <c r="AR248" s="198" t="str">
        <f ca="1">IFERROR(__xludf.DUMMYFUNCTION("if(G248="""","""",G248-(
filter(G$32:G$252,row(G$32:G$252)=max(filter(arrayformula(row(G$32:G$252)),G$32:G$252&lt;&gt;"""")))
-(10001-
filter(I$32:I$252,row(I$32:I$252)=max(filter(arrayformula(row(I$32:I$252)),I$32:I$252&lt;&gt;""""))))))"),"")</f>
        <v/>
      </c>
      <c r="AS248" s="198" t="e">
        <f ca="1">IF(AY248=0,"",ROUND(AY248/AM$3*10000,0))</f>
        <v>#NAME?</v>
      </c>
      <c r="AT248" s="279" t="b">
        <v>0</v>
      </c>
      <c r="AU248" s="280" t="b">
        <f>OR(AM$16)</f>
        <v>0</v>
      </c>
      <c r="AV248" s="281">
        <v>0</v>
      </c>
      <c r="AW248" s="282" t="b">
        <f>OR(AQ$22)</f>
        <v>0</v>
      </c>
      <c r="AX248" s="281">
        <v>4</v>
      </c>
      <c r="AY248" s="56" t="e">
        <f ca="1">MAX(ROUND(AP248*(AM$1/AM$27),0),IF(AT248=TRUE,1,0))</f>
        <v>#NAME?</v>
      </c>
      <c r="AZ248" s="229">
        <v>1</v>
      </c>
      <c r="BA248" s="221">
        <v>0</v>
      </c>
      <c r="BB248" s="222" t="b">
        <v>0</v>
      </c>
      <c r="BC248" s="228" t="b">
        <v>1</v>
      </c>
      <c r="BD248" s="223" t="b">
        <v>0</v>
      </c>
      <c r="BE248" s="229" t="b">
        <v>1</v>
      </c>
      <c r="BF248" s="179">
        <v>1</v>
      </c>
      <c r="BG248" s="225">
        <f>IF(BC248=FALSE,"",MIN(BH248:$BK248)-ROUND(($BK248-1-ROUND(80/$AZ248,0))/COUNTIF($BB248:$BE248,TRUE),0))</f>
        <v>80</v>
      </c>
      <c r="BH248" s="225" t="str">
        <f>IF(BD248=FALSE,"",MIN(BI248:$BK248)-ROUND(($BK248-1-ROUND(80/$AZ248,0))/COUNTIF($BB248:$BE248,TRUE),0))</f>
        <v/>
      </c>
      <c r="BI248" s="225">
        <f>IF(BE248=FALSE,"",MIN(BJ248:$BK248)-ROUND(($BK248-1-ROUND(80/$AZ248,0))/COUNTIF($BB248:$BE248,TRUE),0))</f>
        <v>88</v>
      </c>
      <c r="BJ248" s="225" t="str">
        <f>IF(BB248=FALSE,"",MIN($BK248:BK248)-ROUND(($BK248-1-ROUND(80/$AZ248,0))/COUNTIF($BB248:$BE248,TRUE),0))</f>
        <v/>
      </c>
      <c r="BK248" s="107">
        <f>101-ROUND(Ag!BU$7*100,0)</f>
        <v>96</v>
      </c>
      <c r="BL248" s="63">
        <v>2</v>
      </c>
      <c r="BM248" s="82">
        <f t="array" ref="BM248">MIN(BL248,INDEX([1]Basic!L$26:L$34, MATCH([1]Basic!D$5,[1]Basic!B$26:B$34,0)))</f>
        <v>2</v>
      </c>
    </row>
    <row r="249" spans="26:65" ht="15.75" customHeight="1">
      <c r="Z249" s="31"/>
      <c r="AA249" s="31"/>
      <c r="AB249" s="31"/>
      <c r="AC249" s="31"/>
      <c r="AD249" s="31"/>
      <c r="AE249" s="31"/>
      <c r="AF249" s="31"/>
      <c r="AG249" s="31"/>
      <c r="AH249" s="31"/>
      <c r="AI249" s="31"/>
      <c r="AK249" s="389"/>
      <c r="AL249" s="449" t="s">
        <v>334</v>
      </c>
      <c r="AM249" s="369"/>
      <c r="AN249" s="262">
        <v>18</v>
      </c>
      <c r="AO249" s="218" t="e">
        <f ca="1">ROUND(AN249*_xludf.ifs(
AND(AU249=TRUE,AW249=TRUE),1,
AU249=TRUE,AV249,
AW249=TRUE,AX249,
TRUE,1),0)</f>
        <v>#NAME?</v>
      </c>
      <c r="AP249" s="57" t="e">
        <f ca="1">ROUND(AO249/SUM(AO$32:AO$252)*AM$27,0)</f>
        <v>#NAME?</v>
      </c>
      <c r="AQ249" s="5" t="str">
        <f ca="1">IFERROR(__xludf.DUMMYFUNCTION("if(O249=0,"""",
filter(I$32:I248,row(I$32:I248)=max(filter(arrayformula(row(I$32:I248)),I$32:I248&lt;&gt;"""")))+
filter(G$32:G248,row(G$32:G248)=max(filter(arrayformula(row(G$32:G248)),G$32:G248&lt;&gt;"""")))
)"),"")</f>
        <v/>
      </c>
      <c r="AR249" s="198" t="str">
        <f ca="1">IFERROR(__xludf.DUMMYFUNCTION("if(G249="""","""",G249-(
filter(G$32:G$252,row(G$32:G$252)=max(filter(arrayformula(row(G$32:G$252)),G$32:G$252&lt;&gt;"""")))
-(10001-
filter(I$32:I$252,row(I$32:I$252)=max(filter(arrayformula(row(I$32:I$252)),I$32:I$252&lt;&gt;""""))))))"),"")</f>
        <v/>
      </c>
      <c r="AS249" s="198" t="e">
        <f ca="1">IF(AY249=0,"",ROUND(AY249/AM$3*10000,0))</f>
        <v>#NAME?</v>
      </c>
      <c r="AT249" s="263" t="b">
        <v>0</v>
      </c>
      <c r="AU249" s="264" t="b">
        <f>OR(AM$16)</f>
        <v>0</v>
      </c>
      <c r="AV249" s="265">
        <v>0</v>
      </c>
      <c r="AW249" s="266" t="b">
        <f>OR(AQ$22)</f>
        <v>0</v>
      </c>
      <c r="AX249" s="265">
        <v>4</v>
      </c>
      <c r="AY249" s="56" t="e">
        <f ca="1">MAX(ROUND(AP249*(AM$1/AM$27),0),IF(AT249=TRUE,1,0))</f>
        <v>#NAME?</v>
      </c>
      <c r="AZ249" s="229">
        <v>2</v>
      </c>
      <c r="BA249" s="221">
        <v>0</v>
      </c>
      <c r="BB249" s="222" t="b">
        <v>0</v>
      </c>
      <c r="BC249" s="228" t="b">
        <v>1</v>
      </c>
      <c r="BD249" s="228" t="b">
        <v>1</v>
      </c>
      <c r="BE249" s="229" t="b">
        <v>1</v>
      </c>
      <c r="BF249" s="179">
        <v>1</v>
      </c>
      <c r="BG249" s="225">
        <f>IF(BC249=FALSE,"",MIN(BH249:$BK249)-ROUND(($BK249-1-ROUND(80/$AZ249,0))/COUNTIF($BB249:$BE249,TRUE),0))</f>
        <v>42</v>
      </c>
      <c r="BH249" s="225">
        <f>IF(BD249=FALSE,"",MIN(BI249:$BK249)-ROUND(($BK249-1-ROUND(80/$AZ249,0))/COUNTIF($BB249:$BE249,TRUE),0))</f>
        <v>60</v>
      </c>
      <c r="BI249" s="225">
        <f>IF(BE249=FALSE,"",MIN(BJ249:$BK249)-ROUND(($BK249-1-ROUND(80/$AZ249,0))/COUNTIF($BB249:$BE249,TRUE),0))</f>
        <v>78</v>
      </c>
      <c r="BJ249" s="225" t="str">
        <f>IF(BB249=FALSE,"",MIN($BK249:BK249)-ROUND(($BK249-1-ROUND(80/$AZ249,0))/COUNTIF($BB249:$BE249,TRUE),0))</f>
        <v/>
      </c>
      <c r="BK249" s="107">
        <f>101-ROUND(Ag!BU$7*100,0)</f>
        <v>96</v>
      </c>
      <c r="BL249" s="63">
        <v>3</v>
      </c>
      <c r="BM249" s="82">
        <f t="array" ref="BM249">MIN(BL249,INDEX([1]Basic!L$26:L$34, MATCH([1]Basic!D$5,[1]Basic!B$26:B$34,0)))</f>
        <v>3</v>
      </c>
    </row>
    <row r="250" spans="26:65" ht="15.75" customHeight="1">
      <c r="Z250" s="31"/>
      <c r="AA250" s="31"/>
      <c r="AB250" s="31"/>
      <c r="AC250" s="31"/>
      <c r="AD250" s="31"/>
      <c r="AE250" s="31"/>
      <c r="AF250" s="31"/>
      <c r="AG250" s="31"/>
      <c r="AH250" s="31"/>
      <c r="AI250" s="31"/>
      <c r="AK250" s="389"/>
      <c r="AL250" s="449" t="s">
        <v>339</v>
      </c>
      <c r="AM250" s="369"/>
      <c r="AN250" s="262">
        <v>48</v>
      </c>
      <c r="AO250" s="218" t="e">
        <f ca="1">ROUND(AN250*_xludf.ifs(
AND(AU250=TRUE,AW250=TRUE),1,
AU250=TRUE,AV250,
AW250=TRUE,AX250,
TRUE,1),0)</f>
        <v>#NAME?</v>
      </c>
      <c r="AP250" s="57" t="e">
        <f ca="1">ROUND(AO250/SUM(AO$32:AO$252)*AM$27,0)</f>
        <v>#NAME?</v>
      </c>
      <c r="AQ250" s="5" t="str">
        <f ca="1">IFERROR(__xludf.DUMMYFUNCTION("if(O250=0,"""",
filter(I$32:I249,row(I$32:I249)=max(filter(arrayformula(row(I$32:I249)),I$32:I249&lt;&gt;"""")))+
filter(G$32:G249,row(G$32:G249)=max(filter(arrayformula(row(G$32:G249)),G$32:G249&lt;&gt;"""")))
)"),"")</f>
        <v/>
      </c>
      <c r="AR250" s="198" t="str">
        <f ca="1">IFERROR(__xludf.DUMMYFUNCTION("if(G250="""","""",G250-(
filter(G$32:G$252,row(G$32:G$252)=max(filter(arrayformula(row(G$32:G$252)),G$32:G$252&lt;&gt;"""")))
-(10001-
filter(I$32:I$252,row(I$32:I$252)=max(filter(arrayformula(row(I$32:I$252)),I$32:I$252&lt;&gt;""""))))))"),"")</f>
        <v/>
      </c>
      <c r="AS250" s="198" t="e">
        <f ca="1">IF(AY250=0,"",ROUND(AY250/AM$3*10000,0))</f>
        <v>#NAME?</v>
      </c>
      <c r="AT250" s="263" t="b">
        <v>0</v>
      </c>
      <c r="AU250" s="264" t="b">
        <f>OR(AM$16,AQ21)</f>
        <v>0</v>
      </c>
      <c r="AV250" s="265">
        <v>0.1</v>
      </c>
      <c r="AW250" s="266" t="b">
        <f>OR(AQ$22)</f>
        <v>0</v>
      </c>
      <c r="AX250" s="265">
        <v>4</v>
      </c>
      <c r="AY250" s="56" t="e">
        <f ca="1">MAX(ROUND(AP250*(AM$1/AM$27),0),IF(AT250=TRUE,1,0))</f>
        <v>#NAME?</v>
      </c>
      <c r="AZ250" s="229">
        <v>3</v>
      </c>
      <c r="BA250" s="221">
        <v>0</v>
      </c>
      <c r="BB250" s="227" t="b">
        <v>1</v>
      </c>
      <c r="BC250" s="228" t="b">
        <v>1</v>
      </c>
      <c r="BD250" s="223" t="b">
        <v>0</v>
      </c>
      <c r="BE250" s="229" t="b">
        <v>1</v>
      </c>
      <c r="BF250" s="179">
        <v>1</v>
      </c>
      <c r="BG250" s="225">
        <f>IF(BC250=FALSE,"",MIN(BH250:$BK250)-ROUND(($BK250-1-ROUND(80/$AZ250,0))/COUNTIF($BB250:$BE250,TRUE),0))</f>
        <v>27</v>
      </c>
      <c r="BH250" s="225" t="str">
        <f>IF(BD250=FALSE,"",MIN(BI250:$BK250)-ROUND(($BK250-1-ROUND(80/$AZ250,0))/COUNTIF($BB250:$BE250,TRUE),0))</f>
        <v/>
      </c>
      <c r="BI250" s="225">
        <f>IF(BE250=FALSE,"",MIN(BJ250:$BK250)-ROUND(($BK250-1-ROUND(80/$AZ250,0))/COUNTIF($BB250:$BE250,TRUE),0))</f>
        <v>50</v>
      </c>
      <c r="BJ250" s="225">
        <f>IF(BB250=FALSE,"",MIN($BK250:BK250)-ROUND(($BK250-1-ROUND(80/$AZ250,0))/COUNTIF($BB250:$BE250,TRUE),0))</f>
        <v>73</v>
      </c>
      <c r="BK250" s="107">
        <f>101-ROUND(Ag!BU$7*100,0)</f>
        <v>96</v>
      </c>
      <c r="BL250" s="63">
        <v>4</v>
      </c>
      <c r="BM250" s="82">
        <f t="array" ref="BM250">MIN(BL250,INDEX([1]Basic!L$26:L$34, MATCH([1]Basic!D$5,[1]Basic!B$26:B$34,0)))</f>
        <v>3</v>
      </c>
    </row>
    <row r="251" spans="26:65" ht="15.75" customHeight="1">
      <c r="Z251" s="31"/>
      <c r="AA251" s="31"/>
      <c r="AB251" s="31"/>
      <c r="AC251" s="31"/>
      <c r="AD251" s="31"/>
      <c r="AE251" s="31"/>
      <c r="AF251" s="31"/>
      <c r="AG251" s="31"/>
      <c r="AH251" s="31"/>
      <c r="AI251" s="31"/>
      <c r="AK251" s="389"/>
      <c r="AL251" s="449" t="s">
        <v>344</v>
      </c>
      <c r="AM251" s="369"/>
      <c r="AN251" s="262">
        <v>4</v>
      </c>
      <c r="AO251" s="218" t="e">
        <f ca="1">ROUND(AN251*_xludf.ifs(
AND(AU251=TRUE,AW251=TRUE),1,
AU251=TRUE,AV251,
AW251=TRUE,AX251,
TRUE,1),0)</f>
        <v>#NAME?</v>
      </c>
      <c r="AP251" s="57" t="e">
        <f ca="1">ROUND(AO251/SUM(AO$32:AO$252)*AM$27,0)</f>
        <v>#NAME?</v>
      </c>
      <c r="AQ251" s="5" t="str">
        <f ca="1">IFERROR(__xludf.DUMMYFUNCTION("if(O251=0,"""",
filter(I$32:I250,row(I$32:I250)=max(filter(arrayformula(row(I$32:I250)),I$32:I250&lt;&gt;"""")))+
filter(G$32:G250,row(G$32:G250)=max(filter(arrayformula(row(G$32:G250)),G$32:G250&lt;&gt;"""")))
)"),"")</f>
        <v/>
      </c>
      <c r="AR251" s="198" t="str">
        <f ca="1">IFERROR(__xludf.DUMMYFUNCTION("if(G251="""","""",G251-(
filter(G$32:G$252,row(G$32:G$252)=max(filter(arrayformula(row(G$32:G$252)),G$32:G$252&lt;&gt;"""")))
-(10001-
filter(I$32:I$252,row(I$32:I$252)=max(filter(arrayformula(row(I$32:I$252)),I$32:I$252&lt;&gt;""""))))))"),"")</f>
        <v/>
      </c>
      <c r="AS251" s="198" t="e">
        <f ca="1">IF(AY251=0,"",ROUND(AY251/AM$3*10000,0))</f>
        <v>#NAME?</v>
      </c>
      <c r="AT251" s="263" t="b">
        <v>0</v>
      </c>
      <c r="AU251" s="264" t="b">
        <f>OR(AM$16)</f>
        <v>0</v>
      </c>
      <c r="AV251" s="265">
        <v>0</v>
      </c>
      <c r="AW251" s="266" t="b">
        <f>OR(AQ$22)</f>
        <v>0</v>
      </c>
      <c r="AX251" s="265">
        <v>4</v>
      </c>
      <c r="AY251" s="56" t="e">
        <f ca="1">MAX(ROUND(AP251*(AM$1/AM$27),0),IF(AT251=TRUE,1,0))</f>
        <v>#NAME?</v>
      </c>
      <c r="AZ251" s="229">
        <v>5</v>
      </c>
      <c r="BA251" s="221">
        <v>0</v>
      </c>
      <c r="BB251" s="227" t="b">
        <v>1</v>
      </c>
      <c r="BC251" s="228" t="b">
        <v>1</v>
      </c>
      <c r="BD251" s="223" t="b">
        <v>0</v>
      </c>
      <c r="BE251" s="229" t="b">
        <v>1</v>
      </c>
      <c r="BF251" s="179">
        <v>1</v>
      </c>
      <c r="BG251" s="225">
        <f>IF(BC251=FALSE,"",MIN(BH251:$BK251)-ROUND(($BK251-1-ROUND(80/$AZ251,0))/COUNTIF($BB251:$BE251,TRUE),0))</f>
        <v>18</v>
      </c>
      <c r="BH251" s="225" t="str">
        <f>IF(BD251=FALSE,"",MIN(BI251:$BK251)-ROUND(($BK251-1-ROUND(80/$AZ251,0))/COUNTIF($BB251:$BE251,TRUE),0))</f>
        <v/>
      </c>
      <c r="BI251" s="225">
        <f>IF(BE251=FALSE,"",MIN(BJ251:$BK251)-ROUND(($BK251-1-ROUND(80/$AZ251,0))/COUNTIF($BB251:$BE251,TRUE),0))</f>
        <v>44</v>
      </c>
      <c r="BJ251" s="225">
        <f>IF(BB251=FALSE,"",MIN($BK251:BK251)-ROUND(($BK251-1-ROUND(80/$AZ251,0))/COUNTIF($BB251:$BE251,TRUE),0))</f>
        <v>70</v>
      </c>
      <c r="BK251" s="107">
        <f>101-ROUND(Ag!BU$7*100,0)</f>
        <v>96</v>
      </c>
      <c r="BL251" s="63">
        <v>5</v>
      </c>
      <c r="BM251" s="82">
        <f t="array" ref="BM251">MIN(BL251,INDEX([1]Basic!L$26:L$34, MATCH([1]Basic!D$5,[1]Basic!B$26:B$34,0)))</f>
        <v>3</v>
      </c>
    </row>
    <row r="252" spans="26:65" ht="15.75" customHeight="1" thickBot="1">
      <c r="Z252" s="31"/>
      <c r="AA252" s="31"/>
      <c r="AB252" s="31"/>
      <c r="AC252" s="31"/>
      <c r="AD252" s="31"/>
      <c r="AE252" s="31"/>
      <c r="AF252" s="31"/>
      <c r="AG252" s="31"/>
      <c r="AH252" s="31"/>
      <c r="AI252" s="31"/>
      <c r="AK252" s="359"/>
      <c r="AL252" s="465" t="s">
        <v>350</v>
      </c>
      <c r="AM252" s="361"/>
      <c r="AN252" s="270">
        <v>2</v>
      </c>
      <c r="AO252" s="11" t="e">
        <f ca="1">ROUND(AN252*_xludf.ifs(
AND(AU252=TRUE,AW252=TRUE),1,
AU252=TRUE,AV252,
AW252=TRUE,AX252,
TRUE,1),0)</f>
        <v>#NAME?</v>
      </c>
      <c r="AP252" s="59" t="e">
        <f ca="1">ROUND(AO252/SUM(AO$32:AO$252)*AM$27,0)</f>
        <v>#NAME?</v>
      </c>
      <c r="AQ252" s="6" t="str">
        <f ca="1">IFERROR(__xludf.DUMMYFUNCTION("if(O252=0,"""",
filter(I$32:I251,row(I$32:I251)=max(filter(arrayformula(row(I$32:I251)),I$32:I251&lt;&gt;"""")))+
filter(G$32:G251,row(G$32:G251)=max(filter(arrayformula(row(G$32:G251)),G$32:G251&lt;&gt;"""")))
)"),"")</f>
        <v/>
      </c>
      <c r="AR252" s="206" t="str">
        <f ca="1">IFERROR(__xludf.DUMMYFUNCTION("if(G252="""","""",G252-(
filter(G$32:G$252,row(G$32:G$252)=max(filter(arrayformula(row(G$32:G$252)),G$32:G$252&lt;&gt;"""")))
-(10001-
filter(I$32:I$252,row(I$32:I$252)=max(filter(arrayformula(row(I$32:I$252)),I$32:I$252&lt;&gt;""""))))))"),"")</f>
        <v/>
      </c>
      <c r="AS252" s="206" t="e">
        <f ca="1">IF(AY252=0,"",ROUND(AY252/AM$3*10000,0))</f>
        <v>#NAME?</v>
      </c>
      <c r="AT252" s="271" t="b">
        <v>0</v>
      </c>
      <c r="AU252" s="272" t="b">
        <f>OR(AM$16)</f>
        <v>0</v>
      </c>
      <c r="AV252" s="273">
        <v>0</v>
      </c>
      <c r="AW252" s="274" t="b">
        <f>OR(AQ$22)</f>
        <v>0</v>
      </c>
      <c r="AX252" s="273">
        <v>3</v>
      </c>
      <c r="AY252" s="58" t="e">
        <f ca="1">MAX(ROUND(AP252*(AM$1/AM$27),0),IF(AT252=TRUE,1,0))</f>
        <v>#NAME?</v>
      </c>
      <c r="AZ252" s="238">
        <v>10</v>
      </c>
      <c r="BA252" s="233">
        <v>1</v>
      </c>
      <c r="BB252" s="243" t="b">
        <v>1</v>
      </c>
      <c r="BC252" s="245" t="b">
        <v>1</v>
      </c>
      <c r="BD252" s="245" t="b">
        <v>1</v>
      </c>
      <c r="BE252" s="238" t="b">
        <v>1</v>
      </c>
      <c r="BF252" s="78">
        <v>1</v>
      </c>
      <c r="BG252" s="240">
        <f>IF(BC252=FALSE,"",MIN(BH252:$BK252)-ROUND(($BK252-1-ROUND(80/$AZ252,0))/COUNTIF($BB252:$BE252,TRUE),0))</f>
        <v>8</v>
      </c>
      <c r="BH252" s="240">
        <f>IF(BD252=FALSE,"",MIN(BI252:$BK252)-ROUND(($BK252-1-ROUND(80/$AZ252,0))/COUNTIF($BB252:$BE252,TRUE),0))</f>
        <v>30</v>
      </c>
      <c r="BI252" s="240">
        <f>IF(BE252=FALSE,"",MIN(BJ252:$BK252)-ROUND(($BK252-1-ROUND(80/$AZ252,0))/COUNTIF($BB252:$BE252,TRUE),0))</f>
        <v>52</v>
      </c>
      <c r="BJ252" s="240">
        <f>IF(BB252=FALSE,"",MIN($BK252:BK252)-ROUND(($BK252-1-ROUND(80/$AZ252,0))/COUNTIF($BB252:$BE252,TRUE),0))</f>
        <v>74</v>
      </c>
      <c r="BK252" s="192">
        <f>101-ROUND(Ag!BU$7*100,0)</f>
        <v>96</v>
      </c>
      <c r="BL252" s="66">
        <v>5</v>
      </c>
      <c r="BM252" s="83">
        <f t="array" ref="BM252">MIN(BL252,INDEX([1]Basic!L$26:L$34, MATCH([1]Basic!D$5,[1]Basic!B$26:B$34,0)))</f>
        <v>3</v>
      </c>
    </row>
    <row r="253" spans="26:65" ht="15.75" customHeight="1" thickTop="1">
      <c r="Z253" s="31"/>
      <c r="AA253" s="31"/>
      <c r="AB253" s="31"/>
      <c r="AC253" s="31"/>
      <c r="AD253" s="31"/>
      <c r="AE253" s="31"/>
      <c r="AF253" s="31"/>
      <c r="AG253" s="31"/>
      <c r="AH253" s="31"/>
      <c r="AI253" s="31"/>
      <c r="AW253" s="2"/>
      <c r="AX253" s="2"/>
      <c r="AY253" s="8"/>
      <c r="BM253" s="38"/>
    </row>
    <row r="254" spans="26:65" ht="15.75" customHeight="1" thickBot="1">
      <c r="Z254" s="31"/>
      <c r="AA254" s="31"/>
      <c r="AB254" s="31"/>
      <c r="AC254" s="31"/>
      <c r="AD254" s="31"/>
      <c r="AE254" s="31"/>
      <c r="AF254" s="31"/>
      <c r="AG254" s="31"/>
      <c r="AH254" s="31"/>
      <c r="AI254" s="31"/>
      <c r="AV254" s="2"/>
      <c r="AW254" s="2"/>
      <c r="AX254" s="2"/>
      <c r="AY254" s="52"/>
      <c r="AZ254" s="52"/>
      <c r="BA254" s="52"/>
      <c r="BB254" s="52"/>
      <c r="BC254" s="52"/>
      <c r="BD254" s="52"/>
      <c r="BE254" s="52"/>
      <c r="BF254" s="52"/>
      <c r="BG254" s="52"/>
      <c r="BH254" s="52"/>
      <c r="BI254" s="52"/>
      <c r="BJ254" s="52"/>
      <c r="BK254" s="52"/>
      <c r="BL254" s="52"/>
      <c r="BM254" s="52"/>
    </row>
    <row r="255" spans="26:65" ht="15.75" customHeight="1" thickTop="1" thickBot="1">
      <c r="Z255" s="31"/>
      <c r="AA255" s="31"/>
      <c r="AB255" s="31"/>
      <c r="AC255" s="31"/>
      <c r="AD255" s="31"/>
      <c r="AE255" s="31"/>
      <c r="AF255" s="31"/>
      <c r="AG255" s="31"/>
      <c r="AH255" s="31"/>
      <c r="AI255" s="31"/>
      <c r="AK255" s="413" t="s">
        <v>796</v>
      </c>
      <c r="AL255" s="354"/>
      <c r="AM255" s="354"/>
      <c r="AN255" s="354"/>
      <c r="AO255" s="354"/>
      <c r="AP255" s="354"/>
      <c r="AQ255" s="354"/>
      <c r="AR255" s="354"/>
      <c r="AS255" s="354"/>
      <c r="AT255" s="354"/>
      <c r="AU255" s="354"/>
      <c r="AV255" s="354"/>
      <c r="AW255" s="354"/>
      <c r="AX255" s="355"/>
      <c r="AY255" s="52"/>
      <c r="AZ255" s="383" t="s">
        <v>797</v>
      </c>
      <c r="BA255" s="357"/>
      <c r="BB255" s="283">
        <f>SUM(BA32:BA252)</f>
        <v>47</v>
      </c>
    </row>
    <row r="256" spans="26:65" ht="15.75" customHeight="1" thickTop="1" thickBot="1">
      <c r="Z256" s="31"/>
      <c r="AA256" s="31"/>
      <c r="AB256" s="31"/>
      <c r="AC256" s="31"/>
      <c r="AD256" s="31"/>
      <c r="AE256" s="31"/>
      <c r="AF256" s="31"/>
      <c r="AG256" s="31"/>
      <c r="AH256" s="31"/>
      <c r="AI256" s="31"/>
      <c r="AK256" s="464" t="str">
        <f t="array" ref="AK256:AK272">AK7:AK23</f>
        <v>Prohibition of Alcohol</v>
      </c>
      <c r="AL256" s="358"/>
      <c r="AM256" s="447" t="s">
        <v>798</v>
      </c>
      <c r="AN256" s="357"/>
      <c r="AO256" s="357"/>
      <c r="AP256" s="357"/>
      <c r="AQ256" s="357"/>
      <c r="AR256" s="357"/>
      <c r="AS256" s="357"/>
      <c r="AT256" s="357"/>
      <c r="AU256" s="357"/>
      <c r="AV256" s="357"/>
      <c r="AW256" s="358"/>
      <c r="AX256" s="14" t="b">
        <f>AM7</f>
        <v>0</v>
      </c>
      <c r="AY256" s="52"/>
      <c r="AZ256" s="381" t="s">
        <v>799</v>
      </c>
      <c r="BA256" s="393"/>
      <c r="BB256" s="284">
        <f>COUNTIF(BA32:BA252,"&gt;0")</f>
        <v>27</v>
      </c>
    </row>
    <row r="257" spans="26:65" ht="15.75" customHeight="1" thickTop="1">
      <c r="Z257" s="31"/>
      <c r="AA257" s="31"/>
      <c r="AB257" s="31"/>
      <c r="AC257" s="31"/>
      <c r="AD257" s="31"/>
      <c r="AE257" s="31"/>
      <c r="AF257" s="31"/>
      <c r="AG257" s="31"/>
      <c r="AH257" s="31"/>
      <c r="AI257" s="31"/>
      <c r="AK257" s="462" t="str">
        <v>Panhandling/Begging</v>
      </c>
      <c r="AL257" s="369"/>
      <c r="AM257" s="445" t="s">
        <v>800</v>
      </c>
      <c r="AN257" s="393"/>
      <c r="AO257" s="393"/>
      <c r="AP257" s="393"/>
      <c r="AQ257" s="393"/>
      <c r="AR257" s="393"/>
      <c r="AS257" s="393"/>
      <c r="AT257" s="393"/>
      <c r="AU257" s="393"/>
      <c r="AV257" s="393"/>
      <c r="AW257" s="369"/>
      <c r="AX257" s="15" t="b">
        <f>AM8</f>
        <v>0</v>
      </c>
      <c r="AY257" s="52"/>
      <c r="AZ257" s="383" t="s">
        <v>801</v>
      </c>
      <c r="BA257" s="357"/>
      <c r="BB257" s="285" t="str">
        <f ca="1">Ag!CG16</f>
        <v>#N/A</v>
      </c>
    </row>
    <row r="258" spans="26:65" ht="15.75" customHeight="1">
      <c r="Z258" s="31"/>
      <c r="AA258" s="31"/>
      <c r="AB258" s="31"/>
      <c r="AC258" s="31"/>
      <c r="AD258" s="31"/>
      <c r="AE258" s="31"/>
      <c r="AF258" s="31"/>
      <c r="AG258" s="31"/>
      <c r="AH258" s="31"/>
      <c r="AI258" s="31"/>
      <c r="AK258" s="462" t="str">
        <v>Crime Crackdown</v>
      </c>
      <c r="AL258" s="369"/>
      <c r="AM258" s="445" t="s">
        <v>802</v>
      </c>
      <c r="AN258" s="393"/>
      <c r="AO258" s="393"/>
      <c r="AP258" s="393"/>
      <c r="AQ258" s="393"/>
      <c r="AR258" s="393"/>
      <c r="AS258" s="393"/>
      <c r="AT258" s="393"/>
      <c r="AU258" s="393"/>
      <c r="AV258" s="393"/>
      <c r="AW258" s="369"/>
      <c r="AX258" s="15" t="b">
        <f>AM9</f>
        <v>0</v>
      </c>
      <c r="AY258" s="52"/>
      <c r="AZ258" s="381" t="s">
        <v>803</v>
      </c>
      <c r="BA258" s="393"/>
      <c r="BB258" s="284" t="str">
        <f ca="1">IFERROR(__xludf.DUMMYFUNCTION("sumproduct(filter(O32:O252,P32:P252&gt;R257,Q32:Q252&gt;0),filter(Q32:Q252,P32:P252&gt;R257,Q32:Q252&gt;0))"),"#N/A")</f>
        <v>#N/A</v>
      </c>
    </row>
    <row r="259" spans="26:65" ht="15.75" customHeight="1">
      <c r="Z259" s="31"/>
      <c r="AA259" s="31"/>
      <c r="AB259" s="31"/>
      <c r="AC259" s="31"/>
      <c r="AD259" s="31"/>
      <c r="AE259" s="31"/>
      <c r="AF259" s="31"/>
      <c r="AG259" s="31"/>
      <c r="AH259" s="31"/>
      <c r="AI259" s="31"/>
      <c r="AK259" s="462" t="str">
        <v>No Schools</v>
      </c>
      <c r="AL259" s="369"/>
      <c r="AM259" s="445" t="s">
        <v>804</v>
      </c>
      <c r="AN259" s="393"/>
      <c r="AO259" s="393"/>
      <c r="AP259" s="393"/>
      <c r="AQ259" s="393"/>
      <c r="AR259" s="393"/>
      <c r="AS259" s="393"/>
      <c r="AT259" s="393"/>
      <c r="AU259" s="393"/>
      <c r="AV259" s="393"/>
      <c r="AW259" s="369"/>
      <c r="AX259" s="15" t="b">
        <f>AM10</f>
        <v>0</v>
      </c>
      <c r="AY259" s="52"/>
      <c r="AZ259" s="381" t="s">
        <v>805</v>
      </c>
      <c r="BA259" s="393"/>
      <c r="BB259" s="284">
        <f ca="1">SUMIFS(AY32:AY252,AZ32:AZ252,"&gt;="&amp;BB257)</f>
        <v>0</v>
      </c>
    </row>
    <row r="260" spans="26:65" ht="15.75" customHeight="1" thickBot="1">
      <c r="Z260" s="31"/>
      <c r="AA260" s="31"/>
      <c r="AB260" s="31"/>
      <c r="AC260" s="31"/>
      <c r="AD260" s="31"/>
      <c r="AE260" s="31"/>
      <c r="AF260" s="31"/>
      <c r="AG260" s="31"/>
      <c r="AH260" s="31"/>
      <c r="AI260" s="31"/>
      <c r="AK260" s="462" t="str">
        <v>No Elderly</v>
      </c>
      <c r="AL260" s="369"/>
      <c r="AM260" s="445" t="s">
        <v>806</v>
      </c>
      <c r="AN260" s="393"/>
      <c r="AO260" s="393"/>
      <c r="AP260" s="393"/>
      <c r="AQ260" s="393"/>
      <c r="AR260" s="393"/>
      <c r="AS260" s="393"/>
      <c r="AT260" s="393"/>
      <c r="AU260" s="393"/>
      <c r="AV260" s="393"/>
      <c r="AW260" s="369"/>
      <c r="AX260" s="15" t="b">
        <f>AM11</f>
        <v>0</v>
      </c>
      <c r="AY260" s="52"/>
      <c r="AZ260" s="374" t="s">
        <v>807</v>
      </c>
      <c r="BA260" s="360"/>
      <c r="BB260" s="286" t="e">
        <f ca="1">ROUND(100*BB259/SUM(BB258:BB259),0)</f>
        <v>#DIV/0!</v>
      </c>
    </row>
    <row r="261" spans="26:65" ht="15.75" customHeight="1" thickTop="1">
      <c r="Z261" s="31"/>
      <c r="AA261" s="31"/>
      <c r="AB261" s="31"/>
      <c r="AC261" s="31"/>
      <c r="AD261" s="31"/>
      <c r="AE261" s="31"/>
      <c r="AF261" s="31"/>
      <c r="AG261" s="31"/>
      <c r="AH261" s="31"/>
      <c r="AI261" s="31"/>
      <c r="AK261" s="462" t="str">
        <v>Anarchy/Volunteer Gov't</v>
      </c>
      <c r="AL261" s="369"/>
      <c r="AM261" s="445" t="s">
        <v>808</v>
      </c>
      <c r="AN261" s="393"/>
      <c r="AO261" s="393"/>
      <c r="AP261" s="393"/>
      <c r="AQ261" s="393"/>
      <c r="AR261" s="393"/>
      <c r="AS261" s="393"/>
      <c r="AT261" s="393"/>
      <c r="AU261" s="393"/>
      <c r="AV261" s="393"/>
      <c r="AW261" s="369"/>
      <c r="AX261" s="15" t="b">
        <f>AM12</f>
        <v>0</v>
      </c>
      <c r="AY261" s="52"/>
      <c r="AZ261" s="383" t="s">
        <v>809</v>
      </c>
      <c r="BA261" s="357"/>
      <c r="BB261" s="285">
        <f>ROUND(100/BB255,0)</f>
        <v>2</v>
      </c>
      <c r="BC261" s="52"/>
      <c r="BD261" s="52"/>
      <c r="BE261" s="52"/>
      <c r="BF261" s="52"/>
      <c r="BG261" s="52"/>
      <c r="BH261" s="52"/>
      <c r="BI261" s="52"/>
      <c r="BJ261" s="52"/>
      <c r="BK261" s="52"/>
      <c r="BL261" s="52"/>
      <c r="BM261" s="52"/>
    </row>
    <row r="262" spans="26:65" ht="15.75" customHeight="1" thickBot="1">
      <c r="Z262" s="31"/>
      <c r="AA262" s="31"/>
      <c r="AB262" s="31"/>
      <c r="AC262" s="31"/>
      <c r="AD262" s="31"/>
      <c r="AE262" s="31"/>
      <c r="AF262" s="31"/>
      <c r="AG262" s="31"/>
      <c r="AH262" s="31"/>
      <c r="AI262" s="31"/>
      <c r="AK262" s="462" t="str">
        <v>No Sickness</v>
      </c>
      <c r="AL262" s="369"/>
      <c r="AM262" s="445" t="s">
        <v>810</v>
      </c>
      <c r="AN262" s="393"/>
      <c r="AO262" s="393"/>
      <c r="AP262" s="393"/>
      <c r="AQ262" s="393"/>
      <c r="AR262" s="393"/>
      <c r="AS262" s="393"/>
      <c r="AT262" s="393"/>
      <c r="AU262" s="393"/>
      <c r="AV262" s="393"/>
      <c r="AW262" s="369"/>
      <c r="AX262" s="15" t="b">
        <f>AM13</f>
        <v>0</v>
      </c>
      <c r="AY262" s="52"/>
      <c r="AZ262" s="374" t="s">
        <v>811</v>
      </c>
      <c r="BA262" s="360"/>
      <c r="BB262" s="287">
        <f>100-BB255*BB261</f>
        <v>6</v>
      </c>
      <c r="BC262" s="52"/>
      <c r="BD262" s="52"/>
      <c r="BE262" s="52"/>
      <c r="BF262" s="52"/>
      <c r="BG262" s="52"/>
      <c r="BH262" s="52"/>
      <c r="BI262" s="52"/>
      <c r="BJ262" s="52"/>
      <c r="BK262" s="52"/>
      <c r="BL262" s="52"/>
      <c r="BM262" s="52"/>
    </row>
    <row r="263" spans="26:65" ht="15.75" customHeight="1" thickTop="1">
      <c r="Z263" s="31"/>
      <c r="AA263" s="31"/>
      <c r="AB263" s="31"/>
      <c r="AC263" s="31"/>
      <c r="AD263" s="31"/>
      <c r="AE263" s="31"/>
      <c r="AF263" s="31"/>
      <c r="AG263" s="31"/>
      <c r="AH263" s="31"/>
      <c r="AI263" s="31"/>
      <c r="AK263" s="462" t="str">
        <v>Magic is Banned</v>
      </c>
      <c r="AL263" s="369"/>
      <c r="AM263" s="445" t="s">
        <v>812</v>
      </c>
      <c r="AN263" s="393"/>
      <c r="AO263" s="393"/>
      <c r="AP263" s="393"/>
      <c r="AQ263" s="393"/>
      <c r="AR263" s="393"/>
      <c r="AS263" s="393"/>
      <c r="AT263" s="393"/>
      <c r="AU263" s="393"/>
      <c r="AV263" s="393"/>
      <c r="AW263" s="369"/>
      <c r="AX263" s="15" t="b">
        <f>AM14</f>
        <v>0</v>
      </c>
      <c r="AY263" s="52"/>
      <c r="BC263" s="52"/>
      <c r="BD263" s="8"/>
      <c r="BE263" s="52"/>
      <c r="BF263" s="52"/>
      <c r="BG263" s="52"/>
      <c r="BH263" s="52"/>
      <c r="BI263" s="52"/>
      <c r="BJ263" s="52"/>
      <c r="BK263" s="52"/>
      <c r="BL263" s="52"/>
      <c r="BM263" s="52"/>
    </row>
    <row r="264" spans="26:65" ht="15.75" customHeight="1" thickBot="1">
      <c r="Z264" s="31"/>
      <c r="AA264" s="31"/>
      <c r="AB264" s="31"/>
      <c r="AC264" s="31"/>
      <c r="AD264" s="31"/>
      <c r="AE264" s="31"/>
      <c r="AF264" s="31"/>
      <c r="AG264" s="31"/>
      <c r="AH264" s="31"/>
      <c r="AI264" s="31"/>
      <c r="AK264" s="462" t="str">
        <v>Music is Banned</v>
      </c>
      <c r="AL264" s="369"/>
      <c r="AM264" s="445" t="s">
        <v>813</v>
      </c>
      <c r="AN264" s="393"/>
      <c r="AO264" s="393"/>
      <c r="AP264" s="393"/>
      <c r="AQ264" s="393"/>
      <c r="AR264" s="393"/>
      <c r="AS264" s="393"/>
      <c r="AT264" s="393"/>
      <c r="AU264" s="393"/>
      <c r="AV264" s="393"/>
      <c r="AW264" s="369"/>
      <c r="AX264" s="15" t="b">
        <f>AM15</f>
        <v>0</v>
      </c>
      <c r="AY264" s="52"/>
      <c r="BC264" s="52"/>
      <c r="BD264" s="8"/>
      <c r="BE264" s="52"/>
      <c r="BF264" s="52"/>
      <c r="BG264" s="52"/>
      <c r="BH264" s="52"/>
      <c r="BI264" s="52"/>
      <c r="BJ264" s="52"/>
      <c r="BK264" s="52"/>
      <c r="BL264" s="52"/>
      <c r="BM264" s="52"/>
    </row>
    <row r="265" spans="26:65" ht="15.75" customHeight="1" thickTop="1" thickBot="1">
      <c r="Z265" s="31"/>
      <c r="AA265" s="31"/>
      <c r="AB265" s="31"/>
      <c r="AC265" s="31"/>
      <c r="AD265" s="31"/>
      <c r="AE265" s="31"/>
      <c r="AF265" s="31"/>
      <c r="AG265" s="31"/>
      <c r="AH265" s="31"/>
      <c r="AI265" s="31"/>
      <c r="AK265" s="462" t="str">
        <v>Nobility are Banned</v>
      </c>
      <c r="AL265" s="369"/>
      <c r="AM265" s="445" t="s">
        <v>814</v>
      </c>
      <c r="AN265" s="393"/>
      <c r="AO265" s="393"/>
      <c r="AP265" s="393"/>
      <c r="AQ265" s="393"/>
      <c r="AR265" s="393"/>
      <c r="AS265" s="393"/>
      <c r="AT265" s="393"/>
      <c r="AU265" s="393"/>
      <c r="AV265" s="393"/>
      <c r="AW265" s="369"/>
      <c r="AX265" s="15" t="b">
        <f>AM16</f>
        <v>0</v>
      </c>
      <c r="AY265" s="52"/>
      <c r="AZ265" s="397" t="s">
        <v>815</v>
      </c>
      <c r="BA265" s="354"/>
      <c r="BB265" s="355"/>
      <c r="BD265" s="52"/>
      <c r="BF265" s="52"/>
      <c r="BG265" s="52"/>
      <c r="BH265" s="52"/>
      <c r="BI265" s="52"/>
      <c r="BJ265" s="52"/>
      <c r="BK265" s="52"/>
      <c r="BL265" s="52"/>
      <c r="BM265" s="52"/>
    </row>
    <row r="266" spans="26:65" ht="15.75" customHeight="1" thickTop="1">
      <c r="Z266" s="31"/>
      <c r="AA266" s="31"/>
      <c r="AB266" s="31"/>
      <c r="AC266" s="31"/>
      <c r="AD266" s="31"/>
      <c r="AE266" s="31"/>
      <c r="AF266" s="31"/>
      <c r="AG266" s="31"/>
      <c r="AH266" s="31"/>
      <c r="AI266" s="31"/>
      <c r="AK266" s="462" t="str">
        <v>No Outsiders Allowed</v>
      </c>
      <c r="AL266" s="369"/>
      <c r="AM266" s="445" t="s">
        <v>816</v>
      </c>
      <c r="AN266" s="393"/>
      <c r="AO266" s="393"/>
      <c r="AP266" s="393"/>
      <c r="AQ266" s="393"/>
      <c r="AR266" s="393"/>
      <c r="AS266" s="393"/>
      <c r="AT266" s="393"/>
      <c r="AU266" s="393"/>
      <c r="AV266" s="393"/>
      <c r="AW266" s="369"/>
      <c r="AX266" s="15" t="b">
        <f>AM17</f>
        <v>0</v>
      </c>
      <c r="AY266" s="52"/>
      <c r="AZ266" s="288" t="str">
        <f ca="1">IFERROR(__xludf.DUMMYFUNCTION("sort({filter(Professions!B32:B252,Professions!Q32:Q252&gt;0),filter(Professions!Q32:Q252,Professions!Q32:Q252&gt;0)*R261},2,0)"),"Clergy")</f>
        <v>Clergy</v>
      </c>
      <c r="BA266" s="136">
        <f ca="1">IFERROR(__xludf.DUMMYFUNCTION("""COMPUTED_VALUE"""),20)</f>
        <v>20</v>
      </c>
      <c r="BB266" s="289" t="e">
        <f ca="1">_xludf.ifs(AND(BA266="",BA267=""),"",
BA267="",1,
ROW()-ROW(AZ$266)&gt;=ABS(BB$262),BA267+BB267,
TRUE,BA267+BB267+IF(BB$262&gt;0,1,-1))</f>
        <v>#NAME?</v>
      </c>
      <c r="BD266" s="52"/>
      <c r="BE266" s="31"/>
      <c r="BF266" s="52"/>
      <c r="BG266" s="52"/>
      <c r="BH266" s="52"/>
      <c r="BI266" s="52"/>
      <c r="BJ266" s="52"/>
      <c r="BK266" s="52"/>
      <c r="BL266" s="52"/>
      <c r="BM266" s="52"/>
    </row>
    <row r="267" spans="26:65" ht="15.75" customHeight="1">
      <c r="Z267" s="31"/>
      <c r="AA267" s="31"/>
      <c r="AB267" s="31"/>
      <c r="AC267" s="31"/>
      <c r="AD267" s="31"/>
      <c r="AE267" s="31"/>
      <c r="AF267" s="31"/>
      <c r="AG267" s="31"/>
      <c r="AH267" s="31"/>
      <c r="AI267" s="31"/>
      <c r="AK267" s="462" t="str">
        <v>Religion Banned</v>
      </c>
      <c r="AL267" s="369"/>
      <c r="AM267" s="445" t="s">
        <v>817</v>
      </c>
      <c r="AN267" s="393"/>
      <c r="AO267" s="393"/>
      <c r="AP267" s="393"/>
      <c r="AQ267" s="393"/>
      <c r="AR267" s="393"/>
      <c r="AS267" s="393"/>
      <c r="AT267" s="393"/>
      <c r="AU267" s="393"/>
      <c r="AV267" s="393"/>
      <c r="AW267" s="369"/>
      <c r="AX267" s="15" t="b">
        <f>AM18</f>
        <v>0</v>
      </c>
      <c r="AY267" s="52"/>
      <c r="AZ267" s="290" t="str">
        <f ca="1">IFERROR(__xludf.DUMMYFUNCTION("""COMPUTED_VALUE"""),"Healer (Licensed Doctor)")</f>
        <v>Healer (Licensed Doctor)</v>
      </c>
      <c r="BA267" s="136">
        <f ca="1">IFERROR(__xludf.DUMMYFUNCTION("""COMPUTED_VALUE"""),12)</f>
        <v>12</v>
      </c>
      <c r="BB267" s="289" t="e">
        <f ca="1">_xludf.ifs(AND(BA267="",BA268=""),"",
BA268="",1,
ROW()-ROW(AZ$266)&gt;=ABS(BB$262),BA268+BB268,
TRUE,BA268+BB268+IF(BB$262&gt;0,1,-1))</f>
        <v>#NAME?</v>
      </c>
      <c r="BC267" s="149"/>
      <c r="BD267" s="52"/>
      <c r="BE267" s="31"/>
      <c r="BF267" s="52"/>
      <c r="BG267" s="52"/>
      <c r="BH267" s="52"/>
      <c r="BI267" s="52"/>
      <c r="BJ267" s="52"/>
      <c r="BK267" s="52"/>
      <c r="BL267" s="52"/>
      <c r="BM267" s="52"/>
    </row>
    <row r="268" spans="26:65" ht="15.75" customHeight="1">
      <c r="Z268" s="31"/>
      <c r="AA268" s="31"/>
      <c r="AB268" s="31"/>
      <c r="AC268" s="31"/>
      <c r="AD268" s="31"/>
      <c r="AE268" s="31"/>
      <c r="AF268" s="31"/>
      <c r="AG268" s="31"/>
      <c r="AH268" s="31"/>
      <c r="AI268" s="31"/>
      <c r="AK268" s="462" t="str">
        <v>Slavery/Indenture Outlawed</v>
      </c>
      <c r="AL268" s="369"/>
      <c r="AM268" s="445" t="s">
        <v>818</v>
      </c>
      <c r="AN268" s="393"/>
      <c r="AO268" s="393"/>
      <c r="AP268" s="393"/>
      <c r="AQ268" s="393"/>
      <c r="AR268" s="393"/>
      <c r="AS268" s="393"/>
      <c r="AT268" s="393"/>
      <c r="AU268" s="393"/>
      <c r="AV268" s="393"/>
      <c r="AW268" s="369"/>
      <c r="AX268" s="15" t="b">
        <f>AM19</f>
        <v>0</v>
      </c>
      <c r="AY268" s="52"/>
      <c r="AZ268" s="290" t="str">
        <f ca="1">IFERROR(__xludf.DUMMYFUNCTION("""COMPUTED_VALUE"""),"Traveler")</f>
        <v>Traveler</v>
      </c>
      <c r="BA268" s="136">
        <f ca="1">IFERROR(__xludf.DUMMYFUNCTION("""COMPUTED_VALUE"""),4)</f>
        <v>4</v>
      </c>
      <c r="BB268" s="289" t="e">
        <f ca="1">_xludf.ifs(AND(BA268="",BA269=""),"",
BA269="",1,
ROW()-ROW(AZ$266)&gt;=ABS(BB$262),BA269+BB269,
TRUE,BA269+BB269+IF(BB$262&gt;0,1,-1))</f>
        <v>#NAME?</v>
      </c>
      <c r="BC268" s="149"/>
      <c r="BD268" s="52"/>
      <c r="BE268" s="31"/>
      <c r="BF268" s="52"/>
      <c r="BG268" s="52"/>
      <c r="BH268" s="52"/>
      <c r="BI268" s="52"/>
      <c r="BJ268" s="52"/>
      <c r="BK268" s="52"/>
      <c r="BL268" s="52"/>
      <c r="BM268" s="52"/>
    </row>
    <row r="269" spans="26:65" ht="15.75" customHeight="1">
      <c r="Z269" s="31"/>
      <c r="AA269" s="31"/>
      <c r="AB269" s="31"/>
      <c r="AC269" s="31"/>
      <c r="AD269" s="31"/>
      <c r="AE269" s="31"/>
      <c r="AF269" s="31"/>
      <c r="AG269" s="31"/>
      <c r="AH269" s="31"/>
      <c r="AI269" s="31"/>
      <c r="AK269" s="462" t="str">
        <v>Acting is Banned</v>
      </c>
      <c r="AL269" s="369"/>
      <c r="AM269" s="445" t="s">
        <v>819</v>
      </c>
      <c r="AN269" s="393"/>
      <c r="AO269" s="393"/>
      <c r="AP269" s="393"/>
      <c r="AQ269" s="393"/>
      <c r="AR269" s="393"/>
      <c r="AS269" s="393"/>
      <c r="AT269" s="393"/>
      <c r="AU269" s="393"/>
      <c r="AV269" s="393"/>
      <c r="AW269" s="369"/>
      <c r="AX269" s="15" t="b">
        <f>AM20</f>
        <v>0</v>
      </c>
      <c r="AY269" s="52"/>
      <c r="AZ269" s="290" t="str">
        <f ca="1">IFERROR(__xludf.DUMMYFUNCTION("""COMPUTED_VALUE"""),"Mendicant (Vow of Poverty)")</f>
        <v>Mendicant (Vow of Poverty)</v>
      </c>
      <c r="BA269" s="136">
        <f ca="1">IFERROR(__xludf.DUMMYFUNCTION("""COMPUTED_VALUE"""),4)</f>
        <v>4</v>
      </c>
      <c r="BB269" s="289" t="e">
        <f ca="1">_xludf.ifs(AND(BA269="",BA270=""),"",
BA270="",1,
ROW()-ROW(AZ$266)&gt;=ABS(BB$262),BA270+BB270,
TRUE,BA270+BB270+IF(BB$262&gt;0,1,-1))</f>
        <v>#NAME?</v>
      </c>
      <c r="BC269" s="149"/>
      <c r="BD269" s="52"/>
      <c r="BE269" s="31"/>
      <c r="BF269" s="52"/>
      <c r="BG269" s="52"/>
      <c r="BH269" s="52"/>
      <c r="BI269" s="52"/>
      <c r="BJ269" s="52"/>
      <c r="BK269" s="52"/>
      <c r="BL269" s="52"/>
      <c r="BM269" s="52"/>
    </row>
    <row r="270" spans="26:65" ht="15.75" customHeight="1">
      <c r="Z270" s="31"/>
      <c r="AA270" s="31"/>
      <c r="AB270" s="31"/>
      <c r="AC270" s="31"/>
      <c r="AD270" s="31"/>
      <c r="AE270" s="31"/>
      <c r="AF270" s="31"/>
      <c r="AG270" s="31"/>
      <c r="AH270" s="31"/>
      <c r="AI270" s="31"/>
      <c r="AK270" s="462" t="str">
        <v>No Unemployment</v>
      </c>
      <c r="AL270" s="369"/>
      <c r="AM270" s="445" t="s">
        <v>820</v>
      </c>
      <c r="AN270" s="393"/>
      <c r="AO270" s="393"/>
      <c r="AP270" s="393"/>
      <c r="AQ270" s="393"/>
      <c r="AR270" s="393"/>
      <c r="AS270" s="393"/>
      <c r="AT270" s="393"/>
      <c r="AU270" s="393"/>
      <c r="AV270" s="393"/>
      <c r="AW270" s="369"/>
      <c r="AX270" s="15" t="b">
        <f>AM21</f>
        <v>0</v>
      </c>
      <c r="AY270" s="52"/>
      <c r="AZ270" s="290" t="str">
        <f ca="1">IFERROR(__xludf.DUMMYFUNCTION("""COMPUTED_VALUE"""),"Sailor")</f>
        <v>Sailor</v>
      </c>
      <c r="BA270" s="136">
        <f ca="1">IFERROR(__xludf.DUMMYFUNCTION("""COMPUTED_VALUE"""),4)</f>
        <v>4</v>
      </c>
      <c r="BB270" s="289" t="e">
        <f ca="1">_xludf.ifs(AND(BA270="",BA271=""),"",
BA271="",1,
ROW()-ROW(AZ$266)&gt;=ABS(BB$262),BA271+BB271,
TRUE,BA271+BB271+IF(BB$262&gt;0,1,-1))</f>
        <v>#NAME?</v>
      </c>
      <c r="BC270" s="149"/>
      <c r="BD270" s="52"/>
      <c r="BE270" s="31"/>
      <c r="BF270" s="52"/>
      <c r="BG270" s="52"/>
      <c r="BH270" s="52"/>
      <c r="BI270" s="52"/>
      <c r="BJ270" s="52"/>
      <c r="BK270" s="52"/>
      <c r="BL270" s="52"/>
      <c r="BM270" s="52"/>
    </row>
    <row r="271" spans="26:65" ht="15.75" customHeight="1">
      <c r="Z271" s="31"/>
      <c r="AA271" s="31"/>
      <c r="AB271" s="31"/>
      <c r="AC271" s="31"/>
      <c r="AD271" s="31"/>
      <c r="AE271" s="31"/>
      <c r="AF271" s="31"/>
      <c r="AG271" s="31"/>
      <c r="AH271" s="31"/>
      <c r="AI271" s="31"/>
      <c r="AK271" s="462" t="str">
        <v>Artwork is Banned</v>
      </c>
      <c r="AL271" s="369"/>
      <c r="AM271" s="445" t="s">
        <v>821</v>
      </c>
      <c r="AN271" s="393"/>
      <c r="AO271" s="393"/>
      <c r="AP271" s="393"/>
      <c r="AQ271" s="393"/>
      <c r="AR271" s="393"/>
      <c r="AS271" s="393"/>
      <c r="AT271" s="393"/>
      <c r="AU271" s="393"/>
      <c r="AV271" s="393"/>
      <c r="AW271" s="369"/>
      <c r="AX271" s="15" t="b">
        <f>AM22</f>
        <v>0</v>
      </c>
      <c r="AY271" s="52"/>
      <c r="AZ271" s="290" t="str">
        <f ca="1">IFERROR(__xludf.DUMMYFUNCTION("""COMPUTED_VALUE"""),"Healer (Unlicensed Doctor)")</f>
        <v>Healer (Unlicensed Doctor)</v>
      </c>
      <c r="BA271" s="136">
        <f ca="1">IFERROR(__xludf.DUMMYFUNCTION("""COMPUTED_VALUE"""),4)</f>
        <v>4</v>
      </c>
      <c r="BB271" s="289" t="e">
        <f ca="1">_xludf.ifs(AND(BA271="",BA272=""),"",
BA272="",1,
ROW()-ROW(AZ$266)&gt;=ABS(BB$262),BA272+BB272,
TRUE,BA272+BB272+IF(BB$262&gt;0,1,-1))</f>
        <v>#NAME?</v>
      </c>
      <c r="BC271" s="149"/>
      <c r="BD271" s="52"/>
      <c r="BE271" s="31"/>
      <c r="BF271" s="52"/>
      <c r="BG271" s="52"/>
      <c r="BH271" s="52"/>
      <c r="BI271" s="52"/>
      <c r="BJ271" s="52"/>
      <c r="BK271" s="52"/>
      <c r="BL271" s="52"/>
      <c r="BM271" s="52"/>
    </row>
    <row r="272" spans="26:65" ht="15.75" customHeight="1" thickBot="1">
      <c r="Z272" s="31"/>
      <c r="AA272" s="31"/>
      <c r="AB272" s="31"/>
      <c r="AC272" s="31"/>
      <c r="AD272" s="31"/>
      <c r="AE272" s="31"/>
      <c r="AF272" s="31"/>
      <c r="AG272" s="31"/>
      <c r="AH272" s="31"/>
      <c r="AI272" s="31"/>
      <c r="AK272" s="463" t="str">
        <v>No Significant Waterway</v>
      </c>
      <c r="AL272" s="361"/>
      <c r="AM272" s="446" t="s">
        <v>822</v>
      </c>
      <c r="AN272" s="360"/>
      <c r="AO272" s="360"/>
      <c r="AP272" s="360"/>
      <c r="AQ272" s="360"/>
      <c r="AR272" s="360"/>
      <c r="AS272" s="360"/>
      <c r="AT272" s="360"/>
      <c r="AU272" s="360"/>
      <c r="AV272" s="360"/>
      <c r="AW272" s="361"/>
      <c r="AX272" s="16" t="b">
        <f>AM23</f>
        <v>0</v>
      </c>
      <c r="AY272" s="52"/>
      <c r="AZ272" s="290" t="str">
        <f ca="1">IFERROR(__xludf.DUMMYFUNCTION("""COMPUTED_VALUE"""),"Private Guard")</f>
        <v>Private Guard</v>
      </c>
      <c r="BA272" s="136">
        <f ca="1">IFERROR(__xludf.DUMMYFUNCTION("""COMPUTED_VALUE"""),4)</f>
        <v>4</v>
      </c>
      <c r="BB272" s="289" t="e">
        <f ca="1">_xludf.ifs(AND(BA272="",BA273=""),"",
BA273="",1,
ROW()-ROW(AZ$266)&gt;=ABS(BB$262),BA273+BB273,
TRUE,BA273+BB273+IF(BB$262&gt;0,1,-1))</f>
        <v>#NAME?</v>
      </c>
      <c r="BC272" s="149"/>
      <c r="BD272" s="291"/>
      <c r="BE272" s="24"/>
      <c r="BF272" s="52"/>
      <c r="BG272" s="52"/>
      <c r="BH272" s="52"/>
      <c r="BI272" s="52"/>
      <c r="BJ272" s="52"/>
      <c r="BK272" s="52"/>
      <c r="BL272" s="52"/>
      <c r="BM272" s="52"/>
    </row>
    <row r="273" spans="26:65" ht="15.75" customHeight="1" thickTop="1">
      <c r="Z273" s="31"/>
      <c r="AA273" s="31"/>
      <c r="AB273" s="31"/>
      <c r="AC273" s="31"/>
      <c r="AD273" s="31"/>
      <c r="AE273" s="31"/>
      <c r="AF273" s="31"/>
      <c r="AG273" s="31"/>
      <c r="AH273" s="31"/>
      <c r="AI273" s="31"/>
      <c r="AK273" s="460" t="str">
        <f t="array" ref="AK273:AL291">AO7:AP25</f>
        <v>Food</v>
      </c>
      <c r="AL273" s="358">
        <v>0</v>
      </c>
      <c r="AM273" s="428" t="s">
        <v>823</v>
      </c>
      <c r="AN273" s="393"/>
      <c r="AO273" s="393"/>
      <c r="AP273" s="393"/>
      <c r="AQ273" s="393"/>
      <c r="AR273" s="393"/>
      <c r="AS273" s="393"/>
      <c r="AT273" s="393"/>
      <c r="AU273" s="393"/>
      <c r="AV273" s="393"/>
      <c r="AW273" s="369"/>
      <c r="AX273" s="15" t="b">
        <f>AQ7</f>
        <v>0</v>
      </c>
      <c r="AY273" s="52"/>
      <c r="AZ273" s="290" t="str">
        <f ca="1">IFERROR(__xludf.DUMMYFUNCTION("""COMPUTED_VALUE"""),"City Guard/Garrison/Militia")</f>
        <v>City Guard/Garrison/Militia</v>
      </c>
      <c r="BA273" s="136">
        <f ca="1">IFERROR(__xludf.DUMMYFUNCTION("""COMPUTED_VALUE"""),4)</f>
        <v>4</v>
      </c>
      <c r="BB273" s="289" t="e">
        <f ca="1">_xludf.ifs(AND(BA273="",BA274=""),"",
BA274="",1,
ROW()-ROW(AZ$266)&gt;=ABS(BB$262),BA274+BB274,
TRUE,BA274+BB274+IF(BB$262&gt;0,1,-1))</f>
        <v>#NAME?</v>
      </c>
      <c r="BC273" s="52"/>
      <c r="BE273" s="52"/>
      <c r="BF273" s="52"/>
      <c r="BG273" s="52"/>
      <c r="BH273" s="52"/>
      <c r="BI273" s="52"/>
      <c r="BJ273" s="52"/>
      <c r="BK273" s="52"/>
      <c r="BL273" s="52"/>
      <c r="BM273" s="52"/>
    </row>
    <row r="274" spans="26:65" ht="15.75" customHeight="1">
      <c r="Z274" s="31"/>
      <c r="AA274" s="31"/>
      <c r="AB274" s="31"/>
      <c r="AC274" s="31"/>
      <c r="AD274" s="31"/>
      <c r="AE274" s="31"/>
      <c r="AF274" s="31"/>
      <c r="AG274" s="31"/>
      <c r="AH274" s="31"/>
      <c r="AI274" s="31"/>
      <c r="AK274" s="459" t="str">
        <v>Music</v>
      </c>
      <c r="AL274" s="369">
        <v>0</v>
      </c>
      <c r="AM274" s="428" t="s">
        <v>824</v>
      </c>
      <c r="AN274" s="393"/>
      <c r="AO274" s="393"/>
      <c r="AP274" s="393"/>
      <c r="AQ274" s="393"/>
      <c r="AR274" s="393"/>
      <c r="AS274" s="393"/>
      <c r="AT274" s="393"/>
      <c r="AU274" s="393"/>
      <c r="AV274" s="393"/>
      <c r="AW274" s="369"/>
      <c r="AX274" s="15" t="b">
        <f>AQ8</f>
        <v>0</v>
      </c>
      <c r="AY274" s="52"/>
      <c r="AZ274" s="290" t="str">
        <f ca="1">IFERROR(__xludf.DUMMYFUNCTION("""COMPUTED_VALUE"""),"Thief")</f>
        <v>Thief</v>
      </c>
      <c r="BA274" s="136">
        <f ca="1">IFERROR(__xludf.DUMMYFUNCTION("""COMPUTED_VALUE"""),2)</f>
        <v>2</v>
      </c>
      <c r="BB274" s="289" t="e">
        <f ca="1">_xludf.ifs(AND(BA274="",BA275=""),"",
BA275="",1,
ROW()-ROW(AZ$266)&gt;=ABS(BB$262),BA275+BB275,
TRUE,BA275+BB275+IF(BB$262&gt;0,1,-1))</f>
        <v>#NAME?</v>
      </c>
      <c r="BC274" s="52"/>
      <c r="BE274" s="52"/>
      <c r="BF274" s="52"/>
      <c r="BG274" s="52"/>
      <c r="BH274" s="52"/>
      <c r="BI274" s="52"/>
      <c r="BJ274" s="52"/>
      <c r="BK274" s="52"/>
      <c r="BL274" s="52"/>
      <c r="BM274" s="52"/>
    </row>
    <row r="275" spans="26:65" ht="15.75" customHeight="1">
      <c r="Z275" s="31"/>
      <c r="AA275" s="31"/>
      <c r="AB275" s="31"/>
      <c r="AC275" s="31"/>
      <c r="AD275" s="31"/>
      <c r="AE275" s="31"/>
      <c r="AF275" s="31"/>
      <c r="AG275" s="31"/>
      <c r="AH275" s="31"/>
      <c r="AI275" s="31"/>
      <c r="AK275" s="459" t="str">
        <v>Theater</v>
      </c>
      <c r="AL275" s="369">
        <v>0</v>
      </c>
      <c r="AM275" s="428" t="s">
        <v>825</v>
      </c>
      <c r="AN275" s="393"/>
      <c r="AO275" s="393"/>
      <c r="AP275" s="393"/>
      <c r="AQ275" s="393"/>
      <c r="AR275" s="393"/>
      <c r="AS275" s="393"/>
      <c r="AT275" s="393"/>
      <c r="AU275" s="393"/>
      <c r="AV275" s="393"/>
      <c r="AW275" s="369"/>
      <c r="AX275" s="15" t="b">
        <f>AQ9</f>
        <v>0</v>
      </c>
      <c r="AY275" s="52"/>
      <c r="AZ275" s="290" t="str">
        <f ca="1">IFERROR(__xludf.DUMMYFUNCTION("""COMPUTED_VALUE"""),"Healer (Dentist)")</f>
        <v>Healer (Dentist)</v>
      </c>
      <c r="BA275" s="136">
        <f ca="1">IFERROR(__xludf.DUMMYFUNCTION("""COMPUTED_VALUE"""),2)</f>
        <v>2</v>
      </c>
      <c r="BB275" s="289" t="e">
        <f ca="1">_xludf.ifs(AND(BA275="",BA276=""),"",
BA276="",1,
ROW()-ROW(AZ$266)&gt;=ABS(BB$262),BA276+BB276,
TRUE,BA276+BB276+IF(BB$262&gt;0,1,-1))</f>
        <v>#NAME?</v>
      </c>
      <c r="BC275" s="149"/>
      <c r="BE275" s="52"/>
      <c r="BF275" s="52"/>
      <c r="BG275" s="52"/>
      <c r="BH275" s="52"/>
      <c r="BI275" s="52"/>
      <c r="BJ275" s="52"/>
      <c r="BK275" s="52"/>
      <c r="BL275" s="52"/>
      <c r="BM275" s="52"/>
    </row>
    <row r="276" spans="26:65" ht="15.75" customHeight="1">
      <c r="Z276" s="31"/>
      <c r="AA276" s="31"/>
      <c r="AB276" s="31"/>
      <c r="AC276" s="31"/>
      <c r="AD276" s="31"/>
      <c r="AE276" s="31"/>
      <c r="AF276" s="31"/>
      <c r="AG276" s="31"/>
      <c r="AH276" s="31"/>
      <c r="AI276" s="31"/>
      <c r="AK276" s="459" t="str">
        <v>Painting</v>
      </c>
      <c r="AL276" s="369">
        <v>0</v>
      </c>
      <c r="AM276" s="428" t="s">
        <v>826</v>
      </c>
      <c r="AN276" s="393"/>
      <c r="AO276" s="393"/>
      <c r="AP276" s="393"/>
      <c r="AQ276" s="393"/>
      <c r="AR276" s="393"/>
      <c r="AS276" s="393"/>
      <c r="AT276" s="393"/>
      <c r="AU276" s="393"/>
      <c r="AV276" s="393"/>
      <c r="AW276" s="369"/>
      <c r="AX276" s="15" t="b">
        <f>AQ10</f>
        <v>0</v>
      </c>
      <c r="AY276" s="52"/>
      <c r="AZ276" s="290" t="str">
        <f ca="1">IFERROR(__xludf.DUMMYFUNCTION("""COMPUTED_VALUE"""),"Healer (Midwife)")</f>
        <v>Healer (Midwife)</v>
      </c>
      <c r="BA276" s="136">
        <f ca="1">IFERROR(__xludf.DUMMYFUNCTION("""COMPUTED_VALUE"""),2)</f>
        <v>2</v>
      </c>
      <c r="BB276" s="289" t="e">
        <f ca="1">_xludf.ifs(AND(BA276="",BA277=""),"",
BA277="",1,
ROW()-ROW(AZ$266)&gt;=ABS(BB$262),BA277+BB277,
TRUE,BA277+BB277+IF(BB$262&gt;0,1,-1))</f>
        <v>#NAME?</v>
      </c>
      <c r="BC276" s="149"/>
      <c r="BE276" s="52"/>
      <c r="BF276" s="52"/>
      <c r="BG276" s="52"/>
      <c r="BH276" s="52"/>
      <c r="BI276" s="52"/>
      <c r="BJ276" s="52"/>
      <c r="BK276" s="52"/>
      <c r="BL276" s="52"/>
      <c r="BM276" s="52"/>
    </row>
    <row r="277" spans="26:65" ht="15.75" customHeight="1">
      <c r="Z277" s="31"/>
      <c r="AA277" s="31"/>
      <c r="AB277" s="31"/>
      <c r="AC277" s="31"/>
      <c r="AD277" s="31"/>
      <c r="AE277" s="31"/>
      <c r="AF277" s="31"/>
      <c r="AG277" s="31"/>
      <c r="AH277" s="31"/>
      <c r="AI277" s="31"/>
      <c r="AK277" s="459" t="str">
        <v>Sculptures</v>
      </c>
      <c r="AL277" s="369">
        <v>0</v>
      </c>
      <c r="AM277" s="428" t="s">
        <v>827</v>
      </c>
      <c r="AN277" s="393"/>
      <c r="AO277" s="393"/>
      <c r="AP277" s="393"/>
      <c r="AQ277" s="393"/>
      <c r="AR277" s="393"/>
      <c r="AS277" s="393"/>
      <c r="AT277" s="393"/>
      <c r="AU277" s="393"/>
      <c r="AV277" s="393"/>
      <c r="AW277" s="369"/>
      <c r="AX277" s="15" t="b">
        <f>AQ11</f>
        <v>0</v>
      </c>
      <c r="AY277" s="52"/>
      <c r="AZ277" s="290" t="str">
        <f ca="1">IFERROR(__xludf.DUMMYFUNCTION("""COMPUTED_VALUE"""),"Arcanist (Enchanter)")</f>
        <v>Arcanist (Enchanter)</v>
      </c>
      <c r="BA277" s="136">
        <f ca="1">IFERROR(__xludf.DUMMYFUNCTION("""COMPUTED_VALUE"""),2)</f>
        <v>2</v>
      </c>
      <c r="BB277" s="289" t="e">
        <f ca="1">_xludf.ifs(AND(BA277="",BA278=""),"",
BA278="",1,
ROW()-ROW(AZ$266)&gt;=ABS(BB$262),BA278+BB278,
TRUE,BA278+BB278+IF(BB$262&gt;0,1,-1))</f>
        <v>#NAME?</v>
      </c>
      <c r="BC277" s="149"/>
      <c r="BE277" s="52"/>
      <c r="BF277" s="52"/>
      <c r="BG277" s="52"/>
      <c r="BH277" s="52"/>
      <c r="BI277" s="52"/>
      <c r="BJ277" s="52"/>
      <c r="BK277" s="52"/>
      <c r="BL277" s="52"/>
      <c r="BM277" s="52"/>
    </row>
    <row r="278" spans="26:65" ht="15.75" customHeight="1" thickBot="1">
      <c r="Z278" s="31"/>
      <c r="AA278" s="31"/>
      <c r="AB278" s="31"/>
      <c r="AC278" s="31"/>
      <c r="AD278" s="31"/>
      <c r="AE278" s="31"/>
      <c r="AF278" s="31"/>
      <c r="AG278" s="31"/>
      <c r="AH278" s="31"/>
      <c r="AI278" s="31"/>
      <c r="AK278" s="459" t="str">
        <v>Literature</v>
      </c>
      <c r="AL278" s="369">
        <v>0</v>
      </c>
      <c r="AM278" s="429" t="s">
        <v>828</v>
      </c>
      <c r="AN278" s="360"/>
      <c r="AO278" s="360"/>
      <c r="AP278" s="360"/>
      <c r="AQ278" s="360"/>
      <c r="AR278" s="360"/>
      <c r="AS278" s="360"/>
      <c r="AT278" s="360"/>
      <c r="AU278" s="360"/>
      <c r="AV278" s="360"/>
      <c r="AW278" s="361"/>
      <c r="AX278" s="16" t="b">
        <f>AQ12</f>
        <v>0</v>
      </c>
      <c r="AY278" s="52"/>
      <c r="AZ278" s="290" t="str">
        <f ca="1">IFERROR(__xludf.DUMMYFUNCTION("""COMPUTED_VALUE"""),"Arcanist (Potionmaker)")</f>
        <v>Arcanist (Potionmaker)</v>
      </c>
      <c r="BA278" s="136">
        <f ca="1">IFERROR(__xludf.DUMMYFUNCTION("""COMPUTED_VALUE"""),2)</f>
        <v>2</v>
      </c>
      <c r="BB278" s="289" t="e">
        <f ca="1">_xludf.ifs(AND(BA278="",BA279=""),"",
BA279="",1,
ROW()-ROW(AZ$266)&gt;=ABS(BB$262),BA279+BB279,
TRUE,BA279+BB279+IF(BB$262&gt;0,1,-1))</f>
        <v>#NAME?</v>
      </c>
      <c r="BC278" s="149"/>
      <c r="BE278" s="52"/>
      <c r="BF278" s="52"/>
      <c r="BG278" s="52"/>
      <c r="BH278" s="52"/>
      <c r="BI278" s="52"/>
      <c r="BJ278" s="52"/>
      <c r="BK278" s="52"/>
      <c r="BL278" s="52"/>
      <c r="BM278" s="52"/>
    </row>
    <row r="279" spans="26:65" ht="15.75" customHeight="1" thickTop="1">
      <c r="Z279" s="31"/>
      <c r="AA279" s="31"/>
      <c r="AB279" s="31"/>
      <c r="AC279" s="31"/>
      <c r="AD279" s="31"/>
      <c r="AE279" s="31"/>
      <c r="AF279" s="31"/>
      <c r="AG279" s="31"/>
      <c r="AH279" s="31"/>
      <c r="AI279" s="31"/>
      <c r="AK279" s="459" t="str">
        <v>Markets/Trade</v>
      </c>
      <c r="AL279" s="369">
        <v>0</v>
      </c>
      <c r="AM279" s="428" t="s">
        <v>829</v>
      </c>
      <c r="AN279" s="393"/>
      <c r="AO279" s="393"/>
      <c r="AP279" s="393"/>
      <c r="AQ279" s="393"/>
      <c r="AR279" s="393"/>
      <c r="AS279" s="393"/>
      <c r="AT279" s="393"/>
      <c r="AU279" s="393"/>
      <c r="AV279" s="393"/>
      <c r="AW279" s="369"/>
      <c r="AX279" s="15" t="b">
        <f>AQ13</f>
        <v>0</v>
      </c>
      <c r="AY279" s="52"/>
      <c r="AZ279" s="290" t="str">
        <f ca="1">IFERROR(__xludf.DUMMYFUNCTION("""COMPUTED_VALUE"""),"Arcanist (Scrollmaker)")</f>
        <v>Arcanist (Scrollmaker)</v>
      </c>
      <c r="BA279" s="136">
        <f ca="1">IFERROR(__xludf.DUMMYFUNCTION("""COMPUTED_VALUE"""),2)</f>
        <v>2</v>
      </c>
      <c r="BB279" s="289" t="e">
        <f ca="1">_xludf.ifs(AND(BA279="",BA280=""),"",
BA280="",1,
ROW()-ROW(AZ$266)&gt;=ABS(BB$262),BA280+BB280,
TRUE,BA280+BB280+IF(BB$262&gt;0,1,-1))</f>
        <v>#NAME?</v>
      </c>
      <c r="BC279" s="149"/>
      <c r="BE279" s="52"/>
      <c r="BF279" s="52"/>
      <c r="BG279" s="52"/>
      <c r="BH279" s="52"/>
      <c r="BI279" s="52"/>
      <c r="BJ279" s="52"/>
      <c r="BK279" s="52"/>
      <c r="BL279" s="52"/>
      <c r="BM279" s="52"/>
    </row>
    <row r="280" spans="26:65" ht="15.75" customHeight="1" thickBot="1">
      <c r="Z280" s="31"/>
      <c r="AA280" s="31"/>
      <c r="AB280" s="31"/>
      <c r="AC280" s="31"/>
      <c r="AD280" s="31"/>
      <c r="AE280" s="31"/>
      <c r="AF280" s="31"/>
      <c r="AG280" s="31"/>
      <c r="AH280" s="31"/>
      <c r="AI280" s="31"/>
      <c r="AK280" s="459" t="str">
        <v>Slave Trade</v>
      </c>
      <c r="AL280" s="369">
        <v>0</v>
      </c>
      <c r="AM280" s="429" t="s">
        <v>830</v>
      </c>
      <c r="AN280" s="360"/>
      <c r="AO280" s="360"/>
      <c r="AP280" s="360"/>
      <c r="AQ280" s="360"/>
      <c r="AR280" s="360"/>
      <c r="AS280" s="360"/>
      <c r="AT280" s="360"/>
      <c r="AU280" s="360"/>
      <c r="AV280" s="360"/>
      <c r="AW280" s="361"/>
      <c r="AX280" s="16" t="b">
        <f>AQ14</f>
        <v>0</v>
      </c>
      <c r="AY280" s="52"/>
      <c r="AZ280" s="290" t="str">
        <f ca="1">IFERROR(__xludf.DUMMYFUNCTION("""COMPUTED_VALUE"""),"Arcanist (Apprentice)")</f>
        <v>Arcanist (Apprentice)</v>
      </c>
      <c r="BA280" s="136">
        <f ca="1">IFERROR(__xludf.DUMMYFUNCTION("""COMPUTED_VALUE"""),2)</f>
        <v>2</v>
      </c>
      <c r="BB280" s="289" t="e">
        <f ca="1">_xludf.ifs(AND(BA280="",BA281=""),"",
BA281="",1,
ROW()-ROW(AZ$266)&gt;=ABS(BB$262),BA281+BB281,
TRUE,BA281+BB281+IF(BB$262&gt;0,1,-1))</f>
        <v>#NAME?</v>
      </c>
      <c r="BC280" s="149"/>
      <c r="BE280" s="52"/>
      <c r="BF280" s="52"/>
      <c r="BG280" s="52"/>
      <c r="BH280" s="52"/>
      <c r="BI280" s="52"/>
      <c r="BJ280" s="52"/>
      <c r="BK280" s="52"/>
      <c r="BL280" s="52"/>
      <c r="BM280" s="52"/>
    </row>
    <row r="281" spans="26:65" ht="15.75" customHeight="1" thickTop="1">
      <c r="Z281" s="31"/>
      <c r="AA281" s="31"/>
      <c r="AB281" s="31"/>
      <c r="AC281" s="31"/>
      <c r="AD281" s="31"/>
      <c r="AE281" s="31"/>
      <c r="AF281" s="31"/>
      <c r="AG281" s="31"/>
      <c r="AH281" s="31"/>
      <c r="AI281" s="31"/>
      <c r="AK281" s="459" t="str">
        <v>Education/Research</v>
      </c>
      <c r="AL281" s="369">
        <v>0</v>
      </c>
      <c r="AM281" s="428" t="s">
        <v>831</v>
      </c>
      <c r="AN281" s="393"/>
      <c r="AO281" s="393"/>
      <c r="AP281" s="393"/>
      <c r="AQ281" s="393"/>
      <c r="AR281" s="393"/>
      <c r="AS281" s="393"/>
      <c r="AT281" s="393"/>
      <c r="AU281" s="393"/>
      <c r="AV281" s="393"/>
      <c r="AW281" s="369"/>
      <c r="AX281" s="15" t="b">
        <f>AQ15</f>
        <v>0</v>
      </c>
      <c r="AY281" s="52"/>
      <c r="AZ281" s="290" t="str">
        <f ca="1">IFERROR(__xludf.DUMMYFUNCTION("""COMPUTED_VALUE"""),"Etherist (Alchemist)")</f>
        <v>Etherist (Alchemist)</v>
      </c>
      <c r="BA281" s="136">
        <f ca="1">IFERROR(__xludf.DUMMYFUNCTION("""COMPUTED_VALUE"""),2)</f>
        <v>2</v>
      </c>
      <c r="BB281" s="289" t="e">
        <f ca="1">_xludf.ifs(AND(BA281="",BA282=""),"",
BA282="",1,
ROW()-ROW(AZ$266)&gt;=ABS(BB$262),BA282+BB282,
TRUE,BA282+BB282+IF(BB$262&gt;0,1,-1))</f>
        <v>#NAME?</v>
      </c>
      <c r="BC281" s="52"/>
      <c r="BE281" s="52"/>
      <c r="BF281" s="52"/>
      <c r="BG281" s="52"/>
      <c r="BH281" s="52"/>
      <c r="BI281" s="52"/>
      <c r="BJ281" s="52"/>
      <c r="BK281" s="52"/>
      <c r="BL281" s="52"/>
      <c r="BM281" s="52"/>
    </row>
    <row r="282" spans="26:65" ht="15.75" customHeight="1">
      <c r="Z282" s="31"/>
      <c r="AA282" s="31"/>
      <c r="AB282" s="31"/>
      <c r="AC282" s="31"/>
      <c r="AD282" s="31"/>
      <c r="AE282" s="31"/>
      <c r="AF282" s="31"/>
      <c r="AG282" s="31"/>
      <c r="AH282" s="31"/>
      <c r="AI282" s="31"/>
      <c r="AK282" s="459" t="str">
        <v>Religious Worship</v>
      </c>
      <c r="AL282" s="369">
        <v>0</v>
      </c>
      <c r="AM282" s="428" t="s">
        <v>832</v>
      </c>
      <c r="AN282" s="393"/>
      <c r="AO282" s="393"/>
      <c r="AP282" s="393"/>
      <c r="AQ282" s="393"/>
      <c r="AR282" s="393"/>
      <c r="AS282" s="393"/>
      <c r="AT282" s="393"/>
      <c r="AU282" s="393"/>
      <c r="AV282" s="393"/>
      <c r="AW282" s="369"/>
      <c r="AX282" s="15" t="b">
        <f>AQ16</f>
        <v>0</v>
      </c>
      <c r="AY282" s="52"/>
      <c r="AZ282" s="290" t="str">
        <f ca="1">IFERROR(__xludf.DUMMYFUNCTION("""COMPUTED_VALUE"""),"Etherist (Herbalist)")</f>
        <v>Etherist (Herbalist)</v>
      </c>
      <c r="BA282" s="136">
        <f ca="1">IFERROR(__xludf.DUMMYFUNCTION("""COMPUTED_VALUE"""),2)</f>
        <v>2</v>
      </c>
      <c r="BB282" s="289" t="e">
        <f ca="1">_xludf.ifs(AND(BA282="",BA283=""),"",
BA283="",1,
ROW()-ROW(AZ$266)&gt;=ABS(BB$262),BA283+BB283,
TRUE,BA283+BB283+IF(BB$262&gt;0,1,-1))</f>
        <v>#NAME?</v>
      </c>
      <c r="BC282" s="52"/>
      <c r="BE282" s="52"/>
      <c r="BF282" s="52"/>
      <c r="BG282" s="52"/>
      <c r="BH282" s="52"/>
      <c r="BI282" s="52"/>
      <c r="BJ282" s="52"/>
      <c r="BK282" s="52"/>
      <c r="BL282" s="52"/>
      <c r="BM282" s="52"/>
    </row>
    <row r="283" spans="26:65" ht="15.75" customHeight="1" thickBot="1">
      <c r="Z283" s="31"/>
      <c r="AA283" s="31"/>
      <c r="AB283" s="31"/>
      <c r="AC283" s="31"/>
      <c r="AD283" s="31"/>
      <c r="AE283" s="31"/>
      <c r="AF283" s="31"/>
      <c r="AG283" s="31"/>
      <c r="AH283" s="31"/>
      <c r="AI283" s="31"/>
      <c r="AK283" s="459" t="str">
        <v>Organized Crime</v>
      </c>
      <c r="AL283" s="369">
        <v>0</v>
      </c>
      <c r="AM283" s="429" t="s">
        <v>833</v>
      </c>
      <c r="AN283" s="360"/>
      <c r="AO283" s="360"/>
      <c r="AP283" s="360"/>
      <c r="AQ283" s="360"/>
      <c r="AR283" s="360"/>
      <c r="AS283" s="360"/>
      <c r="AT283" s="360"/>
      <c r="AU283" s="360"/>
      <c r="AV283" s="360"/>
      <c r="AW283" s="361"/>
      <c r="AX283" s="16" t="b">
        <f>AQ17</f>
        <v>0</v>
      </c>
      <c r="AY283" s="52"/>
      <c r="AZ283" s="290" t="str">
        <f ca="1">IFERROR(__xludf.DUMMYFUNCTION("""COMPUTED_VALUE"""),"Smith (Armorer)")</f>
        <v>Smith (Armorer)</v>
      </c>
      <c r="BA283" s="136">
        <f ca="1">IFERROR(__xludf.DUMMYFUNCTION("""COMPUTED_VALUE"""),2)</f>
        <v>2</v>
      </c>
      <c r="BB283" s="289" t="e">
        <f ca="1">_xludf.ifs(AND(BA283="",BA284=""),"",
BA284="",1,
ROW()-ROW(AZ$266)&gt;=ABS(BB$262),BA284+BB284,
TRUE,BA284+BB284+IF(BB$262&gt;0,1,-1))</f>
        <v>#NAME?</v>
      </c>
      <c r="BC283" s="52"/>
      <c r="BE283" s="52"/>
      <c r="BF283" s="52"/>
      <c r="BG283" s="52"/>
      <c r="BH283" s="52"/>
      <c r="BI283" s="52"/>
      <c r="BJ283" s="52"/>
      <c r="BK283" s="52"/>
      <c r="BL283" s="52"/>
      <c r="BM283" s="52"/>
    </row>
    <row r="284" spans="26:65" ht="15.75" customHeight="1" thickTop="1">
      <c r="Z284" s="31"/>
      <c r="AA284" s="31"/>
      <c r="AB284" s="31"/>
      <c r="AC284" s="31"/>
      <c r="AD284" s="31"/>
      <c r="AE284" s="31"/>
      <c r="AF284" s="31"/>
      <c r="AG284" s="31"/>
      <c r="AH284" s="31"/>
      <c r="AI284" s="31"/>
      <c r="AK284" s="459" t="str">
        <v>Military Service</v>
      </c>
      <c r="AL284" s="369">
        <v>0</v>
      </c>
      <c r="AM284" s="428" t="s">
        <v>834</v>
      </c>
      <c r="AN284" s="393"/>
      <c r="AO284" s="393"/>
      <c r="AP284" s="393"/>
      <c r="AQ284" s="393"/>
      <c r="AR284" s="393"/>
      <c r="AS284" s="393"/>
      <c r="AT284" s="393"/>
      <c r="AU284" s="393"/>
      <c r="AV284" s="393"/>
      <c r="AW284" s="369"/>
      <c r="AX284" s="15" t="b">
        <f>AQ18</f>
        <v>0</v>
      </c>
      <c r="AY284" s="52"/>
      <c r="AZ284" s="290" t="str">
        <f ca="1">IFERROR(__xludf.DUMMYFUNCTION("""COMPUTED_VALUE"""),"Musician (Composer)")</f>
        <v>Musician (Composer)</v>
      </c>
      <c r="BA284" s="136">
        <f ca="1">IFERROR(__xludf.DUMMYFUNCTION("""COMPUTED_VALUE"""),2)</f>
        <v>2</v>
      </c>
      <c r="BB284" s="289" t="e">
        <f ca="1">_xludf.ifs(AND(BA284="",BA285=""),"",
BA285="",1,
ROW()-ROW(AZ$266)&gt;=ABS(BB$262),BA285+BB285,
TRUE,BA285+BB285+IF(BB$262&gt;0,1,-1))</f>
        <v>#NAME?</v>
      </c>
      <c r="BC284" s="52"/>
      <c r="BD284" s="52"/>
      <c r="BE284" s="52"/>
      <c r="BF284" s="52"/>
      <c r="BG284" s="52"/>
      <c r="BH284" s="52"/>
      <c r="BI284" s="52"/>
      <c r="BJ284" s="52"/>
      <c r="BK284" s="52"/>
      <c r="BL284" s="52"/>
      <c r="BM284" s="52"/>
    </row>
    <row r="285" spans="26:65" ht="15.75" customHeight="1">
      <c r="Z285" s="31"/>
      <c r="AA285" s="31"/>
      <c r="AB285" s="31"/>
      <c r="AC285" s="31"/>
      <c r="AD285" s="31"/>
      <c r="AE285" s="31"/>
      <c r="AF285" s="31"/>
      <c r="AG285" s="31"/>
      <c r="AH285" s="31"/>
      <c r="AI285" s="31"/>
      <c r="AK285" s="459" t="str">
        <v>Ongoing/Recent War</v>
      </c>
      <c r="AL285" s="369">
        <v>0</v>
      </c>
      <c r="AM285" s="428" t="s">
        <v>835</v>
      </c>
      <c r="AN285" s="393"/>
      <c r="AO285" s="393"/>
      <c r="AP285" s="393"/>
      <c r="AQ285" s="393"/>
      <c r="AR285" s="393"/>
      <c r="AS285" s="393"/>
      <c r="AT285" s="393"/>
      <c r="AU285" s="393"/>
      <c r="AV285" s="393"/>
      <c r="AW285" s="369"/>
      <c r="AX285" s="15" t="b">
        <f>AQ19</f>
        <v>0</v>
      </c>
      <c r="AY285" s="52"/>
      <c r="AZ285" s="290" t="str">
        <f ca="1">IFERROR(__xludf.DUMMYFUNCTION("""COMPUTED_VALUE"""),"Musician (Virtuoso)")</f>
        <v>Musician (Virtuoso)</v>
      </c>
      <c r="BA285" s="136">
        <f ca="1">IFERROR(__xludf.DUMMYFUNCTION("""COMPUTED_VALUE"""),2)</f>
        <v>2</v>
      </c>
      <c r="BB285" s="289" t="e">
        <f ca="1">_xludf.ifs(AND(BA285="",BA286=""),"",
BA286="",1,
ROW()-ROW(AZ$266)&gt;=ABS(BB$262),BA286+BB286,
TRUE,BA286+BB286+IF(BB$262&gt;0,1,-1))</f>
        <v>#NAME?</v>
      </c>
      <c r="BC285" s="52"/>
      <c r="BD285" s="52"/>
      <c r="BE285" s="52"/>
      <c r="BF285" s="52"/>
      <c r="BG285" s="52"/>
      <c r="BH285" s="52"/>
      <c r="BI285" s="52"/>
      <c r="BJ285" s="52"/>
      <c r="BK285" s="52"/>
      <c r="BL285" s="52"/>
      <c r="BM285" s="52"/>
    </row>
    <row r="286" spans="26:65" ht="15.75" customHeight="1">
      <c r="Z286" s="31"/>
      <c r="AA286" s="31"/>
      <c r="AB286" s="31"/>
      <c r="AC286" s="31"/>
      <c r="AD286" s="31"/>
      <c r="AE286" s="31"/>
      <c r="AF286" s="31"/>
      <c r="AG286" s="31"/>
      <c r="AH286" s="31"/>
      <c r="AI286" s="31"/>
      <c r="AK286" s="459" t="str">
        <v>Adventurers/Sellswords</v>
      </c>
      <c r="AL286" s="369">
        <v>0</v>
      </c>
      <c r="AM286" s="428" t="s">
        <v>836</v>
      </c>
      <c r="AN286" s="393"/>
      <c r="AO286" s="393"/>
      <c r="AP286" s="393"/>
      <c r="AQ286" s="393"/>
      <c r="AR286" s="393"/>
      <c r="AS286" s="393"/>
      <c r="AT286" s="393"/>
      <c r="AU286" s="393"/>
      <c r="AV286" s="393"/>
      <c r="AW286" s="369"/>
      <c r="AX286" s="15" t="b">
        <f>AQ20</f>
        <v>0</v>
      </c>
      <c r="AY286" s="52"/>
      <c r="AZ286" s="290" t="str">
        <f ca="1">IFERROR(__xludf.DUMMYFUNCTION("""COMPUTED_VALUE"""),"Trader (Arcane)")</f>
        <v>Trader (Arcane)</v>
      </c>
      <c r="BA286" s="136">
        <f ca="1">IFERROR(__xludf.DUMMYFUNCTION("""COMPUTED_VALUE"""),2)</f>
        <v>2</v>
      </c>
      <c r="BB286" s="289" t="e">
        <f ca="1">_xludf.ifs(AND(BA286="",BA287=""),"",
BA287="",1,
ROW()-ROW(AZ$266)&gt;=ABS(BB$262),BA287+BB287,
TRUE,BA287+BB287+IF(BB$262&gt;0,1,-1))</f>
        <v>#NAME?</v>
      </c>
      <c r="BC286" s="52"/>
      <c r="BD286" s="52"/>
      <c r="BE286" s="52"/>
      <c r="BF286" s="52"/>
      <c r="BG286" s="52"/>
      <c r="BH286" s="52"/>
      <c r="BI286" s="52"/>
      <c r="BJ286" s="52"/>
      <c r="BK286" s="52"/>
      <c r="BL286" s="52"/>
      <c r="BM286" s="52"/>
    </row>
    <row r="287" spans="26:65" ht="15.75" customHeight="1">
      <c r="Z287" s="31"/>
      <c r="AA287" s="31"/>
      <c r="AB287" s="31"/>
      <c r="AC287" s="31"/>
      <c r="AD287" s="31"/>
      <c r="AE287" s="31"/>
      <c r="AF287" s="31"/>
      <c r="AG287" s="31"/>
      <c r="AH287" s="31"/>
      <c r="AI287" s="31"/>
      <c r="AK287" s="459" t="str">
        <v>Beauracracy</v>
      </c>
      <c r="AL287" s="369">
        <v>0</v>
      </c>
      <c r="AM287" s="428" t="s">
        <v>837</v>
      </c>
      <c r="AN287" s="393"/>
      <c r="AO287" s="393"/>
      <c r="AP287" s="393"/>
      <c r="AQ287" s="393"/>
      <c r="AR287" s="393"/>
      <c r="AS287" s="393"/>
      <c r="AT287" s="393"/>
      <c r="AU287" s="393"/>
      <c r="AV287" s="393"/>
      <c r="AW287" s="369"/>
      <c r="AX287" s="15" t="b">
        <f>AQ21</f>
        <v>0</v>
      </c>
      <c r="AY287" s="52"/>
      <c r="AZ287" s="290" t="str">
        <f ca="1">IFERROR(__xludf.DUMMYFUNCTION("""COMPUTED_VALUE"""),"Sage/Scholar")</f>
        <v>Sage/Scholar</v>
      </c>
      <c r="BA287" s="136">
        <f ca="1">IFERROR(__xludf.DUMMYFUNCTION("""COMPUTED_VALUE"""),2)</f>
        <v>2</v>
      </c>
      <c r="BB287" s="289" t="e">
        <f ca="1">_xludf.ifs(AND(BA287="",BA288=""),"",
BA288="",1,
ROW()-ROW(AZ$266)&gt;=ABS(BB$262),BA288+BB288,
TRUE,BA288+BB288+IF(BB$262&gt;0,1,-1))</f>
        <v>#NAME?</v>
      </c>
      <c r="BC287" s="52"/>
      <c r="BD287" s="52"/>
      <c r="BE287" s="52"/>
      <c r="BF287" s="52"/>
      <c r="BG287" s="52"/>
      <c r="BH287" s="52"/>
      <c r="BI287" s="52"/>
      <c r="BJ287" s="52"/>
      <c r="BK287" s="52"/>
      <c r="BL287" s="52"/>
      <c r="BM287" s="52"/>
    </row>
    <row r="288" spans="26:65" ht="15.75" customHeight="1">
      <c r="Z288" s="31"/>
      <c r="AA288" s="31"/>
      <c r="AB288" s="31"/>
      <c r="AC288" s="31"/>
      <c r="AD288" s="31"/>
      <c r="AE288" s="31"/>
      <c r="AF288" s="31"/>
      <c r="AG288" s="31"/>
      <c r="AH288" s="31"/>
      <c r="AI288" s="31"/>
      <c r="AK288" s="459" t="str">
        <v>Nobility/Wealthy Elite</v>
      </c>
      <c r="AL288" s="369">
        <v>0</v>
      </c>
      <c r="AM288" s="428" t="s">
        <v>838</v>
      </c>
      <c r="AN288" s="393"/>
      <c r="AO288" s="393"/>
      <c r="AP288" s="393"/>
      <c r="AQ288" s="393"/>
      <c r="AR288" s="393"/>
      <c r="AS288" s="393"/>
      <c r="AT288" s="393"/>
      <c r="AU288" s="393"/>
      <c r="AV288" s="393"/>
      <c r="AW288" s="369"/>
      <c r="AX288" s="15" t="b">
        <f>AQ22</f>
        <v>0</v>
      </c>
      <c r="AY288" s="52"/>
      <c r="AZ288" s="290" t="str">
        <f ca="1">IFERROR(__xludf.DUMMYFUNCTION("""COMPUTED_VALUE"""),"Professor")</f>
        <v>Professor</v>
      </c>
      <c r="BA288" s="136">
        <f ca="1">IFERROR(__xludf.DUMMYFUNCTION("""COMPUTED_VALUE"""),2)</f>
        <v>2</v>
      </c>
      <c r="BB288" s="289" t="e">
        <f ca="1">_xludf.ifs(AND(BA288="",BA289=""),"",
BA289="",1,
ROW()-ROW(AZ$266)&gt;=ABS(BB$262),BA289+BB289,
TRUE,BA289+BB289+IF(BB$262&gt;0,1,-1))</f>
        <v>#NAME?</v>
      </c>
      <c r="BC288" s="52"/>
      <c r="BD288" s="52"/>
      <c r="BE288" s="52"/>
      <c r="BF288" s="52"/>
      <c r="BG288" s="52"/>
      <c r="BH288" s="52"/>
      <c r="BI288" s="52"/>
      <c r="BJ288" s="52"/>
      <c r="BK288" s="52"/>
      <c r="BL288" s="52"/>
      <c r="BM288" s="52"/>
    </row>
    <row r="289" spans="26:65" ht="15.75" customHeight="1">
      <c r="Z289" s="31"/>
      <c r="AA289" s="31"/>
      <c r="AB289" s="31"/>
      <c r="AC289" s="31"/>
      <c r="AD289" s="31"/>
      <c r="AE289" s="31"/>
      <c r="AF289" s="31"/>
      <c r="AG289" s="31"/>
      <c r="AH289" s="31"/>
      <c r="AI289" s="31"/>
      <c r="AK289" s="459" t="str">
        <v>Beggars</v>
      </c>
      <c r="AL289" s="369">
        <v>0</v>
      </c>
      <c r="AM289" s="428" t="s">
        <v>839</v>
      </c>
      <c r="AN289" s="393"/>
      <c r="AO289" s="393"/>
      <c r="AP289" s="393"/>
      <c r="AQ289" s="393"/>
      <c r="AR289" s="393"/>
      <c r="AS289" s="393"/>
      <c r="AT289" s="393"/>
      <c r="AU289" s="393"/>
      <c r="AV289" s="393"/>
      <c r="AW289" s="369"/>
      <c r="AX289" s="15" t="b">
        <f>AQ23</f>
        <v>0</v>
      </c>
      <c r="AY289" s="52"/>
      <c r="AZ289" s="290" t="str">
        <f ca="1">IFERROR(__xludf.DUMMYFUNCTION("""COMPUTED_VALUE"""),"Sellsword")</f>
        <v>Sellsword</v>
      </c>
      <c r="BA289" s="136">
        <f ca="1">IFERROR(__xludf.DUMMYFUNCTION("""COMPUTED_VALUE"""),2)</f>
        <v>2</v>
      </c>
      <c r="BB289" s="289" t="e">
        <f ca="1">_xludf.ifs(AND(BA289="",BA290=""),"",
BA290="",1,
ROW()-ROW(AZ$266)&gt;=ABS(BB$262),BA290+BB290,
TRUE,BA290+BB290+IF(BB$262&gt;0,1,-1))</f>
        <v>#NAME?</v>
      </c>
      <c r="BC289" s="52"/>
      <c r="BD289" s="52"/>
      <c r="BE289" s="52"/>
      <c r="BF289" s="52"/>
      <c r="BG289" s="52"/>
      <c r="BH289" s="52"/>
      <c r="BI289" s="52"/>
      <c r="BJ289" s="52"/>
      <c r="BK289" s="52"/>
      <c r="BL289" s="52"/>
      <c r="BM289" s="52"/>
    </row>
    <row r="290" spans="26:65" ht="15.75" customHeight="1">
      <c r="Z290" s="31"/>
      <c r="AA290" s="31"/>
      <c r="AB290" s="31"/>
      <c r="AC290" s="31"/>
      <c r="AD290" s="31"/>
      <c r="AE290" s="31"/>
      <c r="AF290" s="31"/>
      <c r="AG290" s="31"/>
      <c r="AH290" s="31"/>
      <c r="AI290" s="31"/>
      <c r="AK290" s="459" t="str">
        <v>Eldery</v>
      </c>
      <c r="AL290" s="369">
        <v>0</v>
      </c>
      <c r="AM290" s="428" t="s">
        <v>840</v>
      </c>
      <c r="AN290" s="393"/>
      <c r="AO290" s="393"/>
      <c r="AP290" s="393"/>
      <c r="AQ290" s="393"/>
      <c r="AR290" s="393"/>
      <c r="AS290" s="393"/>
      <c r="AT290" s="393"/>
      <c r="AU290" s="393"/>
      <c r="AV290" s="393"/>
      <c r="AW290" s="369"/>
      <c r="AX290" s="15" t="b">
        <f>AQ24</f>
        <v>0</v>
      </c>
      <c r="AY290" s="52"/>
      <c r="AZ290" s="290" t="str">
        <f ca="1">IFERROR(__xludf.DUMMYFUNCTION("""COMPUTED_VALUE"""),"Official (Constable)")</f>
        <v>Official (Constable)</v>
      </c>
      <c r="BA290" s="136">
        <f ca="1">IFERROR(__xludf.DUMMYFUNCTION("""COMPUTED_VALUE"""),2)</f>
        <v>2</v>
      </c>
      <c r="BB290" s="289" t="e">
        <f ca="1">_xludf.ifs(AND(BA290="",BA291=""),"",
BA291="",1,
ROW()-ROW(AZ$266)&gt;=ABS(BB$262),BA291+BB291,
TRUE,BA291+BB291+IF(BB$262&gt;0,1,-1))</f>
        <v>#NAME?</v>
      </c>
      <c r="BC290" s="52"/>
      <c r="BD290" s="52"/>
      <c r="BE290" s="52"/>
      <c r="BF290" s="52"/>
      <c r="BG290" s="52"/>
      <c r="BH290" s="52"/>
      <c r="BI290" s="52"/>
      <c r="BJ290" s="52"/>
      <c r="BK290" s="52"/>
      <c r="BL290" s="52"/>
      <c r="BM290" s="52"/>
    </row>
    <row r="291" spans="26:65" ht="15.75" customHeight="1" thickBot="1">
      <c r="Z291" s="31"/>
      <c r="AA291" s="31"/>
      <c r="AB291" s="31"/>
      <c r="AC291" s="31"/>
      <c r="AD291" s="31"/>
      <c r="AE291" s="31"/>
      <c r="AF291" s="31"/>
      <c r="AG291" s="31"/>
      <c r="AH291" s="31"/>
      <c r="AI291" s="31"/>
      <c r="AK291" s="461" t="str">
        <v>Sick</v>
      </c>
      <c r="AL291" s="361">
        <v>0</v>
      </c>
      <c r="AM291" s="428" t="s">
        <v>841</v>
      </c>
      <c r="AN291" s="393"/>
      <c r="AO291" s="393"/>
      <c r="AP291" s="393"/>
      <c r="AQ291" s="393"/>
      <c r="AR291" s="393"/>
      <c r="AS291" s="393"/>
      <c r="AT291" s="393"/>
      <c r="AU291" s="393"/>
      <c r="AV291" s="393"/>
      <c r="AW291" s="369"/>
      <c r="AX291" s="15" t="b">
        <f>AQ25</f>
        <v>0</v>
      </c>
      <c r="AY291" s="52"/>
      <c r="AZ291" s="290" t="str">
        <f ca="1">IFERROR(__xludf.DUMMYFUNCTION("""COMPUTED_VALUE"""),"Official (Administrator)")</f>
        <v>Official (Administrator)</v>
      </c>
      <c r="BA291" s="136">
        <f ca="1">IFERROR(__xludf.DUMMYFUNCTION("""COMPUTED_VALUE"""),2)</f>
        <v>2</v>
      </c>
      <c r="BB291" s="289" t="e">
        <f ca="1">_xludf.ifs(AND(BA291="",BA292=""),"",
BA292="",1,
ROW()-ROW(AZ$266)&gt;=ABS(BB$262),BA292+BB292,
TRUE,BA292+BB292+IF(BB$262&gt;0,1,-1))</f>
        <v>#NAME?</v>
      </c>
      <c r="BC291" s="52"/>
      <c r="BD291" s="52"/>
      <c r="BE291" s="52"/>
      <c r="BF291" s="52"/>
      <c r="BG291" s="52"/>
      <c r="BH291" s="52"/>
      <c r="BI291" s="52"/>
      <c r="BJ291" s="52"/>
      <c r="BK291" s="52"/>
      <c r="BL291" s="52"/>
      <c r="BM291" s="52"/>
    </row>
    <row r="292" spans="26:65" ht="15.75" customHeight="1" thickTop="1">
      <c r="Z292" s="31"/>
      <c r="AA292" s="31"/>
      <c r="AB292" s="31"/>
      <c r="AC292" s="31"/>
      <c r="AD292" s="31"/>
      <c r="AE292" s="31"/>
      <c r="AF292" s="31"/>
      <c r="AG292" s="31"/>
      <c r="AH292" s="31"/>
      <c r="AI292" s="31"/>
      <c r="AK292" s="460" t="str">
        <f t="array" ref="AK292:AL310">AS7:AT25</f>
        <v>Ale/Beer</v>
      </c>
      <c r="AL292" s="358">
        <v>0</v>
      </c>
      <c r="AM292" s="428" t="s">
        <v>842</v>
      </c>
      <c r="AN292" s="393"/>
      <c r="AO292" s="393"/>
      <c r="AP292" s="393"/>
      <c r="AQ292" s="393"/>
      <c r="AR292" s="393"/>
      <c r="AS292" s="393"/>
      <c r="AT292" s="393"/>
      <c r="AU292" s="393"/>
      <c r="AV292" s="393"/>
      <c r="AW292" s="369"/>
      <c r="AX292" s="15" t="b">
        <f>AU7</f>
        <v>0</v>
      </c>
      <c r="AY292" s="52"/>
      <c r="AZ292" s="290" t="str">
        <f ca="1">IFERROR(__xludf.DUMMYFUNCTION("""COMPUTED_VALUE"""),"Noble (Major)")</f>
        <v>Noble (Major)</v>
      </c>
      <c r="BA292" s="136">
        <f ca="1">IFERROR(__xludf.DUMMYFUNCTION("""COMPUTED_VALUE"""),2)</f>
        <v>2</v>
      </c>
      <c r="BB292" s="289" t="e">
        <f ca="1">_xludf.ifs(AND(BA292="",BA293=""),"",
BA293="",1,
ROW()-ROW(AZ$266)&gt;=ABS(BB$262),BA293+BB293,
TRUE,BA293+BB293+IF(BB$262&gt;0,1,-1))</f>
        <v>#NAME?</v>
      </c>
      <c r="BC292" s="52"/>
      <c r="BD292" s="52"/>
      <c r="BE292" s="52"/>
      <c r="BF292" s="52"/>
      <c r="BG292" s="52"/>
      <c r="BH292" s="52"/>
      <c r="BI292" s="52"/>
      <c r="BJ292" s="52"/>
      <c r="BK292" s="52"/>
      <c r="BL292" s="52"/>
      <c r="BM292" s="52"/>
    </row>
    <row r="293" spans="26:65" ht="15.75" customHeight="1">
      <c r="Z293" s="31"/>
      <c r="AA293" s="31"/>
      <c r="AB293" s="31"/>
      <c r="AC293" s="31"/>
      <c r="AD293" s="31"/>
      <c r="AE293" s="31"/>
      <c r="AF293" s="31"/>
      <c r="AG293" s="31"/>
      <c r="AH293" s="31"/>
      <c r="AI293" s="31"/>
      <c r="AK293" s="459" t="str">
        <v>Wine/Mead</v>
      </c>
      <c r="AL293" s="369">
        <v>0</v>
      </c>
      <c r="AM293" s="428" t="s">
        <v>843</v>
      </c>
      <c r="AN293" s="393"/>
      <c r="AO293" s="393"/>
      <c r="AP293" s="393"/>
      <c r="AQ293" s="393"/>
      <c r="AR293" s="393"/>
      <c r="AS293" s="393"/>
      <c r="AT293" s="393"/>
      <c r="AU293" s="393"/>
      <c r="AV293" s="393"/>
      <c r="AW293" s="369"/>
      <c r="AX293" s="15" t="b">
        <f>AU8</f>
        <v>0</v>
      </c>
      <c r="AY293" s="52"/>
      <c r="AZ293" s="290"/>
      <c r="BA293" s="136"/>
      <c r="BB293" s="289" t="e">
        <f ca="1">_xludf.ifs(AND(BA293="",BA294=""),"",
BA294="",1,
ROW()-ROW(AZ$266)&gt;=ABS(BB$262),BA294+BB294,
TRUE,BA294+BB294+IF(BB$262&gt;0,1,-1))</f>
        <v>#NAME?</v>
      </c>
      <c r="BC293" s="52"/>
      <c r="BD293" s="52"/>
      <c r="BE293" s="52"/>
      <c r="BF293" s="52"/>
      <c r="BG293" s="52"/>
      <c r="BH293" s="52"/>
      <c r="BI293" s="52"/>
      <c r="BJ293" s="52"/>
      <c r="BK293" s="52"/>
      <c r="BL293" s="52"/>
      <c r="BM293" s="52"/>
    </row>
    <row r="294" spans="26:65" ht="15.75" customHeight="1">
      <c r="Z294" s="31"/>
      <c r="AA294" s="31"/>
      <c r="AB294" s="31"/>
      <c r="AC294" s="31"/>
      <c r="AD294" s="31"/>
      <c r="AE294" s="31"/>
      <c r="AF294" s="31"/>
      <c r="AG294" s="31"/>
      <c r="AH294" s="31"/>
      <c r="AI294" s="31"/>
      <c r="AK294" s="459" t="str">
        <v>Licquor</v>
      </c>
      <c r="AL294" s="369">
        <v>0</v>
      </c>
      <c r="AM294" s="428" t="s">
        <v>844</v>
      </c>
      <c r="AN294" s="393"/>
      <c r="AO294" s="393"/>
      <c r="AP294" s="393"/>
      <c r="AQ294" s="393"/>
      <c r="AR294" s="393"/>
      <c r="AS294" s="393"/>
      <c r="AT294" s="393"/>
      <c r="AU294" s="393"/>
      <c r="AV294" s="393"/>
      <c r="AW294" s="369"/>
      <c r="AX294" s="15" t="b">
        <f>AU9</f>
        <v>0</v>
      </c>
      <c r="AY294" s="52"/>
      <c r="AZ294" s="290"/>
      <c r="BA294" s="136"/>
      <c r="BB294" s="289" t="e">
        <f ca="1">_xludf.ifs(AND(BA294="",BA295=""),"",
BA295="",1,
ROW()-ROW(AZ$266)&gt;=ABS(BB$262),BA295+BB295,
TRUE,BA295+BB295+IF(BB$262&gt;0,1,-1))</f>
        <v>#NAME?</v>
      </c>
      <c r="BC294" s="52"/>
      <c r="BD294" s="52"/>
      <c r="BE294" s="52"/>
      <c r="BF294" s="52"/>
      <c r="BG294" s="52"/>
      <c r="BH294" s="52"/>
      <c r="BI294" s="52"/>
      <c r="BJ294" s="52"/>
      <c r="BK294" s="52"/>
      <c r="BL294" s="52"/>
      <c r="BM294" s="52"/>
    </row>
    <row r="295" spans="26:65" ht="15.75" customHeight="1">
      <c r="Z295" s="31"/>
      <c r="AA295" s="31"/>
      <c r="AB295" s="31"/>
      <c r="AC295" s="31"/>
      <c r="AD295" s="31"/>
      <c r="AE295" s="31"/>
      <c r="AF295" s="31"/>
      <c r="AG295" s="31"/>
      <c r="AH295" s="31"/>
      <c r="AI295" s="31"/>
      <c r="AK295" s="459" t="str">
        <v>Potions</v>
      </c>
      <c r="AL295" s="369">
        <v>0</v>
      </c>
      <c r="AM295" s="445" t="s">
        <v>845</v>
      </c>
      <c r="AN295" s="393"/>
      <c r="AO295" s="393"/>
      <c r="AP295" s="393"/>
      <c r="AQ295" s="393"/>
      <c r="AR295" s="393"/>
      <c r="AS295" s="393"/>
      <c r="AT295" s="393"/>
      <c r="AU295" s="393"/>
      <c r="AV295" s="393"/>
      <c r="AW295" s="369"/>
      <c r="AX295" s="15" t="b">
        <f>AU10</f>
        <v>0</v>
      </c>
      <c r="AY295" s="52"/>
      <c r="AZ295" s="290"/>
      <c r="BA295" s="136"/>
      <c r="BB295" s="289" t="e">
        <f ca="1">_xludf.ifs(AND(BA295="",BA296=""),"",
BA296="",1,
ROW()-ROW(AZ$266)&gt;=ABS(BB$262),BA296+BB296,
TRUE,BA296+BB296+IF(BB$262&gt;0,1,-1))</f>
        <v>#NAME?</v>
      </c>
      <c r="BC295" s="52"/>
      <c r="BD295" s="52"/>
      <c r="BE295" s="52"/>
      <c r="BF295" s="52"/>
      <c r="BG295" s="52"/>
      <c r="BH295" s="52"/>
      <c r="BI295" s="52"/>
      <c r="BJ295" s="52"/>
      <c r="BK295" s="52"/>
      <c r="BL295" s="52"/>
      <c r="BM295" s="52"/>
    </row>
    <row r="296" spans="26:65" ht="15.75" customHeight="1">
      <c r="Z296" s="31"/>
      <c r="AA296" s="31"/>
      <c r="AB296" s="31"/>
      <c r="AC296" s="31"/>
      <c r="AD296" s="31"/>
      <c r="AE296" s="31"/>
      <c r="AF296" s="31"/>
      <c r="AG296" s="31"/>
      <c r="AH296" s="31"/>
      <c r="AI296" s="31"/>
      <c r="AK296" s="459" t="str">
        <v>Enchanters</v>
      </c>
      <c r="AL296" s="369">
        <v>0</v>
      </c>
      <c r="AM296" s="445" t="s">
        <v>846</v>
      </c>
      <c r="AN296" s="393"/>
      <c r="AO296" s="393"/>
      <c r="AP296" s="393"/>
      <c r="AQ296" s="393"/>
      <c r="AR296" s="393"/>
      <c r="AS296" s="393"/>
      <c r="AT296" s="393"/>
      <c r="AU296" s="393"/>
      <c r="AV296" s="393"/>
      <c r="AW296" s="369"/>
      <c r="AX296" s="15" t="b">
        <f>AU11</f>
        <v>0</v>
      </c>
      <c r="AY296" s="52"/>
      <c r="AZ296" s="290"/>
      <c r="BA296" s="136"/>
      <c r="BB296" s="289" t="e">
        <f ca="1">_xludf.ifs(AND(BA296="",BA297=""),"",
BA297="",1,
ROW()-ROW(AZ$266)&gt;=ABS(BB$262),BA297+BB297,
TRUE,BA297+BB297+IF(BB$262&gt;0,1,-1))</f>
        <v>#NAME?</v>
      </c>
      <c r="BC296" s="52"/>
      <c r="BD296" s="52"/>
      <c r="BE296" s="52"/>
      <c r="BF296" s="52"/>
      <c r="BG296" s="52"/>
      <c r="BH296" s="52"/>
      <c r="BI296" s="52"/>
      <c r="BJ296" s="52"/>
      <c r="BK296" s="52"/>
      <c r="BL296" s="52"/>
      <c r="BM296" s="52"/>
    </row>
    <row r="297" spans="26:65" ht="15.75" customHeight="1">
      <c r="Z297" s="31"/>
      <c r="AA297" s="31"/>
      <c r="AB297" s="31"/>
      <c r="AC297" s="31"/>
      <c r="AD297" s="31"/>
      <c r="AE297" s="31"/>
      <c r="AF297" s="31"/>
      <c r="AG297" s="31"/>
      <c r="AH297" s="31"/>
      <c r="AI297" s="31"/>
      <c r="AK297" s="459" t="str">
        <v>Armor</v>
      </c>
      <c r="AL297" s="369">
        <v>0</v>
      </c>
      <c r="AM297" s="445" t="s">
        <v>847</v>
      </c>
      <c r="AN297" s="393"/>
      <c r="AO297" s="393"/>
      <c r="AP297" s="393"/>
      <c r="AQ297" s="393"/>
      <c r="AR297" s="393"/>
      <c r="AS297" s="393"/>
      <c r="AT297" s="393"/>
      <c r="AU297" s="393"/>
      <c r="AV297" s="393"/>
      <c r="AW297" s="369"/>
      <c r="AX297" s="15" t="b">
        <f>AU12</f>
        <v>0</v>
      </c>
      <c r="AY297" s="52"/>
      <c r="AZ297" s="290"/>
      <c r="BA297" s="136"/>
      <c r="BB297" s="289" t="e">
        <f ca="1">_xludf.ifs(AND(BA297="",BA298=""),"",
BA298="",1,
ROW()-ROW(AZ$266)&gt;=ABS(BB$262),BA298+BB298,
TRUE,BA298+BB298+IF(BB$262&gt;0,1,-1))</f>
        <v>#NAME?</v>
      </c>
      <c r="BC297" s="52"/>
      <c r="BD297" s="52"/>
      <c r="BE297" s="52"/>
      <c r="BF297" s="52"/>
      <c r="BG297" s="52"/>
      <c r="BH297" s="52"/>
      <c r="BI297" s="52"/>
      <c r="BJ297" s="52"/>
      <c r="BK297" s="52"/>
      <c r="BL297" s="52"/>
      <c r="BM297" s="52"/>
    </row>
    <row r="298" spans="26:65" ht="15.75" customHeight="1">
      <c r="Z298" s="31"/>
      <c r="AA298" s="31"/>
      <c r="AB298" s="31"/>
      <c r="AC298" s="31"/>
      <c r="AD298" s="31"/>
      <c r="AE298" s="31"/>
      <c r="AF298" s="31"/>
      <c r="AG298" s="31"/>
      <c r="AH298" s="31"/>
      <c r="AI298" s="31"/>
      <c r="AK298" s="459" t="str">
        <v>Cloth/Clothing</v>
      </c>
      <c r="AL298" s="369">
        <v>0</v>
      </c>
      <c r="AM298" s="445" t="s">
        <v>848</v>
      </c>
      <c r="AN298" s="393"/>
      <c r="AO298" s="393"/>
      <c r="AP298" s="393"/>
      <c r="AQ298" s="393"/>
      <c r="AR298" s="393"/>
      <c r="AS298" s="393"/>
      <c r="AT298" s="393"/>
      <c r="AU298" s="393"/>
      <c r="AV298" s="393"/>
      <c r="AW298" s="369"/>
      <c r="AX298" s="15" t="b">
        <f>AU13</f>
        <v>0</v>
      </c>
      <c r="AY298" s="52"/>
      <c r="AZ298" s="290"/>
      <c r="BA298" s="136"/>
      <c r="BB298" s="289" t="e">
        <f ca="1">_xludf.ifs(AND(BA298="",BA299=""),"",
BA299="",1,
ROW()-ROW(AZ$266)&gt;=ABS(BB$262),BA299+BB299,
TRUE,BA299+BB299+IF(BB$262&gt;0,1,-1))</f>
        <v>#NAME?</v>
      </c>
      <c r="BC298" s="52"/>
      <c r="BD298" s="52"/>
      <c r="BE298" s="52"/>
      <c r="BF298" s="52"/>
      <c r="BG298" s="52"/>
      <c r="BH298" s="52"/>
      <c r="BI298" s="52"/>
      <c r="BJ298" s="52"/>
      <c r="BK298" s="52"/>
      <c r="BL298" s="52"/>
      <c r="BM298" s="52"/>
    </row>
    <row r="299" spans="26:65" ht="15.75" customHeight="1">
      <c r="Z299" s="31"/>
      <c r="AA299" s="31"/>
      <c r="AB299" s="31"/>
      <c r="AC299" s="31"/>
      <c r="AD299" s="31"/>
      <c r="AE299" s="31"/>
      <c r="AF299" s="31"/>
      <c r="AG299" s="31"/>
      <c r="AH299" s="31"/>
      <c r="AI299" s="31"/>
      <c r="AK299" s="459" t="str">
        <v>Cash Crops</v>
      </c>
      <c r="AL299" s="369">
        <v>0</v>
      </c>
      <c r="AM299" s="445" t="s">
        <v>849</v>
      </c>
      <c r="AN299" s="393"/>
      <c r="AO299" s="393"/>
      <c r="AP299" s="393"/>
      <c r="AQ299" s="393"/>
      <c r="AR299" s="393"/>
      <c r="AS299" s="393"/>
      <c r="AT299" s="393"/>
      <c r="AU299" s="393"/>
      <c r="AV299" s="393"/>
      <c r="AW299" s="369"/>
      <c r="AX299" s="15" t="b">
        <f>AU14</f>
        <v>0</v>
      </c>
      <c r="AY299" s="52"/>
      <c r="AZ299" s="290"/>
      <c r="BA299" s="136"/>
      <c r="BB299" s="289" t="e">
        <f ca="1">_xludf.ifs(AND(BA299="",BA300=""),"",
BA300="",1,
ROW()-ROW(AZ$266)&gt;=ABS(BB$262),BA300+BB300,
TRUE,BA300+BB300+IF(BB$262&gt;0,1,-1))</f>
        <v>#NAME?</v>
      </c>
      <c r="BC299" s="52"/>
      <c r="BD299" s="52"/>
      <c r="BE299" s="52"/>
      <c r="BF299" s="52"/>
      <c r="BG299" s="52"/>
      <c r="BH299" s="52"/>
      <c r="BI299" s="52"/>
      <c r="BJ299" s="52"/>
      <c r="BK299" s="52"/>
      <c r="BL299" s="52"/>
      <c r="BM299" s="52"/>
    </row>
    <row r="300" spans="26:65" ht="15.75" customHeight="1">
      <c r="Z300" s="31"/>
      <c r="AA300" s="31"/>
      <c r="AB300" s="31"/>
      <c r="AC300" s="31"/>
      <c r="AD300" s="31"/>
      <c r="AE300" s="31"/>
      <c r="AF300" s="31"/>
      <c r="AG300" s="31"/>
      <c r="AH300" s="31"/>
      <c r="AI300" s="31"/>
      <c r="AK300" s="459" t="str">
        <v>Fish</v>
      </c>
      <c r="AL300" s="369">
        <v>0</v>
      </c>
      <c r="AM300" s="445" t="s">
        <v>850</v>
      </c>
      <c r="AN300" s="393"/>
      <c r="AO300" s="393"/>
      <c r="AP300" s="393"/>
      <c r="AQ300" s="393"/>
      <c r="AR300" s="393"/>
      <c r="AS300" s="393"/>
      <c r="AT300" s="393"/>
      <c r="AU300" s="393"/>
      <c r="AV300" s="393"/>
      <c r="AW300" s="369"/>
      <c r="AX300" s="15" t="b">
        <f>AU15</f>
        <v>0</v>
      </c>
      <c r="AY300" s="52"/>
      <c r="AZ300" s="290"/>
      <c r="BA300" s="136"/>
      <c r="BB300" s="289" t="e">
        <f ca="1">_xludf.ifs(AND(BA300="",BA301=""),"",
BA301="",1,
ROW()-ROW(AZ$266)&gt;=ABS(BB$262),BA301+BB301,
TRUE,BA301+BB301+IF(BB$262&gt;0,1,-1))</f>
        <v>#NAME?</v>
      </c>
      <c r="BC300" s="52"/>
      <c r="BD300" s="52"/>
      <c r="BE300" s="52"/>
      <c r="BF300" s="52"/>
      <c r="BG300" s="52"/>
      <c r="BH300" s="52"/>
      <c r="BI300" s="52"/>
      <c r="BJ300" s="52"/>
      <c r="BK300" s="52"/>
      <c r="BL300" s="52"/>
      <c r="BM300" s="52"/>
    </row>
    <row r="301" spans="26:65" ht="15.75" customHeight="1">
      <c r="Z301" s="31"/>
      <c r="AA301" s="31"/>
      <c r="AB301" s="31"/>
      <c r="AC301" s="31"/>
      <c r="AD301" s="31"/>
      <c r="AE301" s="31"/>
      <c r="AF301" s="31"/>
      <c r="AG301" s="31"/>
      <c r="AH301" s="31"/>
      <c r="AI301" s="31"/>
      <c r="AK301" s="459" t="str">
        <v>Furniture</v>
      </c>
      <c r="AL301" s="369">
        <v>0</v>
      </c>
      <c r="AM301" s="445" t="s">
        <v>851</v>
      </c>
      <c r="AN301" s="393"/>
      <c r="AO301" s="393"/>
      <c r="AP301" s="393"/>
      <c r="AQ301" s="393"/>
      <c r="AR301" s="393"/>
      <c r="AS301" s="393"/>
      <c r="AT301" s="393"/>
      <c r="AU301" s="393"/>
      <c r="AV301" s="393"/>
      <c r="AW301" s="369"/>
      <c r="AX301" s="15" t="b">
        <f>AU16</f>
        <v>0</v>
      </c>
      <c r="AY301" s="52"/>
      <c r="AZ301" s="290"/>
      <c r="BA301" s="136"/>
      <c r="BB301" s="289" t="e">
        <f ca="1">_xludf.ifs(AND(BA301="",BA302=""),"",
BA302="",1,
ROW()-ROW(AZ$266)&gt;=ABS(BB$262),BA302+BB302,
TRUE,BA302+BB302+IF(BB$262&gt;0,1,-1))</f>
        <v>#NAME?</v>
      </c>
      <c r="BC301" s="52"/>
      <c r="BD301" s="52"/>
      <c r="BE301" s="52"/>
      <c r="BF301" s="52"/>
      <c r="BG301" s="52"/>
      <c r="BH301" s="52"/>
      <c r="BI301" s="52"/>
      <c r="BJ301" s="52"/>
      <c r="BK301" s="52"/>
      <c r="BL301" s="52"/>
      <c r="BM301" s="52"/>
    </row>
    <row r="302" spans="26:65" ht="15.75" customHeight="1">
      <c r="Z302" s="31"/>
      <c r="AA302" s="31"/>
      <c r="AB302" s="31"/>
      <c r="AC302" s="31"/>
      <c r="AD302" s="31"/>
      <c r="AE302" s="31"/>
      <c r="AF302" s="31"/>
      <c r="AG302" s="31"/>
      <c r="AH302" s="31"/>
      <c r="AI302" s="31"/>
      <c r="AK302" s="459" t="str">
        <v>Glassmaking</v>
      </c>
      <c r="AL302" s="369">
        <v>0</v>
      </c>
      <c r="AM302" s="445" t="s">
        <v>852</v>
      </c>
      <c r="AN302" s="393"/>
      <c r="AO302" s="393"/>
      <c r="AP302" s="393"/>
      <c r="AQ302" s="393"/>
      <c r="AR302" s="393"/>
      <c r="AS302" s="393"/>
      <c r="AT302" s="393"/>
      <c r="AU302" s="393"/>
      <c r="AV302" s="393"/>
      <c r="AW302" s="369"/>
      <c r="AX302" s="15" t="b">
        <f>AU17</f>
        <v>0</v>
      </c>
      <c r="AY302" s="52"/>
      <c r="AZ302" s="290"/>
      <c r="BA302" s="136"/>
      <c r="BB302" s="289" t="e">
        <f ca="1">_xludf.ifs(AND(BA302="",BA303=""),"",
BA303="",1,
ROW()-ROW(AZ$266)&gt;=ABS(BB$262),BA303+BB303,
TRUE,BA303+BB303+IF(BB$262&gt;0,1,-1))</f>
        <v>#NAME?</v>
      </c>
      <c r="BC302" s="52"/>
      <c r="BD302" s="52"/>
      <c r="BE302" s="52"/>
      <c r="BF302" s="52"/>
      <c r="BG302" s="52"/>
      <c r="BH302" s="52"/>
      <c r="BI302" s="52"/>
      <c r="BJ302" s="52"/>
      <c r="BK302" s="52"/>
      <c r="BL302" s="52"/>
      <c r="BM302" s="52"/>
    </row>
    <row r="303" spans="26:65" ht="15.75" customHeight="1">
      <c r="Z303" s="31"/>
      <c r="AA303" s="31"/>
      <c r="AB303" s="31"/>
      <c r="AC303" s="31"/>
      <c r="AD303" s="31"/>
      <c r="AE303" s="31"/>
      <c r="AF303" s="31"/>
      <c r="AG303" s="31"/>
      <c r="AH303" s="31"/>
      <c r="AI303" s="31"/>
      <c r="AK303" s="459" t="str">
        <v>Jewelry</v>
      </c>
      <c r="AL303" s="369">
        <v>0</v>
      </c>
      <c r="AM303" s="445" t="s">
        <v>853</v>
      </c>
      <c r="AN303" s="393"/>
      <c r="AO303" s="393"/>
      <c r="AP303" s="393"/>
      <c r="AQ303" s="393"/>
      <c r="AR303" s="393"/>
      <c r="AS303" s="393"/>
      <c r="AT303" s="393"/>
      <c r="AU303" s="393"/>
      <c r="AV303" s="393"/>
      <c r="AW303" s="369"/>
      <c r="AX303" s="15" t="b">
        <f>AU18</f>
        <v>0</v>
      </c>
      <c r="AY303" s="52"/>
      <c r="AZ303" s="290"/>
      <c r="BA303" s="136"/>
      <c r="BB303" s="289" t="e">
        <f ca="1">_xludf.ifs(AND(BA303="",BA304=""),"",
BA304="",1,
ROW()-ROW(AZ$266)&gt;=ABS(BB$262),BA304+BB304,
TRUE,BA304+BB304+IF(BB$262&gt;0,1,-1))</f>
        <v>#NAME?</v>
      </c>
      <c r="BC303" s="52"/>
      <c r="BD303" s="52"/>
      <c r="BE303" s="52"/>
      <c r="BF303" s="52"/>
      <c r="BG303" s="52"/>
      <c r="BH303" s="52"/>
      <c r="BI303" s="52"/>
      <c r="BJ303" s="52"/>
      <c r="BK303" s="52"/>
      <c r="BL303" s="52"/>
      <c r="BM303" s="52"/>
    </row>
    <row r="304" spans="26:65" ht="15.75" customHeight="1">
      <c r="Z304" s="31"/>
      <c r="AA304" s="31"/>
      <c r="AB304" s="31"/>
      <c r="AC304" s="31"/>
      <c r="AD304" s="31"/>
      <c r="AE304" s="31"/>
      <c r="AF304" s="31"/>
      <c r="AG304" s="31"/>
      <c r="AH304" s="31"/>
      <c r="AI304" s="31"/>
      <c r="AK304" s="459" t="str">
        <v>Livestock</v>
      </c>
      <c r="AL304" s="369">
        <v>0</v>
      </c>
      <c r="AM304" s="445" t="s">
        <v>854</v>
      </c>
      <c r="AN304" s="393"/>
      <c r="AO304" s="393"/>
      <c r="AP304" s="393"/>
      <c r="AQ304" s="393"/>
      <c r="AR304" s="393"/>
      <c r="AS304" s="393"/>
      <c r="AT304" s="393"/>
      <c r="AU304" s="393"/>
      <c r="AV304" s="393"/>
      <c r="AW304" s="369"/>
      <c r="AX304" s="15" t="b">
        <f>AU19</f>
        <v>0</v>
      </c>
      <c r="AY304" s="52"/>
      <c r="AZ304" s="290"/>
      <c r="BA304" s="136"/>
      <c r="BB304" s="289" t="e">
        <f ca="1">_xludf.ifs(AND(BA304="",BA305=""),"",
BA305="",1,
ROW()-ROW(AZ$266)&gt;=ABS(BB$262),BA305+BB305,
TRUE,BA305+BB305+IF(BB$262&gt;0,1,-1))</f>
        <v>#NAME?</v>
      </c>
      <c r="BC304" s="52"/>
      <c r="BD304" s="52"/>
      <c r="BE304" s="52"/>
      <c r="BF304" s="52"/>
      <c r="BG304" s="52"/>
      <c r="BH304" s="52"/>
      <c r="BI304" s="52"/>
      <c r="BJ304" s="52"/>
      <c r="BK304" s="52"/>
      <c r="BL304" s="52"/>
      <c r="BM304" s="52"/>
    </row>
    <row r="305" spans="26:65" ht="15.75" customHeight="1">
      <c r="Z305" s="31"/>
      <c r="AA305" s="31"/>
      <c r="AB305" s="31"/>
      <c r="AC305" s="31"/>
      <c r="AD305" s="31"/>
      <c r="AE305" s="31"/>
      <c r="AF305" s="31"/>
      <c r="AG305" s="31"/>
      <c r="AH305" s="31"/>
      <c r="AI305" s="31"/>
      <c r="AK305" s="459" t="str">
        <v>Medicine</v>
      </c>
      <c r="AL305" s="369">
        <v>0</v>
      </c>
      <c r="AM305" s="428" t="s">
        <v>855</v>
      </c>
      <c r="AN305" s="393"/>
      <c r="AO305" s="393"/>
      <c r="AP305" s="393"/>
      <c r="AQ305" s="393"/>
      <c r="AR305" s="393"/>
      <c r="AS305" s="393"/>
      <c r="AT305" s="393"/>
      <c r="AU305" s="393"/>
      <c r="AV305" s="393"/>
      <c r="AW305" s="369"/>
      <c r="AX305" s="15" t="b">
        <f>AU20</f>
        <v>0</v>
      </c>
      <c r="AY305" s="52"/>
      <c r="AZ305" s="290"/>
      <c r="BA305" s="136"/>
      <c r="BB305" s="289" t="e">
        <f ca="1">_xludf.ifs(AND(BA305="",BA306=""),"",
BA306="",1,
ROW()-ROW(AZ$266)&gt;=ABS(BB$262),BA306+BB306,
TRUE,BA306+BB306+IF(BB$262&gt;0,1,-1))</f>
        <v>#NAME?</v>
      </c>
      <c r="BC305" s="52"/>
      <c r="BD305" s="52"/>
      <c r="BE305" s="52"/>
      <c r="BF305" s="52"/>
      <c r="BG305" s="52"/>
      <c r="BH305" s="52"/>
      <c r="BI305" s="52"/>
      <c r="BJ305" s="52"/>
      <c r="BK305" s="52"/>
      <c r="BL305" s="52"/>
      <c r="BM305" s="52"/>
    </row>
    <row r="306" spans="26:65" ht="15.75" customHeight="1" thickBot="1">
      <c r="Z306" s="31"/>
      <c r="AA306" s="31"/>
      <c r="AB306" s="31"/>
      <c r="AC306" s="31"/>
      <c r="AD306" s="31"/>
      <c r="AE306" s="31"/>
      <c r="AF306" s="31"/>
      <c r="AG306" s="31"/>
      <c r="AH306" s="31"/>
      <c r="AI306" s="31"/>
      <c r="AK306" s="459" t="str">
        <v>Metalwork</v>
      </c>
      <c r="AL306" s="369">
        <v>0</v>
      </c>
      <c r="AM306" s="445" t="s">
        <v>856</v>
      </c>
      <c r="AN306" s="393"/>
      <c r="AO306" s="393"/>
      <c r="AP306" s="393"/>
      <c r="AQ306" s="393"/>
      <c r="AR306" s="393"/>
      <c r="AS306" s="393"/>
      <c r="AT306" s="393"/>
      <c r="AU306" s="393"/>
      <c r="AV306" s="393"/>
      <c r="AW306" s="369"/>
      <c r="AX306" s="15" t="b">
        <f>AU21</f>
        <v>0</v>
      </c>
      <c r="AY306" s="52"/>
      <c r="AZ306" s="292"/>
      <c r="BA306" s="140"/>
      <c r="BB306" s="141" t="str">
        <f>IF(BA306="","",1)</f>
        <v/>
      </c>
      <c r="BC306" s="52"/>
      <c r="BD306" s="52"/>
      <c r="BE306" s="52"/>
      <c r="BF306" s="52"/>
      <c r="BG306" s="52"/>
      <c r="BH306" s="52"/>
      <c r="BI306" s="52"/>
      <c r="BJ306" s="52"/>
      <c r="BK306" s="52"/>
      <c r="BL306" s="52"/>
      <c r="BM306" s="52"/>
    </row>
    <row r="307" spans="26:65" ht="15.75" customHeight="1" thickTop="1">
      <c r="Z307" s="31"/>
      <c r="AA307" s="31"/>
      <c r="AB307" s="31"/>
      <c r="AC307" s="31"/>
      <c r="AD307" s="31"/>
      <c r="AE307" s="31"/>
      <c r="AF307" s="31"/>
      <c r="AG307" s="31"/>
      <c r="AH307" s="31"/>
      <c r="AI307" s="31"/>
      <c r="AK307" s="391" t="str">
        <v>Shipbuilding</v>
      </c>
      <c r="AL307" s="369">
        <v>0</v>
      </c>
      <c r="AM307" s="445" t="s">
        <v>857</v>
      </c>
      <c r="AN307" s="393"/>
      <c r="AO307" s="393"/>
      <c r="AP307" s="393"/>
      <c r="AQ307" s="393"/>
      <c r="AR307" s="393"/>
      <c r="AS307" s="393"/>
      <c r="AT307" s="393"/>
      <c r="AU307" s="393"/>
      <c r="AV307" s="393"/>
      <c r="AW307" s="369"/>
      <c r="AX307" s="15" t="b">
        <f>AU22</f>
        <v>0</v>
      </c>
      <c r="AY307" s="52"/>
      <c r="AZ307" s="52"/>
      <c r="BA307" s="52"/>
      <c r="BB307" s="52"/>
      <c r="BC307" s="52"/>
      <c r="BD307" s="52"/>
      <c r="BE307" s="52"/>
      <c r="BF307" s="52"/>
      <c r="BG307" s="52"/>
      <c r="BH307" s="52"/>
      <c r="BI307" s="52"/>
      <c r="BJ307" s="52"/>
      <c r="BK307" s="52"/>
      <c r="BL307" s="52"/>
      <c r="BM307" s="52"/>
    </row>
    <row r="308" spans="26:65" ht="15.75" customHeight="1">
      <c r="Z308" s="31"/>
      <c r="AA308" s="31"/>
      <c r="AB308" s="31"/>
      <c r="AC308" s="31"/>
      <c r="AD308" s="31"/>
      <c r="AE308" s="31"/>
      <c r="AF308" s="31"/>
      <c r="AG308" s="31"/>
      <c r="AH308" s="31"/>
      <c r="AI308" s="31"/>
      <c r="AK308" s="391" t="str">
        <v>Slaves</v>
      </c>
      <c r="AL308" s="369">
        <v>0</v>
      </c>
      <c r="AM308" s="445" t="s">
        <v>858</v>
      </c>
      <c r="AN308" s="393"/>
      <c r="AO308" s="393"/>
      <c r="AP308" s="393"/>
      <c r="AQ308" s="393"/>
      <c r="AR308" s="393"/>
      <c r="AS308" s="393"/>
      <c r="AT308" s="393"/>
      <c r="AU308" s="393"/>
      <c r="AV308" s="393"/>
      <c r="AW308" s="369"/>
      <c r="AX308" s="15" t="b">
        <f>AU23</f>
        <v>0</v>
      </c>
      <c r="AY308" s="52"/>
      <c r="AZ308" s="52"/>
      <c r="BA308" s="52"/>
      <c r="BB308" s="52"/>
      <c r="BC308" s="52"/>
      <c r="BD308" s="52"/>
      <c r="BE308" s="52"/>
      <c r="BF308" s="52"/>
      <c r="BG308" s="52"/>
      <c r="BH308" s="52"/>
      <c r="BI308" s="52"/>
      <c r="BJ308" s="52"/>
      <c r="BK308" s="52"/>
      <c r="BL308" s="52"/>
      <c r="BM308" s="52"/>
    </row>
    <row r="309" spans="26:65" ht="15.75" customHeight="1">
      <c r="Z309" s="31"/>
      <c r="AA309" s="31"/>
      <c r="AB309" s="31"/>
      <c r="AC309" s="31"/>
      <c r="AD309" s="31"/>
      <c r="AE309" s="31"/>
      <c r="AF309" s="31"/>
      <c r="AG309" s="31"/>
      <c r="AH309" s="31"/>
      <c r="AI309" s="31"/>
      <c r="AK309" s="391" t="str">
        <v>Technology</v>
      </c>
      <c r="AL309" s="369">
        <v>0</v>
      </c>
      <c r="AM309" s="445" t="s">
        <v>859</v>
      </c>
      <c r="AN309" s="393"/>
      <c r="AO309" s="393"/>
      <c r="AP309" s="393"/>
      <c r="AQ309" s="393"/>
      <c r="AR309" s="393"/>
      <c r="AS309" s="393"/>
      <c r="AT309" s="393"/>
      <c r="AU309" s="393"/>
      <c r="AV309" s="393"/>
      <c r="AW309" s="369"/>
      <c r="AX309" s="15" t="b">
        <f>AU24</f>
        <v>0</v>
      </c>
      <c r="AY309" s="52"/>
      <c r="AZ309" s="52"/>
      <c r="BA309" s="52"/>
      <c r="BB309" s="52"/>
      <c r="BC309" s="52"/>
      <c r="BD309" s="52"/>
      <c r="BE309" s="52"/>
      <c r="BF309" s="52"/>
      <c r="BG309" s="52"/>
      <c r="BH309" s="52"/>
      <c r="BI309" s="52"/>
      <c r="BJ309" s="52"/>
      <c r="BK309" s="52"/>
      <c r="BL309" s="52"/>
      <c r="BM309" s="52"/>
    </row>
    <row r="310" spans="26:65" ht="15.75" customHeight="1" thickBot="1">
      <c r="Z310" s="31"/>
      <c r="AA310" s="31"/>
      <c r="AB310" s="31"/>
      <c r="AC310" s="31"/>
      <c r="AD310" s="31"/>
      <c r="AE310" s="31"/>
      <c r="AF310" s="31"/>
      <c r="AG310" s="31"/>
      <c r="AH310" s="31"/>
      <c r="AI310" s="31"/>
      <c r="AK310" s="454" t="str">
        <v>Weapons</v>
      </c>
      <c r="AL310" s="361">
        <v>0</v>
      </c>
      <c r="AM310" s="446" t="s">
        <v>860</v>
      </c>
      <c r="AN310" s="360"/>
      <c r="AO310" s="360"/>
      <c r="AP310" s="360"/>
      <c r="AQ310" s="360"/>
      <c r="AR310" s="360"/>
      <c r="AS310" s="360"/>
      <c r="AT310" s="360"/>
      <c r="AU310" s="360"/>
      <c r="AV310" s="360"/>
      <c r="AW310" s="361"/>
      <c r="AX310" s="16" t="b">
        <f>AU25</f>
        <v>0</v>
      </c>
      <c r="AY310" s="52"/>
      <c r="AZ310" s="52"/>
      <c r="BA310" s="52"/>
      <c r="BB310" s="52"/>
      <c r="BC310" s="52"/>
      <c r="BD310" s="52"/>
      <c r="BE310" s="52"/>
      <c r="BF310" s="52"/>
      <c r="BG310" s="52"/>
      <c r="BH310" s="52"/>
      <c r="BI310" s="52"/>
      <c r="BJ310" s="52"/>
      <c r="BK310" s="52"/>
      <c r="BL310" s="52"/>
      <c r="BM310" s="52"/>
    </row>
    <row r="311" spans="26:65" ht="15.75" customHeight="1" thickTop="1" thickBot="1">
      <c r="Z311" s="31"/>
      <c r="AA311" s="31"/>
      <c r="AB311" s="31"/>
      <c r="AC311" s="31"/>
      <c r="AD311" s="31"/>
      <c r="AE311" s="31"/>
      <c r="AF311" s="31"/>
      <c r="AG311" s="31"/>
      <c r="AH311" s="31"/>
      <c r="AI311" s="31"/>
      <c r="AK311" s="454" t="s">
        <v>861</v>
      </c>
      <c r="AL311" s="361"/>
      <c r="AM311" s="446" t="s">
        <v>862</v>
      </c>
      <c r="AN311" s="360"/>
      <c r="AO311" s="360"/>
      <c r="AP311" s="360"/>
      <c r="AQ311" s="360"/>
      <c r="AR311" s="360"/>
      <c r="AS311" s="360"/>
      <c r="AT311" s="360"/>
      <c r="AU311" s="360"/>
      <c r="AV311" s="360"/>
      <c r="AW311" s="361"/>
      <c r="AX311" s="205" t="b">
        <f t="array" ref="AX311">IF(AND(AX256:AX310=FALSE),TRUE,FALSE)</f>
        <v>1</v>
      </c>
      <c r="AY311" s="52"/>
      <c r="AZ311" s="52"/>
      <c r="BA311" s="52"/>
      <c r="BB311" s="52"/>
      <c r="BC311" s="52"/>
      <c r="BD311" s="52"/>
      <c r="BE311" s="52"/>
      <c r="BF311" s="52"/>
      <c r="BG311" s="52"/>
      <c r="BH311" s="52"/>
      <c r="BI311" s="52"/>
      <c r="BJ311" s="52"/>
      <c r="BK311" s="52"/>
      <c r="BL311" s="52"/>
      <c r="BM311" s="52"/>
    </row>
    <row r="312" spans="26:65" ht="15.75" customHeight="1" thickTop="1">
      <c r="Z312" s="31"/>
      <c r="AA312" s="31"/>
      <c r="AB312" s="31"/>
      <c r="AC312" s="31"/>
      <c r="AD312" s="31"/>
      <c r="AE312" s="31"/>
      <c r="AF312" s="31"/>
      <c r="AG312" s="31"/>
      <c r="AH312" s="31"/>
      <c r="AI312" s="31"/>
      <c r="AW312" s="52"/>
      <c r="AX312" s="52"/>
      <c r="AY312" s="52"/>
      <c r="AZ312" s="52"/>
      <c r="BA312" s="52"/>
      <c r="BB312" s="52"/>
      <c r="BC312" s="52"/>
      <c r="BD312" s="52"/>
      <c r="BE312" s="52"/>
      <c r="BF312" s="52"/>
      <c r="BG312" s="52"/>
      <c r="BH312" s="52"/>
      <c r="BI312" s="52"/>
    </row>
    <row r="313" spans="26:65" ht="15.75" customHeight="1">
      <c r="Z313" s="31"/>
      <c r="AA313" s="31"/>
      <c r="AB313" s="31"/>
      <c r="AC313" s="31"/>
      <c r="AD313" s="31"/>
      <c r="AE313" s="31"/>
      <c r="AF313" s="31"/>
      <c r="AG313" s="31"/>
      <c r="AH313" s="31"/>
      <c r="AI313" s="31"/>
      <c r="AW313" s="52"/>
      <c r="AX313" s="52"/>
      <c r="AY313" s="52"/>
      <c r="AZ313" s="52"/>
      <c r="BA313" s="52"/>
      <c r="BB313" s="52"/>
      <c r="BC313" s="52"/>
      <c r="BD313" s="52"/>
      <c r="BE313" s="52"/>
      <c r="BF313" s="52"/>
      <c r="BG313" s="52"/>
      <c r="BH313" s="52"/>
      <c r="BI313" s="52"/>
    </row>
    <row r="314" spans="26:65" ht="15.75" customHeight="1">
      <c r="Z314" s="31"/>
      <c r="AA314" s="31"/>
      <c r="AB314" s="31"/>
      <c r="AC314" s="31"/>
      <c r="AD314" s="31"/>
      <c r="AE314" s="31"/>
      <c r="AF314" s="31"/>
      <c r="AG314" s="31"/>
      <c r="AH314" s="31"/>
      <c r="AI314" s="31"/>
      <c r="AW314" s="52"/>
      <c r="AX314" s="52"/>
      <c r="AY314" s="52"/>
      <c r="AZ314" s="52"/>
      <c r="BA314" s="52"/>
      <c r="BB314" s="52"/>
      <c r="BC314" s="52"/>
      <c r="BD314" s="52"/>
      <c r="BE314" s="52"/>
      <c r="BF314" s="52"/>
      <c r="BG314" s="52"/>
      <c r="BH314" s="52"/>
      <c r="BI314" s="52"/>
    </row>
    <row r="315" spans="26:65" ht="15.75" customHeight="1">
      <c r="Z315" s="31"/>
      <c r="AA315" s="31"/>
      <c r="AB315" s="31"/>
      <c r="AC315" s="31"/>
      <c r="AD315" s="31"/>
      <c r="AE315" s="31"/>
      <c r="AF315" s="31"/>
      <c r="AG315" s="31"/>
      <c r="AH315" s="31"/>
      <c r="AI315" s="31"/>
      <c r="AW315" s="52"/>
      <c r="AX315" s="52"/>
      <c r="AY315" s="52"/>
      <c r="AZ315" s="52"/>
      <c r="BA315" s="52"/>
      <c r="BB315" s="52"/>
      <c r="BC315" s="52"/>
      <c r="BD315" s="52"/>
      <c r="BE315" s="52"/>
      <c r="BF315" s="52"/>
      <c r="BG315" s="52"/>
      <c r="BH315" s="52"/>
      <c r="BI315" s="52"/>
    </row>
    <row r="316" spans="26:65" ht="15.75" customHeight="1">
      <c r="Z316" s="31"/>
      <c r="AA316" s="31"/>
      <c r="AB316" s="31"/>
      <c r="AC316" s="31"/>
      <c r="AD316" s="31"/>
      <c r="AE316" s="31"/>
      <c r="AF316" s="31"/>
      <c r="AG316" s="31"/>
      <c r="AH316" s="31"/>
      <c r="AI316" s="31"/>
      <c r="AW316" s="52"/>
      <c r="AX316" s="52"/>
      <c r="AY316" s="52"/>
      <c r="AZ316" s="52"/>
      <c r="BA316" s="52"/>
      <c r="BB316" s="52"/>
      <c r="BC316" s="52"/>
      <c r="BD316" s="52"/>
      <c r="BE316" s="52"/>
      <c r="BF316" s="52"/>
      <c r="BG316" s="52"/>
      <c r="BH316" s="52"/>
      <c r="BI316" s="52"/>
    </row>
    <row r="317" spans="26:65" ht="15.75" customHeight="1">
      <c r="Z317" s="31"/>
      <c r="AA317" s="31"/>
      <c r="AB317" s="31"/>
      <c r="AC317" s="31"/>
      <c r="AD317" s="31"/>
      <c r="AE317" s="31"/>
      <c r="AF317" s="31"/>
      <c r="AG317" s="31"/>
      <c r="AH317" s="31"/>
      <c r="AI317" s="31"/>
      <c r="AW317" s="52"/>
      <c r="AX317" s="52"/>
      <c r="AY317" s="52"/>
      <c r="AZ317" s="52"/>
      <c r="BA317" s="52"/>
      <c r="BB317" s="52"/>
      <c r="BC317" s="52"/>
      <c r="BD317" s="52"/>
      <c r="BE317" s="52"/>
      <c r="BF317" s="52"/>
      <c r="BG317" s="52"/>
      <c r="BH317" s="52"/>
      <c r="BI317" s="52"/>
    </row>
    <row r="318" spans="26:65" ht="15.75" customHeight="1">
      <c r="Z318" s="31"/>
      <c r="AA318" s="31"/>
      <c r="AB318" s="31"/>
      <c r="AC318" s="31"/>
      <c r="AD318" s="31"/>
      <c r="AE318" s="31"/>
      <c r="AF318" s="31"/>
      <c r="AG318" s="31"/>
      <c r="AH318" s="31"/>
      <c r="AI318" s="31"/>
      <c r="AW318" s="52"/>
      <c r="AX318" s="52"/>
      <c r="AY318" s="52"/>
      <c r="AZ318" s="52"/>
      <c r="BA318" s="52"/>
      <c r="BB318" s="52"/>
      <c r="BC318" s="52"/>
      <c r="BD318" s="52"/>
      <c r="BE318" s="52"/>
      <c r="BF318" s="52"/>
      <c r="BG318" s="52"/>
      <c r="BH318" s="52"/>
      <c r="BI318" s="52"/>
    </row>
    <row r="319" spans="26:65" ht="15.75" customHeight="1">
      <c r="Z319" s="31"/>
      <c r="AA319" s="31"/>
      <c r="AB319" s="31"/>
      <c r="AC319" s="31"/>
      <c r="AD319" s="31"/>
      <c r="AE319" s="31"/>
      <c r="AF319" s="31"/>
      <c r="AG319" s="31"/>
      <c r="AH319" s="31"/>
      <c r="AI319" s="31"/>
      <c r="AW319" s="52"/>
      <c r="AX319" s="52"/>
      <c r="AY319" s="52"/>
      <c r="AZ319" s="52"/>
      <c r="BA319" s="52"/>
      <c r="BB319" s="52"/>
      <c r="BC319" s="52"/>
      <c r="BD319" s="52"/>
      <c r="BE319" s="52"/>
      <c r="BF319" s="52"/>
      <c r="BG319" s="52"/>
      <c r="BH319" s="52"/>
      <c r="BI319" s="52"/>
    </row>
    <row r="320" spans="26:65" ht="15.75" customHeight="1">
      <c r="Z320" s="31"/>
      <c r="AA320" s="31"/>
      <c r="AB320" s="31"/>
      <c r="AC320" s="31"/>
      <c r="AD320" s="31"/>
      <c r="AE320" s="31"/>
      <c r="AF320" s="31"/>
      <c r="AG320" s="31"/>
      <c r="AH320" s="31"/>
      <c r="AI320" s="31"/>
      <c r="AW320" s="52"/>
      <c r="AX320" s="52"/>
      <c r="AY320" s="52"/>
      <c r="AZ320" s="52"/>
      <c r="BA320" s="52"/>
      <c r="BB320" s="52"/>
      <c r="BC320" s="52"/>
      <c r="BD320" s="52"/>
      <c r="BE320" s="52"/>
      <c r="BF320" s="52"/>
      <c r="BG320" s="52"/>
      <c r="BH320" s="52"/>
      <c r="BI320" s="52"/>
    </row>
    <row r="321" spans="26:61" ht="15.75" customHeight="1">
      <c r="Z321" s="31"/>
      <c r="AA321" s="31"/>
      <c r="AB321" s="31"/>
      <c r="AC321" s="31"/>
      <c r="AD321" s="31"/>
      <c r="AE321" s="31"/>
      <c r="AF321" s="31"/>
      <c r="AG321" s="31"/>
      <c r="AH321" s="31"/>
      <c r="AI321" s="31"/>
      <c r="AW321" s="52"/>
      <c r="AX321" s="52"/>
      <c r="AY321" s="52"/>
      <c r="AZ321" s="52"/>
      <c r="BA321" s="52"/>
      <c r="BB321" s="52"/>
      <c r="BC321" s="52"/>
      <c r="BD321" s="52"/>
      <c r="BE321" s="52"/>
      <c r="BF321" s="52"/>
      <c r="BG321" s="52"/>
      <c r="BH321" s="52"/>
      <c r="BI321" s="52"/>
    </row>
    <row r="322" spans="26:61" ht="15.75" customHeight="1">
      <c r="Z322" s="31"/>
      <c r="AA322" s="31"/>
      <c r="AB322" s="31"/>
      <c r="AC322" s="31"/>
      <c r="AD322" s="31"/>
      <c r="AE322" s="31"/>
      <c r="AF322" s="31"/>
      <c r="AG322" s="31"/>
      <c r="AH322" s="31"/>
      <c r="AI322" s="31"/>
      <c r="AW322" s="52"/>
      <c r="AX322" s="52"/>
      <c r="AY322" s="52"/>
      <c r="AZ322" s="52"/>
      <c r="BA322" s="52"/>
      <c r="BB322" s="52"/>
      <c r="BC322" s="52"/>
      <c r="BD322" s="52"/>
      <c r="BE322" s="52"/>
      <c r="BF322" s="52"/>
      <c r="BG322" s="52"/>
      <c r="BH322" s="52"/>
      <c r="BI322" s="52"/>
    </row>
    <row r="323" spans="26:61" ht="15.75" customHeight="1">
      <c r="Z323" s="31"/>
      <c r="AA323" s="31"/>
      <c r="AB323" s="31"/>
      <c r="AC323" s="31"/>
      <c r="AD323" s="31"/>
      <c r="AE323" s="31"/>
      <c r="AF323" s="31"/>
      <c r="AG323" s="31"/>
      <c r="AH323" s="31"/>
      <c r="AI323" s="31"/>
      <c r="AW323" s="52"/>
      <c r="AX323" s="52"/>
      <c r="AY323" s="52"/>
      <c r="AZ323" s="52"/>
      <c r="BA323" s="52"/>
      <c r="BB323" s="52"/>
      <c r="BC323" s="52"/>
      <c r="BD323" s="52"/>
      <c r="BE323" s="52"/>
      <c r="BF323" s="52"/>
      <c r="BG323" s="52"/>
      <c r="BH323" s="52"/>
      <c r="BI323" s="52"/>
    </row>
    <row r="324" spans="26:61" ht="15.75" customHeight="1">
      <c r="Z324" s="31"/>
      <c r="AA324" s="31"/>
      <c r="AB324" s="31"/>
      <c r="AC324" s="31"/>
      <c r="AD324" s="31"/>
      <c r="AE324" s="31"/>
      <c r="AF324" s="31"/>
      <c r="AG324" s="31"/>
      <c r="AH324" s="31"/>
      <c r="AI324" s="31"/>
      <c r="AW324" s="52"/>
      <c r="AX324" s="52"/>
      <c r="AY324" s="52"/>
      <c r="AZ324" s="52"/>
      <c r="BA324" s="52"/>
      <c r="BB324" s="52"/>
      <c r="BC324" s="52"/>
      <c r="BD324" s="52"/>
      <c r="BE324" s="52"/>
      <c r="BF324" s="52"/>
      <c r="BG324" s="52"/>
      <c r="BH324" s="52"/>
      <c r="BI324" s="52"/>
    </row>
    <row r="325" spans="26:61" ht="15.75" customHeight="1">
      <c r="Z325" s="31"/>
      <c r="AA325" s="31"/>
      <c r="AB325" s="31"/>
      <c r="AC325" s="31"/>
      <c r="AD325" s="31"/>
      <c r="AE325" s="31"/>
      <c r="AF325" s="31"/>
      <c r="AG325" s="31"/>
      <c r="AH325" s="31"/>
      <c r="AI325" s="31"/>
      <c r="AW325" s="52"/>
      <c r="AX325" s="52"/>
      <c r="AY325" s="52"/>
      <c r="AZ325" s="52"/>
      <c r="BA325" s="52"/>
      <c r="BB325" s="52"/>
      <c r="BC325" s="52"/>
      <c r="BD325" s="52"/>
      <c r="BE325" s="52"/>
      <c r="BF325" s="52"/>
      <c r="BG325" s="52"/>
      <c r="BH325" s="52"/>
      <c r="BI325" s="52"/>
    </row>
  </sheetData>
  <mergeCells count="1069">
    <mergeCell ref="T39:W39"/>
    <mergeCell ref="AB9:AD9"/>
    <mergeCell ref="AB10:AD10"/>
    <mergeCell ref="AG10:AI10"/>
    <mergeCell ref="T1:X1"/>
    <mergeCell ref="T6:W7"/>
    <mergeCell ref="T8:U8"/>
    <mergeCell ref="V8:W8"/>
    <mergeCell ref="T9:U9"/>
    <mergeCell ref="V9:W9"/>
    <mergeCell ref="AG9:AI9"/>
    <mergeCell ref="BS83:BT83"/>
    <mergeCell ref="BS84:BT84"/>
    <mergeCell ref="BS85:BT85"/>
    <mergeCell ref="BS86:BT86"/>
    <mergeCell ref="BY40:BZ40"/>
    <mergeCell ref="BY41:BZ41"/>
    <mergeCell ref="BS40:BT41"/>
    <mergeCell ref="BS42:BU42"/>
    <mergeCell ref="BS44:BU44"/>
    <mergeCell ref="BS46:BU46"/>
    <mergeCell ref="BS47:BU47"/>
    <mergeCell ref="BS48:BU48"/>
    <mergeCell ref="BV44:CB44"/>
    <mergeCell ref="BS45:BU45"/>
    <mergeCell ref="BY76:BZ76"/>
    <mergeCell ref="BS77:BU77"/>
    <mergeCell ref="BY77:BZ77"/>
    <mergeCell ref="BS79:BT79"/>
    <mergeCell ref="BS82:BT82"/>
    <mergeCell ref="BS80:BT80"/>
    <mergeCell ref="BS81:BT81"/>
    <mergeCell ref="BS67:BU67"/>
    <mergeCell ref="CE69:CH69"/>
    <mergeCell ref="BS70:BZ70"/>
    <mergeCell ref="BY71:BZ71"/>
    <mergeCell ref="BY74:BZ74"/>
    <mergeCell ref="BY75:BZ75"/>
    <mergeCell ref="BS71:BU71"/>
    <mergeCell ref="BS72:BU72"/>
    <mergeCell ref="BY72:BZ72"/>
    <mergeCell ref="BS73:BU73"/>
    <mergeCell ref="BY73:BZ73"/>
    <mergeCell ref="BS74:BU74"/>
    <mergeCell ref="BS75:BU75"/>
    <mergeCell ref="BS76:BU76"/>
    <mergeCell ref="BV64:BW64"/>
    <mergeCell ref="BS64:BU64"/>
    <mergeCell ref="BS65:BU65"/>
    <mergeCell ref="BV65:BW65"/>
    <mergeCell ref="BS54:BU54"/>
    <mergeCell ref="BS60:BU60"/>
    <mergeCell ref="BV60:BW60"/>
    <mergeCell ref="BS61:BU61"/>
    <mergeCell ref="BV61:BW61"/>
    <mergeCell ref="BS62:BU62"/>
    <mergeCell ref="BV62:BW62"/>
    <mergeCell ref="BS63:BU63"/>
    <mergeCell ref="BV63:BW63"/>
    <mergeCell ref="CE57:CH57"/>
    <mergeCell ref="BS57:BW57"/>
    <mergeCell ref="BS58:BU58"/>
    <mergeCell ref="BV58:BW58"/>
    <mergeCell ref="BS59:BU59"/>
    <mergeCell ref="BV59:BW59"/>
    <mergeCell ref="BS32:BU32"/>
    <mergeCell ref="CK32:CM32"/>
    <mergeCell ref="BS35:BU35"/>
    <mergeCell ref="CB35:CD35"/>
    <mergeCell ref="BS49:BU49"/>
    <mergeCell ref="CB36:CD36"/>
    <mergeCell ref="BV35:BX35"/>
    <mergeCell ref="BY35:CA35"/>
    <mergeCell ref="BS38:BU38"/>
    <mergeCell ref="BV38:BX38"/>
    <mergeCell ref="BY38:CA38"/>
    <mergeCell ref="BS39:BU39"/>
    <mergeCell ref="BY39:CA39"/>
    <mergeCell ref="CE45:CH45"/>
    <mergeCell ref="BS50:BU50"/>
    <mergeCell ref="BS51:BU51"/>
    <mergeCell ref="BS52:BU52"/>
    <mergeCell ref="BS53:BU53"/>
    <mergeCell ref="CA36:CA37"/>
    <mergeCell ref="BS36:BT37"/>
    <mergeCell ref="BU36:BU37"/>
    <mergeCell ref="BV36:BW37"/>
    <mergeCell ref="BX36:BX37"/>
    <mergeCell ref="BY36:BZ37"/>
    <mergeCell ref="BV39:BX39"/>
    <mergeCell ref="BV40:BW40"/>
    <mergeCell ref="BU40:BU41"/>
    <mergeCell ref="BV41:BW41"/>
    <mergeCell ref="BV42:BX42"/>
    <mergeCell ref="BY42:CA42"/>
    <mergeCell ref="CG16:CH16"/>
    <mergeCell ref="CG23:CH23"/>
    <mergeCell ref="CK23:CM23"/>
    <mergeCell ref="CK24:CM24"/>
    <mergeCell ref="CK25:CM25"/>
    <mergeCell ref="CG22:CH22"/>
    <mergeCell ref="CJ22:CM22"/>
    <mergeCell ref="CK29:CM29"/>
    <mergeCell ref="CK30:CM30"/>
    <mergeCell ref="BS31:BU31"/>
    <mergeCell ref="CK31:CM31"/>
    <mergeCell ref="BS29:BU29"/>
    <mergeCell ref="BV29:BX29"/>
    <mergeCell ref="BY29:CB30"/>
    <mergeCell ref="BS30:BU30"/>
    <mergeCell ref="BV30:BX30"/>
    <mergeCell ref="CD28:CG29"/>
    <mergeCell ref="CK28:CM28"/>
    <mergeCell ref="BS26:CB26"/>
    <mergeCell ref="CD26:CG26"/>
    <mergeCell ref="CK26:CM26"/>
    <mergeCell ref="CD27:CG27"/>
    <mergeCell ref="CK27:CM27"/>
    <mergeCell ref="BS23:BT23"/>
    <mergeCell ref="CG9:CH9"/>
    <mergeCell ref="CJ11:CK11"/>
    <mergeCell ref="BS12:CB12"/>
    <mergeCell ref="CD12:CF12"/>
    <mergeCell ref="CD13:CF13"/>
    <mergeCell ref="CG15:CH15"/>
    <mergeCell ref="CJ15:CL15"/>
    <mergeCell ref="BS15:BT15"/>
    <mergeCell ref="BU15:BV15"/>
    <mergeCell ref="BW15:BX15"/>
    <mergeCell ref="BY15:BZ15"/>
    <mergeCell ref="CA15:CB15"/>
    <mergeCell ref="CC15:CD15"/>
    <mergeCell ref="CE15:CF15"/>
    <mergeCell ref="BS22:BT22"/>
    <mergeCell ref="BS1:BW1"/>
    <mergeCell ref="CJ4:CK4"/>
    <mergeCell ref="BS5:BU5"/>
    <mergeCell ref="BW5:CH5"/>
    <mergeCell ref="CJ5:CK5"/>
    <mergeCell ref="BT6:BU6"/>
    <mergeCell ref="CG6:CH6"/>
    <mergeCell ref="CG7:CH7"/>
    <mergeCell ref="CG8:CH8"/>
    <mergeCell ref="BU23:BV23"/>
    <mergeCell ref="BW23:BX23"/>
    <mergeCell ref="BY23:BZ23"/>
    <mergeCell ref="CA23:CB23"/>
    <mergeCell ref="CC23:CD23"/>
    <mergeCell ref="CE23:CF23"/>
    <mergeCell ref="BY22:BZ22"/>
    <mergeCell ref="CA22:CB22"/>
    <mergeCell ref="CA16:CB16"/>
    <mergeCell ref="BS19:CB19"/>
    <mergeCell ref="CD19:CF19"/>
    <mergeCell ref="CD20:CF20"/>
    <mergeCell ref="BU22:BV22"/>
    <mergeCell ref="BW22:BX22"/>
    <mergeCell ref="CC22:CD22"/>
    <mergeCell ref="CE22:CF22"/>
    <mergeCell ref="BS16:BT16"/>
    <mergeCell ref="BU16:BV16"/>
    <mergeCell ref="BW16:BX16"/>
    <mergeCell ref="BY16:BZ16"/>
    <mergeCell ref="CC16:CD16"/>
    <mergeCell ref="CE16:CF16"/>
    <mergeCell ref="DF12:DG12"/>
    <mergeCell ref="DF13:DG13"/>
    <mergeCell ref="DE1:DI2"/>
    <mergeCell ref="DE4:DF4"/>
    <mergeCell ref="DE5:DF5"/>
    <mergeCell ref="DF9:DG9"/>
    <mergeCell ref="DF11:DG11"/>
    <mergeCell ref="ED39:EE39"/>
    <mergeCell ref="ED40:EE40"/>
    <mergeCell ref="ED41:EE41"/>
    <mergeCell ref="DZ27:EA27"/>
    <mergeCell ref="ED27:EE27"/>
    <mergeCell ref="DU7:DV7"/>
    <mergeCell ref="EC7:ED7"/>
    <mergeCell ref="DW7:DX7"/>
    <mergeCell ref="DY7:DZ7"/>
    <mergeCell ref="DU8:DV8"/>
    <mergeCell ref="DW8:DX8"/>
    <mergeCell ref="DY8:DZ8"/>
    <mergeCell ref="EC8:ED8"/>
    <mergeCell ref="DT3:DX3"/>
    <mergeCell ref="DT5:EE5"/>
    <mergeCell ref="DU6:DV6"/>
    <mergeCell ref="DW6:DX6"/>
    <mergeCell ref="DY6:DZ6"/>
    <mergeCell ref="EC6:ED6"/>
    <mergeCell ref="EH51:EI51"/>
    <mergeCell ref="ED51:EE51"/>
    <mergeCell ref="DZ50:EA50"/>
    <mergeCell ref="EH41:EI41"/>
    <mergeCell ref="EH42:EI42"/>
    <mergeCell ref="EH49:EI49"/>
    <mergeCell ref="EH44:EI44"/>
    <mergeCell ref="EB50:EC50"/>
    <mergeCell ref="ED50:EE50"/>
    <mergeCell ref="DF14:DG14"/>
    <mergeCell ref="DF15:DG15"/>
    <mergeCell ref="DE18:DH18"/>
    <mergeCell ref="DZ51:EA51"/>
    <mergeCell ref="EB51:EC51"/>
    <mergeCell ref="DZ38:EA38"/>
    <mergeCell ref="DZ39:EA39"/>
    <mergeCell ref="EH27:EI27"/>
    <mergeCell ref="ED28:EE28"/>
    <mergeCell ref="DZ52:EA52"/>
    <mergeCell ref="EB52:EC52"/>
    <mergeCell ref="ED52:EE52"/>
    <mergeCell ref="EF52:EG52"/>
    <mergeCell ref="EH52:EI52"/>
    <mergeCell ref="EF49:EG49"/>
    <mergeCell ref="EH33:EI33"/>
    <mergeCell ref="EH34:EI34"/>
    <mergeCell ref="EH35:EI35"/>
    <mergeCell ref="EH36:EI36"/>
    <mergeCell ref="EE47:EF47"/>
    <mergeCell ref="EH37:EI37"/>
    <mergeCell ref="EH38:EI38"/>
    <mergeCell ref="EH39:EI39"/>
    <mergeCell ref="DZ53:EA53"/>
    <mergeCell ref="EB53:EC53"/>
    <mergeCell ref="EF53:EG53"/>
    <mergeCell ref="EH53:EI53"/>
    <mergeCell ref="DZ54:EA54"/>
    <mergeCell ref="EB54:EC54"/>
    <mergeCell ref="ED54:EE54"/>
    <mergeCell ref="EF54:EG54"/>
    <mergeCell ref="DZ56:EA56"/>
    <mergeCell ref="EB56:EC56"/>
    <mergeCell ref="ED56:EE56"/>
    <mergeCell ref="DZ57:EA57"/>
    <mergeCell ref="EB57:EC57"/>
    <mergeCell ref="ED57:EE57"/>
    <mergeCell ref="DZ58:EA58"/>
    <mergeCell ref="EB58:EC58"/>
    <mergeCell ref="ED58:EE58"/>
    <mergeCell ref="ED60:EE60"/>
    <mergeCell ref="DZ59:EA59"/>
    <mergeCell ref="DZ55:EA55"/>
    <mergeCell ref="EB55:EC55"/>
    <mergeCell ref="DY50:DY68"/>
    <mergeCell ref="DY87:EI87"/>
    <mergeCell ref="DY88:EI88"/>
    <mergeCell ref="EF57:EG57"/>
    <mergeCell ref="EF58:EG58"/>
    <mergeCell ref="EH58:EI58"/>
    <mergeCell ref="EF59:EG59"/>
    <mergeCell ref="EH59:EI59"/>
    <mergeCell ref="EF60:EG60"/>
    <mergeCell ref="EH60:EI60"/>
    <mergeCell ref="EF64:EG64"/>
    <mergeCell ref="EF65:EG65"/>
    <mergeCell ref="EF66:EG66"/>
    <mergeCell ref="EH56:EI56"/>
    <mergeCell ref="EB65:EC65"/>
    <mergeCell ref="DZ60:EA60"/>
    <mergeCell ref="EB60:EC60"/>
    <mergeCell ref="DZ66:EA66"/>
    <mergeCell ref="EB66:EC66"/>
    <mergeCell ref="DZ64:EA64"/>
    <mergeCell ref="EB64:EC64"/>
    <mergeCell ref="DZ65:EA65"/>
    <mergeCell ref="DZ63:EA63"/>
    <mergeCell ref="EB63:EC63"/>
    <mergeCell ref="DZ61:EA61"/>
    <mergeCell ref="EB61:EC61"/>
    <mergeCell ref="DZ62:EA62"/>
    <mergeCell ref="EB62:EC62"/>
    <mergeCell ref="ED53:EE53"/>
    <mergeCell ref="ED48:EE48"/>
    <mergeCell ref="EF48:EG48"/>
    <mergeCell ref="EH48:EI48"/>
    <mergeCell ref="EH67:EI67"/>
    <mergeCell ref="ED66:EE66"/>
    <mergeCell ref="EF67:EG67"/>
    <mergeCell ref="EH65:EI65"/>
    <mergeCell ref="EH66:EI66"/>
    <mergeCell ref="ED61:EE61"/>
    <mergeCell ref="EH57:EI57"/>
    <mergeCell ref="ED64:EE64"/>
    <mergeCell ref="ED63:EE63"/>
    <mergeCell ref="ED62:EE62"/>
    <mergeCell ref="EH50:EI50"/>
    <mergeCell ref="EF51:EG51"/>
    <mergeCell ref="EH40:EI40"/>
    <mergeCell ref="EH43:EI43"/>
    <mergeCell ref="EB59:EC59"/>
    <mergeCell ref="EL48:EM48"/>
    <mergeCell ref="EL49:EM49"/>
    <mergeCell ref="EJ49:EK49"/>
    <mergeCell ref="EJ58:EK58"/>
    <mergeCell ref="EJ59:EK59"/>
    <mergeCell ref="ED43:EE43"/>
    <mergeCell ref="ED44:EE44"/>
    <mergeCell ref="EH54:EI54"/>
    <mergeCell ref="EF55:EG55"/>
    <mergeCell ref="EH55:EI55"/>
    <mergeCell ref="ED55:EE55"/>
    <mergeCell ref="EF50:EG50"/>
    <mergeCell ref="EF56:EG56"/>
    <mergeCell ref="EJ60:EK60"/>
    <mergeCell ref="EJ50:EK50"/>
    <mergeCell ref="EL50:EM50"/>
    <mergeCell ref="EJ51:EK51"/>
    <mergeCell ref="EL51:EM51"/>
    <mergeCell ref="EJ55:EK55"/>
    <mergeCell ref="EL55:EM55"/>
    <mergeCell ref="EL56:EM56"/>
    <mergeCell ref="EJ56:EK56"/>
    <mergeCell ref="EJ57:EK57"/>
    <mergeCell ref="EJ52:EK52"/>
    <mergeCell ref="EL52:EM52"/>
    <mergeCell ref="EJ53:EK53"/>
    <mergeCell ref="EL53:EM53"/>
    <mergeCell ref="EJ54:EK54"/>
    <mergeCell ref="EL54:EM54"/>
    <mergeCell ref="EL66:EM66"/>
    <mergeCell ref="EL67:EM67"/>
    <mergeCell ref="EL68:EM68"/>
    <mergeCell ref="EJ61:EK61"/>
    <mergeCell ref="EJ62:EK62"/>
    <mergeCell ref="EK71:EL71"/>
    <mergeCell ref="EL57:EM57"/>
    <mergeCell ref="EL58:EM58"/>
    <mergeCell ref="EL59:EM59"/>
    <mergeCell ref="EL60:EM60"/>
    <mergeCell ref="EL61:EM61"/>
    <mergeCell ref="EL62:EM62"/>
    <mergeCell ref="EL63:EM63"/>
    <mergeCell ref="EJ63:EK63"/>
    <mergeCell ref="EJ64:EK64"/>
    <mergeCell ref="EJ65:EK65"/>
    <mergeCell ref="EJ66:EK66"/>
    <mergeCell ref="EJ67:EK67"/>
    <mergeCell ref="EJ68:EK68"/>
    <mergeCell ref="EL64:EM64"/>
    <mergeCell ref="EL65:EM65"/>
    <mergeCell ref="EC9:ED9"/>
    <mergeCell ref="DW9:DX9"/>
    <mergeCell ref="DY9:DZ9"/>
    <mergeCell ref="DT13:DW13"/>
    <mergeCell ref="DZ14:ED14"/>
    <mergeCell ref="DU9:DV9"/>
    <mergeCell ref="DZ25:EB25"/>
    <mergeCell ref="EH25:EJ25"/>
    <mergeCell ref="DZ26:EA26"/>
    <mergeCell ref="EH26:EI26"/>
    <mergeCell ref="ED25:EF25"/>
    <mergeCell ref="ED26:EE26"/>
    <mergeCell ref="EH28:EI28"/>
    <mergeCell ref="DZ28:EA28"/>
    <mergeCell ref="DZ29:EA29"/>
    <mergeCell ref="ED29:EE29"/>
    <mergeCell ref="EH29:EI29"/>
    <mergeCell ref="DZ30:EA30"/>
    <mergeCell ref="EH30:EI30"/>
    <mergeCell ref="EH31:EI31"/>
    <mergeCell ref="DZ31:EA31"/>
    <mergeCell ref="ED30:EE30"/>
    <mergeCell ref="ED31:EE31"/>
    <mergeCell ref="DZ32:EA32"/>
    <mergeCell ref="EH32:EI32"/>
    <mergeCell ref="DZ33:EA33"/>
    <mergeCell ref="DZ34:EA34"/>
    <mergeCell ref="DZ35:EA35"/>
    <mergeCell ref="ED32:EE32"/>
    <mergeCell ref="ED33:EE33"/>
    <mergeCell ref="ED34:EE34"/>
    <mergeCell ref="ED35:EE35"/>
    <mergeCell ref="DZ36:EA36"/>
    <mergeCell ref="DZ37:EA37"/>
    <mergeCell ref="DZ49:EA49"/>
    <mergeCell ref="EB49:EC49"/>
    <mergeCell ref="ED49:EE49"/>
    <mergeCell ref="DZ48:EA48"/>
    <mergeCell ref="DZ40:EA40"/>
    <mergeCell ref="DZ41:EA41"/>
    <mergeCell ref="DY46:EF46"/>
    <mergeCell ref="DY47:DZ47"/>
    <mergeCell ref="EA47:EB47"/>
    <mergeCell ref="EC47:ED47"/>
    <mergeCell ref="DZ42:EA42"/>
    <mergeCell ref="ED42:EE42"/>
    <mergeCell ref="EB48:EC48"/>
    <mergeCell ref="ED37:EE37"/>
    <mergeCell ref="ED36:EE36"/>
    <mergeCell ref="ED38:EE38"/>
    <mergeCell ref="EG71:EH71"/>
    <mergeCell ref="EI71:EJ71"/>
    <mergeCell ref="EF61:EG61"/>
    <mergeCell ref="EH61:EI61"/>
    <mergeCell ref="EF62:EG62"/>
    <mergeCell ref="EH62:EI62"/>
    <mergeCell ref="EF63:EG63"/>
    <mergeCell ref="EH63:EI63"/>
    <mergeCell ref="EH64:EI64"/>
    <mergeCell ref="EF68:EG68"/>
    <mergeCell ref="EH68:EI68"/>
    <mergeCell ref="EJ48:EK48"/>
    <mergeCell ref="ED65:EE65"/>
    <mergeCell ref="ED59:EE59"/>
    <mergeCell ref="DT124:DU124"/>
    <mergeCell ref="DT125:DU125"/>
    <mergeCell ref="DT126:DU126"/>
    <mergeCell ref="DT127:DU127"/>
    <mergeCell ref="DT128:DU128"/>
    <mergeCell ref="DT129:DU129"/>
    <mergeCell ref="ED67:EE67"/>
    <mergeCell ref="DZ68:EA68"/>
    <mergeCell ref="EB68:EC68"/>
    <mergeCell ref="ED68:EE68"/>
    <mergeCell ref="DZ67:EA67"/>
    <mergeCell ref="EB67:EC67"/>
    <mergeCell ref="DY71:DZ71"/>
    <mergeCell ref="EA71:EB71"/>
    <mergeCell ref="EC71:ED71"/>
    <mergeCell ref="EE71:EF71"/>
    <mergeCell ref="DT88:DU88"/>
    <mergeCell ref="DT89:DU89"/>
    <mergeCell ref="DT90:DU90"/>
    <mergeCell ref="DT91:DU91"/>
    <mergeCell ref="DT92:DU92"/>
    <mergeCell ref="DT93:DU93"/>
    <mergeCell ref="DT94:DU94"/>
    <mergeCell ref="DT95:DU95"/>
    <mergeCell ref="DT130:DU130"/>
    <mergeCell ref="DT131:DU131"/>
    <mergeCell ref="DT96:DU96"/>
    <mergeCell ref="DT97:DU97"/>
    <mergeCell ref="DT98:DU98"/>
    <mergeCell ref="DT99:DU99"/>
    <mergeCell ref="DT100:DU100"/>
    <mergeCell ref="DT101:DU101"/>
    <mergeCell ref="DT102:DU102"/>
    <mergeCell ref="DT103:DU103"/>
    <mergeCell ref="DT104:DU104"/>
    <mergeCell ref="DT105:DU105"/>
    <mergeCell ref="DT106:DU106"/>
    <mergeCell ref="DT132:DU132"/>
    <mergeCell ref="DT133:DU133"/>
    <mergeCell ref="DT134:DU134"/>
    <mergeCell ref="DT135:DU135"/>
    <mergeCell ref="DT136:DU136"/>
    <mergeCell ref="DT137:DU137"/>
    <mergeCell ref="DT138:DU138"/>
    <mergeCell ref="DT139:DU139"/>
    <mergeCell ref="DT140:DU140"/>
    <mergeCell ref="DT141:DU141"/>
    <mergeCell ref="DT142:DU142"/>
    <mergeCell ref="DT143:DU143"/>
    <mergeCell ref="DT144:DU144"/>
    <mergeCell ref="DT157:DU157"/>
    <mergeCell ref="DT158:DU158"/>
    <mergeCell ref="DT159:DU159"/>
    <mergeCell ref="DT145:DU145"/>
    <mergeCell ref="DT146:DU146"/>
    <mergeCell ref="DT147:DU147"/>
    <mergeCell ref="DT148:DU148"/>
    <mergeCell ref="DT149:DU149"/>
    <mergeCell ref="DT150:DU150"/>
    <mergeCell ref="DT151:DU151"/>
    <mergeCell ref="DT152:DU152"/>
    <mergeCell ref="DT153:DU153"/>
    <mergeCell ref="DT154:DU154"/>
    <mergeCell ref="DT155:DU155"/>
    <mergeCell ref="DT156:DU156"/>
    <mergeCell ref="DT107:DU107"/>
    <mergeCell ref="DT108:DU108"/>
    <mergeCell ref="DT109:DU109"/>
    <mergeCell ref="DT110:DU110"/>
    <mergeCell ref="DT120:DU120"/>
    <mergeCell ref="DT121:DU121"/>
    <mergeCell ref="DT122:DU122"/>
    <mergeCell ref="DT123:DU123"/>
    <mergeCell ref="DT111:DU111"/>
    <mergeCell ref="DT112:DU112"/>
    <mergeCell ref="DT113:DU113"/>
    <mergeCell ref="DT114:DU114"/>
    <mergeCell ref="DT115:DU115"/>
    <mergeCell ref="DT116:DU116"/>
    <mergeCell ref="DT117:DU117"/>
    <mergeCell ref="DT118:DU118"/>
    <mergeCell ref="DT119:DU119"/>
    <mergeCell ref="CP1:CT2"/>
    <mergeCell ref="CP4:CQ4"/>
    <mergeCell ref="CR4:CS4"/>
    <mergeCell ref="CP5:CQ5"/>
    <mergeCell ref="CR5:CS5"/>
    <mergeCell ref="CP6:CQ6"/>
    <mergeCell ref="CR6:CS6"/>
    <mergeCell ref="CP7:CQ7"/>
    <mergeCell ref="CR7:CS7"/>
    <mergeCell ref="CV34:DB34"/>
    <mergeCell ref="CP8:CQ8"/>
    <mergeCell ref="CR8:CS8"/>
    <mergeCell ref="CP9:CQ9"/>
    <mergeCell ref="CR9:CS9"/>
    <mergeCell ref="CP10:CQ10"/>
    <mergeCell ref="CR10:CS10"/>
    <mergeCell ref="CR12:CS12"/>
    <mergeCell ref="CW12:DC12"/>
    <mergeCell ref="CW13:DC13"/>
    <mergeCell ref="CR13:CS13"/>
    <mergeCell ref="CR14:CS14"/>
    <mergeCell ref="CT35:CU35"/>
    <mergeCell ref="CV35:DB35"/>
    <mergeCell ref="CT36:CU36"/>
    <mergeCell ref="CV36:DB36"/>
    <mergeCell ref="CT33:CU33"/>
    <mergeCell ref="CV33:DB33"/>
    <mergeCell ref="CT34:CU34"/>
    <mergeCell ref="CS31:DA31"/>
    <mergeCell ref="CT32:CU32"/>
    <mergeCell ref="CV32:DB32"/>
    <mergeCell ref="CW14:DC14"/>
    <mergeCell ref="CW15:DC15"/>
    <mergeCell ref="CW16:DC16"/>
    <mergeCell ref="CR15:CS15"/>
    <mergeCell ref="CR16:CS16"/>
    <mergeCell ref="CR17:CS17"/>
    <mergeCell ref="CR18:CS18"/>
    <mergeCell ref="CW17:DC17"/>
    <mergeCell ref="CW18:DC18"/>
    <mergeCell ref="CP31:CQ31"/>
    <mergeCell ref="CP48:CQ48"/>
    <mergeCell ref="CP49:CQ49"/>
    <mergeCell ref="CP50:CQ50"/>
    <mergeCell ref="CP51:CQ51"/>
    <mergeCell ref="CP42:CQ42"/>
    <mergeCell ref="CP47:CQ47"/>
    <mergeCell ref="CS42:CT42"/>
    <mergeCell ref="CP43:CQ43"/>
    <mergeCell ref="CP44:CQ44"/>
    <mergeCell ref="CP45:CQ45"/>
    <mergeCell ref="CP46:CQ46"/>
    <mergeCell ref="BD30:BD31"/>
    <mergeCell ref="BL30:BL31"/>
    <mergeCell ref="BM30:BM31"/>
    <mergeCell ref="BE30:BE31"/>
    <mergeCell ref="BF30:BF31"/>
    <mergeCell ref="BG30:BG31"/>
    <mergeCell ref="BH30:BH31"/>
    <mergeCell ref="BI30:BI31"/>
    <mergeCell ref="BJ30:BJ31"/>
    <mergeCell ref="BK30:BK31"/>
    <mergeCell ref="AK7:AL7"/>
    <mergeCell ref="AK8:AL8"/>
    <mergeCell ref="AK9:AL9"/>
    <mergeCell ref="AK10:AL10"/>
    <mergeCell ref="BC30:BC31"/>
    <mergeCell ref="AX30:AX31"/>
    <mergeCell ref="AY30:AY31"/>
    <mergeCell ref="AZ30:AZ31"/>
    <mergeCell ref="BA30:BA31"/>
    <mergeCell ref="BB30:BB31"/>
    <mergeCell ref="AS30:AS31"/>
    <mergeCell ref="AT30:AT31"/>
    <mergeCell ref="AU30:AU31"/>
    <mergeCell ref="AV30:AV31"/>
    <mergeCell ref="AW30:AW31"/>
    <mergeCell ref="AK1:AL2"/>
    <mergeCell ref="AM1:AM2"/>
    <mergeCell ref="AK3:AL4"/>
    <mergeCell ref="AM3:AM4"/>
    <mergeCell ref="AK6:AM6"/>
    <mergeCell ref="AS6:AU6"/>
    <mergeCell ref="AS7:AT7"/>
    <mergeCell ref="AO6:AQ6"/>
    <mergeCell ref="AO7:AP7"/>
    <mergeCell ref="AO10:AP10"/>
    <mergeCell ref="AS8:AT8"/>
    <mergeCell ref="AO9:AP9"/>
    <mergeCell ref="AS9:AT9"/>
    <mergeCell ref="AS10:AT10"/>
    <mergeCell ref="AK14:AL14"/>
    <mergeCell ref="AK15:AL15"/>
    <mergeCell ref="AO8:AP8"/>
    <mergeCell ref="AS11:AT11"/>
    <mergeCell ref="AS12:AT12"/>
    <mergeCell ref="AS13:AT13"/>
    <mergeCell ref="AS14:AT14"/>
    <mergeCell ref="AS15:AT15"/>
    <mergeCell ref="AO11:AP11"/>
    <mergeCell ref="AO12:AP12"/>
    <mergeCell ref="AO13:AP13"/>
    <mergeCell ref="AO14:AP14"/>
    <mergeCell ref="AO15:AP15"/>
    <mergeCell ref="AS16:AT16"/>
    <mergeCell ref="AS17:AT17"/>
    <mergeCell ref="AO24:AP24"/>
    <mergeCell ref="AK11:AL11"/>
    <mergeCell ref="AK12:AL12"/>
    <mergeCell ref="AK13:AL13"/>
    <mergeCell ref="AS18:AT18"/>
    <mergeCell ref="AS19:AT19"/>
    <mergeCell ref="AS20:AT20"/>
    <mergeCell ref="AS21:AT21"/>
    <mergeCell ref="AS22:AT22"/>
    <mergeCell ref="AS23:AT23"/>
    <mergeCell ref="AS24:AT24"/>
    <mergeCell ref="AO16:AP16"/>
    <mergeCell ref="AK16:AL16"/>
    <mergeCell ref="AK17:AL17"/>
    <mergeCell ref="AK30:AK31"/>
    <mergeCell ref="AU27:AU28"/>
    <mergeCell ref="AO17:AP17"/>
    <mergeCell ref="AO18:AP18"/>
    <mergeCell ref="AO19:AP19"/>
    <mergeCell ref="AO20:AP20"/>
    <mergeCell ref="AO21:AP21"/>
    <mergeCell ref="AO22:AP22"/>
    <mergeCell ref="AO23:AP23"/>
    <mergeCell ref="AS25:AT25"/>
    <mergeCell ref="AS27:AT28"/>
    <mergeCell ref="AO25:AP25"/>
    <mergeCell ref="AO27:AP28"/>
    <mergeCell ref="AQ27:AQ28"/>
    <mergeCell ref="AK18:AL18"/>
    <mergeCell ref="AK19:AL19"/>
    <mergeCell ref="AK20:AL20"/>
    <mergeCell ref="AK21:AL21"/>
    <mergeCell ref="AK22:AL22"/>
    <mergeCell ref="AK23:AL23"/>
    <mergeCell ref="AK27:AL28"/>
    <mergeCell ref="AM27:AM28"/>
    <mergeCell ref="AR30:AR31"/>
    <mergeCell ref="AL33:AM33"/>
    <mergeCell ref="AL34:AM34"/>
    <mergeCell ref="AL35:AM35"/>
    <mergeCell ref="AL36:AM36"/>
    <mergeCell ref="AL30:AM31"/>
    <mergeCell ref="AP30:AP31"/>
    <mergeCell ref="AQ30:AQ31"/>
    <mergeCell ref="AN30:AN31"/>
    <mergeCell ref="AO30:AO31"/>
    <mergeCell ref="AL37:AM37"/>
    <mergeCell ref="AL38:AM38"/>
    <mergeCell ref="AK32:AK39"/>
    <mergeCell ref="AK40:AK43"/>
    <mergeCell ref="AL40:AM40"/>
    <mergeCell ref="AL41:AM41"/>
    <mergeCell ref="AL42:AM42"/>
    <mergeCell ref="AL43:AM43"/>
    <mergeCell ref="AL32:AM32"/>
    <mergeCell ref="AL39:AM39"/>
    <mergeCell ref="AL88:AM88"/>
    <mergeCell ref="AL89:AM89"/>
    <mergeCell ref="AL90:AM90"/>
    <mergeCell ref="AL57:AM57"/>
    <mergeCell ref="AL58:AM58"/>
    <mergeCell ref="AL59:AM59"/>
    <mergeCell ref="AL60:AM60"/>
    <mergeCell ref="AL61:AM61"/>
    <mergeCell ref="AL62:AM62"/>
    <mergeCell ref="AL63:AM63"/>
    <mergeCell ref="AL64:AM64"/>
    <mergeCell ref="AL65:AM65"/>
    <mergeCell ref="AL85:AM85"/>
    <mergeCell ref="AL86:AM86"/>
    <mergeCell ref="AL87:AM87"/>
    <mergeCell ref="AL67:AM67"/>
    <mergeCell ref="AL98:AM98"/>
    <mergeCell ref="AL99:AM99"/>
    <mergeCell ref="AL91:AM91"/>
    <mergeCell ref="AL92:AM92"/>
    <mergeCell ref="AL93:AM93"/>
    <mergeCell ref="AL94:AM94"/>
    <mergeCell ref="AL95:AM95"/>
    <mergeCell ref="AL96:AM96"/>
    <mergeCell ref="AL97:AM97"/>
    <mergeCell ref="AL107:AM107"/>
    <mergeCell ref="AL108:AM108"/>
    <mergeCell ref="AL100:AM100"/>
    <mergeCell ref="AL101:AM101"/>
    <mergeCell ref="AL102:AM102"/>
    <mergeCell ref="AL103:AM103"/>
    <mergeCell ref="AL104:AM104"/>
    <mergeCell ref="AL105:AM105"/>
    <mergeCell ref="AL106:AM106"/>
    <mergeCell ref="AL116:AM116"/>
    <mergeCell ref="AL117:AM117"/>
    <mergeCell ref="AL109:AM109"/>
    <mergeCell ref="AL110:AM110"/>
    <mergeCell ref="AL111:AM111"/>
    <mergeCell ref="AL112:AM112"/>
    <mergeCell ref="AL113:AM113"/>
    <mergeCell ref="AL114:AM114"/>
    <mergeCell ref="AL115:AM115"/>
    <mergeCell ref="AL125:AM125"/>
    <mergeCell ref="AL126:AM126"/>
    <mergeCell ref="AL118:AM118"/>
    <mergeCell ref="AL119:AM119"/>
    <mergeCell ref="AL120:AM120"/>
    <mergeCell ref="AL121:AM121"/>
    <mergeCell ref="AL122:AM122"/>
    <mergeCell ref="AL123:AM123"/>
    <mergeCell ref="AL124:AM124"/>
    <mergeCell ref="AL134:AM134"/>
    <mergeCell ref="AL135:AM135"/>
    <mergeCell ref="AL127:AM127"/>
    <mergeCell ref="AL128:AM128"/>
    <mergeCell ref="AL129:AM129"/>
    <mergeCell ref="AL130:AM130"/>
    <mergeCell ref="AL131:AM131"/>
    <mergeCell ref="AL132:AM132"/>
    <mergeCell ref="AL133:AM133"/>
    <mergeCell ref="AL143:AM143"/>
    <mergeCell ref="AL144:AM144"/>
    <mergeCell ref="AL136:AM136"/>
    <mergeCell ref="AL137:AM137"/>
    <mergeCell ref="AL138:AM138"/>
    <mergeCell ref="AL139:AM139"/>
    <mergeCell ref="AL140:AM140"/>
    <mergeCell ref="AL141:AM141"/>
    <mergeCell ref="AL142:AM142"/>
    <mergeCell ref="AL152:AM152"/>
    <mergeCell ref="AL153:AM153"/>
    <mergeCell ref="AL145:AM145"/>
    <mergeCell ref="AL146:AM146"/>
    <mergeCell ref="AL147:AM147"/>
    <mergeCell ref="AL148:AM148"/>
    <mergeCell ref="AL149:AM149"/>
    <mergeCell ref="AL150:AM150"/>
    <mergeCell ref="AL151:AM151"/>
    <mergeCell ref="AL161:AM161"/>
    <mergeCell ref="AL162:AM162"/>
    <mergeCell ref="AL154:AM154"/>
    <mergeCell ref="AL155:AM155"/>
    <mergeCell ref="AL156:AM156"/>
    <mergeCell ref="AL157:AM157"/>
    <mergeCell ref="AL158:AM158"/>
    <mergeCell ref="AL159:AM159"/>
    <mergeCell ref="AL160:AM160"/>
    <mergeCell ref="AL170:AM170"/>
    <mergeCell ref="AL171:AM171"/>
    <mergeCell ref="AL163:AM163"/>
    <mergeCell ref="AL164:AM164"/>
    <mergeCell ref="AL165:AM165"/>
    <mergeCell ref="AL166:AM166"/>
    <mergeCell ref="AL167:AM167"/>
    <mergeCell ref="AL168:AM168"/>
    <mergeCell ref="AL169:AM169"/>
    <mergeCell ref="AL179:AM179"/>
    <mergeCell ref="AL180:AM180"/>
    <mergeCell ref="AL172:AM172"/>
    <mergeCell ref="AL173:AM173"/>
    <mergeCell ref="AL174:AM174"/>
    <mergeCell ref="AL175:AM175"/>
    <mergeCell ref="AL176:AM176"/>
    <mergeCell ref="AL177:AM177"/>
    <mergeCell ref="AL178:AM178"/>
    <mergeCell ref="AL52:AM52"/>
    <mergeCell ref="AL53:AM53"/>
    <mergeCell ref="AL66:AM66"/>
    <mergeCell ref="AL45:AM45"/>
    <mergeCell ref="AL46:AM46"/>
    <mergeCell ref="AL47:AM47"/>
    <mergeCell ref="AL48:AM48"/>
    <mergeCell ref="AL49:AM49"/>
    <mergeCell ref="AL70:AM70"/>
    <mergeCell ref="AK262:AL262"/>
    <mergeCell ref="AK263:AL263"/>
    <mergeCell ref="AL78:AM78"/>
    <mergeCell ref="AL80:AM80"/>
    <mergeCell ref="AL81:AM81"/>
    <mergeCell ref="AL82:AM82"/>
    <mergeCell ref="AL83:AM83"/>
    <mergeCell ref="AL84:AM84"/>
    <mergeCell ref="AK44:AK75"/>
    <mergeCell ref="AK76:AK167"/>
    <mergeCell ref="AK168:AK186"/>
    <mergeCell ref="AK187:AK214"/>
    <mergeCell ref="AK215:AK234"/>
    <mergeCell ref="AL50:AM50"/>
    <mergeCell ref="AL51:AM51"/>
    <mergeCell ref="AK265:AL265"/>
    <mergeCell ref="AK266:AL266"/>
    <mergeCell ref="AK267:AL267"/>
    <mergeCell ref="AK268:AL268"/>
    <mergeCell ref="AK269:AL269"/>
    <mergeCell ref="AK270:AL270"/>
    <mergeCell ref="AK271:AL271"/>
    <mergeCell ref="AK272:AL272"/>
    <mergeCell ref="AK273:AL273"/>
    <mergeCell ref="AK274:AL274"/>
    <mergeCell ref="AK275:AL275"/>
    <mergeCell ref="AK276:AL276"/>
    <mergeCell ref="AK277:AL277"/>
    <mergeCell ref="AK278:AL278"/>
    <mergeCell ref="AK279:AL279"/>
    <mergeCell ref="AK280:AL280"/>
    <mergeCell ref="AK281:AL281"/>
    <mergeCell ref="AK282:AL282"/>
    <mergeCell ref="AK283:AL283"/>
    <mergeCell ref="AK284:AL284"/>
    <mergeCell ref="AK285:AL285"/>
    <mergeCell ref="AK286:AL286"/>
    <mergeCell ref="AK287:AL287"/>
    <mergeCell ref="AK288:AL288"/>
    <mergeCell ref="AK289:AL289"/>
    <mergeCell ref="AK290:AL290"/>
    <mergeCell ref="AK291:AL291"/>
    <mergeCell ref="AK292:AL292"/>
    <mergeCell ref="AK293:AL293"/>
    <mergeCell ref="AK294:AL294"/>
    <mergeCell ref="AK295:AL295"/>
    <mergeCell ref="AK296:AL296"/>
    <mergeCell ref="AK297:AL297"/>
    <mergeCell ref="AK305:AL305"/>
    <mergeCell ref="AK306:AL306"/>
    <mergeCell ref="AK298:AL298"/>
    <mergeCell ref="AK299:AL299"/>
    <mergeCell ref="AK300:AL300"/>
    <mergeCell ref="AK301:AL301"/>
    <mergeCell ref="AK302:AL302"/>
    <mergeCell ref="AK303:AL303"/>
    <mergeCell ref="AK304:AL304"/>
    <mergeCell ref="AK307:AL307"/>
    <mergeCell ref="AK308:AL308"/>
    <mergeCell ref="AK309:AL309"/>
    <mergeCell ref="AK310:AL310"/>
    <mergeCell ref="AK311:AL311"/>
    <mergeCell ref="AL190:AM190"/>
    <mergeCell ref="AL191:AM191"/>
    <mergeCell ref="AL192:AM192"/>
    <mergeCell ref="AL44:AM44"/>
    <mergeCell ref="AL71:AM71"/>
    <mergeCell ref="AL72:AM72"/>
    <mergeCell ref="AL73:AM73"/>
    <mergeCell ref="AL74:AM74"/>
    <mergeCell ref="AL54:AM54"/>
    <mergeCell ref="AL55:AM55"/>
    <mergeCell ref="AL56:AM56"/>
    <mergeCell ref="AL75:AM75"/>
    <mergeCell ref="AL76:AM76"/>
    <mergeCell ref="AL77:AM77"/>
    <mergeCell ref="AL68:AM68"/>
    <mergeCell ref="AL69:AM69"/>
    <mergeCell ref="AL188:AM188"/>
    <mergeCell ref="AL189:AM189"/>
    <mergeCell ref="AL181:AM181"/>
    <mergeCell ref="AL182:AM182"/>
    <mergeCell ref="AL183:AM183"/>
    <mergeCell ref="AL184:AM184"/>
    <mergeCell ref="AL185:AM185"/>
    <mergeCell ref="AL186:AM186"/>
    <mergeCell ref="AL187:AM187"/>
    <mergeCell ref="AL193:AM193"/>
    <mergeCell ref="AL194:AM194"/>
    <mergeCell ref="AL195:AM195"/>
    <mergeCell ref="AL196:AM196"/>
    <mergeCell ref="AL206:AM206"/>
    <mergeCell ref="AL197:AM197"/>
    <mergeCell ref="AL198:AM198"/>
    <mergeCell ref="AL207:AM207"/>
    <mergeCell ref="AL199:AM199"/>
    <mergeCell ref="AL200:AM200"/>
    <mergeCell ref="AL201:AM201"/>
    <mergeCell ref="AL202:AM202"/>
    <mergeCell ref="AL203:AM203"/>
    <mergeCell ref="AL204:AM204"/>
    <mergeCell ref="AL205:AM205"/>
    <mergeCell ref="AL215:AM215"/>
    <mergeCell ref="AL216:AM216"/>
    <mergeCell ref="AL208:AM208"/>
    <mergeCell ref="AL209:AM209"/>
    <mergeCell ref="AL210:AM210"/>
    <mergeCell ref="AL211:AM211"/>
    <mergeCell ref="AL212:AM212"/>
    <mergeCell ref="AL213:AM213"/>
    <mergeCell ref="AL214:AM214"/>
    <mergeCell ref="AL224:AM224"/>
    <mergeCell ref="AL225:AM225"/>
    <mergeCell ref="AL217:AM217"/>
    <mergeCell ref="AL218:AM218"/>
    <mergeCell ref="AL219:AM219"/>
    <mergeCell ref="AL220:AM220"/>
    <mergeCell ref="AL221:AM221"/>
    <mergeCell ref="AL222:AM222"/>
    <mergeCell ref="AL223:AM223"/>
    <mergeCell ref="AL233:AM233"/>
    <mergeCell ref="AL234:AM234"/>
    <mergeCell ref="AL226:AM226"/>
    <mergeCell ref="AL227:AM227"/>
    <mergeCell ref="AL228:AM228"/>
    <mergeCell ref="AL229:AM229"/>
    <mergeCell ref="AL230:AM230"/>
    <mergeCell ref="AL231:AM231"/>
    <mergeCell ref="AL232:AM232"/>
    <mergeCell ref="AM281:AW281"/>
    <mergeCell ref="AM282:AW282"/>
    <mergeCell ref="AM283:AW283"/>
    <mergeCell ref="AM284:AW284"/>
    <mergeCell ref="AM285:AW285"/>
    <mergeCell ref="AM286:AW286"/>
    <mergeCell ref="AM287:AW287"/>
    <mergeCell ref="AM288:AW288"/>
    <mergeCell ref="AM289:AW289"/>
    <mergeCell ref="AM290:AW290"/>
    <mergeCell ref="AM291:AW291"/>
    <mergeCell ref="AM292:AW292"/>
    <mergeCell ref="AM293:AW293"/>
    <mergeCell ref="AM294:AW294"/>
    <mergeCell ref="AM295:AW295"/>
    <mergeCell ref="AM296:AW296"/>
    <mergeCell ref="AM297:AW297"/>
    <mergeCell ref="AM298:AW298"/>
    <mergeCell ref="AM299:AW299"/>
    <mergeCell ref="AM300:AW300"/>
    <mergeCell ref="AM301:AW301"/>
    <mergeCell ref="AM309:AW309"/>
    <mergeCell ref="AM310:AW310"/>
    <mergeCell ref="AM311:AW311"/>
    <mergeCell ref="AM302:AW302"/>
    <mergeCell ref="AM303:AW303"/>
    <mergeCell ref="AM304:AW304"/>
    <mergeCell ref="AM305:AW305"/>
    <mergeCell ref="AM306:AW306"/>
    <mergeCell ref="AM307:AW307"/>
    <mergeCell ref="AM308:AW308"/>
    <mergeCell ref="AL235:AM235"/>
    <mergeCell ref="AL236:AM236"/>
    <mergeCell ref="AL237:AM237"/>
    <mergeCell ref="AL238:AM238"/>
    <mergeCell ref="AL239:AM239"/>
    <mergeCell ref="AL240:AM240"/>
    <mergeCell ref="AL241:AM241"/>
    <mergeCell ref="AL242:AM242"/>
    <mergeCell ref="AL243:AM243"/>
    <mergeCell ref="AK255:AX255"/>
    <mergeCell ref="AK235:AK247"/>
    <mergeCell ref="AK248:AK252"/>
    <mergeCell ref="AL251:AM251"/>
    <mergeCell ref="AL252:AM252"/>
    <mergeCell ref="AL244:AM244"/>
    <mergeCell ref="AL245:AM245"/>
    <mergeCell ref="AL246:AM246"/>
    <mergeCell ref="AL247:AM247"/>
    <mergeCell ref="AL248:AM248"/>
    <mergeCell ref="AL249:AM249"/>
    <mergeCell ref="AL250:AM250"/>
    <mergeCell ref="AM260:AW260"/>
    <mergeCell ref="AM261:AW261"/>
    <mergeCell ref="AZ255:BA255"/>
    <mergeCell ref="AM256:AW256"/>
    <mergeCell ref="AZ256:BA256"/>
    <mergeCell ref="AZ257:BA257"/>
    <mergeCell ref="AZ260:BA260"/>
    <mergeCell ref="AM257:AW257"/>
    <mergeCell ref="AM258:AW258"/>
    <mergeCell ref="AZ258:BA258"/>
    <mergeCell ref="AM259:AW259"/>
    <mergeCell ref="AZ259:BA259"/>
    <mergeCell ref="AK256:AL256"/>
    <mergeCell ref="AK257:AL257"/>
    <mergeCell ref="AK258:AL258"/>
    <mergeCell ref="AK259:AL259"/>
    <mergeCell ref="AK260:AL260"/>
    <mergeCell ref="AK261:AL261"/>
    <mergeCell ref="AM262:AW262"/>
    <mergeCell ref="AZ262:BA262"/>
    <mergeCell ref="AM263:AW263"/>
    <mergeCell ref="AM264:AW264"/>
    <mergeCell ref="AZ261:BA261"/>
    <mergeCell ref="AK264:AL264"/>
    <mergeCell ref="AM265:AW265"/>
    <mergeCell ref="AZ265:BB265"/>
    <mergeCell ref="AM266:AW266"/>
    <mergeCell ref="AM267:AW267"/>
    <mergeCell ref="AM268:AW268"/>
    <mergeCell ref="AM278:AW278"/>
    <mergeCell ref="AM279:AW279"/>
    <mergeCell ref="AM280:AW280"/>
    <mergeCell ref="AM269:AW269"/>
    <mergeCell ref="AM270:AW270"/>
    <mergeCell ref="AM271:AW271"/>
    <mergeCell ref="AM272:AW272"/>
    <mergeCell ref="AM273:AW273"/>
    <mergeCell ref="AM274:AW274"/>
    <mergeCell ref="AM275:AW275"/>
    <mergeCell ref="AM276:AW276"/>
    <mergeCell ref="AM277:AW277"/>
    <mergeCell ref="A34:E34"/>
    <mergeCell ref="A35:E35"/>
    <mergeCell ref="G35:H35"/>
    <mergeCell ref="A36:E36"/>
    <mergeCell ref="G36:H36"/>
    <mergeCell ref="G37:H37"/>
    <mergeCell ref="G38:H38"/>
    <mergeCell ref="A37:E37"/>
    <mergeCell ref="A42:E42"/>
    <mergeCell ref="G45:I45"/>
    <mergeCell ref="G46:H46"/>
    <mergeCell ref="G47:H47"/>
    <mergeCell ref="G48:H48"/>
    <mergeCell ref="G49:H49"/>
    <mergeCell ref="G50:H50"/>
    <mergeCell ref="G51:H51"/>
    <mergeCell ref="G52:H52"/>
    <mergeCell ref="A57:I57"/>
    <mergeCell ref="A58:B58"/>
    <mergeCell ref="A59:B59"/>
    <mergeCell ref="A60:B60"/>
    <mergeCell ref="A61:B61"/>
    <mergeCell ref="A62:B62"/>
    <mergeCell ref="A63:B63"/>
    <mergeCell ref="A64:B64"/>
    <mergeCell ref="A65:B65"/>
    <mergeCell ref="A66:B66"/>
    <mergeCell ref="A67:B67"/>
    <mergeCell ref="A153:C153"/>
    <mergeCell ref="E153:G153"/>
    <mergeCell ref="A68:B68"/>
    <mergeCell ref="A69:B69"/>
    <mergeCell ref="A70:B70"/>
    <mergeCell ref="A71:B71"/>
    <mergeCell ref="A73:N73"/>
    <mergeCell ref="A105:O105"/>
    <mergeCell ref="A137:H137"/>
    <mergeCell ref="A10:B10"/>
    <mergeCell ref="A11:B11"/>
    <mergeCell ref="D7:E7"/>
    <mergeCell ref="D8:E8"/>
    <mergeCell ref="D9:E9"/>
    <mergeCell ref="D10:E10"/>
    <mergeCell ref="D11:E11"/>
    <mergeCell ref="D6:E6"/>
    <mergeCell ref="A6:B6"/>
    <mergeCell ref="A7:B7"/>
    <mergeCell ref="A8:B8"/>
    <mergeCell ref="A9:B9"/>
    <mergeCell ref="A1:E1"/>
    <mergeCell ref="A3:F3"/>
    <mergeCell ref="A4:B4"/>
    <mergeCell ref="D4:E4"/>
    <mergeCell ref="A5:B5"/>
    <mergeCell ref="D5:E5"/>
    <mergeCell ref="A12:B12"/>
    <mergeCell ref="A13:B13"/>
    <mergeCell ref="A14:B14"/>
    <mergeCell ref="A16:F16"/>
    <mergeCell ref="A17:C17"/>
    <mergeCell ref="D17:F17"/>
    <mergeCell ref="D12:E12"/>
    <mergeCell ref="D13:E13"/>
    <mergeCell ref="D14:E14"/>
    <mergeCell ref="K21:L21"/>
    <mergeCell ref="K22:L22"/>
    <mergeCell ref="K27:L27"/>
    <mergeCell ref="A19:C19"/>
    <mergeCell ref="D19:F19"/>
    <mergeCell ref="A20:C20"/>
    <mergeCell ref="D20:F20"/>
    <mergeCell ref="A21:C21"/>
    <mergeCell ref="D21:F21"/>
    <mergeCell ref="A22:B22"/>
    <mergeCell ref="A23:B25"/>
    <mergeCell ref="A26:G26"/>
    <mergeCell ref="A27:B29"/>
    <mergeCell ref="A30:G30"/>
    <mergeCell ref="A31:G31"/>
    <mergeCell ref="A32:G32"/>
    <mergeCell ref="A33:C33"/>
    <mergeCell ref="A18:C18"/>
    <mergeCell ref="D18:F18"/>
  </mergeCells>
  <dataValidations count="1">
    <dataValidation type="list" allowBlank="1" showErrorMessage="1" sqref="C63:I63" xr:uid="{00000000-0002-0000-0800-000000000000}">
      <formula1>$C$74:$L$74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G1:P1007"/>
  <sheetViews>
    <sheetView zoomScale="10" zoomScaleNormal="10" workbookViewId="0">
      <selection activeCell="ES325" sqref="A1:ES325"/>
    </sheetView>
  </sheetViews>
  <sheetFormatPr defaultColWidth="14.42578125" defaultRowHeight="15.75" customHeight="1"/>
  <cols>
    <col min="1" max="17" width="14.42578125" customWidth="1"/>
  </cols>
  <sheetData>
    <row r="1" ht="37.5" customHeight="1"/>
    <row r="2" ht="12.75"/>
    <row r="3" ht="12.75"/>
    <row r="4" ht="12.75"/>
    <row r="5" ht="12.75"/>
    <row r="6" ht="12.75"/>
    <row r="7" ht="12.75"/>
    <row r="8" ht="12.75"/>
    <row r="9" ht="12.75"/>
    <row r="10" ht="12.75"/>
    <row r="11" ht="12.75"/>
    <row r="12" ht="12.75"/>
    <row r="13" ht="12.75"/>
    <row r="14" ht="12.75"/>
    <row r="15" ht="12.75"/>
    <row r="16" ht="12.75"/>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spans="7:16" ht="12.75"/>
    <row r="322" spans="7:16" ht="12.75"/>
    <row r="323" spans="7:16" ht="12.75"/>
    <row r="324" spans="7:16" ht="12.75"/>
    <row r="325" spans="7:16" ht="12.75"/>
    <row r="326" spans="7:16" ht="12.75">
      <c r="G326" s="31"/>
      <c r="H326" s="31"/>
      <c r="I326" s="31"/>
      <c r="J326" s="31"/>
      <c r="K326" s="31"/>
      <c r="L326" s="31"/>
      <c r="M326" s="31"/>
      <c r="N326" s="31"/>
      <c r="O326" s="31"/>
      <c r="P326" s="31"/>
    </row>
    <row r="327" spans="7:16" ht="12.75">
      <c r="G327" s="31"/>
      <c r="H327" s="31"/>
      <c r="I327" s="31"/>
      <c r="J327" s="31"/>
      <c r="K327" s="31"/>
      <c r="L327" s="31"/>
      <c r="M327" s="31"/>
      <c r="N327" s="31"/>
      <c r="O327" s="31"/>
      <c r="P327" s="31"/>
    </row>
    <row r="328" spans="7:16" ht="12.75">
      <c r="G328" s="31"/>
      <c r="H328" s="31"/>
      <c r="I328" s="31"/>
      <c r="J328" s="31"/>
      <c r="K328" s="31"/>
      <c r="L328" s="31"/>
      <c r="M328" s="31"/>
      <c r="N328" s="31"/>
      <c r="O328" s="31"/>
      <c r="P328" s="31"/>
    </row>
    <row r="329" spans="7:16" ht="12.75">
      <c r="G329" s="31"/>
      <c r="H329" s="31"/>
      <c r="I329" s="31"/>
      <c r="J329" s="31"/>
      <c r="K329" s="31"/>
      <c r="L329" s="31"/>
      <c r="M329" s="31"/>
      <c r="N329" s="31"/>
      <c r="O329" s="31"/>
      <c r="P329" s="31"/>
    </row>
    <row r="330" spans="7:16" ht="12.75">
      <c r="G330" s="31"/>
      <c r="H330" s="31"/>
      <c r="I330" s="31"/>
      <c r="J330" s="31"/>
      <c r="K330" s="31"/>
      <c r="L330" s="31"/>
      <c r="M330" s="31"/>
      <c r="N330" s="31"/>
      <c r="O330" s="31"/>
      <c r="P330" s="31"/>
    </row>
    <row r="331" spans="7:16" ht="12.75">
      <c r="G331" s="31"/>
      <c r="H331" s="31"/>
      <c r="I331" s="31"/>
      <c r="J331" s="31"/>
      <c r="K331" s="31"/>
      <c r="L331" s="31"/>
      <c r="M331" s="31"/>
      <c r="N331" s="31"/>
      <c r="O331" s="31"/>
      <c r="P331" s="31"/>
    </row>
    <row r="332" spans="7:16" ht="12.75">
      <c r="G332" s="31"/>
      <c r="H332" s="31"/>
      <c r="I332" s="31"/>
      <c r="J332" s="31"/>
      <c r="K332" s="31"/>
      <c r="L332" s="31"/>
      <c r="M332" s="31"/>
      <c r="N332" s="31"/>
      <c r="O332" s="31"/>
      <c r="P332" s="31"/>
    </row>
    <row r="333" spans="7:16" ht="12.75">
      <c r="G333" s="31"/>
      <c r="H333" s="31"/>
      <c r="I333" s="31"/>
      <c r="J333" s="31"/>
      <c r="K333" s="31"/>
      <c r="L333" s="31"/>
      <c r="M333" s="31"/>
      <c r="N333" s="31"/>
      <c r="O333" s="31"/>
      <c r="P333" s="31"/>
    </row>
    <row r="334" spans="7:16" ht="12.75">
      <c r="G334" s="31"/>
      <c r="H334" s="31"/>
      <c r="I334" s="31"/>
      <c r="J334" s="31"/>
      <c r="K334" s="31"/>
      <c r="L334" s="31"/>
      <c r="M334" s="31"/>
      <c r="N334" s="31"/>
      <c r="O334" s="31"/>
      <c r="P334" s="31"/>
    </row>
    <row r="335" spans="7:16" ht="12.75">
      <c r="G335" s="31"/>
      <c r="H335" s="31"/>
      <c r="I335" s="31"/>
      <c r="J335" s="31"/>
      <c r="K335" s="31"/>
      <c r="L335" s="31"/>
      <c r="M335" s="31"/>
      <c r="N335" s="31"/>
      <c r="O335" s="31"/>
      <c r="P335" s="31"/>
    </row>
    <row r="336" spans="7:16" ht="12.75">
      <c r="G336" s="31"/>
      <c r="H336" s="31"/>
      <c r="I336" s="31"/>
      <c r="J336" s="31"/>
      <c r="K336" s="31"/>
      <c r="L336" s="31"/>
      <c r="M336" s="31"/>
      <c r="N336" s="31"/>
      <c r="O336" s="31"/>
      <c r="P336" s="31"/>
    </row>
    <row r="337" spans="7:16" ht="12.75">
      <c r="G337" s="31"/>
      <c r="H337" s="31"/>
      <c r="I337" s="31"/>
      <c r="J337" s="31"/>
      <c r="K337" s="31"/>
      <c r="L337" s="31"/>
      <c r="M337" s="31"/>
      <c r="N337" s="31"/>
      <c r="O337" s="31"/>
      <c r="P337" s="31"/>
    </row>
    <row r="338" spans="7:16" ht="12.75">
      <c r="G338" s="31"/>
      <c r="H338" s="31"/>
      <c r="I338" s="31"/>
      <c r="J338" s="31"/>
      <c r="K338" s="31"/>
      <c r="L338" s="31"/>
      <c r="M338" s="31"/>
      <c r="N338" s="31"/>
      <c r="O338" s="31"/>
      <c r="P338" s="31"/>
    </row>
    <row r="339" spans="7:16" ht="12.75">
      <c r="G339" s="31"/>
      <c r="H339" s="31"/>
      <c r="I339" s="31"/>
      <c r="J339" s="31"/>
      <c r="K339" s="31"/>
      <c r="L339" s="31"/>
      <c r="M339" s="31"/>
      <c r="N339" s="31"/>
      <c r="O339" s="31"/>
      <c r="P339" s="31"/>
    </row>
    <row r="340" spans="7:16" ht="12.75">
      <c r="G340" s="31"/>
      <c r="H340" s="31"/>
      <c r="I340" s="31"/>
      <c r="J340" s="31"/>
      <c r="K340" s="31"/>
      <c r="L340" s="31"/>
      <c r="M340" s="31"/>
      <c r="N340" s="31"/>
      <c r="O340" s="31"/>
      <c r="P340" s="31"/>
    </row>
    <row r="341" spans="7:16" ht="12.75">
      <c r="G341" s="31"/>
      <c r="H341" s="31"/>
      <c r="I341" s="31"/>
      <c r="J341" s="31"/>
      <c r="K341" s="31"/>
      <c r="L341" s="31"/>
      <c r="M341" s="31"/>
      <c r="N341" s="31"/>
      <c r="O341" s="31"/>
      <c r="P341" s="31"/>
    </row>
    <row r="342" spans="7:16" ht="12.75">
      <c r="G342" s="31"/>
      <c r="H342" s="31"/>
      <c r="I342" s="31"/>
      <c r="J342" s="31"/>
      <c r="K342" s="31"/>
      <c r="L342" s="31"/>
      <c r="M342" s="31"/>
      <c r="N342" s="31"/>
      <c r="O342" s="31"/>
      <c r="P342" s="31"/>
    </row>
    <row r="343" spans="7:16" ht="12.75">
      <c r="G343" s="31"/>
      <c r="H343" s="31"/>
      <c r="I343" s="31"/>
      <c r="J343" s="31"/>
      <c r="K343" s="31"/>
      <c r="L343" s="31"/>
      <c r="M343" s="31"/>
      <c r="N343" s="31"/>
      <c r="O343" s="31"/>
      <c r="P343" s="31"/>
    </row>
    <row r="344" spans="7:16" ht="12.75">
      <c r="G344" s="31"/>
      <c r="H344" s="31"/>
      <c r="I344" s="31"/>
      <c r="J344" s="31"/>
      <c r="K344" s="31"/>
      <c r="L344" s="31"/>
      <c r="M344" s="31"/>
      <c r="N344" s="31"/>
      <c r="O344" s="31"/>
      <c r="P344" s="31"/>
    </row>
    <row r="345" spans="7:16" ht="12.75">
      <c r="G345" s="31"/>
      <c r="H345" s="31"/>
      <c r="I345" s="31"/>
      <c r="J345" s="31"/>
      <c r="K345" s="31"/>
      <c r="L345" s="31"/>
      <c r="M345" s="31"/>
      <c r="N345" s="31"/>
      <c r="O345" s="31"/>
      <c r="P345" s="31"/>
    </row>
    <row r="346" spans="7:16" ht="12.75">
      <c r="G346" s="31"/>
      <c r="H346" s="31"/>
      <c r="I346" s="31"/>
      <c r="J346" s="31"/>
      <c r="K346" s="31"/>
      <c r="L346" s="31"/>
      <c r="M346" s="31"/>
      <c r="N346" s="31"/>
      <c r="O346" s="31"/>
      <c r="P346" s="31"/>
    </row>
    <row r="347" spans="7:16" ht="12.75">
      <c r="G347" s="31"/>
      <c r="H347" s="31"/>
      <c r="I347" s="31"/>
      <c r="J347" s="31"/>
      <c r="K347" s="31"/>
      <c r="L347" s="31"/>
      <c r="M347" s="31"/>
      <c r="N347" s="31"/>
      <c r="O347" s="31"/>
      <c r="P347" s="31"/>
    </row>
    <row r="348" spans="7:16" ht="12.75">
      <c r="G348" s="31"/>
      <c r="H348" s="31"/>
      <c r="I348" s="31"/>
      <c r="J348" s="31"/>
      <c r="K348" s="31"/>
      <c r="L348" s="31"/>
      <c r="M348" s="31"/>
      <c r="N348" s="31"/>
      <c r="O348" s="31"/>
      <c r="P348" s="31"/>
    </row>
    <row r="349" spans="7:16" ht="12.75">
      <c r="G349" s="31"/>
      <c r="H349" s="31"/>
      <c r="I349" s="31"/>
      <c r="J349" s="31"/>
      <c r="K349" s="31"/>
      <c r="L349" s="31"/>
      <c r="M349" s="31"/>
      <c r="N349" s="31"/>
      <c r="O349" s="31"/>
      <c r="P349" s="31"/>
    </row>
    <row r="350" spans="7:16" ht="12.75">
      <c r="G350" s="31"/>
      <c r="H350" s="31"/>
      <c r="I350" s="31"/>
      <c r="J350" s="31"/>
      <c r="K350" s="31"/>
      <c r="L350" s="31"/>
      <c r="M350" s="31"/>
      <c r="N350" s="31"/>
      <c r="O350" s="31"/>
      <c r="P350" s="31"/>
    </row>
    <row r="351" spans="7:16" ht="12.75">
      <c r="G351" s="31"/>
      <c r="H351" s="31"/>
      <c r="I351" s="31"/>
      <c r="J351" s="31"/>
      <c r="K351" s="31"/>
      <c r="L351" s="31"/>
      <c r="M351" s="31"/>
      <c r="N351" s="31"/>
      <c r="O351" s="31"/>
      <c r="P351" s="31"/>
    </row>
    <row r="352" spans="7:16" ht="12.75">
      <c r="G352" s="31"/>
      <c r="H352" s="31"/>
      <c r="I352" s="31"/>
      <c r="J352" s="31"/>
      <c r="K352" s="31"/>
      <c r="L352" s="31"/>
      <c r="M352" s="31"/>
      <c r="N352" s="31"/>
      <c r="O352" s="31"/>
      <c r="P352" s="31"/>
    </row>
    <row r="353" spans="7:16" ht="12.75">
      <c r="G353" s="31"/>
      <c r="H353" s="31"/>
      <c r="I353" s="31"/>
      <c r="J353" s="31"/>
      <c r="K353" s="31"/>
      <c r="L353" s="31"/>
      <c r="M353" s="31"/>
      <c r="N353" s="31"/>
      <c r="O353" s="31"/>
      <c r="P353" s="31"/>
    </row>
    <row r="354" spans="7:16" ht="12.75">
      <c r="G354" s="31"/>
      <c r="H354" s="31"/>
      <c r="I354" s="31"/>
      <c r="J354" s="31"/>
      <c r="K354" s="31"/>
      <c r="L354" s="31"/>
      <c r="M354" s="31"/>
      <c r="N354" s="31"/>
      <c r="O354" s="31"/>
      <c r="P354" s="31"/>
    </row>
    <row r="355" spans="7:16" ht="12.75">
      <c r="G355" s="31"/>
      <c r="H355" s="31"/>
      <c r="I355" s="31"/>
      <c r="J355" s="31"/>
      <c r="K355" s="31"/>
      <c r="L355" s="31"/>
      <c r="M355" s="31"/>
      <c r="N355" s="31"/>
      <c r="O355" s="31"/>
      <c r="P355" s="31"/>
    </row>
    <row r="356" spans="7:16" ht="12.75">
      <c r="G356" s="31"/>
      <c r="H356" s="31"/>
      <c r="I356" s="31"/>
      <c r="J356" s="31"/>
      <c r="K356" s="31"/>
      <c r="L356" s="31"/>
      <c r="M356" s="31"/>
      <c r="N356" s="31"/>
      <c r="O356" s="31"/>
      <c r="P356" s="31"/>
    </row>
    <row r="357" spans="7:16" ht="12.75">
      <c r="G357" s="31"/>
      <c r="H357" s="31"/>
      <c r="I357" s="31"/>
      <c r="J357" s="31"/>
      <c r="K357" s="31"/>
      <c r="L357" s="31"/>
      <c r="M357" s="31"/>
      <c r="N357" s="31"/>
      <c r="O357" s="31"/>
      <c r="P357" s="31"/>
    </row>
    <row r="358" spans="7:16" ht="12.75">
      <c r="G358" s="31"/>
      <c r="H358" s="31"/>
      <c r="I358" s="31"/>
      <c r="J358" s="31"/>
      <c r="K358" s="31"/>
      <c r="L358" s="31"/>
      <c r="M358" s="31"/>
      <c r="N358" s="31"/>
      <c r="O358" s="31"/>
      <c r="P358" s="31"/>
    </row>
    <row r="359" spans="7:16" ht="12.75">
      <c r="G359" s="31"/>
      <c r="H359" s="31"/>
      <c r="I359" s="31"/>
      <c r="J359" s="31"/>
      <c r="K359" s="31"/>
      <c r="L359" s="31"/>
      <c r="M359" s="31"/>
      <c r="N359" s="31"/>
      <c r="O359" s="31"/>
      <c r="P359" s="31"/>
    </row>
    <row r="360" spans="7:16" ht="12.75">
      <c r="G360" s="31"/>
      <c r="H360" s="31"/>
      <c r="I360" s="31"/>
      <c r="J360" s="31"/>
      <c r="K360" s="31"/>
      <c r="L360" s="31"/>
      <c r="M360" s="31"/>
      <c r="N360" s="31"/>
      <c r="O360" s="31"/>
      <c r="P360" s="31"/>
    </row>
    <row r="361" spans="7:16" ht="12.75">
      <c r="G361" s="31"/>
      <c r="H361" s="31"/>
      <c r="I361" s="31"/>
      <c r="J361" s="31"/>
      <c r="K361" s="31"/>
      <c r="L361" s="31"/>
      <c r="M361" s="31"/>
      <c r="N361" s="31"/>
      <c r="O361" s="31"/>
      <c r="P361" s="31"/>
    </row>
    <row r="362" spans="7:16" ht="12.75">
      <c r="G362" s="31"/>
      <c r="H362" s="31"/>
      <c r="I362" s="31"/>
      <c r="J362" s="31"/>
      <c r="K362" s="31"/>
      <c r="L362" s="31"/>
      <c r="M362" s="31"/>
      <c r="N362" s="31"/>
      <c r="O362" s="31"/>
      <c r="P362" s="31"/>
    </row>
    <row r="363" spans="7:16" ht="12.75">
      <c r="G363" s="31"/>
      <c r="H363" s="31"/>
      <c r="I363" s="31"/>
      <c r="J363" s="31"/>
      <c r="K363" s="31"/>
      <c r="L363" s="31"/>
      <c r="M363" s="31"/>
      <c r="N363" s="31"/>
      <c r="O363" s="31"/>
      <c r="P363" s="31"/>
    </row>
    <row r="364" spans="7:16" ht="12.75">
      <c r="G364" s="31"/>
      <c r="H364" s="31"/>
      <c r="I364" s="31"/>
      <c r="J364" s="31"/>
      <c r="K364" s="31"/>
      <c r="L364" s="31"/>
      <c r="M364" s="31"/>
      <c r="N364" s="31"/>
      <c r="O364" s="31"/>
      <c r="P364" s="31"/>
    </row>
    <row r="365" spans="7:16" ht="12.75">
      <c r="G365" s="31"/>
      <c r="H365" s="31"/>
      <c r="I365" s="31"/>
      <c r="J365" s="31"/>
      <c r="K365" s="31"/>
      <c r="L365" s="31"/>
      <c r="M365" s="31"/>
      <c r="N365" s="31"/>
      <c r="O365" s="31"/>
      <c r="P365" s="31"/>
    </row>
    <row r="366" spans="7:16" ht="12.75">
      <c r="G366" s="31"/>
      <c r="H366" s="31"/>
      <c r="I366" s="31"/>
      <c r="J366" s="31"/>
      <c r="K366" s="31"/>
      <c r="L366" s="31"/>
      <c r="M366" s="31"/>
      <c r="N366" s="31"/>
      <c r="O366" s="31"/>
      <c r="P366" s="31"/>
    </row>
    <row r="367" spans="7:16" ht="12.75">
      <c r="G367" s="31"/>
      <c r="H367" s="31"/>
      <c r="I367" s="31"/>
      <c r="J367" s="31"/>
      <c r="K367" s="31"/>
      <c r="L367" s="31"/>
      <c r="M367" s="31"/>
      <c r="N367" s="31"/>
      <c r="O367" s="31"/>
      <c r="P367" s="31"/>
    </row>
    <row r="368" spans="7:16" ht="12.75">
      <c r="G368" s="31"/>
      <c r="H368" s="31"/>
      <c r="I368" s="31"/>
      <c r="J368" s="31"/>
      <c r="K368" s="31"/>
      <c r="L368" s="31"/>
      <c r="M368" s="31"/>
      <c r="N368" s="31"/>
      <c r="O368" s="31"/>
      <c r="P368" s="31"/>
    </row>
    <row r="369" spans="7:16" ht="12.75">
      <c r="G369" s="31"/>
      <c r="H369" s="31"/>
      <c r="I369" s="31"/>
      <c r="J369" s="31"/>
      <c r="K369" s="31"/>
      <c r="L369" s="31"/>
      <c r="M369" s="31"/>
      <c r="N369" s="31"/>
      <c r="O369" s="31"/>
      <c r="P369" s="31"/>
    </row>
    <row r="370" spans="7:16" ht="12.75">
      <c r="G370" s="31"/>
      <c r="H370" s="31"/>
      <c r="I370" s="31"/>
      <c r="J370" s="31"/>
      <c r="K370" s="31"/>
      <c r="L370" s="31"/>
      <c r="M370" s="31"/>
      <c r="N370" s="31"/>
      <c r="O370" s="31"/>
      <c r="P370" s="31"/>
    </row>
    <row r="371" spans="7:16" ht="12.75">
      <c r="G371" s="31"/>
      <c r="H371" s="31"/>
      <c r="I371" s="31"/>
      <c r="J371" s="31"/>
      <c r="K371" s="31"/>
      <c r="L371" s="31"/>
      <c r="M371" s="31"/>
      <c r="N371" s="31"/>
      <c r="O371" s="31"/>
      <c r="P371" s="31"/>
    </row>
    <row r="372" spans="7:16" ht="12.75">
      <c r="G372" s="31"/>
      <c r="H372" s="31"/>
      <c r="I372" s="31"/>
      <c r="J372" s="31"/>
      <c r="K372" s="31"/>
      <c r="L372" s="31"/>
      <c r="M372" s="31"/>
      <c r="N372" s="31"/>
      <c r="O372" s="31"/>
      <c r="P372" s="31"/>
    </row>
    <row r="373" spans="7:16" ht="12.75">
      <c r="G373" s="31"/>
      <c r="H373" s="31"/>
      <c r="I373" s="31"/>
      <c r="J373" s="31"/>
      <c r="K373" s="31"/>
      <c r="L373" s="31"/>
      <c r="M373" s="31"/>
      <c r="N373" s="31"/>
      <c r="O373" s="31"/>
      <c r="P373" s="31"/>
    </row>
    <row r="374" spans="7:16" ht="12.75">
      <c r="G374" s="31"/>
      <c r="H374" s="31"/>
      <c r="I374" s="31"/>
      <c r="J374" s="31"/>
      <c r="K374" s="31"/>
      <c r="L374" s="31"/>
      <c r="M374" s="31"/>
      <c r="N374" s="31"/>
      <c r="O374" s="31"/>
      <c r="P374" s="31"/>
    </row>
    <row r="375" spans="7:16" ht="12.75">
      <c r="G375" s="31"/>
      <c r="H375" s="31"/>
      <c r="I375" s="31"/>
      <c r="J375" s="31"/>
      <c r="K375" s="31"/>
      <c r="L375" s="31"/>
      <c r="M375" s="31"/>
      <c r="N375" s="31"/>
      <c r="O375" s="31"/>
      <c r="P375" s="31"/>
    </row>
    <row r="376" spans="7:16" ht="12.75">
      <c r="G376" s="31"/>
      <c r="H376" s="31"/>
      <c r="I376" s="31"/>
      <c r="J376" s="31"/>
      <c r="K376" s="31"/>
      <c r="L376" s="31"/>
      <c r="M376" s="31"/>
      <c r="N376" s="31"/>
      <c r="O376" s="31"/>
      <c r="P376" s="31"/>
    </row>
    <row r="377" spans="7:16" ht="12.75">
      <c r="G377" s="31"/>
      <c r="H377" s="31"/>
      <c r="I377" s="31"/>
      <c r="J377" s="31"/>
      <c r="K377" s="31"/>
      <c r="L377" s="31"/>
      <c r="M377" s="31"/>
      <c r="N377" s="31"/>
      <c r="O377" s="31"/>
      <c r="P377" s="31"/>
    </row>
    <row r="378" spans="7:16" ht="12.75">
      <c r="G378" s="31"/>
      <c r="H378" s="31"/>
      <c r="I378" s="31"/>
      <c r="J378" s="31"/>
      <c r="K378" s="31"/>
      <c r="L378" s="31"/>
      <c r="M378" s="31"/>
      <c r="N378" s="31"/>
      <c r="O378" s="31"/>
      <c r="P378" s="31"/>
    </row>
    <row r="379" spans="7:16" ht="12.75">
      <c r="G379" s="31"/>
      <c r="H379" s="31"/>
      <c r="I379" s="31"/>
      <c r="J379" s="31"/>
      <c r="K379" s="31"/>
      <c r="L379" s="31"/>
      <c r="M379" s="31"/>
      <c r="N379" s="31"/>
      <c r="O379" s="31"/>
      <c r="P379" s="31"/>
    </row>
    <row r="380" spans="7:16" ht="12.75">
      <c r="G380" s="31"/>
      <c r="H380" s="31"/>
      <c r="I380" s="31"/>
      <c r="J380" s="31"/>
      <c r="K380" s="31"/>
      <c r="L380" s="31"/>
      <c r="M380" s="31"/>
      <c r="N380" s="31"/>
      <c r="O380" s="31"/>
      <c r="P380" s="31"/>
    </row>
    <row r="381" spans="7:16" ht="12.75">
      <c r="G381" s="31"/>
      <c r="H381" s="31"/>
      <c r="I381" s="31"/>
      <c r="J381" s="31"/>
      <c r="K381" s="31"/>
      <c r="L381" s="31"/>
      <c r="M381" s="31"/>
      <c r="N381" s="31"/>
      <c r="O381" s="31"/>
      <c r="P381" s="31"/>
    </row>
    <row r="382" spans="7:16" ht="12.75">
      <c r="G382" s="31"/>
      <c r="H382" s="31"/>
      <c r="I382" s="31"/>
      <c r="J382" s="31"/>
      <c r="K382" s="31"/>
      <c r="L382" s="31"/>
      <c r="M382" s="31"/>
      <c r="N382" s="31"/>
      <c r="O382" s="31"/>
      <c r="P382" s="31"/>
    </row>
    <row r="383" spans="7:16" ht="12.75">
      <c r="G383" s="31"/>
      <c r="H383" s="31"/>
      <c r="I383" s="31"/>
      <c r="J383" s="31"/>
      <c r="K383" s="31"/>
      <c r="L383" s="31"/>
      <c r="M383" s="31"/>
      <c r="N383" s="31"/>
      <c r="O383" s="31"/>
      <c r="P383" s="31"/>
    </row>
    <row r="384" spans="7:16" ht="12.75">
      <c r="G384" s="31"/>
      <c r="H384" s="31"/>
      <c r="I384" s="31"/>
      <c r="J384" s="31"/>
      <c r="K384" s="31"/>
      <c r="L384" s="31"/>
      <c r="M384" s="31"/>
      <c r="N384" s="31"/>
      <c r="O384" s="31"/>
      <c r="P384" s="31"/>
    </row>
    <row r="385" spans="7:16" ht="12.75">
      <c r="G385" s="31"/>
      <c r="H385" s="31"/>
      <c r="I385" s="31"/>
      <c r="J385" s="31"/>
      <c r="K385" s="31"/>
      <c r="L385" s="31"/>
      <c r="M385" s="31"/>
      <c r="N385" s="31"/>
      <c r="O385" s="31"/>
      <c r="P385" s="31"/>
    </row>
    <row r="386" spans="7:16" ht="12.75">
      <c r="G386" s="31"/>
      <c r="H386" s="31"/>
      <c r="I386" s="31"/>
      <c r="J386" s="31"/>
      <c r="K386" s="31"/>
      <c r="L386" s="31"/>
      <c r="M386" s="31"/>
      <c r="N386" s="31"/>
      <c r="O386" s="31"/>
      <c r="P386" s="31"/>
    </row>
    <row r="387" spans="7:16" ht="12.75">
      <c r="G387" s="31"/>
      <c r="H387" s="31"/>
      <c r="I387" s="31"/>
      <c r="J387" s="31"/>
      <c r="K387" s="31"/>
      <c r="L387" s="31"/>
      <c r="M387" s="31"/>
      <c r="N387" s="31"/>
      <c r="O387" s="31"/>
      <c r="P387" s="31"/>
    </row>
    <row r="388" spans="7:16" ht="12.75">
      <c r="G388" s="31"/>
      <c r="H388" s="31"/>
      <c r="I388" s="31"/>
      <c r="J388" s="31"/>
      <c r="K388" s="31"/>
      <c r="L388" s="31"/>
      <c r="M388" s="31"/>
      <c r="N388" s="31"/>
      <c r="O388" s="31"/>
      <c r="P388" s="31"/>
    </row>
    <row r="389" spans="7:16" ht="12.75">
      <c r="G389" s="31"/>
      <c r="H389" s="31"/>
      <c r="I389" s="31"/>
      <c r="J389" s="31"/>
      <c r="K389" s="31"/>
      <c r="L389" s="31"/>
      <c r="M389" s="31"/>
      <c r="N389" s="31"/>
      <c r="O389" s="31"/>
      <c r="P389" s="31"/>
    </row>
    <row r="390" spans="7:16" ht="12.75">
      <c r="G390" s="31"/>
      <c r="H390" s="31"/>
      <c r="I390" s="31"/>
      <c r="J390" s="31"/>
      <c r="K390" s="31"/>
      <c r="L390" s="31"/>
      <c r="M390" s="31"/>
      <c r="N390" s="31"/>
      <c r="O390" s="31"/>
      <c r="P390" s="31"/>
    </row>
    <row r="391" spans="7:16" ht="12.75">
      <c r="G391" s="31"/>
      <c r="H391" s="31"/>
      <c r="I391" s="31"/>
      <c r="J391" s="31"/>
      <c r="K391" s="31"/>
      <c r="L391" s="31"/>
      <c r="M391" s="31"/>
      <c r="N391" s="31"/>
      <c r="O391" s="31"/>
      <c r="P391" s="31"/>
    </row>
    <row r="392" spans="7:16" ht="12.75">
      <c r="G392" s="31"/>
      <c r="H392" s="31"/>
      <c r="I392" s="31"/>
      <c r="J392" s="31"/>
      <c r="K392" s="31"/>
      <c r="L392" s="31"/>
      <c r="M392" s="31"/>
      <c r="N392" s="31"/>
      <c r="O392" s="31"/>
      <c r="P392" s="31"/>
    </row>
    <row r="393" spans="7:16" ht="12.75">
      <c r="G393" s="31"/>
      <c r="H393" s="31"/>
      <c r="I393" s="31"/>
      <c r="J393" s="31"/>
      <c r="K393" s="31"/>
      <c r="L393" s="31"/>
      <c r="M393" s="31"/>
      <c r="N393" s="31"/>
      <c r="O393" s="31"/>
      <c r="P393" s="31"/>
    </row>
    <row r="394" spans="7:16" ht="12.75">
      <c r="G394" s="31"/>
      <c r="H394" s="31"/>
      <c r="I394" s="31"/>
      <c r="J394" s="31"/>
      <c r="K394" s="31"/>
      <c r="L394" s="31"/>
      <c r="M394" s="31"/>
      <c r="N394" s="31"/>
      <c r="O394" s="31"/>
      <c r="P394" s="31"/>
    </row>
    <row r="395" spans="7:16" ht="12.75">
      <c r="G395" s="31"/>
      <c r="H395" s="31"/>
      <c r="I395" s="31"/>
      <c r="J395" s="31"/>
      <c r="K395" s="31"/>
      <c r="L395" s="31"/>
      <c r="M395" s="31"/>
      <c r="N395" s="31"/>
      <c r="O395" s="31"/>
      <c r="P395" s="31"/>
    </row>
    <row r="396" spans="7:16" ht="12.75">
      <c r="G396" s="31"/>
      <c r="H396" s="31"/>
      <c r="I396" s="31"/>
      <c r="J396" s="31"/>
      <c r="K396" s="31"/>
      <c r="L396" s="31"/>
      <c r="M396" s="31"/>
      <c r="N396" s="31"/>
      <c r="O396" s="31"/>
      <c r="P396" s="31"/>
    </row>
    <row r="397" spans="7:16" ht="12.75">
      <c r="G397" s="31"/>
      <c r="H397" s="31"/>
      <c r="I397" s="31"/>
      <c r="J397" s="31"/>
      <c r="K397" s="31"/>
      <c r="L397" s="31"/>
      <c r="M397" s="31"/>
      <c r="N397" s="31"/>
      <c r="O397" s="31"/>
      <c r="P397" s="31"/>
    </row>
    <row r="398" spans="7:16" ht="12.75">
      <c r="G398" s="31"/>
      <c r="H398" s="31"/>
      <c r="I398" s="31"/>
      <c r="J398" s="31"/>
      <c r="K398" s="31"/>
      <c r="L398" s="31"/>
      <c r="M398" s="31"/>
      <c r="N398" s="31"/>
      <c r="O398" s="31"/>
      <c r="P398" s="31"/>
    </row>
    <row r="399" spans="7:16" ht="12.75">
      <c r="G399" s="31"/>
      <c r="H399" s="31"/>
      <c r="I399" s="31"/>
      <c r="J399" s="31"/>
      <c r="K399" s="31"/>
      <c r="L399" s="31"/>
      <c r="M399" s="31"/>
      <c r="N399" s="31"/>
      <c r="O399" s="31"/>
      <c r="P399" s="31"/>
    </row>
    <row r="400" spans="7:16" ht="12.75">
      <c r="G400" s="31"/>
      <c r="H400" s="31"/>
      <c r="I400" s="31"/>
      <c r="J400" s="31"/>
      <c r="K400" s="31"/>
      <c r="L400" s="31"/>
      <c r="M400" s="31"/>
      <c r="N400" s="31"/>
      <c r="O400" s="31"/>
      <c r="P400" s="31"/>
    </row>
    <row r="401" spans="7:16" ht="12.75">
      <c r="G401" s="31"/>
      <c r="H401" s="31"/>
      <c r="I401" s="31"/>
      <c r="J401" s="31"/>
      <c r="K401" s="31"/>
      <c r="L401" s="31"/>
      <c r="M401" s="31"/>
      <c r="N401" s="31"/>
      <c r="O401" s="31"/>
      <c r="P401" s="31"/>
    </row>
    <row r="402" spans="7:16" ht="12.75">
      <c r="G402" s="31"/>
      <c r="H402" s="31"/>
      <c r="I402" s="31"/>
      <c r="J402" s="31"/>
      <c r="K402" s="31"/>
      <c r="L402" s="31"/>
      <c r="M402" s="31"/>
      <c r="N402" s="31"/>
      <c r="O402" s="31"/>
      <c r="P402" s="31"/>
    </row>
    <row r="403" spans="7:16" ht="12.75">
      <c r="G403" s="31"/>
      <c r="H403" s="31"/>
      <c r="I403" s="31"/>
      <c r="J403" s="31"/>
      <c r="K403" s="31"/>
      <c r="L403" s="31"/>
      <c r="M403" s="31"/>
      <c r="N403" s="31"/>
      <c r="O403" s="31"/>
      <c r="P403" s="31"/>
    </row>
    <row r="404" spans="7:16" ht="12.75">
      <c r="G404" s="31"/>
      <c r="H404" s="31"/>
      <c r="I404" s="31"/>
      <c r="J404" s="31"/>
      <c r="K404" s="31"/>
      <c r="L404" s="31"/>
      <c r="M404" s="31"/>
      <c r="N404" s="31"/>
      <c r="O404" s="31"/>
      <c r="P404" s="31"/>
    </row>
    <row r="405" spans="7:16" ht="12.75">
      <c r="G405" s="31"/>
      <c r="H405" s="31"/>
      <c r="I405" s="31"/>
      <c r="J405" s="31"/>
      <c r="K405" s="31"/>
      <c r="L405" s="31"/>
      <c r="M405" s="31"/>
      <c r="N405" s="31"/>
      <c r="O405" s="31"/>
      <c r="P405" s="31"/>
    </row>
    <row r="406" spans="7:16" ht="12.75">
      <c r="G406" s="31"/>
      <c r="H406" s="31"/>
      <c r="I406" s="31"/>
      <c r="J406" s="31"/>
      <c r="K406" s="31"/>
      <c r="L406" s="31"/>
      <c r="M406" s="31"/>
      <c r="N406" s="31"/>
      <c r="O406" s="31"/>
      <c r="P406" s="31"/>
    </row>
    <row r="407" spans="7:16" ht="12.75">
      <c r="G407" s="31"/>
      <c r="H407" s="31"/>
      <c r="I407" s="31"/>
      <c r="J407" s="31"/>
      <c r="K407" s="31"/>
      <c r="L407" s="31"/>
      <c r="M407" s="31"/>
      <c r="N407" s="31"/>
      <c r="O407" s="31"/>
      <c r="P407" s="31"/>
    </row>
    <row r="408" spans="7:16" ht="12.75">
      <c r="G408" s="31"/>
      <c r="H408" s="31"/>
      <c r="I408" s="31"/>
      <c r="J408" s="31"/>
      <c r="K408" s="31"/>
      <c r="L408" s="31"/>
      <c r="M408" s="31"/>
      <c r="N408" s="31"/>
      <c r="O408" s="31"/>
      <c r="P408" s="31"/>
    </row>
    <row r="409" spans="7:16" ht="12.75">
      <c r="G409" s="31"/>
      <c r="H409" s="31"/>
      <c r="I409" s="31"/>
      <c r="J409" s="31"/>
      <c r="K409" s="31"/>
      <c r="L409" s="31"/>
      <c r="M409" s="31"/>
      <c r="N409" s="31"/>
      <c r="O409" s="31"/>
      <c r="P409" s="31"/>
    </row>
    <row r="410" spans="7:16" ht="12.75">
      <c r="G410" s="31"/>
      <c r="H410" s="31"/>
      <c r="I410" s="31"/>
      <c r="J410" s="31"/>
      <c r="K410" s="31"/>
      <c r="L410" s="31"/>
      <c r="M410" s="31"/>
      <c r="N410" s="31"/>
      <c r="O410" s="31"/>
      <c r="P410" s="31"/>
    </row>
    <row r="411" spans="7:16" ht="12.75">
      <c r="G411" s="31"/>
      <c r="H411" s="31"/>
      <c r="I411" s="31"/>
      <c r="J411" s="31"/>
      <c r="K411" s="31"/>
      <c r="L411" s="31"/>
      <c r="M411" s="31"/>
      <c r="N411" s="31"/>
      <c r="O411" s="31"/>
      <c r="P411" s="31"/>
    </row>
    <row r="412" spans="7:16" ht="12.75">
      <c r="G412" s="31"/>
      <c r="H412" s="31"/>
      <c r="I412" s="31"/>
      <c r="J412" s="31"/>
      <c r="K412" s="31"/>
      <c r="L412" s="31"/>
      <c r="M412" s="31"/>
      <c r="N412" s="31"/>
      <c r="O412" s="31"/>
      <c r="P412" s="31"/>
    </row>
    <row r="413" spans="7:16" ht="12.75">
      <c r="G413" s="31"/>
      <c r="H413" s="31"/>
      <c r="I413" s="31"/>
      <c r="J413" s="31"/>
      <c r="K413" s="31"/>
      <c r="L413" s="31"/>
      <c r="M413" s="31"/>
      <c r="N413" s="31"/>
      <c r="O413" s="31"/>
      <c r="P413" s="31"/>
    </row>
    <row r="414" spans="7:16" ht="12.75">
      <c r="G414" s="31"/>
      <c r="H414" s="31"/>
      <c r="I414" s="31"/>
      <c r="J414" s="31"/>
      <c r="K414" s="31"/>
      <c r="L414" s="31"/>
      <c r="M414" s="31"/>
      <c r="N414" s="31"/>
      <c r="O414" s="31"/>
      <c r="P414" s="31"/>
    </row>
    <row r="415" spans="7:16" ht="12.75">
      <c r="G415" s="31"/>
      <c r="H415" s="31"/>
      <c r="I415" s="31"/>
      <c r="J415" s="31"/>
      <c r="K415" s="31"/>
      <c r="L415" s="31"/>
      <c r="M415" s="31"/>
      <c r="N415" s="31"/>
      <c r="O415" s="31"/>
      <c r="P415" s="31"/>
    </row>
    <row r="416" spans="7:16" ht="12.75">
      <c r="G416" s="31"/>
      <c r="H416" s="31"/>
      <c r="I416" s="31"/>
      <c r="J416" s="31"/>
      <c r="K416" s="31"/>
      <c r="L416" s="31"/>
      <c r="M416" s="31"/>
      <c r="N416" s="31"/>
      <c r="O416" s="31"/>
      <c r="P416" s="31"/>
    </row>
    <row r="417" spans="7:16" ht="12.75">
      <c r="G417" s="31"/>
      <c r="H417" s="31"/>
      <c r="I417" s="31"/>
      <c r="J417" s="31"/>
      <c r="K417" s="31"/>
      <c r="L417" s="31"/>
      <c r="M417" s="31"/>
      <c r="N417" s="31"/>
      <c r="O417" s="31"/>
      <c r="P417" s="31"/>
    </row>
    <row r="418" spans="7:16" ht="12.75">
      <c r="G418" s="31"/>
      <c r="H418" s="31"/>
      <c r="I418" s="31"/>
      <c r="J418" s="31"/>
      <c r="K418" s="31"/>
      <c r="L418" s="31"/>
      <c r="M418" s="31"/>
      <c r="N418" s="31"/>
      <c r="O418" s="31"/>
      <c r="P418" s="31"/>
    </row>
    <row r="419" spans="7:16" ht="12.75">
      <c r="G419" s="31"/>
      <c r="H419" s="31"/>
      <c r="I419" s="31"/>
      <c r="J419" s="31"/>
      <c r="K419" s="31"/>
      <c r="L419" s="31"/>
      <c r="M419" s="31"/>
      <c r="N419" s="31"/>
      <c r="O419" s="31"/>
      <c r="P419" s="31"/>
    </row>
    <row r="420" spans="7:16" ht="12.75">
      <c r="G420" s="31"/>
      <c r="H420" s="31"/>
      <c r="I420" s="31"/>
      <c r="J420" s="31"/>
      <c r="K420" s="31"/>
      <c r="L420" s="31"/>
      <c r="M420" s="31"/>
      <c r="N420" s="31"/>
      <c r="O420" s="31"/>
      <c r="P420" s="31"/>
    </row>
    <row r="421" spans="7:16" ht="12.75">
      <c r="G421" s="31"/>
      <c r="H421" s="31"/>
      <c r="I421" s="31"/>
      <c r="J421" s="31"/>
      <c r="K421" s="31"/>
      <c r="L421" s="31"/>
      <c r="M421" s="31"/>
      <c r="N421" s="31"/>
      <c r="O421" s="31"/>
      <c r="P421" s="31"/>
    </row>
    <row r="422" spans="7:16" ht="12.75">
      <c r="G422" s="31"/>
      <c r="H422" s="31"/>
      <c r="I422" s="31"/>
      <c r="J422" s="31"/>
      <c r="K422" s="31"/>
      <c r="L422" s="31"/>
      <c r="M422" s="31"/>
      <c r="N422" s="31"/>
      <c r="O422" s="31"/>
      <c r="P422" s="31"/>
    </row>
    <row r="423" spans="7:16" ht="12.75">
      <c r="G423" s="31"/>
      <c r="H423" s="31"/>
      <c r="I423" s="31"/>
      <c r="J423" s="31"/>
      <c r="K423" s="31"/>
      <c r="L423" s="31"/>
      <c r="M423" s="31"/>
      <c r="N423" s="31"/>
      <c r="O423" s="31"/>
      <c r="P423" s="31"/>
    </row>
    <row r="424" spans="7:16" ht="12.75">
      <c r="G424" s="31"/>
      <c r="H424" s="31"/>
      <c r="I424" s="31"/>
      <c r="J424" s="31"/>
      <c r="K424" s="31"/>
      <c r="L424" s="31"/>
      <c r="M424" s="31"/>
      <c r="N424" s="31"/>
      <c r="O424" s="31"/>
      <c r="P424" s="31"/>
    </row>
    <row r="425" spans="7:16" ht="12.75">
      <c r="G425" s="31"/>
      <c r="H425" s="31"/>
      <c r="I425" s="31"/>
      <c r="J425" s="31"/>
      <c r="K425" s="31"/>
      <c r="L425" s="31"/>
      <c r="M425" s="31"/>
      <c r="N425" s="31"/>
      <c r="O425" s="31"/>
      <c r="P425" s="31"/>
    </row>
    <row r="426" spans="7:16" ht="12.75">
      <c r="G426" s="31"/>
      <c r="H426" s="31"/>
      <c r="I426" s="31"/>
      <c r="J426" s="31"/>
      <c r="K426" s="31"/>
      <c r="L426" s="31"/>
      <c r="M426" s="31"/>
      <c r="N426" s="31"/>
      <c r="O426" s="31"/>
      <c r="P426" s="31"/>
    </row>
    <row r="427" spans="7:16" ht="12.75">
      <c r="G427" s="31"/>
      <c r="H427" s="31"/>
      <c r="I427" s="31"/>
      <c r="J427" s="31"/>
      <c r="K427" s="31"/>
      <c r="L427" s="31"/>
      <c r="M427" s="31"/>
      <c r="N427" s="31"/>
      <c r="O427" s="31"/>
      <c r="P427" s="31"/>
    </row>
    <row r="428" spans="7:16" ht="12.75">
      <c r="G428" s="31"/>
      <c r="H428" s="31"/>
      <c r="I428" s="31"/>
      <c r="J428" s="31"/>
      <c r="K428" s="31"/>
      <c r="L428" s="31"/>
      <c r="M428" s="31"/>
      <c r="N428" s="31"/>
      <c r="O428" s="31"/>
      <c r="P428" s="31"/>
    </row>
    <row r="429" spans="7:16" ht="12.75">
      <c r="G429" s="31"/>
      <c r="H429" s="31"/>
      <c r="I429" s="31"/>
      <c r="J429" s="31"/>
      <c r="K429" s="31"/>
      <c r="L429" s="31"/>
      <c r="M429" s="31"/>
      <c r="N429" s="31"/>
      <c r="O429" s="31"/>
      <c r="P429" s="31"/>
    </row>
    <row r="430" spans="7:16" ht="12.75">
      <c r="G430" s="31"/>
      <c r="H430" s="31"/>
      <c r="I430" s="31"/>
      <c r="J430" s="31"/>
      <c r="K430" s="31"/>
      <c r="L430" s="31"/>
      <c r="M430" s="31"/>
      <c r="N430" s="31"/>
      <c r="O430" s="31"/>
      <c r="P430" s="31"/>
    </row>
    <row r="431" spans="7:16" ht="12.75">
      <c r="G431" s="31"/>
      <c r="H431" s="31"/>
      <c r="I431" s="31"/>
      <c r="J431" s="31"/>
      <c r="K431" s="31"/>
      <c r="L431" s="31"/>
      <c r="M431" s="31"/>
      <c r="N431" s="31"/>
      <c r="O431" s="31"/>
      <c r="P431" s="31"/>
    </row>
    <row r="432" spans="7:16" ht="12.75">
      <c r="G432" s="31"/>
      <c r="H432" s="31"/>
      <c r="I432" s="31"/>
      <c r="J432" s="31"/>
      <c r="K432" s="31"/>
      <c r="L432" s="31"/>
      <c r="M432" s="31"/>
      <c r="N432" s="31"/>
      <c r="O432" s="31"/>
      <c r="P432" s="31"/>
    </row>
    <row r="433" spans="7:16" ht="12.75">
      <c r="G433" s="31"/>
      <c r="H433" s="31"/>
      <c r="I433" s="31"/>
      <c r="J433" s="31"/>
      <c r="K433" s="31"/>
      <c r="L433" s="31"/>
      <c r="M433" s="31"/>
      <c r="N433" s="31"/>
      <c r="O433" s="31"/>
      <c r="P433" s="31"/>
    </row>
    <row r="434" spans="7:16" ht="12.75">
      <c r="G434" s="31"/>
      <c r="H434" s="31"/>
      <c r="I434" s="31"/>
      <c r="J434" s="31"/>
      <c r="K434" s="31"/>
      <c r="L434" s="31"/>
      <c r="M434" s="31"/>
      <c r="N434" s="31"/>
      <c r="O434" s="31"/>
      <c r="P434" s="31"/>
    </row>
    <row r="435" spans="7:16" ht="12.75">
      <c r="G435" s="31"/>
      <c r="H435" s="31"/>
      <c r="I435" s="31"/>
      <c r="J435" s="31"/>
      <c r="K435" s="31"/>
      <c r="L435" s="31"/>
      <c r="M435" s="31"/>
      <c r="N435" s="31"/>
      <c r="O435" s="31"/>
      <c r="P435" s="31"/>
    </row>
    <row r="436" spans="7:16" ht="12.75">
      <c r="G436" s="31"/>
      <c r="H436" s="31"/>
      <c r="I436" s="31"/>
      <c r="J436" s="31"/>
      <c r="K436" s="31"/>
      <c r="L436" s="31"/>
      <c r="M436" s="31"/>
      <c r="N436" s="31"/>
      <c r="O436" s="31"/>
      <c r="P436" s="31"/>
    </row>
    <row r="437" spans="7:16" ht="12.75">
      <c r="G437" s="31"/>
      <c r="H437" s="31"/>
      <c r="I437" s="31"/>
      <c r="J437" s="31"/>
      <c r="K437" s="31"/>
      <c r="L437" s="31"/>
      <c r="M437" s="31"/>
      <c r="N437" s="31"/>
      <c r="O437" s="31"/>
      <c r="P437" s="31"/>
    </row>
    <row r="438" spans="7:16" ht="12.75">
      <c r="G438" s="31"/>
      <c r="H438" s="31"/>
      <c r="I438" s="31"/>
      <c r="J438" s="31"/>
      <c r="K438" s="31"/>
      <c r="L438" s="31"/>
      <c r="M438" s="31"/>
      <c r="N438" s="31"/>
      <c r="O438" s="31"/>
      <c r="P438" s="31"/>
    </row>
    <row r="439" spans="7:16" ht="12.75">
      <c r="G439" s="31"/>
      <c r="H439" s="31"/>
      <c r="I439" s="31"/>
      <c r="J439" s="31"/>
      <c r="K439" s="31"/>
      <c r="L439" s="31"/>
      <c r="M439" s="31"/>
      <c r="N439" s="31"/>
      <c r="O439" s="31"/>
      <c r="P439" s="31"/>
    </row>
    <row r="440" spans="7:16" ht="12.75">
      <c r="G440" s="31"/>
      <c r="H440" s="31"/>
      <c r="I440" s="31"/>
      <c r="J440" s="31"/>
      <c r="K440" s="31"/>
      <c r="L440" s="31"/>
      <c r="M440" s="31"/>
      <c r="N440" s="31"/>
      <c r="O440" s="31"/>
      <c r="P440" s="31"/>
    </row>
    <row r="441" spans="7:16" ht="12.75">
      <c r="G441" s="31"/>
      <c r="H441" s="31"/>
      <c r="I441" s="31"/>
      <c r="J441" s="31"/>
      <c r="K441" s="31"/>
      <c r="L441" s="31"/>
      <c r="M441" s="31"/>
      <c r="N441" s="31"/>
      <c r="O441" s="31"/>
      <c r="P441" s="31"/>
    </row>
    <row r="442" spans="7:16" ht="12.75">
      <c r="G442" s="31"/>
      <c r="H442" s="31"/>
      <c r="I442" s="31"/>
      <c r="J442" s="31"/>
      <c r="K442" s="31"/>
      <c r="L442" s="31"/>
      <c r="M442" s="31"/>
      <c r="N442" s="31"/>
      <c r="O442" s="31"/>
      <c r="P442" s="31"/>
    </row>
    <row r="443" spans="7:16" ht="12.75">
      <c r="G443" s="31"/>
      <c r="H443" s="31"/>
      <c r="I443" s="31"/>
      <c r="J443" s="31"/>
      <c r="K443" s="31"/>
      <c r="L443" s="31"/>
      <c r="M443" s="31"/>
      <c r="N443" s="31"/>
      <c r="O443" s="31"/>
      <c r="P443" s="31"/>
    </row>
    <row r="444" spans="7:16" ht="12.75">
      <c r="G444" s="31"/>
      <c r="H444" s="31"/>
      <c r="I444" s="31"/>
      <c r="J444" s="31"/>
      <c r="K444" s="31"/>
      <c r="L444" s="31"/>
      <c r="M444" s="31"/>
      <c r="N444" s="31"/>
      <c r="O444" s="31"/>
      <c r="P444" s="31"/>
    </row>
    <row r="445" spans="7:16" ht="12.75">
      <c r="G445" s="31"/>
      <c r="H445" s="31"/>
      <c r="I445" s="31"/>
      <c r="J445" s="31"/>
      <c r="K445" s="31"/>
      <c r="L445" s="31"/>
      <c r="M445" s="31"/>
      <c r="N445" s="31"/>
      <c r="O445" s="31"/>
      <c r="P445" s="31"/>
    </row>
    <row r="446" spans="7:16" ht="12.75">
      <c r="G446" s="31"/>
      <c r="H446" s="31"/>
      <c r="I446" s="31"/>
      <c r="J446" s="31"/>
      <c r="K446" s="31"/>
      <c r="L446" s="31"/>
      <c r="M446" s="31"/>
      <c r="N446" s="31"/>
      <c r="O446" s="31"/>
      <c r="P446" s="31"/>
    </row>
    <row r="447" spans="7:16" ht="12.75">
      <c r="G447" s="31"/>
      <c r="H447" s="31"/>
      <c r="I447" s="31"/>
      <c r="J447" s="31"/>
      <c r="K447" s="31"/>
      <c r="L447" s="31"/>
      <c r="M447" s="31"/>
      <c r="N447" s="31"/>
      <c r="O447" s="31"/>
      <c r="P447" s="31"/>
    </row>
    <row r="448" spans="7:16" ht="12.75">
      <c r="G448" s="31"/>
      <c r="H448" s="31"/>
      <c r="I448" s="31"/>
      <c r="J448" s="31"/>
      <c r="K448" s="31"/>
      <c r="L448" s="31"/>
      <c r="M448" s="31"/>
      <c r="N448" s="31"/>
      <c r="O448" s="31"/>
      <c r="P448" s="31"/>
    </row>
    <row r="449" spans="7:16" ht="12.75">
      <c r="G449" s="31"/>
      <c r="H449" s="31"/>
      <c r="I449" s="31"/>
      <c r="J449" s="31"/>
      <c r="K449" s="31"/>
      <c r="L449" s="31"/>
      <c r="M449" s="31"/>
      <c r="N449" s="31"/>
      <c r="O449" s="31"/>
      <c r="P449" s="31"/>
    </row>
    <row r="450" spans="7:16" ht="12.75">
      <c r="G450" s="31"/>
      <c r="H450" s="31"/>
      <c r="I450" s="31"/>
      <c r="J450" s="31"/>
      <c r="K450" s="31"/>
      <c r="L450" s="31"/>
      <c r="M450" s="31"/>
      <c r="N450" s="31"/>
      <c r="O450" s="31"/>
      <c r="P450" s="31"/>
    </row>
    <row r="451" spans="7:16" ht="12.75">
      <c r="G451" s="31"/>
      <c r="H451" s="31"/>
      <c r="I451" s="31"/>
      <c r="J451" s="31"/>
      <c r="K451" s="31"/>
      <c r="L451" s="31"/>
      <c r="M451" s="31"/>
      <c r="N451" s="31"/>
      <c r="O451" s="31"/>
      <c r="P451" s="31"/>
    </row>
    <row r="452" spans="7:16" ht="12.75">
      <c r="G452" s="31"/>
      <c r="H452" s="31"/>
      <c r="I452" s="31"/>
      <c r="J452" s="31"/>
      <c r="K452" s="31"/>
      <c r="L452" s="31"/>
      <c r="M452" s="31"/>
      <c r="N452" s="31"/>
      <c r="O452" s="31"/>
      <c r="P452" s="31"/>
    </row>
    <row r="453" spans="7:16" ht="12.75">
      <c r="G453" s="31"/>
      <c r="H453" s="31"/>
      <c r="I453" s="31"/>
      <c r="J453" s="31"/>
      <c r="K453" s="31"/>
      <c r="L453" s="31"/>
      <c r="M453" s="31"/>
      <c r="N453" s="31"/>
      <c r="O453" s="31"/>
      <c r="P453" s="31"/>
    </row>
    <row r="454" spans="7:16" ht="12.75">
      <c r="G454" s="31"/>
      <c r="H454" s="31"/>
      <c r="I454" s="31"/>
      <c r="J454" s="31"/>
      <c r="K454" s="31"/>
      <c r="L454" s="31"/>
      <c r="M454" s="31"/>
      <c r="N454" s="31"/>
      <c r="O454" s="31"/>
      <c r="P454" s="31"/>
    </row>
    <row r="455" spans="7:16" ht="12.75">
      <c r="G455" s="31"/>
      <c r="H455" s="31"/>
      <c r="I455" s="31"/>
      <c r="J455" s="31"/>
      <c r="K455" s="31"/>
      <c r="L455" s="31"/>
      <c r="M455" s="31"/>
      <c r="N455" s="31"/>
      <c r="O455" s="31"/>
      <c r="P455" s="31"/>
    </row>
    <row r="456" spans="7:16" ht="12.75">
      <c r="G456" s="31"/>
      <c r="H456" s="31"/>
      <c r="I456" s="31"/>
      <c r="J456" s="31"/>
      <c r="K456" s="31"/>
      <c r="L456" s="31"/>
      <c r="M456" s="31"/>
      <c r="N456" s="31"/>
      <c r="O456" s="31"/>
      <c r="P456" s="31"/>
    </row>
    <row r="457" spans="7:16" ht="12.75">
      <c r="G457" s="31"/>
      <c r="H457" s="31"/>
      <c r="I457" s="31"/>
      <c r="J457" s="31"/>
      <c r="K457" s="31"/>
      <c r="L457" s="31"/>
      <c r="M457" s="31"/>
      <c r="N457" s="31"/>
      <c r="O457" s="31"/>
      <c r="P457" s="31"/>
    </row>
    <row r="458" spans="7:16" ht="12.75">
      <c r="G458" s="31"/>
      <c r="H458" s="31"/>
      <c r="I458" s="31"/>
      <c r="J458" s="31"/>
      <c r="K458" s="31"/>
      <c r="L458" s="31"/>
      <c r="M458" s="31"/>
      <c r="N458" s="31"/>
      <c r="O458" s="31"/>
      <c r="P458" s="31"/>
    </row>
    <row r="459" spans="7:16" ht="12.75">
      <c r="G459" s="31"/>
      <c r="H459" s="31"/>
      <c r="I459" s="31"/>
      <c r="J459" s="31"/>
      <c r="K459" s="31"/>
      <c r="L459" s="31"/>
      <c r="M459" s="31"/>
      <c r="N459" s="31"/>
      <c r="O459" s="31"/>
      <c r="P459" s="31"/>
    </row>
    <row r="460" spans="7:16" ht="12.75">
      <c r="G460" s="31"/>
      <c r="H460" s="31"/>
      <c r="I460" s="31"/>
      <c r="J460" s="31"/>
      <c r="K460" s="31"/>
      <c r="L460" s="31"/>
      <c r="M460" s="31"/>
      <c r="N460" s="31"/>
      <c r="O460" s="31"/>
      <c r="P460" s="31"/>
    </row>
    <row r="461" spans="7:16" ht="12.75">
      <c r="G461" s="31"/>
      <c r="H461" s="31"/>
      <c r="I461" s="31"/>
      <c r="J461" s="31"/>
      <c r="K461" s="31"/>
      <c r="L461" s="31"/>
      <c r="M461" s="31"/>
      <c r="N461" s="31"/>
      <c r="O461" s="31"/>
      <c r="P461" s="31"/>
    </row>
    <row r="462" spans="7:16" ht="12.75">
      <c r="G462" s="31"/>
      <c r="H462" s="31"/>
      <c r="I462" s="31"/>
      <c r="J462" s="31"/>
      <c r="K462" s="31"/>
      <c r="L462" s="31"/>
      <c r="M462" s="31"/>
      <c r="N462" s="31"/>
      <c r="O462" s="31"/>
      <c r="P462" s="31"/>
    </row>
    <row r="463" spans="7:16" ht="12.75">
      <c r="G463" s="31"/>
      <c r="H463" s="31"/>
      <c r="I463" s="31"/>
      <c r="J463" s="31"/>
      <c r="K463" s="31"/>
      <c r="L463" s="31"/>
      <c r="M463" s="31"/>
      <c r="N463" s="31"/>
      <c r="O463" s="31"/>
      <c r="P463" s="31"/>
    </row>
    <row r="464" spans="7:16" ht="12.75">
      <c r="G464" s="31"/>
      <c r="H464" s="31"/>
      <c r="I464" s="31"/>
      <c r="J464" s="31"/>
      <c r="K464" s="31"/>
      <c r="L464" s="31"/>
      <c r="M464" s="31"/>
      <c r="N464" s="31"/>
      <c r="O464" s="31"/>
      <c r="P464" s="31"/>
    </row>
    <row r="465" spans="7:16" ht="12.75">
      <c r="G465" s="31"/>
      <c r="H465" s="31"/>
      <c r="I465" s="31"/>
      <c r="J465" s="31"/>
      <c r="K465" s="31"/>
      <c r="L465" s="31"/>
      <c r="M465" s="31"/>
      <c r="N465" s="31"/>
      <c r="O465" s="31"/>
      <c r="P465" s="31"/>
    </row>
    <row r="466" spans="7:16" ht="12.75">
      <c r="G466" s="31"/>
      <c r="H466" s="31"/>
      <c r="I466" s="31"/>
      <c r="J466" s="31"/>
      <c r="K466" s="31"/>
      <c r="L466" s="31"/>
      <c r="M466" s="31"/>
      <c r="N466" s="31"/>
      <c r="O466" s="31"/>
      <c r="P466" s="31"/>
    </row>
    <row r="467" spans="7:16" ht="12.75">
      <c r="G467" s="31"/>
      <c r="H467" s="31"/>
      <c r="I467" s="31"/>
      <c r="J467" s="31"/>
      <c r="K467" s="31"/>
      <c r="L467" s="31"/>
      <c r="M467" s="31"/>
      <c r="N467" s="31"/>
      <c r="O467" s="31"/>
      <c r="P467" s="31"/>
    </row>
    <row r="468" spans="7:16" ht="12.75">
      <c r="G468" s="31"/>
      <c r="H468" s="31"/>
      <c r="I468" s="31"/>
      <c r="J468" s="31"/>
      <c r="K468" s="31"/>
      <c r="L468" s="31"/>
      <c r="M468" s="31"/>
      <c r="N468" s="31"/>
      <c r="O468" s="31"/>
      <c r="P468" s="31"/>
    </row>
    <row r="469" spans="7:16" ht="12.75">
      <c r="G469" s="31"/>
      <c r="H469" s="31"/>
      <c r="I469" s="31"/>
      <c r="J469" s="31"/>
      <c r="K469" s="31"/>
      <c r="L469" s="31"/>
      <c r="M469" s="31"/>
      <c r="N469" s="31"/>
      <c r="O469" s="31"/>
      <c r="P469" s="31"/>
    </row>
    <row r="470" spans="7:16" ht="12.75">
      <c r="G470" s="31"/>
      <c r="H470" s="31"/>
      <c r="I470" s="31"/>
      <c r="J470" s="31"/>
      <c r="K470" s="31"/>
      <c r="L470" s="31"/>
      <c r="M470" s="31"/>
      <c r="N470" s="31"/>
      <c r="O470" s="31"/>
      <c r="P470" s="31"/>
    </row>
    <row r="471" spans="7:16" ht="12.75">
      <c r="G471" s="31"/>
      <c r="H471" s="31"/>
      <c r="I471" s="31"/>
      <c r="J471" s="31"/>
      <c r="K471" s="31"/>
      <c r="L471" s="31"/>
      <c r="M471" s="31"/>
      <c r="N471" s="31"/>
      <c r="O471" s="31"/>
      <c r="P471" s="31"/>
    </row>
    <row r="472" spans="7:16" ht="12.75">
      <c r="G472" s="31"/>
      <c r="H472" s="31"/>
      <c r="I472" s="31"/>
      <c r="J472" s="31"/>
      <c r="K472" s="31"/>
      <c r="L472" s="31"/>
      <c r="M472" s="31"/>
      <c r="N472" s="31"/>
      <c r="O472" s="31"/>
      <c r="P472" s="31"/>
    </row>
    <row r="473" spans="7:16" ht="12.75">
      <c r="G473" s="31"/>
      <c r="H473" s="31"/>
      <c r="I473" s="31"/>
      <c r="J473" s="31"/>
      <c r="K473" s="31"/>
      <c r="L473" s="31"/>
      <c r="M473" s="31"/>
      <c r="N473" s="31"/>
      <c r="O473" s="31"/>
      <c r="P473" s="31"/>
    </row>
    <row r="474" spans="7:16" ht="12.75">
      <c r="G474" s="31"/>
      <c r="H474" s="31"/>
      <c r="I474" s="31"/>
      <c r="J474" s="31"/>
      <c r="K474" s="31"/>
      <c r="L474" s="31"/>
      <c r="M474" s="31"/>
      <c r="N474" s="31"/>
      <c r="O474" s="31"/>
      <c r="P474" s="31"/>
    </row>
    <row r="475" spans="7:16" ht="12.75">
      <c r="G475" s="31"/>
      <c r="H475" s="31"/>
      <c r="I475" s="31"/>
      <c r="J475" s="31"/>
      <c r="K475" s="31"/>
      <c r="L475" s="31"/>
      <c r="M475" s="31"/>
      <c r="N475" s="31"/>
      <c r="O475" s="31"/>
      <c r="P475" s="31"/>
    </row>
    <row r="476" spans="7:16" ht="12.75">
      <c r="G476" s="31"/>
      <c r="H476" s="31"/>
      <c r="I476" s="31"/>
      <c r="J476" s="31"/>
      <c r="K476" s="31"/>
      <c r="L476" s="31"/>
      <c r="M476" s="31"/>
      <c r="N476" s="31"/>
      <c r="O476" s="31"/>
      <c r="P476" s="31"/>
    </row>
    <row r="477" spans="7:16" ht="12.75">
      <c r="G477" s="31"/>
      <c r="H477" s="31"/>
      <c r="I477" s="31"/>
      <c r="J477" s="31"/>
      <c r="K477" s="31"/>
      <c r="L477" s="31"/>
      <c r="M477" s="31"/>
      <c r="N477" s="31"/>
      <c r="O477" s="31"/>
      <c r="P477" s="31"/>
    </row>
    <row r="478" spans="7:16" ht="12.75">
      <c r="G478" s="31"/>
      <c r="H478" s="31"/>
      <c r="I478" s="31"/>
      <c r="J478" s="31"/>
      <c r="K478" s="31"/>
      <c r="L478" s="31"/>
      <c r="M478" s="31"/>
      <c r="N478" s="31"/>
      <c r="O478" s="31"/>
      <c r="P478" s="31"/>
    </row>
    <row r="479" spans="7:16" ht="12.75">
      <c r="G479" s="31"/>
      <c r="H479" s="31"/>
      <c r="I479" s="31"/>
      <c r="J479" s="31"/>
      <c r="K479" s="31"/>
      <c r="L479" s="31"/>
      <c r="M479" s="31"/>
      <c r="N479" s="31"/>
      <c r="O479" s="31"/>
      <c r="P479" s="31"/>
    </row>
    <row r="480" spans="7:16" ht="12.75">
      <c r="G480" s="31"/>
      <c r="H480" s="31"/>
      <c r="I480" s="31"/>
      <c r="J480" s="31"/>
      <c r="K480" s="31"/>
      <c r="L480" s="31"/>
      <c r="M480" s="31"/>
      <c r="N480" s="31"/>
      <c r="O480" s="31"/>
      <c r="P480" s="31"/>
    </row>
    <row r="481" spans="7:16" ht="12.75">
      <c r="G481" s="31"/>
      <c r="H481" s="31"/>
      <c r="I481" s="31"/>
      <c r="J481" s="31"/>
      <c r="K481" s="31"/>
      <c r="L481" s="31"/>
      <c r="M481" s="31"/>
      <c r="N481" s="31"/>
      <c r="O481" s="31"/>
      <c r="P481" s="31"/>
    </row>
    <row r="482" spans="7:16" ht="12.75">
      <c r="G482" s="31"/>
      <c r="H482" s="31"/>
      <c r="I482" s="31"/>
      <c r="J482" s="31"/>
      <c r="K482" s="31"/>
      <c r="L482" s="31"/>
      <c r="M482" s="31"/>
      <c r="N482" s="31"/>
      <c r="O482" s="31"/>
      <c r="P482" s="31"/>
    </row>
    <row r="483" spans="7:16" ht="12.75">
      <c r="G483" s="31"/>
      <c r="H483" s="31"/>
      <c r="I483" s="31"/>
      <c r="J483" s="31"/>
      <c r="K483" s="31"/>
      <c r="L483" s="31"/>
      <c r="M483" s="31"/>
      <c r="N483" s="31"/>
      <c r="O483" s="31"/>
      <c r="P483" s="31"/>
    </row>
    <row r="484" spans="7:16" ht="12.75">
      <c r="G484" s="31"/>
      <c r="H484" s="31"/>
      <c r="I484" s="31"/>
      <c r="J484" s="31"/>
      <c r="K484" s="31"/>
      <c r="L484" s="31"/>
      <c r="M484" s="31"/>
      <c r="N484" s="31"/>
      <c r="O484" s="31"/>
      <c r="P484" s="31"/>
    </row>
    <row r="485" spans="7:16" ht="12.75">
      <c r="G485" s="31"/>
      <c r="H485" s="31"/>
      <c r="I485" s="31"/>
      <c r="J485" s="31"/>
      <c r="K485" s="31"/>
      <c r="L485" s="31"/>
      <c r="M485" s="31"/>
      <c r="N485" s="31"/>
      <c r="O485" s="31"/>
      <c r="P485" s="31"/>
    </row>
    <row r="486" spans="7:16" ht="12.75">
      <c r="G486" s="31"/>
      <c r="H486" s="31"/>
      <c r="I486" s="31"/>
      <c r="J486" s="31"/>
      <c r="K486" s="31"/>
      <c r="L486" s="31"/>
      <c r="M486" s="31"/>
      <c r="N486" s="31"/>
      <c r="O486" s="31"/>
      <c r="P486" s="31"/>
    </row>
    <row r="487" spans="7:16" ht="12.75">
      <c r="G487" s="31"/>
      <c r="H487" s="31"/>
      <c r="I487" s="31"/>
      <c r="J487" s="31"/>
      <c r="K487" s="31"/>
      <c r="L487" s="31"/>
      <c r="M487" s="31"/>
      <c r="N487" s="31"/>
      <c r="O487" s="31"/>
      <c r="P487" s="31"/>
    </row>
    <row r="488" spans="7:16" ht="12.75">
      <c r="G488" s="31"/>
      <c r="H488" s="31"/>
      <c r="I488" s="31"/>
      <c r="J488" s="31"/>
      <c r="K488" s="31"/>
      <c r="L488" s="31"/>
      <c r="M488" s="31"/>
      <c r="N488" s="31"/>
      <c r="O488" s="31"/>
      <c r="P488" s="31"/>
    </row>
    <row r="489" spans="7:16" ht="12.75">
      <c r="G489" s="31"/>
      <c r="H489" s="31"/>
      <c r="I489" s="31"/>
      <c r="J489" s="31"/>
      <c r="K489" s="31"/>
      <c r="L489" s="31"/>
      <c r="M489" s="31"/>
      <c r="N489" s="31"/>
      <c r="O489" s="31"/>
      <c r="P489" s="31"/>
    </row>
    <row r="490" spans="7:16" ht="12.75">
      <c r="G490" s="31"/>
      <c r="H490" s="31"/>
      <c r="I490" s="31"/>
      <c r="J490" s="31"/>
      <c r="K490" s="31"/>
      <c r="L490" s="31"/>
      <c r="M490" s="31"/>
      <c r="N490" s="31"/>
      <c r="O490" s="31"/>
      <c r="P490" s="31"/>
    </row>
    <row r="491" spans="7:16" ht="12.75">
      <c r="G491" s="31"/>
      <c r="H491" s="31"/>
      <c r="I491" s="31"/>
      <c r="J491" s="31"/>
      <c r="K491" s="31"/>
      <c r="L491" s="31"/>
      <c r="M491" s="31"/>
      <c r="N491" s="31"/>
      <c r="O491" s="31"/>
      <c r="P491" s="31"/>
    </row>
    <row r="492" spans="7:16" ht="12.75">
      <c r="G492" s="31"/>
      <c r="H492" s="31"/>
      <c r="I492" s="31"/>
      <c r="J492" s="31"/>
      <c r="K492" s="31"/>
      <c r="L492" s="31"/>
      <c r="M492" s="31"/>
      <c r="N492" s="31"/>
      <c r="O492" s="31"/>
      <c r="P492" s="31"/>
    </row>
    <row r="493" spans="7:16" ht="12.75">
      <c r="G493" s="31"/>
      <c r="H493" s="31"/>
      <c r="I493" s="31"/>
      <c r="J493" s="31"/>
      <c r="K493" s="31"/>
      <c r="L493" s="31"/>
      <c r="M493" s="31"/>
      <c r="N493" s="31"/>
      <c r="O493" s="31"/>
      <c r="P493" s="31"/>
    </row>
    <row r="494" spans="7:16" ht="12.75">
      <c r="G494" s="31"/>
      <c r="H494" s="31"/>
      <c r="I494" s="31"/>
      <c r="J494" s="31"/>
      <c r="K494" s="31"/>
      <c r="L494" s="31"/>
      <c r="M494" s="31"/>
      <c r="N494" s="31"/>
      <c r="O494" s="31"/>
      <c r="P494" s="31"/>
    </row>
    <row r="495" spans="7:16" ht="12.75">
      <c r="G495" s="31"/>
      <c r="H495" s="31"/>
      <c r="I495" s="31"/>
      <c r="J495" s="31"/>
      <c r="K495" s="31"/>
      <c r="L495" s="31"/>
      <c r="M495" s="31"/>
      <c r="N495" s="31"/>
      <c r="O495" s="31"/>
      <c r="P495" s="31"/>
    </row>
    <row r="496" spans="7:16" ht="12.75">
      <c r="G496" s="31"/>
      <c r="H496" s="31"/>
      <c r="I496" s="31"/>
      <c r="J496" s="31"/>
      <c r="K496" s="31"/>
      <c r="L496" s="31"/>
      <c r="M496" s="31"/>
      <c r="N496" s="31"/>
      <c r="O496" s="31"/>
      <c r="P496" s="31"/>
    </row>
    <row r="497" spans="7:16" ht="12.75">
      <c r="G497" s="31"/>
      <c r="H497" s="31"/>
      <c r="I497" s="31"/>
      <c r="J497" s="31"/>
      <c r="K497" s="31"/>
      <c r="L497" s="31"/>
      <c r="M497" s="31"/>
      <c r="N497" s="31"/>
      <c r="O497" s="31"/>
      <c r="P497" s="31"/>
    </row>
    <row r="498" spans="7:16" ht="12.75">
      <c r="G498" s="31"/>
      <c r="H498" s="31"/>
      <c r="I498" s="31"/>
      <c r="J498" s="31"/>
      <c r="K498" s="31"/>
      <c r="L498" s="31"/>
      <c r="M498" s="31"/>
      <c r="N498" s="31"/>
      <c r="O498" s="31"/>
      <c r="P498" s="31"/>
    </row>
    <row r="499" spans="7:16" ht="12.75">
      <c r="G499" s="31"/>
      <c r="H499" s="31"/>
      <c r="I499" s="31"/>
      <c r="J499" s="31"/>
      <c r="K499" s="31"/>
      <c r="L499" s="31"/>
      <c r="M499" s="31"/>
      <c r="N499" s="31"/>
      <c r="O499" s="31"/>
      <c r="P499" s="31"/>
    </row>
    <row r="500" spans="7:16" ht="12.75">
      <c r="G500" s="31"/>
      <c r="H500" s="31"/>
      <c r="I500" s="31"/>
      <c r="J500" s="31"/>
      <c r="K500" s="31"/>
      <c r="L500" s="31"/>
      <c r="M500" s="31"/>
      <c r="N500" s="31"/>
      <c r="O500" s="31"/>
      <c r="P500" s="31"/>
    </row>
    <row r="501" spans="7:16" ht="12.75">
      <c r="G501" s="31"/>
      <c r="H501" s="31"/>
      <c r="I501" s="31"/>
      <c r="J501" s="31"/>
      <c r="K501" s="31"/>
      <c r="L501" s="31"/>
      <c r="M501" s="31"/>
      <c r="N501" s="31"/>
      <c r="O501" s="31"/>
      <c r="P501" s="31"/>
    </row>
    <row r="502" spans="7:16" ht="12.75">
      <c r="G502" s="31"/>
      <c r="H502" s="31"/>
      <c r="I502" s="31"/>
      <c r="J502" s="31"/>
      <c r="K502" s="31"/>
      <c r="L502" s="31"/>
      <c r="M502" s="31"/>
      <c r="N502" s="31"/>
      <c r="O502" s="31"/>
      <c r="P502" s="31"/>
    </row>
    <row r="503" spans="7:16" ht="12.75">
      <c r="G503" s="31"/>
      <c r="H503" s="31"/>
      <c r="I503" s="31"/>
      <c r="J503" s="31"/>
      <c r="K503" s="31"/>
      <c r="L503" s="31"/>
      <c r="M503" s="31"/>
      <c r="N503" s="31"/>
      <c r="O503" s="31"/>
      <c r="P503" s="31"/>
    </row>
    <row r="504" spans="7:16" ht="12.75">
      <c r="G504" s="31"/>
      <c r="H504" s="31"/>
      <c r="I504" s="31"/>
      <c r="J504" s="31"/>
      <c r="K504" s="31"/>
      <c r="L504" s="31"/>
      <c r="M504" s="31"/>
      <c r="N504" s="31"/>
      <c r="O504" s="31"/>
      <c r="P504" s="31"/>
    </row>
    <row r="505" spans="7:16" ht="12.75">
      <c r="G505" s="31"/>
      <c r="H505" s="31"/>
      <c r="I505" s="31"/>
      <c r="J505" s="31"/>
      <c r="K505" s="31"/>
      <c r="L505" s="31"/>
      <c r="M505" s="31"/>
      <c r="N505" s="31"/>
      <c r="O505" s="31"/>
      <c r="P505" s="31"/>
    </row>
    <row r="506" spans="7:16" ht="12.75">
      <c r="G506" s="31"/>
      <c r="H506" s="31"/>
      <c r="I506" s="31"/>
      <c r="J506" s="31"/>
      <c r="K506" s="31"/>
      <c r="L506" s="31"/>
      <c r="M506" s="31"/>
      <c r="N506" s="31"/>
      <c r="O506" s="31"/>
      <c r="P506" s="31"/>
    </row>
    <row r="507" spans="7:16" ht="12.75">
      <c r="G507" s="31"/>
      <c r="H507" s="31"/>
      <c r="I507" s="31"/>
      <c r="J507" s="31"/>
      <c r="K507" s="31"/>
      <c r="L507" s="31"/>
      <c r="M507" s="31"/>
      <c r="N507" s="31"/>
      <c r="O507" s="31"/>
      <c r="P507" s="31"/>
    </row>
    <row r="508" spans="7:16" ht="12.75">
      <c r="G508" s="31"/>
      <c r="H508" s="31"/>
      <c r="I508" s="31"/>
      <c r="J508" s="31"/>
      <c r="K508" s="31"/>
      <c r="L508" s="31"/>
      <c r="M508" s="31"/>
      <c r="N508" s="31"/>
      <c r="O508" s="31"/>
      <c r="P508" s="31"/>
    </row>
    <row r="509" spans="7:16" ht="12.75">
      <c r="G509" s="31"/>
      <c r="H509" s="31"/>
      <c r="I509" s="31"/>
      <c r="J509" s="31"/>
      <c r="K509" s="31"/>
      <c r="L509" s="31"/>
      <c r="M509" s="31"/>
      <c r="N509" s="31"/>
      <c r="O509" s="31"/>
      <c r="P509" s="31"/>
    </row>
    <row r="510" spans="7:16" ht="12.75">
      <c r="G510" s="31"/>
      <c r="H510" s="31"/>
      <c r="I510" s="31"/>
      <c r="J510" s="31"/>
      <c r="K510" s="31"/>
      <c r="L510" s="31"/>
      <c r="M510" s="31"/>
      <c r="N510" s="31"/>
      <c r="O510" s="31"/>
      <c r="P510" s="31"/>
    </row>
    <row r="511" spans="7:16" ht="12.75">
      <c r="G511" s="31"/>
      <c r="H511" s="31"/>
      <c r="I511" s="31"/>
      <c r="J511" s="31"/>
      <c r="K511" s="31"/>
      <c r="L511" s="31"/>
      <c r="M511" s="31"/>
      <c r="N511" s="31"/>
      <c r="O511" s="31"/>
      <c r="P511" s="31"/>
    </row>
    <row r="512" spans="7:16" ht="12.75">
      <c r="G512" s="31"/>
      <c r="H512" s="31"/>
      <c r="I512" s="31"/>
      <c r="J512" s="31"/>
      <c r="K512" s="31"/>
      <c r="L512" s="31"/>
      <c r="M512" s="31"/>
      <c r="N512" s="31"/>
      <c r="O512" s="31"/>
      <c r="P512" s="31"/>
    </row>
    <row r="513" spans="7:16" ht="12.75">
      <c r="G513" s="31"/>
      <c r="H513" s="31"/>
      <c r="I513" s="31"/>
      <c r="J513" s="31"/>
      <c r="K513" s="31"/>
      <c r="L513" s="31"/>
      <c r="M513" s="31"/>
      <c r="N513" s="31"/>
      <c r="O513" s="31"/>
      <c r="P513" s="31"/>
    </row>
    <row r="514" spans="7:16" ht="12.75">
      <c r="G514" s="31"/>
      <c r="H514" s="31"/>
      <c r="I514" s="31"/>
      <c r="J514" s="31"/>
      <c r="K514" s="31"/>
      <c r="L514" s="31"/>
      <c r="M514" s="31"/>
      <c r="N514" s="31"/>
      <c r="O514" s="31"/>
      <c r="P514" s="31"/>
    </row>
    <row r="515" spans="7:16" ht="12.75">
      <c r="G515" s="31"/>
      <c r="H515" s="31"/>
      <c r="I515" s="31"/>
      <c r="J515" s="31"/>
      <c r="K515" s="31"/>
      <c r="L515" s="31"/>
      <c r="M515" s="31"/>
      <c r="N515" s="31"/>
      <c r="O515" s="31"/>
      <c r="P515" s="31"/>
    </row>
    <row r="516" spans="7:16" ht="12.75">
      <c r="G516" s="31"/>
      <c r="H516" s="31"/>
      <c r="I516" s="31"/>
      <c r="J516" s="31"/>
      <c r="K516" s="31"/>
      <c r="L516" s="31"/>
      <c r="M516" s="31"/>
      <c r="N516" s="31"/>
      <c r="O516" s="31"/>
      <c r="P516" s="31"/>
    </row>
    <row r="517" spans="7:16" ht="12.75">
      <c r="G517" s="31"/>
      <c r="H517" s="31"/>
      <c r="I517" s="31"/>
      <c r="J517" s="31"/>
      <c r="K517" s="31"/>
      <c r="L517" s="31"/>
      <c r="M517" s="31"/>
      <c r="N517" s="31"/>
      <c r="O517" s="31"/>
      <c r="P517" s="31"/>
    </row>
    <row r="518" spans="7:16" ht="12.75">
      <c r="G518" s="31"/>
      <c r="H518" s="31"/>
      <c r="I518" s="31"/>
      <c r="J518" s="31"/>
      <c r="K518" s="31"/>
      <c r="L518" s="31"/>
      <c r="M518" s="31"/>
      <c r="N518" s="31"/>
      <c r="O518" s="31"/>
      <c r="P518" s="31"/>
    </row>
    <row r="519" spans="7:16" ht="12.75">
      <c r="G519" s="31"/>
      <c r="H519" s="31"/>
      <c r="I519" s="31"/>
      <c r="J519" s="31"/>
      <c r="K519" s="31"/>
      <c r="L519" s="31"/>
      <c r="M519" s="31"/>
      <c r="N519" s="31"/>
      <c r="O519" s="31"/>
      <c r="P519" s="31"/>
    </row>
    <row r="520" spans="7:16" ht="12.75">
      <c r="G520" s="31"/>
      <c r="H520" s="31"/>
      <c r="I520" s="31"/>
      <c r="J520" s="31"/>
      <c r="K520" s="31"/>
      <c r="L520" s="31"/>
      <c r="M520" s="31"/>
      <c r="N520" s="31"/>
      <c r="O520" s="31"/>
      <c r="P520" s="31"/>
    </row>
    <row r="521" spans="7:16" ht="12.75">
      <c r="G521" s="31"/>
      <c r="H521" s="31"/>
      <c r="I521" s="31"/>
      <c r="J521" s="31"/>
      <c r="K521" s="31"/>
      <c r="L521" s="31"/>
      <c r="M521" s="31"/>
      <c r="N521" s="31"/>
      <c r="O521" s="31"/>
      <c r="P521" s="31"/>
    </row>
    <row r="522" spans="7:16" ht="12.75">
      <c r="G522" s="31"/>
      <c r="H522" s="31"/>
      <c r="I522" s="31"/>
      <c r="J522" s="31"/>
      <c r="K522" s="31"/>
      <c r="L522" s="31"/>
      <c r="M522" s="31"/>
      <c r="N522" s="31"/>
      <c r="O522" s="31"/>
      <c r="P522" s="31"/>
    </row>
    <row r="523" spans="7:16" ht="12.75">
      <c r="G523" s="31"/>
      <c r="H523" s="31"/>
      <c r="I523" s="31"/>
      <c r="J523" s="31"/>
      <c r="K523" s="31"/>
      <c r="L523" s="31"/>
      <c r="M523" s="31"/>
      <c r="N523" s="31"/>
      <c r="O523" s="31"/>
      <c r="P523" s="31"/>
    </row>
    <row r="524" spans="7:16" ht="12.75">
      <c r="G524" s="31"/>
      <c r="H524" s="31"/>
      <c r="I524" s="31"/>
      <c r="J524" s="31"/>
      <c r="K524" s="31"/>
      <c r="L524" s="31"/>
      <c r="M524" s="31"/>
      <c r="N524" s="31"/>
      <c r="O524" s="31"/>
      <c r="P524" s="31"/>
    </row>
    <row r="525" spans="7:16" ht="12.75">
      <c r="G525" s="31"/>
      <c r="H525" s="31"/>
      <c r="I525" s="31"/>
      <c r="J525" s="31"/>
      <c r="K525" s="31"/>
      <c r="L525" s="31"/>
      <c r="M525" s="31"/>
      <c r="N525" s="31"/>
      <c r="O525" s="31"/>
      <c r="P525" s="31"/>
    </row>
    <row r="526" spans="7:16" ht="12.75">
      <c r="G526" s="31"/>
      <c r="H526" s="31"/>
      <c r="I526" s="31"/>
      <c r="J526" s="31"/>
      <c r="K526" s="31"/>
      <c r="L526" s="31"/>
      <c r="M526" s="31"/>
      <c r="N526" s="31"/>
      <c r="O526" s="31"/>
      <c r="P526" s="31"/>
    </row>
    <row r="527" spans="7:16" ht="12.75">
      <c r="G527" s="31"/>
      <c r="H527" s="31"/>
      <c r="I527" s="31"/>
      <c r="J527" s="31"/>
      <c r="K527" s="31"/>
      <c r="L527" s="31"/>
      <c r="M527" s="31"/>
      <c r="N527" s="31"/>
      <c r="O527" s="31"/>
      <c r="P527" s="31"/>
    </row>
    <row r="528" spans="7:16" ht="12.75">
      <c r="G528" s="31"/>
      <c r="H528" s="31"/>
      <c r="I528" s="31"/>
      <c r="J528" s="31"/>
      <c r="K528" s="31"/>
      <c r="L528" s="31"/>
      <c r="M528" s="31"/>
      <c r="N528" s="31"/>
      <c r="O528" s="31"/>
      <c r="P528" s="31"/>
    </row>
    <row r="529" spans="7:16" ht="12.75">
      <c r="G529" s="31"/>
      <c r="H529" s="31"/>
      <c r="I529" s="31"/>
      <c r="J529" s="31"/>
      <c r="K529" s="31"/>
      <c r="L529" s="31"/>
      <c r="M529" s="31"/>
      <c r="N529" s="31"/>
      <c r="O529" s="31"/>
      <c r="P529" s="31"/>
    </row>
    <row r="530" spans="7:16" ht="12.75">
      <c r="G530" s="31"/>
      <c r="H530" s="31"/>
      <c r="I530" s="31"/>
      <c r="J530" s="31"/>
      <c r="K530" s="31"/>
      <c r="L530" s="31"/>
      <c r="M530" s="31"/>
      <c r="N530" s="31"/>
      <c r="O530" s="31"/>
      <c r="P530" s="31"/>
    </row>
    <row r="531" spans="7:16" ht="12.75">
      <c r="G531" s="31"/>
      <c r="H531" s="31"/>
      <c r="I531" s="31"/>
      <c r="J531" s="31"/>
      <c r="K531" s="31"/>
      <c r="L531" s="31"/>
      <c r="M531" s="31"/>
      <c r="N531" s="31"/>
      <c r="O531" s="31"/>
      <c r="P531" s="31"/>
    </row>
    <row r="532" spans="7:16" ht="12.75">
      <c r="G532" s="31"/>
      <c r="H532" s="31"/>
      <c r="I532" s="31"/>
      <c r="J532" s="31"/>
      <c r="K532" s="31"/>
      <c r="L532" s="31"/>
      <c r="M532" s="31"/>
      <c r="N532" s="31"/>
      <c r="O532" s="31"/>
      <c r="P532" s="31"/>
    </row>
    <row r="533" spans="7:16" ht="12.75">
      <c r="G533" s="31"/>
      <c r="H533" s="31"/>
      <c r="I533" s="31"/>
      <c r="J533" s="31"/>
      <c r="K533" s="31"/>
      <c r="L533" s="31"/>
      <c r="M533" s="31"/>
      <c r="N533" s="31"/>
      <c r="O533" s="31"/>
      <c r="P533" s="31"/>
    </row>
    <row r="534" spans="7:16" ht="12.75">
      <c r="G534" s="31"/>
      <c r="H534" s="31"/>
      <c r="I534" s="31"/>
      <c r="J534" s="31"/>
      <c r="K534" s="31"/>
      <c r="L534" s="31"/>
      <c r="M534" s="31"/>
      <c r="N534" s="31"/>
      <c r="O534" s="31"/>
      <c r="P534" s="31"/>
    </row>
    <row r="535" spans="7:16" ht="12.75">
      <c r="G535" s="31"/>
      <c r="H535" s="31"/>
      <c r="I535" s="31"/>
      <c r="J535" s="31"/>
      <c r="K535" s="31"/>
      <c r="L535" s="31"/>
      <c r="M535" s="31"/>
      <c r="N535" s="31"/>
      <c r="O535" s="31"/>
      <c r="P535" s="31"/>
    </row>
    <row r="536" spans="7:16" ht="12.75">
      <c r="G536" s="31"/>
      <c r="H536" s="31"/>
      <c r="I536" s="31"/>
      <c r="J536" s="31"/>
      <c r="K536" s="31"/>
      <c r="L536" s="31"/>
      <c r="M536" s="31"/>
      <c r="N536" s="31"/>
      <c r="O536" s="31"/>
      <c r="P536" s="31"/>
    </row>
    <row r="537" spans="7:16" ht="12.75">
      <c r="G537" s="31"/>
      <c r="H537" s="31"/>
      <c r="I537" s="31"/>
      <c r="J537" s="31"/>
      <c r="K537" s="31"/>
      <c r="L537" s="31"/>
      <c r="M537" s="31"/>
      <c r="N537" s="31"/>
      <c r="O537" s="31"/>
      <c r="P537" s="31"/>
    </row>
    <row r="538" spans="7:16" ht="12.75">
      <c r="G538" s="31"/>
      <c r="H538" s="31"/>
      <c r="I538" s="31"/>
      <c r="J538" s="31"/>
      <c r="K538" s="31"/>
      <c r="L538" s="31"/>
      <c r="M538" s="31"/>
      <c r="N538" s="31"/>
      <c r="O538" s="31"/>
      <c r="P538" s="31"/>
    </row>
    <row r="539" spans="7:16" ht="12.75">
      <c r="G539" s="31"/>
      <c r="H539" s="31"/>
      <c r="I539" s="31"/>
      <c r="J539" s="31"/>
      <c r="K539" s="31"/>
      <c r="L539" s="31"/>
      <c r="M539" s="31"/>
      <c r="N539" s="31"/>
      <c r="O539" s="31"/>
      <c r="P539" s="31"/>
    </row>
    <row r="540" spans="7:16" ht="12.75">
      <c r="G540" s="31"/>
      <c r="H540" s="31"/>
      <c r="I540" s="31"/>
      <c r="J540" s="31"/>
      <c r="K540" s="31"/>
      <c r="L540" s="31"/>
      <c r="M540" s="31"/>
      <c r="N540" s="31"/>
      <c r="O540" s="31"/>
      <c r="P540" s="31"/>
    </row>
    <row r="541" spans="7:16" ht="12.75">
      <c r="G541" s="31"/>
      <c r="H541" s="31"/>
      <c r="I541" s="31"/>
      <c r="J541" s="31"/>
      <c r="K541" s="31"/>
      <c r="L541" s="31"/>
      <c r="M541" s="31"/>
      <c r="N541" s="31"/>
      <c r="O541" s="31"/>
      <c r="P541" s="31"/>
    </row>
    <row r="542" spans="7:16" ht="12.75">
      <c r="G542" s="31"/>
      <c r="H542" s="31"/>
      <c r="I542" s="31"/>
      <c r="J542" s="31"/>
      <c r="K542" s="31"/>
      <c r="L542" s="31"/>
      <c r="M542" s="31"/>
      <c r="N542" s="31"/>
      <c r="O542" s="31"/>
      <c r="P542" s="31"/>
    </row>
    <row r="543" spans="7:16" ht="12.75">
      <c r="G543" s="31"/>
      <c r="H543" s="31"/>
      <c r="I543" s="31"/>
      <c r="J543" s="31"/>
      <c r="K543" s="31"/>
      <c r="L543" s="31"/>
      <c r="M543" s="31"/>
      <c r="N543" s="31"/>
      <c r="O543" s="31"/>
      <c r="P543" s="31"/>
    </row>
    <row r="544" spans="7:16" ht="12.75">
      <c r="G544" s="31"/>
      <c r="H544" s="31"/>
      <c r="I544" s="31"/>
      <c r="J544" s="31"/>
      <c r="K544" s="31"/>
      <c r="L544" s="31"/>
      <c r="M544" s="31"/>
      <c r="N544" s="31"/>
      <c r="O544" s="31"/>
      <c r="P544" s="31"/>
    </row>
    <row r="545" spans="7:16" ht="12.75">
      <c r="G545" s="31"/>
      <c r="H545" s="31"/>
      <c r="I545" s="31"/>
      <c r="J545" s="31"/>
      <c r="K545" s="31"/>
      <c r="L545" s="31"/>
      <c r="M545" s="31"/>
      <c r="N545" s="31"/>
      <c r="O545" s="31"/>
      <c r="P545" s="31"/>
    </row>
    <row r="546" spans="7:16" ht="12.75">
      <c r="G546" s="31"/>
      <c r="H546" s="31"/>
      <c r="I546" s="31"/>
      <c r="J546" s="31"/>
      <c r="K546" s="31"/>
      <c r="L546" s="31"/>
      <c r="M546" s="31"/>
      <c r="N546" s="31"/>
      <c r="O546" s="31"/>
      <c r="P546" s="31"/>
    </row>
    <row r="547" spans="7:16" ht="12.75">
      <c r="G547" s="31"/>
      <c r="H547" s="31"/>
      <c r="I547" s="31"/>
      <c r="J547" s="31"/>
      <c r="K547" s="31"/>
      <c r="L547" s="31"/>
      <c r="M547" s="31"/>
      <c r="N547" s="31"/>
      <c r="O547" s="31"/>
      <c r="P547" s="31"/>
    </row>
    <row r="548" spans="7:16" ht="12.75">
      <c r="G548" s="31"/>
      <c r="H548" s="31"/>
      <c r="I548" s="31"/>
      <c r="J548" s="31"/>
      <c r="K548" s="31"/>
      <c r="L548" s="31"/>
      <c r="M548" s="31"/>
      <c r="N548" s="31"/>
      <c r="O548" s="31"/>
      <c r="P548" s="31"/>
    </row>
    <row r="549" spans="7:16" ht="12.75">
      <c r="G549" s="31"/>
      <c r="H549" s="31"/>
      <c r="I549" s="31"/>
      <c r="J549" s="31"/>
      <c r="K549" s="31"/>
      <c r="L549" s="31"/>
      <c r="M549" s="31"/>
      <c r="N549" s="31"/>
      <c r="O549" s="31"/>
      <c r="P549" s="31"/>
    </row>
    <row r="550" spans="7:16" ht="12.75">
      <c r="G550" s="31"/>
      <c r="H550" s="31"/>
      <c r="I550" s="31"/>
      <c r="J550" s="31"/>
      <c r="K550" s="31"/>
      <c r="L550" s="31"/>
      <c r="M550" s="31"/>
      <c r="N550" s="31"/>
      <c r="O550" s="31"/>
      <c r="P550" s="31"/>
    </row>
    <row r="551" spans="7:16" ht="12.75">
      <c r="G551" s="31"/>
      <c r="H551" s="31"/>
      <c r="I551" s="31"/>
      <c r="J551" s="31"/>
      <c r="K551" s="31"/>
      <c r="L551" s="31"/>
      <c r="M551" s="31"/>
      <c r="N551" s="31"/>
      <c r="O551" s="31"/>
      <c r="P551" s="31"/>
    </row>
    <row r="552" spans="7:16" ht="12.75">
      <c r="G552" s="31"/>
      <c r="H552" s="31"/>
      <c r="I552" s="31"/>
      <c r="J552" s="31"/>
      <c r="K552" s="31"/>
      <c r="L552" s="31"/>
      <c r="M552" s="31"/>
      <c r="N552" s="31"/>
      <c r="O552" s="31"/>
      <c r="P552" s="31"/>
    </row>
    <row r="553" spans="7:16" ht="12.75">
      <c r="G553" s="31"/>
      <c r="H553" s="31"/>
      <c r="I553" s="31"/>
      <c r="J553" s="31"/>
      <c r="K553" s="31"/>
      <c r="L553" s="31"/>
      <c r="M553" s="31"/>
      <c r="N553" s="31"/>
      <c r="O553" s="31"/>
      <c r="P553" s="31"/>
    </row>
    <row r="554" spans="7:16" ht="12.75">
      <c r="G554" s="31"/>
      <c r="H554" s="31"/>
      <c r="I554" s="31"/>
      <c r="J554" s="31"/>
      <c r="K554" s="31"/>
      <c r="L554" s="31"/>
      <c r="M554" s="31"/>
      <c r="N554" s="31"/>
      <c r="O554" s="31"/>
      <c r="P554" s="31"/>
    </row>
    <row r="555" spans="7:16" ht="12.75">
      <c r="G555" s="31"/>
      <c r="H555" s="31"/>
      <c r="I555" s="31"/>
      <c r="J555" s="31"/>
      <c r="K555" s="31"/>
      <c r="L555" s="31"/>
      <c r="M555" s="31"/>
      <c r="N555" s="31"/>
      <c r="O555" s="31"/>
      <c r="P555" s="31"/>
    </row>
    <row r="556" spans="7:16" ht="12.75">
      <c r="G556" s="31"/>
      <c r="H556" s="31"/>
      <c r="I556" s="31"/>
      <c r="J556" s="31"/>
      <c r="K556" s="31"/>
      <c r="L556" s="31"/>
      <c r="M556" s="31"/>
      <c r="N556" s="31"/>
      <c r="O556" s="31"/>
      <c r="P556" s="31"/>
    </row>
    <row r="557" spans="7:16" ht="12.75">
      <c r="G557" s="31"/>
      <c r="H557" s="31"/>
      <c r="I557" s="31"/>
      <c r="J557" s="31"/>
      <c r="K557" s="31"/>
      <c r="L557" s="31"/>
      <c r="M557" s="31"/>
      <c r="N557" s="31"/>
      <c r="O557" s="31"/>
      <c r="P557" s="31"/>
    </row>
    <row r="558" spans="7:16" ht="12.75">
      <c r="G558" s="31"/>
      <c r="H558" s="31"/>
      <c r="I558" s="31"/>
      <c r="J558" s="31"/>
      <c r="K558" s="31"/>
      <c r="L558" s="31"/>
      <c r="M558" s="31"/>
      <c r="N558" s="31"/>
      <c r="O558" s="31"/>
      <c r="P558" s="31"/>
    </row>
    <row r="559" spans="7:16" ht="12.75">
      <c r="G559" s="31"/>
      <c r="H559" s="31"/>
      <c r="I559" s="31"/>
      <c r="J559" s="31"/>
      <c r="K559" s="31"/>
      <c r="L559" s="31"/>
      <c r="M559" s="31"/>
      <c r="N559" s="31"/>
      <c r="O559" s="31"/>
      <c r="P559" s="31"/>
    </row>
    <row r="560" spans="7:16" ht="12.75">
      <c r="G560" s="31"/>
      <c r="H560" s="31"/>
      <c r="I560" s="31"/>
      <c r="J560" s="31"/>
      <c r="K560" s="31"/>
      <c r="L560" s="31"/>
      <c r="M560" s="31"/>
      <c r="N560" s="31"/>
      <c r="O560" s="31"/>
      <c r="P560" s="31"/>
    </row>
    <row r="561" spans="7:16" ht="12.75">
      <c r="G561" s="31"/>
      <c r="H561" s="31"/>
      <c r="I561" s="31"/>
      <c r="J561" s="31"/>
      <c r="K561" s="31"/>
      <c r="L561" s="31"/>
      <c r="M561" s="31"/>
      <c r="N561" s="31"/>
      <c r="O561" s="31"/>
      <c r="P561" s="31"/>
    </row>
    <row r="562" spans="7:16" ht="12.75">
      <c r="G562" s="31"/>
      <c r="H562" s="31"/>
      <c r="I562" s="31"/>
      <c r="J562" s="31"/>
      <c r="K562" s="31"/>
      <c r="L562" s="31"/>
      <c r="M562" s="31"/>
      <c r="N562" s="31"/>
      <c r="O562" s="31"/>
      <c r="P562" s="31"/>
    </row>
    <row r="563" spans="7:16" ht="12.75">
      <c r="G563" s="31"/>
      <c r="H563" s="31"/>
      <c r="I563" s="31"/>
      <c r="J563" s="31"/>
      <c r="K563" s="31"/>
      <c r="L563" s="31"/>
      <c r="M563" s="31"/>
      <c r="N563" s="31"/>
      <c r="O563" s="31"/>
      <c r="P563" s="31"/>
    </row>
    <row r="564" spans="7:16" ht="12.75">
      <c r="G564" s="31"/>
      <c r="H564" s="31"/>
      <c r="I564" s="31"/>
      <c r="J564" s="31"/>
      <c r="K564" s="31"/>
      <c r="L564" s="31"/>
      <c r="M564" s="31"/>
      <c r="N564" s="31"/>
      <c r="O564" s="31"/>
      <c r="P564" s="31"/>
    </row>
    <row r="565" spans="7:16" ht="12.75">
      <c r="G565" s="31"/>
      <c r="H565" s="31"/>
      <c r="I565" s="31"/>
      <c r="J565" s="31"/>
      <c r="K565" s="31"/>
      <c r="L565" s="31"/>
      <c r="M565" s="31"/>
      <c r="N565" s="31"/>
      <c r="O565" s="31"/>
      <c r="P565" s="31"/>
    </row>
    <row r="566" spans="7:16" ht="12.75">
      <c r="G566" s="31"/>
      <c r="H566" s="31"/>
      <c r="I566" s="31"/>
      <c r="J566" s="31"/>
      <c r="K566" s="31"/>
      <c r="L566" s="31"/>
      <c r="M566" s="31"/>
      <c r="N566" s="31"/>
      <c r="O566" s="31"/>
      <c r="P566" s="31"/>
    </row>
    <row r="567" spans="7:16" ht="12.75">
      <c r="G567" s="31"/>
      <c r="H567" s="31"/>
      <c r="I567" s="31"/>
      <c r="J567" s="31"/>
      <c r="K567" s="31"/>
      <c r="L567" s="31"/>
      <c r="M567" s="31"/>
      <c r="N567" s="31"/>
      <c r="O567" s="31"/>
      <c r="P567" s="31"/>
    </row>
    <row r="568" spans="7:16" ht="12.75">
      <c r="G568" s="31"/>
      <c r="H568" s="31"/>
      <c r="I568" s="31"/>
      <c r="J568" s="31"/>
      <c r="K568" s="31"/>
      <c r="L568" s="31"/>
      <c r="M568" s="31"/>
      <c r="N568" s="31"/>
      <c r="O568" s="31"/>
      <c r="P568" s="31"/>
    </row>
    <row r="569" spans="7:16" ht="12.75">
      <c r="G569" s="31"/>
      <c r="H569" s="31"/>
      <c r="I569" s="31"/>
      <c r="J569" s="31"/>
      <c r="K569" s="31"/>
      <c r="L569" s="31"/>
      <c r="M569" s="31"/>
      <c r="N569" s="31"/>
      <c r="O569" s="31"/>
      <c r="P569" s="31"/>
    </row>
    <row r="570" spans="7:16" ht="12.75">
      <c r="G570" s="31"/>
      <c r="H570" s="31"/>
      <c r="I570" s="31"/>
      <c r="J570" s="31"/>
      <c r="K570" s="31"/>
      <c r="L570" s="31"/>
      <c r="M570" s="31"/>
      <c r="N570" s="31"/>
      <c r="O570" s="31"/>
      <c r="P570" s="31"/>
    </row>
    <row r="571" spans="7:16" ht="12.75">
      <c r="G571" s="31"/>
      <c r="H571" s="31"/>
      <c r="I571" s="31"/>
      <c r="J571" s="31"/>
      <c r="K571" s="31"/>
      <c r="L571" s="31"/>
      <c r="M571" s="31"/>
      <c r="N571" s="31"/>
      <c r="O571" s="31"/>
      <c r="P571" s="31"/>
    </row>
    <row r="572" spans="7:16" ht="12.75">
      <c r="G572" s="31"/>
      <c r="H572" s="31"/>
      <c r="I572" s="31"/>
      <c r="J572" s="31"/>
      <c r="K572" s="31"/>
      <c r="L572" s="31"/>
      <c r="M572" s="31"/>
      <c r="N572" s="31"/>
      <c r="O572" s="31"/>
      <c r="P572" s="31"/>
    </row>
    <row r="573" spans="7:16" ht="12.75">
      <c r="G573" s="31"/>
      <c r="H573" s="31"/>
      <c r="I573" s="31"/>
      <c r="J573" s="31"/>
      <c r="K573" s="31"/>
      <c r="L573" s="31"/>
      <c r="M573" s="31"/>
      <c r="N573" s="31"/>
      <c r="O573" s="31"/>
      <c r="P573" s="31"/>
    </row>
    <row r="574" spans="7:16" ht="12.75">
      <c r="G574" s="31"/>
      <c r="H574" s="31"/>
      <c r="I574" s="31"/>
      <c r="J574" s="31"/>
      <c r="K574" s="31"/>
      <c r="L574" s="31"/>
      <c r="M574" s="31"/>
      <c r="N574" s="31"/>
      <c r="O574" s="31"/>
      <c r="P574" s="31"/>
    </row>
    <row r="575" spans="7:16" ht="12.75">
      <c r="G575" s="31"/>
      <c r="H575" s="31"/>
      <c r="I575" s="31"/>
      <c r="J575" s="31"/>
      <c r="K575" s="31"/>
      <c r="L575" s="31"/>
      <c r="M575" s="31"/>
      <c r="N575" s="31"/>
      <c r="O575" s="31"/>
      <c r="P575" s="31"/>
    </row>
    <row r="576" spans="7:16" ht="12.75">
      <c r="G576" s="31"/>
      <c r="H576" s="31"/>
      <c r="I576" s="31"/>
      <c r="J576" s="31"/>
      <c r="K576" s="31"/>
      <c r="L576" s="31"/>
      <c r="M576" s="31"/>
      <c r="N576" s="31"/>
      <c r="O576" s="31"/>
      <c r="P576" s="31"/>
    </row>
    <row r="577" spans="7:16" ht="12.75">
      <c r="G577" s="31"/>
      <c r="H577" s="31"/>
      <c r="I577" s="31"/>
      <c r="J577" s="31"/>
      <c r="K577" s="31"/>
      <c r="L577" s="31"/>
      <c r="M577" s="31"/>
      <c r="N577" s="31"/>
      <c r="O577" s="31"/>
      <c r="P577" s="31"/>
    </row>
    <row r="578" spans="7:16" ht="12.75">
      <c r="G578" s="31"/>
      <c r="H578" s="31"/>
      <c r="I578" s="31"/>
      <c r="J578" s="31"/>
      <c r="K578" s="31"/>
      <c r="L578" s="31"/>
      <c r="M578" s="31"/>
      <c r="N578" s="31"/>
      <c r="O578" s="31"/>
      <c r="P578" s="31"/>
    </row>
    <row r="579" spans="7:16" ht="12.75">
      <c r="G579" s="31"/>
      <c r="H579" s="31"/>
      <c r="I579" s="31"/>
      <c r="J579" s="31"/>
      <c r="K579" s="31"/>
      <c r="L579" s="31"/>
      <c r="M579" s="31"/>
      <c r="N579" s="31"/>
      <c r="O579" s="31"/>
      <c r="P579" s="31"/>
    </row>
    <row r="580" spans="7:16" ht="12.75">
      <c r="G580" s="31"/>
      <c r="H580" s="31"/>
      <c r="I580" s="31"/>
      <c r="J580" s="31"/>
      <c r="K580" s="31"/>
      <c r="L580" s="31"/>
      <c r="M580" s="31"/>
      <c r="N580" s="31"/>
      <c r="O580" s="31"/>
      <c r="P580" s="31"/>
    </row>
    <row r="581" spans="7:16" ht="12.75">
      <c r="G581" s="31"/>
      <c r="H581" s="31"/>
      <c r="I581" s="31"/>
      <c r="J581" s="31"/>
      <c r="K581" s="31"/>
      <c r="L581" s="31"/>
      <c r="M581" s="31"/>
      <c r="N581" s="31"/>
      <c r="O581" s="31"/>
      <c r="P581" s="31"/>
    </row>
    <row r="582" spans="7:16" ht="12.75">
      <c r="G582" s="31"/>
      <c r="H582" s="31"/>
      <c r="I582" s="31"/>
      <c r="J582" s="31"/>
      <c r="K582" s="31"/>
      <c r="L582" s="31"/>
      <c r="M582" s="31"/>
      <c r="N582" s="31"/>
      <c r="O582" s="31"/>
      <c r="P582" s="31"/>
    </row>
    <row r="583" spans="7:16" ht="12.75">
      <c r="G583" s="31"/>
      <c r="H583" s="31"/>
      <c r="I583" s="31"/>
      <c r="J583" s="31"/>
      <c r="K583" s="31"/>
      <c r="L583" s="31"/>
      <c r="M583" s="31"/>
      <c r="N583" s="31"/>
      <c r="O583" s="31"/>
      <c r="P583" s="31"/>
    </row>
    <row r="584" spans="7:16" ht="12.75">
      <c r="G584" s="31"/>
      <c r="H584" s="31"/>
      <c r="I584" s="31"/>
      <c r="J584" s="31"/>
      <c r="K584" s="31"/>
      <c r="L584" s="31"/>
      <c r="M584" s="31"/>
      <c r="N584" s="31"/>
      <c r="O584" s="31"/>
      <c r="P584" s="31"/>
    </row>
    <row r="585" spans="7:16" ht="12.75">
      <c r="G585" s="31"/>
      <c r="H585" s="31"/>
      <c r="I585" s="31"/>
      <c r="J585" s="31"/>
      <c r="K585" s="31"/>
      <c r="L585" s="31"/>
      <c r="M585" s="31"/>
      <c r="N585" s="31"/>
      <c r="O585" s="31"/>
      <c r="P585" s="31"/>
    </row>
    <row r="586" spans="7:16" ht="12.75">
      <c r="G586" s="31"/>
      <c r="H586" s="31"/>
      <c r="I586" s="31"/>
      <c r="J586" s="31"/>
      <c r="K586" s="31"/>
      <c r="L586" s="31"/>
      <c r="M586" s="31"/>
      <c r="N586" s="31"/>
      <c r="O586" s="31"/>
      <c r="P586" s="31"/>
    </row>
    <row r="587" spans="7:16" ht="12.75">
      <c r="G587" s="31"/>
      <c r="H587" s="31"/>
      <c r="I587" s="31"/>
      <c r="J587" s="31"/>
      <c r="K587" s="31"/>
      <c r="L587" s="31"/>
      <c r="M587" s="31"/>
      <c r="N587" s="31"/>
      <c r="O587" s="31"/>
      <c r="P587" s="31"/>
    </row>
    <row r="588" spans="7:16" ht="12.75">
      <c r="G588" s="31"/>
      <c r="H588" s="31"/>
      <c r="I588" s="31"/>
      <c r="J588" s="31"/>
      <c r="K588" s="31"/>
      <c r="L588" s="31"/>
      <c r="M588" s="31"/>
      <c r="N588" s="31"/>
      <c r="O588" s="31"/>
      <c r="P588" s="31"/>
    </row>
    <row r="589" spans="7:16" ht="12.75">
      <c r="G589" s="31"/>
      <c r="H589" s="31"/>
      <c r="I589" s="31"/>
      <c r="J589" s="31"/>
      <c r="K589" s="31"/>
      <c r="L589" s="31"/>
      <c r="M589" s="31"/>
      <c r="N589" s="31"/>
      <c r="O589" s="31"/>
      <c r="P589" s="31"/>
    </row>
    <row r="590" spans="7:16" ht="12.75">
      <c r="G590" s="31"/>
      <c r="H590" s="31"/>
      <c r="I590" s="31"/>
      <c r="J590" s="31"/>
      <c r="K590" s="31"/>
      <c r="L590" s="31"/>
      <c r="M590" s="31"/>
      <c r="N590" s="31"/>
      <c r="O590" s="31"/>
      <c r="P590" s="31"/>
    </row>
    <row r="591" spans="7:16" ht="12.75">
      <c r="G591" s="31"/>
      <c r="H591" s="31"/>
      <c r="I591" s="31"/>
      <c r="J591" s="31"/>
      <c r="K591" s="31"/>
      <c r="L591" s="31"/>
      <c r="M591" s="31"/>
      <c r="N591" s="31"/>
      <c r="O591" s="31"/>
      <c r="P591" s="31"/>
    </row>
    <row r="592" spans="7:16" ht="12.75">
      <c r="G592" s="31"/>
      <c r="H592" s="31"/>
      <c r="I592" s="31"/>
      <c r="J592" s="31"/>
      <c r="K592" s="31"/>
      <c r="L592" s="31"/>
      <c r="M592" s="31"/>
      <c r="N592" s="31"/>
      <c r="O592" s="31"/>
      <c r="P592" s="31"/>
    </row>
    <row r="593" spans="7:16" ht="12.75">
      <c r="G593" s="31"/>
      <c r="H593" s="31"/>
      <c r="I593" s="31"/>
      <c r="J593" s="31"/>
      <c r="K593" s="31"/>
      <c r="L593" s="31"/>
      <c r="M593" s="31"/>
      <c r="N593" s="31"/>
      <c r="O593" s="31"/>
      <c r="P593" s="31"/>
    </row>
    <row r="594" spans="7:16" ht="12.75">
      <c r="G594" s="31"/>
      <c r="H594" s="31"/>
      <c r="I594" s="31"/>
      <c r="J594" s="31"/>
      <c r="K594" s="31"/>
      <c r="L594" s="31"/>
      <c r="M594" s="31"/>
      <c r="N594" s="31"/>
      <c r="O594" s="31"/>
      <c r="P594" s="31"/>
    </row>
    <row r="595" spans="7:16" ht="12.75">
      <c r="G595" s="31"/>
      <c r="H595" s="31"/>
      <c r="I595" s="31"/>
      <c r="J595" s="31"/>
      <c r="K595" s="31"/>
      <c r="L595" s="31"/>
      <c r="M595" s="31"/>
      <c r="N595" s="31"/>
      <c r="O595" s="31"/>
      <c r="P595" s="31"/>
    </row>
    <row r="596" spans="7:16" ht="12.75">
      <c r="G596" s="31"/>
      <c r="H596" s="31"/>
      <c r="I596" s="31"/>
      <c r="J596" s="31"/>
      <c r="K596" s="31"/>
      <c r="L596" s="31"/>
      <c r="M596" s="31"/>
      <c r="N596" s="31"/>
      <c r="O596" s="31"/>
      <c r="P596" s="31"/>
    </row>
    <row r="597" spans="7:16" ht="12.75">
      <c r="G597" s="31"/>
      <c r="H597" s="31"/>
      <c r="I597" s="31"/>
      <c r="J597" s="31"/>
      <c r="K597" s="31"/>
      <c r="L597" s="31"/>
      <c r="M597" s="31"/>
      <c r="N597" s="31"/>
      <c r="O597" s="31"/>
      <c r="P597" s="31"/>
    </row>
    <row r="598" spans="7:16" ht="12.75">
      <c r="G598" s="31"/>
      <c r="H598" s="31"/>
      <c r="I598" s="31"/>
      <c r="J598" s="31"/>
      <c r="K598" s="31"/>
      <c r="L598" s="31"/>
      <c r="M598" s="31"/>
      <c r="N598" s="31"/>
      <c r="O598" s="31"/>
      <c r="P598" s="31"/>
    </row>
    <row r="599" spans="7:16" ht="12.75">
      <c r="G599" s="31"/>
      <c r="H599" s="31"/>
      <c r="I599" s="31"/>
      <c r="J599" s="31"/>
      <c r="K599" s="31"/>
      <c r="L599" s="31"/>
      <c r="M599" s="31"/>
      <c r="N599" s="31"/>
      <c r="O599" s="31"/>
      <c r="P599" s="31"/>
    </row>
    <row r="600" spans="7:16" ht="12.75">
      <c r="G600" s="31"/>
      <c r="H600" s="31"/>
      <c r="I600" s="31"/>
      <c r="J600" s="31"/>
      <c r="K600" s="31"/>
      <c r="L600" s="31"/>
      <c r="M600" s="31"/>
      <c r="N600" s="31"/>
      <c r="O600" s="31"/>
      <c r="P600" s="31"/>
    </row>
    <row r="601" spans="7:16" ht="12.75">
      <c r="G601" s="31"/>
      <c r="H601" s="31"/>
      <c r="I601" s="31"/>
      <c r="J601" s="31"/>
      <c r="K601" s="31"/>
      <c r="L601" s="31"/>
      <c r="M601" s="31"/>
      <c r="N601" s="31"/>
      <c r="O601" s="31"/>
      <c r="P601" s="31"/>
    </row>
    <row r="602" spans="7:16" ht="12.75">
      <c r="G602" s="31"/>
      <c r="H602" s="31"/>
      <c r="I602" s="31"/>
      <c r="J602" s="31"/>
      <c r="K602" s="31"/>
      <c r="L602" s="31"/>
      <c r="M602" s="31"/>
      <c r="N602" s="31"/>
      <c r="O602" s="31"/>
      <c r="P602" s="31"/>
    </row>
    <row r="603" spans="7:16" ht="12.75">
      <c r="G603" s="31"/>
      <c r="H603" s="31"/>
      <c r="I603" s="31"/>
      <c r="J603" s="31"/>
      <c r="K603" s="31"/>
      <c r="L603" s="31"/>
      <c r="M603" s="31"/>
      <c r="N603" s="31"/>
      <c r="O603" s="31"/>
      <c r="P603" s="31"/>
    </row>
    <row r="604" spans="7:16" ht="12.75">
      <c r="G604" s="31"/>
      <c r="H604" s="31"/>
      <c r="I604" s="31"/>
      <c r="J604" s="31"/>
      <c r="K604" s="31"/>
      <c r="L604" s="31"/>
      <c r="M604" s="31"/>
      <c r="N604" s="31"/>
      <c r="O604" s="31"/>
      <c r="P604" s="31"/>
    </row>
    <row r="605" spans="7:16" ht="12.75">
      <c r="G605" s="31"/>
      <c r="H605" s="31"/>
      <c r="I605" s="31"/>
      <c r="J605" s="31"/>
      <c r="K605" s="31"/>
      <c r="L605" s="31"/>
      <c r="M605" s="31"/>
      <c r="N605" s="31"/>
      <c r="O605" s="31"/>
      <c r="P605" s="31"/>
    </row>
    <row r="606" spans="7:16" ht="12.75">
      <c r="G606" s="31"/>
      <c r="H606" s="31"/>
      <c r="I606" s="31"/>
      <c r="J606" s="31"/>
      <c r="K606" s="31"/>
      <c r="L606" s="31"/>
      <c r="M606" s="31"/>
      <c r="N606" s="31"/>
      <c r="O606" s="31"/>
      <c r="P606" s="31"/>
    </row>
    <row r="607" spans="7:16" ht="12.75">
      <c r="G607" s="31"/>
      <c r="H607" s="31"/>
      <c r="I607" s="31"/>
      <c r="J607" s="31"/>
      <c r="K607" s="31"/>
      <c r="L607" s="31"/>
      <c r="M607" s="31"/>
      <c r="N607" s="31"/>
      <c r="O607" s="31"/>
      <c r="P607" s="31"/>
    </row>
    <row r="608" spans="7:16" ht="12.75">
      <c r="G608" s="31"/>
      <c r="H608" s="31"/>
      <c r="I608" s="31"/>
      <c r="J608" s="31"/>
      <c r="K608" s="31"/>
      <c r="L608" s="31"/>
      <c r="M608" s="31"/>
      <c r="N608" s="31"/>
      <c r="O608" s="31"/>
      <c r="P608" s="31"/>
    </row>
    <row r="609" spans="7:16" ht="12.75">
      <c r="G609" s="31"/>
      <c r="H609" s="31"/>
      <c r="I609" s="31"/>
      <c r="J609" s="31"/>
      <c r="K609" s="31"/>
      <c r="L609" s="31"/>
      <c r="M609" s="31"/>
      <c r="N609" s="31"/>
      <c r="O609" s="31"/>
      <c r="P609" s="31"/>
    </row>
    <row r="610" spans="7:16" ht="12.75">
      <c r="G610" s="31"/>
      <c r="H610" s="31"/>
      <c r="I610" s="31"/>
      <c r="J610" s="31"/>
      <c r="K610" s="31"/>
      <c r="L610" s="31"/>
      <c r="M610" s="31"/>
      <c r="N610" s="31"/>
      <c r="O610" s="31"/>
      <c r="P610" s="31"/>
    </row>
    <row r="611" spans="7:16" ht="12.75">
      <c r="G611" s="31"/>
      <c r="H611" s="31"/>
      <c r="I611" s="31"/>
      <c r="J611" s="31"/>
      <c r="K611" s="31"/>
      <c r="L611" s="31"/>
      <c r="M611" s="31"/>
      <c r="N611" s="31"/>
      <c r="O611" s="31"/>
      <c r="P611" s="31"/>
    </row>
    <row r="612" spans="7:16" ht="12.75">
      <c r="G612" s="31"/>
      <c r="H612" s="31"/>
      <c r="I612" s="31"/>
      <c r="J612" s="31"/>
      <c r="K612" s="31"/>
      <c r="L612" s="31"/>
      <c r="M612" s="31"/>
      <c r="N612" s="31"/>
      <c r="O612" s="31"/>
      <c r="P612" s="31"/>
    </row>
    <row r="613" spans="7:16" ht="12.75">
      <c r="G613" s="31"/>
      <c r="H613" s="31"/>
      <c r="I613" s="31"/>
      <c r="J613" s="31"/>
      <c r="K613" s="31"/>
      <c r="L613" s="31"/>
      <c r="M613" s="31"/>
      <c r="N613" s="31"/>
      <c r="O613" s="31"/>
      <c r="P613" s="31"/>
    </row>
    <row r="614" spans="7:16" ht="12.75">
      <c r="G614" s="31"/>
      <c r="H614" s="31"/>
      <c r="I614" s="31"/>
      <c r="J614" s="31"/>
      <c r="K614" s="31"/>
      <c r="L614" s="31"/>
      <c r="M614" s="31"/>
      <c r="N614" s="31"/>
      <c r="O614" s="31"/>
      <c r="P614" s="31"/>
    </row>
    <row r="615" spans="7:16" ht="12.75">
      <c r="G615" s="31"/>
      <c r="H615" s="31"/>
      <c r="I615" s="31"/>
      <c r="J615" s="31"/>
      <c r="K615" s="31"/>
      <c r="L615" s="31"/>
      <c r="M615" s="31"/>
      <c r="N615" s="31"/>
      <c r="O615" s="31"/>
      <c r="P615" s="31"/>
    </row>
    <row r="616" spans="7:16" ht="12.75">
      <c r="G616" s="31"/>
      <c r="H616" s="31"/>
      <c r="I616" s="31"/>
      <c r="J616" s="31"/>
      <c r="K616" s="31"/>
      <c r="L616" s="31"/>
      <c r="M616" s="31"/>
      <c r="N616" s="31"/>
      <c r="O616" s="31"/>
      <c r="P616" s="31"/>
    </row>
    <row r="617" spans="7:16" ht="12.75">
      <c r="G617" s="31"/>
      <c r="H617" s="31"/>
      <c r="I617" s="31"/>
      <c r="J617" s="31"/>
      <c r="K617" s="31"/>
      <c r="L617" s="31"/>
      <c r="M617" s="31"/>
      <c r="N617" s="31"/>
      <c r="O617" s="31"/>
      <c r="P617" s="31"/>
    </row>
    <row r="618" spans="7:16" ht="12.75">
      <c r="G618" s="31"/>
      <c r="H618" s="31"/>
      <c r="I618" s="31"/>
      <c r="J618" s="31"/>
      <c r="K618" s="31"/>
      <c r="L618" s="31"/>
      <c r="M618" s="31"/>
      <c r="N618" s="31"/>
      <c r="O618" s="31"/>
      <c r="P618" s="31"/>
    </row>
    <row r="619" spans="7:16" ht="12.75">
      <c r="G619" s="31"/>
      <c r="H619" s="31"/>
      <c r="I619" s="31"/>
      <c r="J619" s="31"/>
      <c r="K619" s="31"/>
      <c r="L619" s="31"/>
      <c r="M619" s="31"/>
      <c r="N619" s="31"/>
      <c r="O619" s="31"/>
      <c r="P619" s="31"/>
    </row>
    <row r="620" spans="7:16" ht="12.75">
      <c r="G620" s="31"/>
      <c r="H620" s="31"/>
      <c r="I620" s="31"/>
      <c r="J620" s="31"/>
      <c r="K620" s="31"/>
      <c r="L620" s="31"/>
      <c r="M620" s="31"/>
      <c r="N620" s="31"/>
      <c r="O620" s="31"/>
      <c r="P620" s="31"/>
    </row>
    <row r="621" spans="7:16" ht="12.75">
      <c r="G621" s="31"/>
      <c r="H621" s="31"/>
      <c r="I621" s="31"/>
      <c r="J621" s="31"/>
      <c r="K621" s="31"/>
      <c r="L621" s="31"/>
      <c r="M621" s="31"/>
      <c r="N621" s="31"/>
      <c r="O621" s="31"/>
      <c r="P621" s="31"/>
    </row>
    <row r="622" spans="7:16" ht="12.75">
      <c r="G622" s="31"/>
      <c r="H622" s="31"/>
      <c r="I622" s="31"/>
      <c r="J622" s="31"/>
      <c r="K622" s="31"/>
      <c r="L622" s="31"/>
      <c r="M622" s="31"/>
      <c r="N622" s="31"/>
      <c r="O622" s="31"/>
      <c r="P622" s="31"/>
    </row>
    <row r="623" spans="7:16" ht="12.75">
      <c r="G623" s="31"/>
      <c r="H623" s="31"/>
      <c r="I623" s="31"/>
      <c r="J623" s="31"/>
      <c r="K623" s="31"/>
      <c r="L623" s="31"/>
      <c r="M623" s="31"/>
      <c r="N623" s="31"/>
      <c r="O623" s="31"/>
      <c r="P623" s="31"/>
    </row>
    <row r="624" spans="7:16" ht="12.75">
      <c r="G624" s="31"/>
      <c r="H624" s="31"/>
      <c r="I624" s="31"/>
      <c r="J624" s="31"/>
      <c r="K624" s="31"/>
      <c r="L624" s="31"/>
      <c r="M624" s="31"/>
      <c r="N624" s="31"/>
      <c r="O624" s="31"/>
      <c r="P624" s="31"/>
    </row>
    <row r="625" spans="7:16" ht="12.75">
      <c r="G625" s="31"/>
      <c r="H625" s="31"/>
      <c r="I625" s="31"/>
      <c r="J625" s="31"/>
      <c r="K625" s="31"/>
      <c r="L625" s="31"/>
      <c r="M625" s="31"/>
      <c r="N625" s="31"/>
      <c r="O625" s="31"/>
      <c r="P625" s="31"/>
    </row>
    <row r="626" spans="7:16" ht="12.75">
      <c r="G626" s="31"/>
      <c r="H626" s="31"/>
      <c r="I626" s="31"/>
      <c r="J626" s="31"/>
      <c r="K626" s="31"/>
      <c r="L626" s="31"/>
      <c r="M626" s="31"/>
      <c r="N626" s="31"/>
      <c r="O626" s="31"/>
      <c r="P626" s="31"/>
    </row>
    <row r="627" spans="7:16" ht="12.75">
      <c r="G627" s="31"/>
      <c r="H627" s="31"/>
      <c r="I627" s="31"/>
      <c r="J627" s="31"/>
      <c r="K627" s="31"/>
      <c r="L627" s="31"/>
      <c r="M627" s="31"/>
      <c r="N627" s="31"/>
      <c r="O627" s="31"/>
      <c r="P627" s="31"/>
    </row>
    <row r="628" spans="7:16" ht="12.75">
      <c r="G628" s="31"/>
      <c r="H628" s="31"/>
      <c r="I628" s="31"/>
      <c r="J628" s="31"/>
      <c r="K628" s="31"/>
      <c r="L628" s="31"/>
      <c r="M628" s="31"/>
      <c r="N628" s="31"/>
      <c r="O628" s="31"/>
      <c r="P628" s="31"/>
    </row>
    <row r="629" spans="7:16" ht="12.75">
      <c r="G629" s="31"/>
      <c r="H629" s="31"/>
      <c r="I629" s="31"/>
      <c r="J629" s="31"/>
      <c r="K629" s="31"/>
      <c r="L629" s="31"/>
      <c r="M629" s="31"/>
      <c r="N629" s="31"/>
      <c r="O629" s="31"/>
      <c r="P629" s="31"/>
    </row>
    <row r="630" spans="7:16" ht="12.75">
      <c r="G630" s="31"/>
      <c r="H630" s="31"/>
      <c r="I630" s="31"/>
      <c r="J630" s="31"/>
      <c r="K630" s="31"/>
      <c r="L630" s="31"/>
      <c r="M630" s="31"/>
      <c r="N630" s="31"/>
      <c r="O630" s="31"/>
      <c r="P630" s="31"/>
    </row>
    <row r="631" spans="7:16" ht="12.75">
      <c r="G631" s="31"/>
      <c r="H631" s="31"/>
      <c r="I631" s="31"/>
      <c r="J631" s="31"/>
      <c r="K631" s="31"/>
      <c r="L631" s="31"/>
      <c r="M631" s="31"/>
      <c r="N631" s="31"/>
      <c r="O631" s="31"/>
      <c r="P631" s="31"/>
    </row>
    <row r="632" spans="7:16" ht="12.75">
      <c r="G632" s="31"/>
      <c r="H632" s="31"/>
      <c r="I632" s="31"/>
      <c r="J632" s="31"/>
      <c r="K632" s="31"/>
      <c r="L632" s="31"/>
      <c r="M632" s="31"/>
      <c r="N632" s="31"/>
      <c r="O632" s="31"/>
      <c r="P632" s="31"/>
    </row>
    <row r="633" spans="7:16" ht="12.75">
      <c r="G633" s="31"/>
      <c r="H633" s="31"/>
      <c r="I633" s="31"/>
      <c r="J633" s="31"/>
      <c r="K633" s="31"/>
      <c r="L633" s="31"/>
      <c r="M633" s="31"/>
      <c r="N633" s="31"/>
      <c r="O633" s="31"/>
      <c r="P633" s="31"/>
    </row>
    <row r="634" spans="7:16" ht="12.75">
      <c r="G634" s="31"/>
      <c r="H634" s="31"/>
      <c r="I634" s="31"/>
      <c r="J634" s="31"/>
      <c r="K634" s="31"/>
      <c r="L634" s="31"/>
      <c r="M634" s="31"/>
      <c r="N634" s="31"/>
      <c r="O634" s="31"/>
      <c r="P634" s="31"/>
    </row>
    <row r="635" spans="7:16" ht="12.75">
      <c r="G635" s="31"/>
      <c r="H635" s="31"/>
      <c r="I635" s="31"/>
      <c r="J635" s="31"/>
      <c r="K635" s="31"/>
      <c r="L635" s="31"/>
      <c r="M635" s="31"/>
      <c r="N635" s="31"/>
      <c r="O635" s="31"/>
      <c r="P635" s="31"/>
    </row>
    <row r="636" spans="7:16" ht="12.75">
      <c r="G636" s="31"/>
      <c r="H636" s="31"/>
      <c r="I636" s="31"/>
      <c r="J636" s="31"/>
      <c r="K636" s="31"/>
      <c r="L636" s="31"/>
      <c r="M636" s="31"/>
      <c r="N636" s="31"/>
      <c r="O636" s="31"/>
      <c r="P636" s="31"/>
    </row>
    <row r="637" spans="7:16" ht="12.75">
      <c r="G637" s="31"/>
      <c r="H637" s="31"/>
      <c r="I637" s="31"/>
      <c r="J637" s="31"/>
      <c r="K637" s="31"/>
      <c r="L637" s="31"/>
      <c r="M637" s="31"/>
      <c r="N637" s="31"/>
      <c r="O637" s="31"/>
      <c r="P637" s="31"/>
    </row>
    <row r="638" spans="7:16" ht="12.75">
      <c r="G638" s="31"/>
      <c r="H638" s="31"/>
      <c r="I638" s="31"/>
      <c r="J638" s="31"/>
      <c r="K638" s="31"/>
      <c r="L638" s="31"/>
      <c r="M638" s="31"/>
      <c r="N638" s="31"/>
      <c r="O638" s="31"/>
      <c r="P638" s="31"/>
    </row>
    <row r="639" spans="7:16" ht="12.75">
      <c r="G639" s="31"/>
      <c r="H639" s="31"/>
      <c r="I639" s="31"/>
      <c r="J639" s="31"/>
      <c r="K639" s="31"/>
      <c r="L639" s="31"/>
      <c r="M639" s="31"/>
      <c r="N639" s="31"/>
      <c r="O639" s="31"/>
      <c r="P639" s="31"/>
    </row>
    <row r="640" spans="7:16" ht="12.75">
      <c r="G640" s="31"/>
      <c r="H640" s="31"/>
      <c r="I640" s="31"/>
      <c r="J640" s="31"/>
      <c r="K640" s="31"/>
      <c r="L640" s="31"/>
      <c r="M640" s="31"/>
      <c r="N640" s="31"/>
      <c r="O640" s="31"/>
      <c r="P640" s="31"/>
    </row>
    <row r="641" spans="7:16" ht="12.75">
      <c r="G641" s="31"/>
      <c r="H641" s="31"/>
      <c r="I641" s="31"/>
      <c r="J641" s="31"/>
      <c r="K641" s="31"/>
      <c r="L641" s="31"/>
      <c r="M641" s="31"/>
      <c r="N641" s="31"/>
      <c r="O641" s="31"/>
      <c r="P641" s="31"/>
    </row>
    <row r="642" spans="7:16" ht="12.75">
      <c r="G642" s="31"/>
      <c r="H642" s="31"/>
      <c r="I642" s="31"/>
      <c r="J642" s="31"/>
      <c r="K642" s="31"/>
      <c r="L642" s="31"/>
      <c r="M642" s="31"/>
      <c r="N642" s="31"/>
      <c r="O642" s="31"/>
      <c r="P642" s="31"/>
    </row>
    <row r="643" spans="7:16" ht="12.75">
      <c r="G643" s="31"/>
      <c r="H643" s="31"/>
      <c r="I643" s="31"/>
      <c r="J643" s="31"/>
      <c r="K643" s="31"/>
      <c r="L643" s="31"/>
      <c r="M643" s="31"/>
      <c r="N643" s="31"/>
      <c r="O643" s="31"/>
      <c r="P643" s="31"/>
    </row>
    <row r="644" spans="7:16" ht="12.75">
      <c r="G644" s="31"/>
      <c r="H644" s="31"/>
      <c r="I644" s="31"/>
      <c r="J644" s="31"/>
      <c r="K644" s="31"/>
      <c r="L644" s="31"/>
      <c r="M644" s="31"/>
      <c r="N644" s="31"/>
      <c r="O644" s="31"/>
      <c r="P644" s="31"/>
    </row>
    <row r="645" spans="7:16" ht="12.75">
      <c r="G645" s="31"/>
      <c r="H645" s="31"/>
      <c r="I645" s="31"/>
      <c r="J645" s="31"/>
      <c r="K645" s="31"/>
      <c r="L645" s="31"/>
      <c r="M645" s="31"/>
      <c r="N645" s="31"/>
      <c r="O645" s="31"/>
      <c r="P645" s="31"/>
    </row>
    <row r="646" spans="7:16" ht="12.75">
      <c r="G646" s="31"/>
      <c r="H646" s="31"/>
      <c r="I646" s="31"/>
      <c r="J646" s="31"/>
      <c r="K646" s="31"/>
      <c r="L646" s="31"/>
      <c r="M646" s="31"/>
      <c r="N646" s="31"/>
      <c r="O646" s="31"/>
      <c r="P646" s="31"/>
    </row>
    <row r="647" spans="7:16" ht="12.75">
      <c r="G647" s="31"/>
      <c r="H647" s="31"/>
      <c r="I647" s="31"/>
      <c r="J647" s="31"/>
      <c r="K647" s="31"/>
      <c r="L647" s="31"/>
      <c r="M647" s="31"/>
      <c r="N647" s="31"/>
      <c r="O647" s="31"/>
      <c r="P647" s="31"/>
    </row>
    <row r="648" spans="7:16" ht="12.75">
      <c r="G648" s="31"/>
      <c r="H648" s="31"/>
      <c r="I648" s="31"/>
      <c r="J648" s="31"/>
      <c r="K648" s="31"/>
      <c r="L648" s="31"/>
      <c r="M648" s="31"/>
      <c r="N648" s="31"/>
      <c r="O648" s="31"/>
      <c r="P648" s="31"/>
    </row>
    <row r="649" spans="7:16" ht="12.75">
      <c r="G649" s="31"/>
      <c r="H649" s="31"/>
      <c r="I649" s="31"/>
      <c r="J649" s="31"/>
      <c r="K649" s="31"/>
      <c r="L649" s="31"/>
      <c r="M649" s="31"/>
      <c r="N649" s="31"/>
      <c r="O649" s="31"/>
      <c r="P649" s="31"/>
    </row>
    <row r="650" spans="7:16" ht="12.75">
      <c r="G650" s="31"/>
      <c r="H650" s="31"/>
      <c r="I650" s="31"/>
      <c r="J650" s="31"/>
      <c r="K650" s="31"/>
      <c r="L650" s="31"/>
      <c r="M650" s="31"/>
      <c r="N650" s="31"/>
      <c r="O650" s="31"/>
      <c r="P650" s="31"/>
    </row>
    <row r="651" spans="7:16" ht="12.75">
      <c r="G651" s="31"/>
      <c r="H651" s="31"/>
      <c r="I651" s="31"/>
      <c r="J651" s="31"/>
      <c r="K651" s="31"/>
      <c r="L651" s="31"/>
      <c r="M651" s="31"/>
      <c r="N651" s="31"/>
      <c r="O651" s="31"/>
      <c r="P651" s="31"/>
    </row>
    <row r="652" spans="7:16" ht="12.75">
      <c r="G652" s="31"/>
      <c r="H652" s="31"/>
      <c r="I652" s="31"/>
      <c r="J652" s="31"/>
      <c r="K652" s="31"/>
      <c r="L652" s="31"/>
      <c r="M652" s="31"/>
      <c r="N652" s="31"/>
      <c r="O652" s="31"/>
      <c r="P652" s="31"/>
    </row>
    <row r="653" spans="7:16" ht="12.75">
      <c r="G653" s="31"/>
      <c r="H653" s="31"/>
      <c r="I653" s="31"/>
      <c r="J653" s="31"/>
      <c r="K653" s="31"/>
      <c r="L653" s="31"/>
      <c r="M653" s="31"/>
      <c r="N653" s="31"/>
      <c r="O653" s="31"/>
      <c r="P653" s="31"/>
    </row>
    <row r="654" spans="7:16" ht="12.75">
      <c r="G654" s="31"/>
      <c r="H654" s="31"/>
      <c r="I654" s="31"/>
      <c r="J654" s="31"/>
      <c r="K654" s="31"/>
      <c r="L654" s="31"/>
      <c r="M654" s="31"/>
      <c r="N654" s="31"/>
      <c r="O654" s="31"/>
      <c r="P654" s="31"/>
    </row>
    <row r="655" spans="7:16" ht="12.75">
      <c r="G655" s="31"/>
      <c r="H655" s="31"/>
      <c r="I655" s="31"/>
      <c r="J655" s="31"/>
      <c r="K655" s="31"/>
      <c r="L655" s="31"/>
      <c r="M655" s="31"/>
      <c r="N655" s="31"/>
      <c r="O655" s="31"/>
      <c r="P655" s="31"/>
    </row>
    <row r="656" spans="7:16" ht="12.75">
      <c r="G656" s="31"/>
      <c r="H656" s="31"/>
      <c r="I656" s="31"/>
      <c r="J656" s="31"/>
      <c r="K656" s="31"/>
      <c r="L656" s="31"/>
      <c r="M656" s="31"/>
      <c r="N656" s="31"/>
      <c r="O656" s="31"/>
      <c r="P656" s="31"/>
    </row>
    <row r="657" spans="7:16" ht="12.75">
      <c r="G657" s="31"/>
      <c r="H657" s="31"/>
      <c r="I657" s="31"/>
      <c r="J657" s="31"/>
      <c r="K657" s="31"/>
      <c r="L657" s="31"/>
      <c r="M657" s="31"/>
      <c r="N657" s="31"/>
      <c r="O657" s="31"/>
      <c r="P657" s="31"/>
    </row>
    <row r="658" spans="7:16" ht="12.75">
      <c r="G658" s="31"/>
      <c r="H658" s="31"/>
      <c r="I658" s="31"/>
      <c r="J658" s="31"/>
      <c r="K658" s="31"/>
      <c r="L658" s="31"/>
      <c r="M658" s="31"/>
      <c r="N658" s="31"/>
      <c r="O658" s="31"/>
      <c r="P658" s="31"/>
    </row>
    <row r="659" spans="7:16" ht="12.75">
      <c r="G659" s="31"/>
      <c r="H659" s="31"/>
      <c r="I659" s="31"/>
      <c r="J659" s="31"/>
      <c r="K659" s="31"/>
      <c r="L659" s="31"/>
      <c r="M659" s="31"/>
      <c r="N659" s="31"/>
      <c r="O659" s="31"/>
      <c r="P659" s="31"/>
    </row>
    <row r="660" spans="7:16" ht="12.75">
      <c r="G660" s="31"/>
      <c r="H660" s="31"/>
      <c r="I660" s="31"/>
      <c r="J660" s="31"/>
      <c r="K660" s="31"/>
      <c r="L660" s="31"/>
      <c r="M660" s="31"/>
      <c r="N660" s="31"/>
      <c r="O660" s="31"/>
      <c r="P660" s="31"/>
    </row>
    <row r="661" spans="7:16" ht="12.75">
      <c r="G661" s="31"/>
      <c r="H661" s="31"/>
      <c r="I661" s="31"/>
      <c r="J661" s="31"/>
      <c r="K661" s="31"/>
      <c r="L661" s="31"/>
      <c r="M661" s="31"/>
      <c r="N661" s="31"/>
      <c r="O661" s="31"/>
      <c r="P661" s="31"/>
    </row>
    <row r="662" spans="7:16" ht="12.75">
      <c r="G662" s="31"/>
      <c r="H662" s="31"/>
      <c r="I662" s="31"/>
      <c r="J662" s="31"/>
      <c r="K662" s="31"/>
      <c r="L662" s="31"/>
      <c r="M662" s="31"/>
      <c r="N662" s="31"/>
      <c r="O662" s="31"/>
      <c r="P662" s="31"/>
    </row>
    <row r="663" spans="7:16" ht="12.75">
      <c r="G663" s="31"/>
      <c r="H663" s="31"/>
      <c r="I663" s="31"/>
      <c r="J663" s="31"/>
      <c r="K663" s="31"/>
      <c r="L663" s="31"/>
      <c r="M663" s="31"/>
      <c r="N663" s="31"/>
      <c r="O663" s="31"/>
      <c r="P663" s="31"/>
    </row>
    <row r="664" spans="7:16" ht="12.75">
      <c r="G664" s="31"/>
      <c r="H664" s="31"/>
      <c r="I664" s="31"/>
      <c r="J664" s="31"/>
      <c r="K664" s="31"/>
      <c r="L664" s="31"/>
      <c r="M664" s="31"/>
      <c r="N664" s="31"/>
      <c r="O664" s="31"/>
      <c r="P664" s="31"/>
    </row>
    <row r="665" spans="7:16" ht="12.75">
      <c r="G665" s="31"/>
      <c r="H665" s="31"/>
      <c r="I665" s="31"/>
      <c r="J665" s="31"/>
      <c r="K665" s="31"/>
      <c r="L665" s="31"/>
      <c r="M665" s="31"/>
      <c r="N665" s="31"/>
      <c r="O665" s="31"/>
      <c r="P665" s="31"/>
    </row>
    <row r="666" spans="7:16" ht="12.75">
      <c r="G666" s="31"/>
      <c r="H666" s="31"/>
      <c r="I666" s="31"/>
      <c r="J666" s="31"/>
      <c r="K666" s="31"/>
      <c r="L666" s="31"/>
      <c r="M666" s="31"/>
      <c r="N666" s="31"/>
      <c r="O666" s="31"/>
      <c r="P666" s="31"/>
    </row>
    <row r="667" spans="7:16" ht="12.75">
      <c r="G667" s="31"/>
      <c r="H667" s="31"/>
      <c r="I667" s="31"/>
      <c r="J667" s="31"/>
      <c r="K667" s="31"/>
      <c r="L667" s="31"/>
      <c r="M667" s="31"/>
      <c r="N667" s="31"/>
      <c r="O667" s="31"/>
      <c r="P667" s="31"/>
    </row>
    <row r="668" spans="7:16" ht="12.75">
      <c r="G668" s="31"/>
      <c r="H668" s="31"/>
      <c r="I668" s="31"/>
      <c r="J668" s="31"/>
      <c r="K668" s="31"/>
      <c r="L668" s="31"/>
      <c r="M668" s="31"/>
      <c r="N668" s="31"/>
      <c r="O668" s="31"/>
      <c r="P668" s="31"/>
    </row>
    <row r="669" spans="7:16" ht="12.75">
      <c r="G669" s="31"/>
      <c r="H669" s="31"/>
      <c r="I669" s="31"/>
      <c r="J669" s="31"/>
      <c r="K669" s="31"/>
      <c r="L669" s="31"/>
      <c r="M669" s="31"/>
      <c r="N669" s="31"/>
      <c r="O669" s="31"/>
      <c r="P669" s="31"/>
    </row>
    <row r="670" spans="7:16" ht="12.75">
      <c r="G670" s="31"/>
      <c r="H670" s="31"/>
      <c r="I670" s="31"/>
      <c r="J670" s="31"/>
      <c r="K670" s="31"/>
      <c r="L670" s="31"/>
      <c r="M670" s="31"/>
      <c r="N670" s="31"/>
      <c r="O670" s="31"/>
      <c r="P670" s="31"/>
    </row>
    <row r="671" spans="7:16" ht="12.75">
      <c r="G671" s="31"/>
      <c r="H671" s="31"/>
      <c r="I671" s="31"/>
      <c r="J671" s="31"/>
      <c r="K671" s="31"/>
      <c r="L671" s="31"/>
      <c r="M671" s="31"/>
      <c r="N671" s="31"/>
      <c r="O671" s="31"/>
      <c r="P671" s="31"/>
    </row>
    <row r="672" spans="7:16" ht="12.75">
      <c r="G672" s="31"/>
      <c r="H672" s="31"/>
      <c r="I672" s="31"/>
      <c r="J672" s="31"/>
      <c r="K672" s="31"/>
      <c r="L672" s="31"/>
      <c r="M672" s="31"/>
      <c r="N672" s="31"/>
      <c r="O672" s="31"/>
      <c r="P672" s="31"/>
    </row>
    <row r="673" spans="7:16" ht="12.75">
      <c r="G673" s="31"/>
      <c r="H673" s="31"/>
      <c r="I673" s="31"/>
      <c r="J673" s="31"/>
      <c r="K673" s="31"/>
      <c r="L673" s="31"/>
      <c r="M673" s="31"/>
      <c r="N673" s="31"/>
      <c r="O673" s="31"/>
      <c r="P673" s="31"/>
    </row>
    <row r="674" spans="7:16" ht="12.75">
      <c r="G674" s="31"/>
      <c r="H674" s="31"/>
      <c r="I674" s="31"/>
      <c r="J674" s="31"/>
      <c r="K674" s="31"/>
      <c r="L674" s="31"/>
      <c r="M674" s="31"/>
      <c r="N674" s="31"/>
      <c r="O674" s="31"/>
      <c r="P674" s="31"/>
    </row>
    <row r="675" spans="7:16" ht="12.75">
      <c r="G675" s="31"/>
      <c r="H675" s="31"/>
      <c r="I675" s="31"/>
      <c r="J675" s="31"/>
      <c r="K675" s="31"/>
      <c r="L675" s="31"/>
      <c r="M675" s="31"/>
      <c r="N675" s="31"/>
      <c r="O675" s="31"/>
      <c r="P675" s="31"/>
    </row>
    <row r="676" spans="7:16" ht="12.75">
      <c r="G676" s="31"/>
      <c r="H676" s="31"/>
      <c r="I676" s="31"/>
      <c r="J676" s="31"/>
      <c r="K676" s="31"/>
      <c r="L676" s="31"/>
      <c r="M676" s="31"/>
      <c r="N676" s="31"/>
      <c r="O676" s="31"/>
      <c r="P676" s="31"/>
    </row>
    <row r="677" spans="7:16" ht="12.75">
      <c r="G677" s="31"/>
      <c r="H677" s="31"/>
      <c r="I677" s="31"/>
      <c r="J677" s="31"/>
      <c r="K677" s="31"/>
      <c r="L677" s="31"/>
      <c r="M677" s="31"/>
      <c r="N677" s="31"/>
      <c r="O677" s="31"/>
      <c r="P677" s="31"/>
    </row>
    <row r="678" spans="7:16" ht="12.75">
      <c r="G678" s="31"/>
      <c r="H678" s="31"/>
      <c r="I678" s="31"/>
      <c r="J678" s="31"/>
      <c r="K678" s="31"/>
      <c r="L678" s="31"/>
      <c r="M678" s="31"/>
      <c r="N678" s="31"/>
      <c r="O678" s="31"/>
      <c r="P678" s="31"/>
    </row>
    <row r="679" spans="7:16" ht="12.75">
      <c r="G679" s="31"/>
      <c r="H679" s="31"/>
      <c r="I679" s="31"/>
      <c r="J679" s="31"/>
      <c r="K679" s="31"/>
      <c r="L679" s="31"/>
      <c r="M679" s="31"/>
      <c r="N679" s="31"/>
      <c r="O679" s="31"/>
      <c r="P679" s="31"/>
    </row>
    <row r="680" spans="7:16" ht="12.75">
      <c r="G680" s="31"/>
      <c r="H680" s="31"/>
      <c r="I680" s="31"/>
      <c r="J680" s="31"/>
      <c r="K680" s="31"/>
      <c r="L680" s="31"/>
      <c r="M680" s="31"/>
      <c r="N680" s="31"/>
      <c r="O680" s="31"/>
      <c r="P680" s="31"/>
    </row>
    <row r="681" spans="7:16" ht="12.75">
      <c r="G681" s="31"/>
      <c r="H681" s="31"/>
      <c r="I681" s="31"/>
      <c r="J681" s="31"/>
      <c r="K681" s="31"/>
      <c r="L681" s="31"/>
      <c r="M681" s="31"/>
      <c r="N681" s="31"/>
      <c r="O681" s="31"/>
      <c r="P681" s="31"/>
    </row>
    <row r="682" spans="7:16" ht="12.75">
      <c r="G682" s="31"/>
      <c r="H682" s="31"/>
      <c r="I682" s="31"/>
      <c r="J682" s="31"/>
      <c r="K682" s="31"/>
      <c r="L682" s="31"/>
      <c r="M682" s="31"/>
      <c r="N682" s="31"/>
      <c r="O682" s="31"/>
      <c r="P682" s="31"/>
    </row>
    <row r="683" spans="7:16" ht="12.75">
      <c r="G683" s="31"/>
      <c r="H683" s="31"/>
      <c r="I683" s="31"/>
      <c r="J683" s="31"/>
      <c r="K683" s="31"/>
      <c r="L683" s="31"/>
      <c r="M683" s="31"/>
      <c r="N683" s="31"/>
      <c r="O683" s="31"/>
      <c r="P683" s="31"/>
    </row>
    <row r="684" spans="7:16" ht="12.75">
      <c r="G684" s="31"/>
      <c r="H684" s="31"/>
      <c r="I684" s="31"/>
      <c r="J684" s="31"/>
      <c r="K684" s="31"/>
      <c r="L684" s="31"/>
      <c r="M684" s="31"/>
      <c r="N684" s="31"/>
      <c r="O684" s="31"/>
      <c r="P684" s="31"/>
    </row>
    <row r="685" spans="7:16" ht="12.75">
      <c r="G685" s="31"/>
      <c r="H685" s="31"/>
      <c r="I685" s="31"/>
      <c r="J685" s="31"/>
      <c r="K685" s="31"/>
      <c r="L685" s="31"/>
      <c r="M685" s="31"/>
      <c r="N685" s="31"/>
      <c r="O685" s="31"/>
      <c r="P685" s="31"/>
    </row>
    <row r="686" spans="7:16" ht="12.75">
      <c r="G686" s="31"/>
      <c r="H686" s="31"/>
      <c r="I686" s="31"/>
      <c r="J686" s="31"/>
      <c r="K686" s="31"/>
      <c r="L686" s="31"/>
      <c r="M686" s="31"/>
      <c r="N686" s="31"/>
      <c r="O686" s="31"/>
      <c r="P686" s="31"/>
    </row>
    <row r="687" spans="7:16" ht="12.75">
      <c r="G687" s="31"/>
      <c r="H687" s="31"/>
      <c r="I687" s="31"/>
      <c r="J687" s="31"/>
      <c r="K687" s="31"/>
      <c r="L687" s="31"/>
      <c r="M687" s="31"/>
      <c r="N687" s="31"/>
      <c r="O687" s="31"/>
      <c r="P687" s="31"/>
    </row>
    <row r="688" spans="7:16" ht="12.75">
      <c r="G688" s="31"/>
      <c r="H688" s="31"/>
      <c r="I688" s="31"/>
      <c r="J688" s="31"/>
      <c r="K688" s="31"/>
      <c r="L688" s="31"/>
      <c r="M688" s="31"/>
      <c r="N688" s="31"/>
      <c r="O688" s="31"/>
      <c r="P688" s="31"/>
    </row>
    <row r="689" spans="7:16" ht="12.75">
      <c r="G689" s="31"/>
      <c r="H689" s="31"/>
      <c r="I689" s="31"/>
      <c r="J689" s="31"/>
      <c r="K689" s="31"/>
      <c r="L689" s="31"/>
      <c r="M689" s="31"/>
      <c r="N689" s="31"/>
      <c r="O689" s="31"/>
      <c r="P689" s="31"/>
    </row>
    <row r="690" spans="7:16" ht="12.75">
      <c r="G690" s="31"/>
      <c r="H690" s="31"/>
      <c r="I690" s="31"/>
      <c r="J690" s="31"/>
      <c r="K690" s="31"/>
      <c r="L690" s="31"/>
      <c r="M690" s="31"/>
      <c r="N690" s="31"/>
      <c r="O690" s="31"/>
      <c r="P690" s="31"/>
    </row>
    <row r="691" spans="7:16" ht="12.75">
      <c r="G691" s="31"/>
      <c r="H691" s="31"/>
      <c r="I691" s="31"/>
      <c r="J691" s="31"/>
      <c r="K691" s="31"/>
      <c r="L691" s="31"/>
      <c r="M691" s="31"/>
      <c r="N691" s="31"/>
      <c r="O691" s="31"/>
      <c r="P691" s="31"/>
    </row>
    <row r="692" spans="7:16" ht="12.75">
      <c r="G692" s="31"/>
      <c r="H692" s="31"/>
      <c r="I692" s="31"/>
      <c r="J692" s="31"/>
      <c r="K692" s="31"/>
      <c r="L692" s="31"/>
      <c r="M692" s="31"/>
      <c r="N692" s="31"/>
      <c r="O692" s="31"/>
      <c r="P692" s="31"/>
    </row>
    <row r="693" spans="7:16" ht="12.75">
      <c r="G693" s="31"/>
      <c r="H693" s="31"/>
      <c r="I693" s="31"/>
      <c r="J693" s="31"/>
      <c r="K693" s="31"/>
      <c r="L693" s="31"/>
      <c r="M693" s="31"/>
      <c r="N693" s="31"/>
      <c r="O693" s="31"/>
      <c r="P693" s="31"/>
    </row>
    <row r="694" spans="7:16" ht="12.75">
      <c r="G694" s="31"/>
      <c r="H694" s="31"/>
      <c r="I694" s="31"/>
      <c r="J694" s="31"/>
      <c r="K694" s="31"/>
      <c r="L694" s="31"/>
      <c r="M694" s="31"/>
      <c r="N694" s="31"/>
      <c r="O694" s="31"/>
      <c r="P694" s="31"/>
    </row>
    <row r="695" spans="7:16" ht="12.75">
      <c r="G695" s="31"/>
      <c r="H695" s="31"/>
      <c r="I695" s="31"/>
      <c r="J695" s="31"/>
      <c r="K695" s="31"/>
      <c r="L695" s="31"/>
      <c r="M695" s="31"/>
      <c r="N695" s="31"/>
      <c r="O695" s="31"/>
      <c r="P695" s="31"/>
    </row>
    <row r="696" spans="7:16" ht="12.75">
      <c r="G696" s="31"/>
      <c r="H696" s="31"/>
      <c r="I696" s="31"/>
      <c r="J696" s="31"/>
      <c r="K696" s="31"/>
      <c r="L696" s="31"/>
      <c r="M696" s="31"/>
      <c r="N696" s="31"/>
      <c r="O696" s="31"/>
      <c r="P696" s="31"/>
    </row>
    <row r="697" spans="7:16" ht="12.75">
      <c r="G697" s="31"/>
      <c r="H697" s="31"/>
      <c r="I697" s="31"/>
      <c r="J697" s="31"/>
      <c r="K697" s="31"/>
      <c r="L697" s="31"/>
      <c r="M697" s="31"/>
      <c r="N697" s="31"/>
      <c r="O697" s="31"/>
      <c r="P697" s="31"/>
    </row>
    <row r="698" spans="7:16" ht="12.75">
      <c r="G698" s="31"/>
      <c r="H698" s="31"/>
      <c r="I698" s="31"/>
      <c r="J698" s="31"/>
      <c r="K698" s="31"/>
      <c r="L698" s="31"/>
      <c r="M698" s="31"/>
      <c r="N698" s="31"/>
      <c r="O698" s="31"/>
      <c r="P698" s="31"/>
    </row>
    <row r="699" spans="7:16" ht="12.75">
      <c r="G699" s="31"/>
      <c r="H699" s="31"/>
      <c r="I699" s="31"/>
      <c r="J699" s="31"/>
      <c r="K699" s="31"/>
      <c r="L699" s="31"/>
      <c r="M699" s="31"/>
      <c r="N699" s="31"/>
      <c r="O699" s="31"/>
      <c r="P699" s="31"/>
    </row>
    <row r="700" spans="7:16" ht="12.75">
      <c r="G700" s="31"/>
      <c r="H700" s="31"/>
      <c r="I700" s="31"/>
      <c r="J700" s="31"/>
      <c r="K700" s="31"/>
      <c r="L700" s="31"/>
      <c r="M700" s="31"/>
      <c r="N700" s="31"/>
      <c r="O700" s="31"/>
      <c r="P700" s="31"/>
    </row>
    <row r="701" spans="7:16" ht="12.75">
      <c r="G701" s="31"/>
      <c r="H701" s="31"/>
      <c r="I701" s="31"/>
      <c r="J701" s="31"/>
      <c r="K701" s="31"/>
      <c r="L701" s="31"/>
      <c r="M701" s="31"/>
      <c r="N701" s="31"/>
      <c r="O701" s="31"/>
      <c r="P701" s="31"/>
    </row>
    <row r="702" spans="7:16" ht="12.75">
      <c r="G702" s="31"/>
      <c r="H702" s="31"/>
      <c r="I702" s="31"/>
      <c r="J702" s="31"/>
      <c r="K702" s="31"/>
      <c r="L702" s="31"/>
      <c r="M702" s="31"/>
      <c r="N702" s="31"/>
      <c r="O702" s="31"/>
      <c r="P702" s="31"/>
    </row>
    <row r="703" spans="7:16" ht="12.75">
      <c r="G703" s="31"/>
      <c r="H703" s="31"/>
      <c r="I703" s="31"/>
      <c r="J703" s="31"/>
      <c r="K703" s="31"/>
      <c r="L703" s="31"/>
      <c r="M703" s="31"/>
      <c r="N703" s="31"/>
      <c r="O703" s="31"/>
      <c r="P703" s="31"/>
    </row>
    <row r="704" spans="7:16" ht="12.75">
      <c r="G704" s="31"/>
      <c r="H704" s="31"/>
      <c r="I704" s="31"/>
      <c r="J704" s="31"/>
      <c r="K704" s="31"/>
      <c r="L704" s="31"/>
      <c r="M704" s="31"/>
      <c r="N704" s="31"/>
      <c r="O704" s="31"/>
      <c r="P704" s="31"/>
    </row>
    <row r="705" spans="7:16" ht="12.75">
      <c r="G705" s="31"/>
      <c r="H705" s="31"/>
      <c r="I705" s="31"/>
      <c r="J705" s="31"/>
      <c r="K705" s="31"/>
      <c r="L705" s="31"/>
      <c r="M705" s="31"/>
      <c r="N705" s="31"/>
      <c r="O705" s="31"/>
      <c r="P705" s="31"/>
    </row>
    <row r="706" spans="7:16" ht="12.75">
      <c r="G706" s="31"/>
      <c r="H706" s="31"/>
      <c r="I706" s="31"/>
      <c r="J706" s="31"/>
      <c r="K706" s="31"/>
      <c r="L706" s="31"/>
      <c r="M706" s="31"/>
      <c r="N706" s="31"/>
      <c r="O706" s="31"/>
      <c r="P706" s="31"/>
    </row>
    <row r="707" spans="7:16" ht="12.75">
      <c r="G707" s="31"/>
      <c r="H707" s="31"/>
      <c r="I707" s="31"/>
      <c r="J707" s="31"/>
      <c r="K707" s="31"/>
      <c r="L707" s="31"/>
      <c r="M707" s="31"/>
      <c r="N707" s="31"/>
      <c r="O707" s="31"/>
      <c r="P707" s="31"/>
    </row>
    <row r="708" spans="7:16" ht="12.75">
      <c r="G708" s="31"/>
      <c r="H708" s="31"/>
      <c r="I708" s="31"/>
      <c r="J708" s="31"/>
      <c r="K708" s="31"/>
      <c r="L708" s="31"/>
      <c r="M708" s="31"/>
      <c r="N708" s="31"/>
      <c r="O708" s="31"/>
      <c r="P708" s="31"/>
    </row>
    <row r="709" spans="7:16" ht="12.75">
      <c r="G709" s="31"/>
      <c r="H709" s="31"/>
      <c r="I709" s="31"/>
      <c r="J709" s="31"/>
      <c r="K709" s="31"/>
      <c r="L709" s="31"/>
      <c r="M709" s="31"/>
      <c r="N709" s="31"/>
      <c r="O709" s="31"/>
      <c r="P709" s="31"/>
    </row>
    <row r="710" spans="7:16" ht="12.75">
      <c r="G710" s="31"/>
      <c r="H710" s="31"/>
      <c r="I710" s="31"/>
      <c r="J710" s="31"/>
      <c r="K710" s="31"/>
      <c r="L710" s="31"/>
      <c r="M710" s="31"/>
      <c r="N710" s="31"/>
      <c r="O710" s="31"/>
      <c r="P710" s="31"/>
    </row>
    <row r="711" spans="7:16" ht="12.75">
      <c r="G711" s="31"/>
      <c r="H711" s="31"/>
      <c r="I711" s="31"/>
      <c r="J711" s="31"/>
      <c r="K711" s="31"/>
      <c r="L711" s="31"/>
      <c r="M711" s="31"/>
      <c r="N711" s="31"/>
      <c r="O711" s="31"/>
      <c r="P711" s="31"/>
    </row>
    <row r="712" spans="7:16" ht="12.75">
      <c r="G712" s="31"/>
      <c r="H712" s="31"/>
      <c r="I712" s="31"/>
      <c r="J712" s="31"/>
      <c r="K712" s="31"/>
      <c r="L712" s="31"/>
      <c r="M712" s="31"/>
      <c r="N712" s="31"/>
      <c r="O712" s="31"/>
      <c r="P712" s="31"/>
    </row>
    <row r="713" spans="7:16" ht="12.75">
      <c r="G713" s="31"/>
      <c r="H713" s="31"/>
      <c r="I713" s="31"/>
      <c r="J713" s="31"/>
      <c r="K713" s="31"/>
      <c r="L713" s="31"/>
      <c r="M713" s="31"/>
      <c r="N713" s="31"/>
      <c r="O713" s="31"/>
      <c r="P713" s="31"/>
    </row>
    <row r="714" spans="7:16" ht="12.75">
      <c r="G714" s="31"/>
      <c r="H714" s="31"/>
      <c r="I714" s="31"/>
      <c r="J714" s="31"/>
      <c r="K714" s="31"/>
      <c r="L714" s="31"/>
      <c r="M714" s="31"/>
      <c r="N714" s="31"/>
      <c r="O714" s="31"/>
      <c r="P714" s="31"/>
    </row>
    <row r="715" spans="7:16" ht="12.75">
      <c r="G715" s="31"/>
      <c r="H715" s="31"/>
      <c r="I715" s="31"/>
      <c r="J715" s="31"/>
      <c r="K715" s="31"/>
      <c r="L715" s="31"/>
      <c r="M715" s="31"/>
      <c r="N715" s="31"/>
      <c r="O715" s="31"/>
      <c r="P715" s="31"/>
    </row>
    <row r="716" spans="7:16" ht="12.75">
      <c r="G716" s="31"/>
      <c r="H716" s="31"/>
      <c r="I716" s="31"/>
      <c r="J716" s="31"/>
      <c r="K716" s="31"/>
      <c r="L716" s="31"/>
      <c r="M716" s="31"/>
      <c r="N716" s="31"/>
      <c r="O716" s="31"/>
      <c r="P716" s="31"/>
    </row>
    <row r="717" spans="7:16" ht="12.75">
      <c r="G717" s="31"/>
      <c r="H717" s="31"/>
      <c r="I717" s="31"/>
      <c r="J717" s="31"/>
      <c r="K717" s="31"/>
      <c r="L717" s="31"/>
      <c r="M717" s="31"/>
      <c r="N717" s="31"/>
      <c r="O717" s="31"/>
      <c r="P717" s="31"/>
    </row>
    <row r="718" spans="7:16" ht="12.75">
      <c r="G718" s="31"/>
      <c r="H718" s="31"/>
      <c r="I718" s="31"/>
      <c r="J718" s="31"/>
      <c r="K718" s="31"/>
      <c r="L718" s="31"/>
      <c r="M718" s="31"/>
      <c r="N718" s="31"/>
      <c r="O718" s="31"/>
      <c r="P718" s="31"/>
    </row>
    <row r="719" spans="7:16" ht="12.75">
      <c r="G719" s="31"/>
      <c r="H719" s="31"/>
      <c r="I719" s="31"/>
      <c r="J719" s="31"/>
      <c r="K719" s="31"/>
      <c r="L719" s="31"/>
      <c r="M719" s="31"/>
      <c r="N719" s="31"/>
      <c r="O719" s="31"/>
      <c r="P719" s="31"/>
    </row>
    <row r="720" spans="7:16" ht="12.75">
      <c r="G720" s="31"/>
      <c r="H720" s="31"/>
      <c r="I720" s="31"/>
      <c r="J720" s="31"/>
      <c r="K720" s="31"/>
      <c r="L720" s="31"/>
      <c r="M720" s="31"/>
      <c r="N720" s="31"/>
      <c r="O720" s="31"/>
      <c r="P720" s="31"/>
    </row>
    <row r="721" spans="7:16" ht="12.75">
      <c r="G721" s="31"/>
      <c r="H721" s="31"/>
      <c r="I721" s="31"/>
      <c r="J721" s="31"/>
      <c r="K721" s="31"/>
      <c r="L721" s="31"/>
      <c r="M721" s="31"/>
      <c r="N721" s="31"/>
      <c r="O721" s="31"/>
      <c r="P721" s="31"/>
    </row>
    <row r="722" spans="7:16" ht="12.75">
      <c r="G722" s="31"/>
      <c r="H722" s="31"/>
      <c r="I722" s="31"/>
      <c r="J722" s="31"/>
      <c r="K722" s="31"/>
      <c r="L722" s="31"/>
      <c r="M722" s="31"/>
      <c r="N722" s="31"/>
      <c r="O722" s="31"/>
      <c r="P722" s="31"/>
    </row>
    <row r="723" spans="7:16" ht="12.75">
      <c r="G723" s="31"/>
      <c r="H723" s="31"/>
      <c r="I723" s="31"/>
      <c r="J723" s="31"/>
      <c r="K723" s="31"/>
      <c r="L723" s="31"/>
      <c r="M723" s="31"/>
      <c r="N723" s="31"/>
      <c r="O723" s="31"/>
      <c r="P723" s="31"/>
    </row>
    <row r="724" spans="7:16" ht="12.75">
      <c r="G724" s="31"/>
      <c r="H724" s="31"/>
      <c r="I724" s="31"/>
      <c r="J724" s="31"/>
      <c r="K724" s="31"/>
      <c r="L724" s="31"/>
      <c r="M724" s="31"/>
      <c r="N724" s="31"/>
      <c r="O724" s="31"/>
      <c r="P724" s="31"/>
    </row>
    <row r="725" spans="7:16" ht="12.75">
      <c r="G725" s="31"/>
      <c r="H725" s="31"/>
      <c r="I725" s="31"/>
      <c r="J725" s="31"/>
      <c r="K725" s="31"/>
      <c r="L725" s="31"/>
      <c r="M725" s="31"/>
      <c r="N725" s="31"/>
      <c r="O725" s="31"/>
      <c r="P725" s="31"/>
    </row>
    <row r="726" spans="7:16" ht="12.75">
      <c r="G726" s="31"/>
      <c r="H726" s="31"/>
      <c r="I726" s="31"/>
      <c r="J726" s="31"/>
      <c r="K726" s="31"/>
      <c r="L726" s="31"/>
      <c r="M726" s="31"/>
      <c r="N726" s="31"/>
      <c r="O726" s="31"/>
      <c r="P726" s="31"/>
    </row>
    <row r="727" spans="7:16" ht="12.75">
      <c r="G727" s="31"/>
      <c r="H727" s="31"/>
      <c r="I727" s="31"/>
      <c r="J727" s="31"/>
      <c r="K727" s="31"/>
      <c r="L727" s="31"/>
      <c r="M727" s="31"/>
      <c r="N727" s="31"/>
      <c r="O727" s="31"/>
      <c r="P727" s="31"/>
    </row>
    <row r="728" spans="7:16" ht="12.75">
      <c r="G728" s="31"/>
      <c r="H728" s="31"/>
      <c r="I728" s="31"/>
      <c r="J728" s="31"/>
      <c r="K728" s="31"/>
      <c r="L728" s="31"/>
      <c r="M728" s="31"/>
      <c r="N728" s="31"/>
      <c r="O728" s="31"/>
      <c r="P728" s="31"/>
    </row>
    <row r="729" spans="7:16" ht="12.75">
      <c r="G729" s="31"/>
      <c r="H729" s="31"/>
      <c r="I729" s="31"/>
      <c r="J729" s="31"/>
      <c r="K729" s="31"/>
      <c r="L729" s="31"/>
      <c r="M729" s="31"/>
      <c r="N729" s="31"/>
      <c r="O729" s="31"/>
      <c r="P729" s="31"/>
    </row>
    <row r="730" spans="7:16" ht="12.75">
      <c r="G730" s="31"/>
      <c r="H730" s="31"/>
      <c r="I730" s="31"/>
      <c r="J730" s="31"/>
      <c r="K730" s="31"/>
      <c r="L730" s="31"/>
      <c r="M730" s="31"/>
      <c r="N730" s="31"/>
      <c r="O730" s="31"/>
      <c r="P730" s="31"/>
    </row>
    <row r="731" spans="7:16" ht="12.75">
      <c r="G731" s="31"/>
      <c r="H731" s="31"/>
      <c r="I731" s="31"/>
      <c r="J731" s="31"/>
      <c r="K731" s="31"/>
      <c r="L731" s="31"/>
      <c r="M731" s="31"/>
      <c r="N731" s="31"/>
      <c r="O731" s="31"/>
      <c r="P731" s="31"/>
    </row>
    <row r="732" spans="7:16" ht="12.75">
      <c r="G732" s="31"/>
      <c r="H732" s="31"/>
      <c r="I732" s="31"/>
      <c r="J732" s="31"/>
      <c r="K732" s="31"/>
      <c r="L732" s="31"/>
      <c r="M732" s="31"/>
      <c r="N732" s="31"/>
      <c r="O732" s="31"/>
      <c r="P732" s="31"/>
    </row>
    <row r="733" spans="7:16" ht="12.75">
      <c r="G733" s="31"/>
      <c r="H733" s="31"/>
      <c r="I733" s="31"/>
      <c r="J733" s="31"/>
      <c r="K733" s="31"/>
      <c r="L733" s="31"/>
      <c r="M733" s="31"/>
      <c r="N733" s="31"/>
      <c r="O733" s="31"/>
      <c r="P733" s="31"/>
    </row>
    <row r="734" spans="7:16" ht="12.75">
      <c r="G734" s="31"/>
      <c r="H734" s="31"/>
      <c r="I734" s="31"/>
      <c r="J734" s="31"/>
      <c r="K734" s="31"/>
      <c r="L734" s="31"/>
      <c r="M734" s="31"/>
      <c r="N734" s="31"/>
      <c r="O734" s="31"/>
      <c r="P734" s="31"/>
    </row>
    <row r="735" spans="7:16" ht="12.75">
      <c r="G735" s="31"/>
      <c r="H735" s="31"/>
      <c r="I735" s="31"/>
      <c r="J735" s="31"/>
      <c r="K735" s="31"/>
      <c r="L735" s="31"/>
      <c r="M735" s="31"/>
      <c r="N735" s="31"/>
      <c r="O735" s="31"/>
      <c r="P735" s="31"/>
    </row>
    <row r="736" spans="7:16" ht="12.75">
      <c r="G736" s="31"/>
      <c r="H736" s="31"/>
      <c r="I736" s="31"/>
      <c r="J736" s="31"/>
      <c r="K736" s="31"/>
      <c r="L736" s="31"/>
      <c r="M736" s="31"/>
      <c r="N736" s="31"/>
      <c r="O736" s="31"/>
      <c r="P736" s="31"/>
    </row>
    <row r="737" spans="7:16" ht="12.75">
      <c r="G737" s="31"/>
      <c r="H737" s="31"/>
      <c r="I737" s="31"/>
      <c r="J737" s="31"/>
      <c r="K737" s="31"/>
      <c r="L737" s="31"/>
      <c r="M737" s="31"/>
      <c r="N737" s="31"/>
      <c r="O737" s="31"/>
      <c r="P737" s="31"/>
    </row>
    <row r="738" spans="7:16" ht="12.75">
      <c r="G738" s="31"/>
      <c r="H738" s="31"/>
      <c r="I738" s="31"/>
      <c r="J738" s="31"/>
      <c r="K738" s="31"/>
      <c r="L738" s="31"/>
      <c r="M738" s="31"/>
      <c r="N738" s="31"/>
      <c r="O738" s="31"/>
      <c r="P738" s="31"/>
    </row>
    <row r="739" spans="7:16" ht="12.75">
      <c r="G739" s="31"/>
      <c r="H739" s="31"/>
      <c r="I739" s="31"/>
      <c r="J739" s="31"/>
      <c r="K739" s="31"/>
      <c r="L739" s="31"/>
      <c r="M739" s="31"/>
      <c r="N739" s="31"/>
      <c r="O739" s="31"/>
      <c r="P739" s="31"/>
    </row>
    <row r="740" spans="7:16" ht="12.75">
      <c r="G740" s="31"/>
      <c r="H740" s="31"/>
      <c r="I740" s="31"/>
      <c r="J740" s="31"/>
      <c r="K740" s="31"/>
      <c r="L740" s="31"/>
      <c r="M740" s="31"/>
      <c r="N740" s="31"/>
      <c r="O740" s="31"/>
      <c r="P740" s="31"/>
    </row>
    <row r="741" spans="7:16" ht="12.75">
      <c r="G741" s="31"/>
      <c r="H741" s="31"/>
      <c r="I741" s="31"/>
      <c r="J741" s="31"/>
      <c r="K741" s="31"/>
      <c r="L741" s="31"/>
      <c r="M741" s="31"/>
      <c r="N741" s="31"/>
      <c r="O741" s="31"/>
      <c r="P741" s="31"/>
    </row>
    <row r="742" spans="7:16" ht="12.75">
      <c r="G742" s="31"/>
      <c r="H742" s="31"/>
      <c r="I742" s="31"/>
      <c r="J742" s="31"/>
      <c r="K742" s="31"/>
      <c r="L742" s="31"/>
      <c r="M742" s="31"/>
      <c r="N742" s="31"/>
      <c r="O742" s="31"/>
      <c r="P742" s="31"/>
    </row>
    <row r="743" spans="7:16" ht="12.75">
      <c r="G743" s="31"/>
      <c r="H743" s="31"/>
      <c r="I743" s="31"/>
      <c r="J743" s="31"/>
      <c r="K743" s="31"/>
      <c r="L743" s="31"/>
      <c r="M743" s="31"/>
      <c r="N743" s="31"/>
      <c r="O743" s="31"/>
      <c r="P743" s="31"/>
    </row>
    <row r="744" spans="7:16" ht="12.75">
      <c r="G744" s="31"/>
      <c r="H744" s="31"/>
      <c r="I744" s="31"/>
      <c r="J744" s="31"/>
      <c r="K744" s="31"/>
      <c r="L744" s="31"/>
      <c r="M744" s="31"/>
      <c r="N744" s="31"/>
      <c r="O744" s="31"/>
      <c r="P744" s="31"/>
    </row>
    <row r="745" spans="7:16" ht="12.75">
      <c r="G745" s="31"/>
      <c r="H745" s="31"/>
      <c r="I745" s="31"/>
      <c r="J745" s="31"/>
      <c r="K745" s="31"/>
      <c r="L745" s="31"/>
      <c r="M745" s="31"/>
      <c r="N745" s="31"/>
      <c r="O745" s="31"/>
      <c r="P745" s="31"/>
    </row>
    <row r="746" spans="7:16" ht="12.75">
      <c r="G746" s="31"/>
      <c r="H746" s="31"/>
      <c r="I746" s="31"/>
      <c r="J746" s="31"/>
      <c r="K746" s="31"/>
      <c r="L746" s="31"/>
      <c r="M746" s="31"/>
      <c r="N746" s="31"/>
      <c r="O746" s="31"/>
      <c r="P746" s="31"/>
    </row>
    <row r="747" spans="7:16" ht="12.75">
      <c r="G747" s="31"/>
      <c r="H747" s="31"/>
      <c r="I747" s="31"/>
      <c r="J747" s="31"/>
      <c r="K747" s="31"/>
      <c r="L747" s="31"/>
      <c r="M747" s="31"/>
      <c r="N747" s="31"/>
      <c r="O747" s="31"/>
      <c r="P747" s="31"/>
    </row>
    <row r="748" spans="7:16" ht="12.75">
      <c r="G748" s="31"/>
      <c r="H748" s="31"/>
      <c r="I748" s="31"/>
      <c r="J748" s="31"/>
      <c r="K748" s="31"/>
      <c r="L748" s="31"/>
      <c r="M748" s="31"/>
      <c r="N748" s="31"/>
      <c r="O748" s="31"/>
      <c r="P748" s="31"/>
    </row>
    <row r="749" spans="7:16" ht="12.75">
      <c r="G749" s="31"/>
      <c r="H749" s="31"/>
      <c r="I749" s="31"/>
      <c r="J749" s="31"/>
      <c r="K749" s="31"/>
      <c r="L749" s="31"/>
      <c r="M749" s="31"/>
      <c r="N749" s="31"/>
      <c r="O749" s="31"/>
      <c r="P749" s="31"/>
    </row>
    <row r="750" spans="7:16" ht="12.75">
      <c r="G750" s="31"/>
      <c r="H750" s="31"/>
      <c r="I750" s="31"/>
      <c r="J750" s="31"/>
      <c r="K750" s="31"/>
      <c r="L750" s="31"/>
      <c r="M750" s="31"/>
      <c r="N750" s="31"/>
      <c r="O750" s="31"/>
      <c r="P750" s="31"/>
    </row>
    <row r="751" spans="7:16" ht="12.75">
      <c r="G751" s="31"/>
      <c r="H751" s="31"/>
      <c r="I751" s="31"/>
      <c r="J751" s="31"/>
      <c r="K751" s="31"/>
      <c r="L751" s="31"/>
      <c r="M751" s="31"/>
      <c r="N751" s="31"/>
      <c r="O751" s="31"/>
      <c r="P751" s="31"/>
    </row>
    <row r="752" spans="7:16" ht="12.75">
      <c r="G752" s="31"/>
      <c r="H752" s="31"/>
      <c r="I752" s="31"/>
      <c r="J752" s="31"/>
      <c r="K752" s="31"/>
      <c r="L752" s="31"/>
      <c r="M752" s="31"/>
      <c r="N752" s="31"/>
      <c r="O752" s="31"/>
      <c r="P752" s="31"/>
    </row>
    <row r="753" spans="7:16" ht="12.75">
      <c r="G753" s="31"/>
      <c r="H753" s="31"/>
      <c r="I753" s="31"/>
      <c r="J753" s="31"/>
      <c r="K753" s="31"/>
      <c r="L753" s="31"/>
      <c r="M753" s="31"/>
      <c r="N753" s="31"/>
      <c r="O753" s="31"/>
      <c r="P753" s="31"/>
    </row>
    <row r="754" spans="7:16" ht="12.75">
      <c r="G754" s="31"/>
      <c r="H754" s="31"/>
      <c r="I754" s="31"/>
      <c r="J754" s="31"/>
      <c r="K754" s="31"/>
      <c r="L754" s="31"/>
      <c r="M754" s="31"/>
      <c r="N754" s="31"/>
      <c r="O754" s="31"/>
      <c r="P754" s="31"/>
    </row>
    <row r="755" spans="7:16" ht="12.75">
      <c r="G755" s="31"/>
      <c r="H755" s="31"/>
      <c r="I755" s="31"/>
      <c r="J755" s="31"/>
      <c r="K755" s="31"/>
      <c r="L755" s="31"/>
      <c r="M755" s="31"/>
      <c r="N755" s="31"/>
      <c r="O755" s="31"/>
      <c r="P755" s="31"/>
    </row>
    <row r="756" spans="7:16" ht="12.75">
      <c r="G756" s="31"/>
      <c r="H756" s="31"/>
      <c r="I756" s="31"/>
      <c r="J756" s="31"/>
      <c r="K756" s="31"/>
      <c r="L756" s="31"/>
      <c r="M756" s="31"/>
      <c r="N756" s="31"/>
      <c r="O756" s="31"/>
      <c r="P756" s="31"/>
    </row>
    <row r="757" spans="7:16" ht="12.75">
      <c r="G757" s="31"/>
      <c r="H757" s="31"/>
      <c r="I757" s="31"/>
      <c r="J757" s="31"/>
      <c r="K757" s="31"/>
      <c r="L757" s="31"/>
      <c r="M757" s="31"/>
      <c r="N757" s="31"/>
      <c r="O757" s="31"/>
      <c r="P757" s="31"/>
    </row>
    <row r="758" spans="7:16" ht="12.75">
      <c r="G758" s="31"/>
      <c r="H758" s="31"/>
      <c r="I758" s="31"/>
      <c r="J758" s="31"/>
      <c r="K758" s="31"/>
      <c r="L758" s="31"/>
      <c r="M758" s="31"/>
      <c r="N758" s="31"/>
      <c r="O758" s="31"/>
      <c r="P758" s="31"/>
    </row>
    <row r="759" spans="7:16" ht="12.75">
      <c r="G759" s="31"/>
      <c r="H759" s="31"/>
      <c r="I759" s="31"/>
      <c r="J759" s="31"/>
      <c r="K759" s="31"/>
      <c r="L759" s="31"/>
      <c r="M759" s="31"/>
      <c r="N759" s="31"/>
      <c r="O759" s="31"/>
      <c r="P759" s="31"/>
    </row>
    <row r="760" spans="7:16" ht="12.75">
      <c r="G760" s="31"/>
      <c r="H760" s="31"/>
      <c r="I760" s="31"/>
      <c r="J760" s="31"/>
      <c r="K760" s="31"/>
      <c r="L760" s="31"/>
      <c r="M760" s="31"/>
      <c r="N760" s="31"/>
      <c r="O760" s="31"/>
      <c r="P760" s="31"/>
    </row>
    <row r="761" spans="7:16" ht="12.75">
      <c r="G761" s="31"/>
      <c r="H761" s="31"/>
      <c r="I761" s="31"/>
      <c r="J761" s="31"/>
      <c r="K761" s="31"/>
      <c r="L761" s="31"/>
      <c r="M761" s="31"/>
      <c r="N761" s="31"/>
      <c r="O761" s="31"/>
      <c r="P761" s="31"/>
    </row>
    <row r="762" spans="7:16" ht="12.75">
      <c r="G762" s="31"/>
      <c r="H762" s="31"/>
      <c r="I762" s="31"/>
      <c r="J762" s="31"/>
      <c r="K762" s="31"/>
      <c r="L762" s="31"/>
      <c r="M762" s="31"/>
      <c r="N762" s="31"/>
      <c r="O762" s="31"/>
      <c r="P762" s="31"/>
    </row>
    <row r="763" spans="7:16" ht="12.75">
      <c r="G763" s="31"/>
      <c r="H763" s="31"/>
      <c r="I763" s="31"/>
      <c r="J763" s="31"/>
      <c r="K763" s="31"/>
      <c r="L763" s="31"/>
      <c r="M763" s="31"/>
      <c r="N763" s="31"/>
      <c r="O763" s="31"/>
      <c r="P763" s="31"/>
    </row>
    <row r="764" spans="7:16" ht="12.75">
      <c r="G764" s="31"/>
      <c r="H764" s="31"/>
      <c r="I764" s="31"/>
      <c r="J764" s="31"/>
      <c r="K764" s="31"/>
      <c r="L764" s="31"/>
      <c r="M764" s="31"/>
      <c r="N764" s="31"/>
      <c r="O764" s="31"/>
      <c r="P764" s="31"/>
    </row>
    <row r="765" spans="7:16" ht="12.75">
      <c r="G765" s="31"/>
      <c r="H765" s="31"/>
      <c r="I765" s="31"/>
      <c r="J765" s="31"/>
      <c r="K765" s="31"/>
      <c r="L765" s="31"/>
      <c r="M765" s="31"/>
      <c r="N765" s="31"/>
      <c r="O765" s="31"/>
      <c r="P765" s="31"/>
    </row>
    <row r="766" spans="7:16" ht="12.75">
      <c r="G766" s="31"/>
      <c r="H766" s="31"/>
      <c r="I766" s="31"/>
      <c r="J766" s="31"/>
      <c r="K766" s="31"/>
      <c r="L766" s="31"/>
      <c r="M766" s="31"/>
      <c r="N766" s="31"/>
      <c r="O766" s="31"/>
      <c r="P766" s="31"/>
    </row>
    <row r="767" spans="7:16" ht="12.75">
      <c r="G767" s="31"/>
      <c r="H767" s="31"/>
      <c r="I767" s="31"/>
      <c r="J767" s="31"/>
      <c r="K767" s="31"/>
      <c r="L767" s="31"/>
      <c r="M767" s="31"/>
      <c r="N767" s="31"/>
      <c r="O767" s="31"/>
      <c r="P767" s="31"/>
    </row>
    <row r="768" spans="7:16" ht="12.75">
      <c r="G768" s="31"/>
      <c r="H768" s="31"/>
      <c r="I768" s="31"/>
      <c r="J768" s="31"/>
      <c r="K768" s="31"/>
      <c r="L768" s="31"/>
      <c r="M768" s="31"/>
      <c r="N768" s="31"/>
      <c r="O768" s="31"/>
      <c r="P768" s="31"/>
    </row>
    <row r="769" spans="7:16" ht="12.75">
      <c r="G769" s="31"/>
      <c r="H769" s="31"/>
      <c r="I769" s="31"/>
      <c r="J769" s="31"/>
      <c r="K769" s="31"/>
      <c r="L769" s="31"/>
      <c r="M769" s="31"/>
      <c r="N769" s="31"/>
      <c r="O769" s="31"/>
      <c r="P769" s="31"/>
    </row>
    <row r="770" spans="7:16" ht="12.75">
      <c r="G770" s="31"/>
      <c r="H770" s="31"/>
      <c r="I770" s="31"/>
      <c r="J770" s="31"/>
      <c r="K770" s="31"/>
      <c r="L770" s="31"/>
      <c r="M770" s="31"/>
      <c r="N770" s="31"/>
      <c r="O770" s="31"/>
      <c r="P770" s="31"/>
    </row>
    <row r="771" spans="7:16" ht="12.75">
      <c r="G771" s="31"/>
      <c r="H771" s="31"/>
      <c r="I771" s="31"/>
      <c r="J771" s="31"/>
      <c r="K771" s="31"/>
      <c r="L771" s="31"/>
      <c r="M771" s="31"/>
      <c r="N771" s="31"/>
      <c r="O771" s="31"/>
      <c r="P771" s="31"/>
    </row>
    <row r="772" spans="7:16" ht="12.75">
      <c r="G772" s="31"/>
      <c r="H772" s="31"/>
      <c r="I772" s="31"/>
      <c r="J772" s="31"/>
      <c r="K772" s="31"/>
      <c r="L772" s="31"/>
      <c r="M772" s="31"/>
      <c r="N772" s="31"/>
      <c r="O772" s="31"/>
      <c r="P772" s="31"/>
    </row>
    <row r="773" spans="7:16" ht="12.75">
      <c r="G773" s="31"/>
      <c r="H773" s="31"/>
      <c r="I773" s="31"/>
      <c r="J773" s="31"/>
      <c r="K773" s="31"/>
      <c r="L773" s="31"/>
      <c r="M773" s="31"/>
      <c r="N773" s="31"/>
      <c r="O773" s="31"/>
      <c r="P773" s="31"/>
    </row>
    <row r="774" spans="7:16" ht="12.75">
      <c r="G774" s="31"/>
      <c r="H774" s="31"/>
      <c r="I774" s="31"/>
      <c r="J774" s="31"/>
      <c r="K774" s="31"/>
      <c r="L774" s="31"/>
      <c r="M774" s="31"/>
      <c r="N774" s="31"/>
      <c r="O774" s="31"/>
      <c r="P774" s="31"/>
    </row>
    <row r="775" spans="7:16" ht="12.75">
      <c r="G775" s="31"/>
      <c r="H775" s="31"/>
      <c r="I775" s="31"/>
      <c r="J775" s="31"/>
      <c r="K775" s="31"/>
      <c r="L775" s="31"/>
      <c r="M775" s="31"/>
      <c r="N775" s="31"/>
      <c r="O775" s="31"/>
      <c r="P775" s="31"/>
    </row>
    <row r="776" spans="7:16" ht="12.75">
      <c r="G776" s="31"/>
      <c r="H776" s="31"/>
      <c r="I776" s="31"/>
      <c r="J776" s="31"/>
      <c r="K776" s="31"/>
      <c r="L776" s="31"/>
      <c r="M776" s="31"/>
      <c r="N776" s="31"/>
      <c r="O776" s="31"/>
      <c r="P776" s="31"/>
    </row>
    <row r="777" spans="7:16" ht="12.75">
      <c r="G777" s="31"/>
      <c r="H777" s="31"/>
      <c r="I777" s="31"/>
      <c r="J777" s="31"/>
      <c r="K777" s="31"/>
      <c r="L777" s="31"/>
      <c r="M777" s="31"/>
      <c r="N777" s="31"/>
      <c r="O777" s="31"/>
      <c r="P777" s="31"/>
    </row>
    <row r="778" spans="7:16" ht="12.75">
      <c r="G778" s="31"/>
      <c r="H778" s="31"/>
      <c r="I778" s="31"/>
      <c r="J778" s="31"/>
      <c r="K778" s="31"/>
      <c r="L778" s="31"/>
      <c r="M778" s="31"/>
      <c r="N778" s="31"/>
      <c r="O778" s="31"/>
      <c r="P778" s="31"/>
    </row>
    <row r="779" spans="7:16" ht="12.75">
      <c r="G779" s="31"/>
      <c r="H779" s="31"/>
      <c r="I779" s="31"/>
      <c r="J779" s="31"/>
      <c r="K779" s="31"/>
      <c r="L779" s="31"/>
      <c r="M779" s="31"/>
      <c r="N779" s="31"/>
      <c r="O779" s="31"/>
      <c r="P779" s="31"/>
    </row>
    <row r="780" spans="7:16" ht="12.75">
      <c r="G780" s="31"/>
      <c r="H780" s="31"/>
      <c r="I780" s="31"/>
      <c r="J780" s="31"/>
      <c r="K780" s="31"/>
      <c r="L780" s="31"/>
      <c r="M780" s="31"/>
      <c r="N780" s="31"/>
      <c r="O780" s="31"/>
      <c r="P780" s="31"/>
    </row>
    <row r="781" spans="7:16" ht="12.75">
      <c r="G781" s="31"/>
      <c r="H781" s="31"/>
      <c r="I781" s="31"/>
      <c r="J781" s="31"/>
      <c r="K781" s="31"/>
      <c r="L781" s="31"/>
      <c r="M781" s="31"/>
      <c r="N781" s="31"/>
      <c r="O781" s="31"/>
      <c r="P781" s="31"/>
    </row>
    <row r="782" spans="7:16" ht="12.75">
      <c r="G782" s="31"/>
      <c r="H782" s="31"/>
      <c r="I782" s="31"/>
      <c r="J782" s="31"/>
      <c r="K782" s="31"/>
      <c r="L782" s="31"/>
      <c r="M782" s="31"/>
      <c r="N782" s="31"/>
      <c r="O782" s="31"/>
      <c r="P782" s="31"/>
    </row>
    <row r="783" spans="7:16" ht="12.75">
      <c r="G783" s="31"/>
      <c r="H783" s="31"/>
      <c r="I783" s="31"/>
      <c r="J783" s="31"/>
      <c r="K783" s="31"/>
      <c r="L783" s="31"/>
      <c r="M783" s="31"/>
      <c r="N783" s="31"/>
      <c r="O783" s="31"/>
      <c r="P783" s="31"/>
    </row>
    <row r="784" spans="7:16" ht="12.75">
      <c r="G784" s="31"/>
      <c r="H784" s="31"/>
      <c r="I784" s="31"/>
      <c r="J784" s="31"/>
      <c r="K784" s="31"/>
      <c r="L784" s="31"/>
      <c r="M784" s="31"/>
      <c r="N784" s="31"/>
      <c r="O784" s="31"/>
      <c r="P784" s="31"/>
    </row>
    <row r="785" spans="7:16" ht="12.75">
      <c r="G785" s="31"/>
      <c r="H785" s="31"/>
      <c r="I785" s="31"/>
      <c r="J785" s="31"/>
      <c r="K785" s="31"/>
      <c r="L785" s="31"/>
      <c r="M785" s="31"/>
      <c r="N785" s="31"/>
      <c r="O785" s="31"/>
      <c r="P785" s="31"/>
    </row>
    <row r="786" spans="7:16" ht="12.75">
      <c r="G786" s="31"/>
      <c r="H786" s="31"/>
      <c r="I786" s="31"/>
      <c r="J786" s="31"/>
      <c r="K786" s="31"/>
      <c r="L786" s="31"/>
      <c r="M786" s="31"/>
      <c r="N786" s="31"/>
      <c r="O786" s="31"/>
      <c r="P786" s="31"/>
    </row>
    <row r="787" spans="7:16" ht="12.75">
      <c r="G787" s="31"/>
      <c r="H787" s="31"/>
      <c r="I787" s="31"/>
      <c r="J787" s="31"/>
      <c r="K787" s="31"/>
      <c r="L787" s="31"/>
      <c r="M787" s="31"/>
      <c r="N787" s="31"/>
      <c r="O787" s="31"/>
      <c r="P787" s="31"/>
    </row>
    <row r="788" spans="7:16" ht="12.75">
      <c r="G788" s="31"/>
      <c r="H788" s="31"/>
      <c r="I788" s="31"/>
      <c r="J788" s="31"/>
      <c r="K788" s="31"/>
      <c r="L788" s="31"/>
      <c r="M788" s="31"/>
      <c r="N788" s="31"/>
      <c r="O788" s="31"/>
      <c r="P788" s="31"/>
    </row>
    <row r="789" spans="7:16" ht="12.75">
      <c r="G789" s="31"/>
      <c r="H789" s="31"/>
      <c r="I789" s="31"/>
      <c r="J789" s="31"/>
      <c r="K789" s="31"/>
      <c r="L789" s="31"/>
      <c r="M789" s="31"/>
      <c r="N789" s="31"/>
      <c r="O789" s="31"/>
      <c r="P789" s="31"/>
    </row>
    <row r="790" spans="7:16" ht="12.75">
      <c r="G790" s="31"/>
      <c r="H790" s="31"/>
      <c r="I790" s="31"/>
      <c r="J790" s="31"/>
      <c r="K790" s="31"/>
      <c r="L790" s="31"/>
      <c r="M790" s="31"/>
      <c r="N790" s="31"/>
      <c r="O790" s="31"/>
      <c r="P790" s="31"/>
    </row>
    <row r="791" spans="7:16" ht="12.75">
      <c r="G791" s="31"/>
      <c r="H791" s="31"/>
      <c r="I791" s="31"/>
      <c r="J791" s="31"/>
      <c r="K791" s="31"/>
      <c r="L791" s="31"/>
      <c r="M791" s="31"/>
      <c r="N791" s="31"/>
      <c r="O791" s="31"/>
      <c r="P791" s="31"/>
    </row>
    <row r="792" spans="7:16" ht="12.75">
      <c r="G792" s="31"/>
      <c r="H792" s="31"/>
      <c r="I792" s="31"/>
      <c r="J792" s="31"/>
      <c r="K792" s="31"/>
      <c r="L792" s="31"/>
      <c r="M792" s="31"/>
      <c r="N792" s="31"/>
      <c r="O792" s="31"/>
      <c r="P792" s="31"/>
    </row>
    <row r="793" spans="7:16" ht="12.75">
      <c r="G793" s="31"/>
      <c r="H793" s="31"/>
      <c r="I793" s="31"/>
      <c r="J793" s="31"/>
      <c r="K793" s="31"/>
      <c r="L793" s="31"/>
      <c r="M793" s="31"/>
      <c r="N793" s="31"/>
      <c r="O793" s="31"/>
      <c r="P793" s="31"/>
    </row>
    <row r="794" spans="7:16" ht="12.75">
      <c r="G794" s="31"/>
      <c r="H794" s="31"/>
      <c r="I794" s="31"/>
      <c r="J794" s="31"/>
      <c r="K794" s="31"/>
      <c r="L794" s="31"/>
      <c r="M794" s="31"/>
      <c r="N794" s="31"/>
      <c r="O794" s="31"/>
      <c r="P794" s="31"/>
    </row>
    <row r="795" spans="7:16" ht="12.75">
      <c r="G795" s="31"/>
      <c r="H795" s="31"/>
      <c r="I795" s="31"/>
      <c r="J795" s="31"/>
      <c r="K795" s="31"/>
      <c r="L795" s="31"/>
      <c r="M795" s="31"/>
      <c r="N795" s="31"/>
      <c r="O795" s="31"/>
      <c r="P795" s="31"/>
    </row>
    <row r="796" spans="7:16" ht="12.75">
      <c r="G796" s="31"/>
      <c r="H796" s="31"/>
      <c r="I796" s="31"/>
      <c r="J796" s="31"/>
      <c r="K796" s="31"/>
      <c r="L796" s="31"/>
      <c r="M796" s="31"/>
      <c r="N796" s="31"/>
      <c r="O796" s="31"/>
      <c r="P796" s="31"/>
    </row>
    <row r="797" spans="7:16" ht="12.75">
      <c r="G797" s="31"/>
      <c r="H797" s="31"/>
      <c r="I797" s="31"/>
      <c r="J797" s="31"/>
      <c r="K797" s="31"/>
      <c r="L797" s="31"/>
      <c r="M797" s="31"/>
      <c r="N797" s="31"/>
      <c r="O797" s="31"/>
      <c r="P797" s="31"/>
    </row>
    <row r="798" spans="7:16" ht="12.75">
      <c r="G798" s="31"/>
      <c r="H798" s="31"/>
      <c r="I798" s="31"/>
      <c r="J798" s="31"/>
      <c r="K798" s="31"/>
      <c r="L798" s="31"/>
      <c r="M798" s="31"/>
      <c r="N798" s="31"/>
      <c r="O798" s="31"/>
      <c r="P798" s="31"/>
    </row>
    <row r="799" spans="7:16" ht="12.75">
      <c r="G799" s="31"/>
      <c r="H799" s="31"/>
      <c r="I799" s="31"/>
      <c r="J799" s="31"/>
      <c r="K799" s="31"/>
      <c r="L799" s="31"/>
      <c r="M799" s="31"/>
      <c r="N799" s="31"/>
      <c r="O799" s="31"/>
      <c r="P799" s="31"/>
    </row>
    <row r="800" spans="7:16" ht="12.75">
      <c r="G800" s="31"/>
      <c r="H800" s="31"/>
      <c r="I800" s="31"/>
      <c r="J800" s="31"/>
      <c r="K800" s="31"/>
      <c r="L800" s="31"/>
      <c r="M800" s="31"/>
      <c r="N800" s="31"/>
      <c r="O800" s="31"/>
      <c r="P800" s="31"/>
    </row>
    <row r="801" spans="7:16" ht="12.75">
      <c r="G801" s="31"/>
      <c r="H801" s="31"/>
      <c r="I801" s="31"/>
      <c r="J801" s="31"/>
      <c r="K801" s="31"/>
      <c r="L801" s="31"/>
      <c r="M801" s="31"/>
      <c r="N801" s="31"/>
      <c r="O801" s="31"/>
      <c r="P801" s="31"/>
    </row>
    <row r="802" spans="7:16" ht="12.75">
      <c r="G802" s="31"/>
      <c r="H802" s="31"/>
      <c r="I802" s="31"/>
      <c r="J802" s="31"/>
      <c r="K802" s="31"/>
      <c r="L802" s="31"/>
      <c r="M802" s="31"/>
      <c r="N802" s="31"/>
      <c r="O802" s="31"/>
      <c r="P802" s="31"/>
    </row>
    <row r="803" spans="7:16" ht="12.75">
      <c r="G803" s="31"/>
      <c r="H803" s="31"/>
      <c r="I803" s="31"/>
      <c r="J803" s="31"/>
      <c r="K803" s="31"/>
      <c r="L803" s="31"/>
      <c r="M803" s="31"/>
      <c r="N803" s="31"/>
      <c r="O803" s="31"/>
      <c r="P803" s="31"/>
    </row>
    <row r="804" spans="7:16" ht="12.75">
      <c r="G804" s="31"/>
      <c r="H804" s="31"/>
      <c r="I804" s="31"/>
      <c r="J804" s="31"/>
      <c r="K804" s="31"/>
      <c r="L804" s="31"/>
      <c r="M804" s="31"/>
      <c r="N804" s="31"/>
      <c r="O804" s="31"/>
      <c r="P804" s="31"/>
    </row>
    <row r="805" spans="7:16" ht="12.75">
      <c r="G805" s="31"/>
      <c r="H805" s="31"/>
      <c r="I805" s="31"/>
      <c r="J805" s="31"/>
      <c r="K805" s="31"/>
      <c r="L805" s="31"/>
      <c r="M805" s="31"/>
      <c r="N805" s="31"/>
      <c r="O805" s="31"/>
      <c r="P805" s="31"/>
    </row>
    <row r="806" spans="7:16" ht="12.75">
      <c r="G806" s="31"/>
      <c r="H806" s="31"/>
      <c r="I806" s="31"/>
      <c r="J806" s="31"/>
      <c r="K806" s="31"/>
      <c r="L806" s="31"/>
      <c r="M806" s="31"/>
      <c r="N806" s="31"/>
      <c r="O806" s="31"/>
      <c r="P806" s="31"/>
    </row>
    <row r="807" spans="7:16" ht="12.75">
      <c r="G807" s="31"/>
      <c r="H807" s="31"/>
      <c r="I807" s="31"/>
      <c r="J807" s="31"/>
      <c r="K807" s="31"/>
      <c r="L807" s="31"/>
      <c r="M807" s="31"/>
      <c r="N807" s="31"/>
      <c r="O807" s="31"/>
      <c r="P807" s="31"/>
    </row>
    <row r="808" spans="7:16" ht="12.75">
      <c r="G808" s="31"/>
      <c r="H808" s="31"/>
      <c r="I808" s="31"/>
      <c r="J808" s="31"/>
      <c r="K808" s="31"/>
      <c r="L808" s="31"/>
      <c r="M808" s="31"/>
      <c r="N808" s="31"/>
      <c r="O808" s="31"/>
      <c r="P808" s="31"/>
    </row>
    <row r="809" spans="7:16" ht="12.75">
      <c r="G809" s="31"/>
      <c r="H809" s="31"/>
      <c r="I809" s="31"/>
      <c r="J809" s="31"/>
      <c r="K809" s="31"/>
      <c r="L809" s="31"/>
      <c r="M809" s="31"/>
      <c r="N809" s="31"/>
      <c r="O809" s="31"/>
      <c r="P809" s="31"/>
    </row>
    <row r="810" spans="7:16" ht="12.75">
      <c r="G810" s="31"/>
      <c r="H810" s="31"/>
      <c r="I810" s="31"/>
      <c r="J810" s="31"/>
      <c r="K810" s="31"/>
      <c r="L810" s="31"/>
      <c r="M810" s="31"/>
      <c r="N810" s="31"/>
      <c r="O810" s="31"/>
      <c r="P810" s="31"/>
    </row>
    <row r="811" spans="7:16" ht="12.75">
      <c r="G811" s="31"/>
      <c r="H811" s="31"/>
      <c r="I811" s="31"/>
      <c r="J811" s="31"/>
      <c r="K811" s="31"/>
      <c r="L811" s="31"/>
      <c r="M811" s="31"/>
      <c r="N811" s="31"/>
      <c r="O811" s="31"/>
      <c r="P811" s="31"/>
    </row>
    <row r="812" spans="7:16" ht="12.75">
      <c r="G812" s="31"/>
      <c r="H812" s="31"/>
      <c r="I812" s="31"/>
      <c r="J812" s="31"/>
      <c r="K812" s="31"/>
      <c r="L812" s="31"/>
      <c r="M812" s="31"/>
      <c r="N812" s="31"/>
      <c r="O812" s="31"/>
      <c r="P812" s="31"/>
    </row>
    <row r="813" spans="7:16" ht="12.75">
      <c r="G813" s="31"/>
      <c r="H813" s="31"/>
      <c r="I813" s="31"/>
      <c r="J813" s="31"/>
      <c r="K813" s="31"/>
      <c r="L813" s="31"/>
      <c r="M813" s="31"/>
      <c r="N813" s="31"/>
      <c r="O813" s="31"/>
      <c r="P813" s="31"/>
    </row>
    <row r="814" spans="7:16" ht="12.75">
      <c r="G814" s="31"/>
      <c r="H814" s="31"/>
      <c r="I814" s="31"/>
      <c r="J814" s="31"/>
      <c r="K814" s="31"/>
      <c r="L814" s="31"/>
      <c r="M814" s="31"/>
      <c r="N814" s="31"/>
      <c r="O814" s="31"/>
      <c r="P814" s="31"/>
    </row>
    <row r="815" spans="7:16" ht="12.75">
      <c r="G815" s="31"/>
      <c r="H815" s="31"/>
      <c r="I815" s="31"/>
      <c r="J815" s="31"/>
      <c r="K815" s="31"/>
      <c r="L815" s="31"/>
      <c r="M815" s="31"/>
      <c r="N815" s="31"/>
      <c r="O815" s="31"/>
      <c r="P815" s="31"/>
    </row>
    <row r="816" spans="7:16" ht="12.75">
      <c r="G816" s="31"/>
      <c r="H816" s="31"/>
      <c r="I816" s="31"/>
      <c r="J816" s="31"/>
      <c r="K816" s="31"/>
      <c r="L816" s="31"/>
      <c r="M816" s="31"/>
      <c r="N816" s="31"/>
      <c r="O816" s="31"/>
      <c r="P816" s="31"/>
    </row>
    <row r="817" spans="7:16" ht="12.75">
      <c r="G817" s="31"/>
      <c r="H817" s="31"/>
      <c r="I817" s="31"/>
      <c r="J817" s="31"/>
      <c r="K817" s="31"/>
      <c r="L817" s="31"/>
      <c r="M817" s="31"/>
      <c r="N817" s="31"/>
      <c r="O817" s="31"/>
      <c r="P817" s="31"/>
    </row>
    <row r="818" spans="7:16" ht="12.75">
      <c r="G818" s="31"/>
      <c r="H818" s="31"/>
      <c r="I818" s="31"/>
      <c r="J818" s="31"/>
      <c r="K818" s="31"/>
      <c r="L818" s="31"/>
      <c r="M818" s="31"/>
      <c r="N818" s="31"/>
      <c r="O818" s="31"/>
      <c r="P818" s="31"/>
    </row>
    <row r="819" spans="7:16" ht="12.75">
      <c r="G819" s="31"/>
      <c r="H819" s="31"/>
      <c r="I819" s="31"/>
      <c r="J819" s="31"/>
      <c r="K819" s="31"/>
      <c r="L819" s="31"/>
      <c r="M819" s="31"/>
      <c r="N819" s="31"/>
      <c r="O819" s="31"/>
      <c r="P819" s="31"/>
    </row>
    <row r="820" spans="7:16" ht="12.75">
      <c r="G820" s="31"/>
      <c r="H820" s="31"/>
      <c r="I820" s="31"/>
      <c r="J820" s="31"/>
      <c r="K820" s="31"/>
      <c r="L820" s="31"/>
      <c r="M820" s="31"/>
      <c r="N820" s="31"/>
      <c r="O820" s="31"/>
      <c r="P820" s="31"/>
    </row>
    <row r="821" spans="7:16" ht="12.75">
      <c r="G821" s="31"/>
      <c r="H821" s="31"/>
      <c r="I821" s="31"/>
      <c r="J821" s="31"/>
      <c r="K821" s="31"/>
      <c r="L821" s="31"/>
      <c r="M821" s="31"/>
      <c r="N821" s="31"/>
      <c r="O821" s="31"/>
      <c r="P821" s="31"/>
    </row>
    <row r="822" spans="7:16" ht="12.75">
      <c r="G822" s="31"/>
      <c r="H822" s="31"/>
      <c r="I822" s="31"/>
      <c r="J822" s="31"/>
      <c r="K822" s="31"/>
      <c r="L822" s="31"/>
      <c r="M822" s="31"/>
      <c r="N822" s="31"/>
      <c r="O822" s="31"/>
      <c r="P822" s="31"/>
    </row>
    <row r="823" spans="7:16" ht="12.75">
      <c r="G823" s="31"/>
      <c r="H823" s="31"/>
      <c r="I823" s="31"/>
      <c r="J823" s="31"/>
      <c r="K823" s="31"/>
      <c r="L823" s="31"/>
      <c r="M823" s="31"/>
      <c r="N823" s="31"/>
      <c r="O823" s="31"/>
      <c r="P823" s="31"/>
    </row>
    <row r="824" spans="7:16" ht="12.75">
      <c r="G824" s="31"/>
      <c r="H824" s="31"/>
      <c r="I824" s="31"/>
      <c r="J824" s="31"/>
      <c r="K824" s="31"/>
      <c r="L824" s="31"/>
      <c r="M824" s="31"/>
      <c r="N824" s="31"/>
      <c r="O824" s="31"/>
      <c r="P824" s="31"/>
    </row>
    <row r="825" spans="7:16" ht="12.75">
      <c r="G825" s="31"/>
      <c r="H825" s="31"/>
      <c r="I825" s="31"/>
      <c r="J825" s="31"/>
      <c r="K825" s="31"/>
      <c r="L825" s="31"/>
      <c r="M825" s="31"/>
      <c r="N825" s="31"/>
      <c r="O825" s="31"/>
      <c r="P825" s="31"/>
    </row>
    <row r="826" spans="7:16" ht="12.75">
      <c r="G826" s="31"/>
      <c r="H826" s="31"/>
      <c r="I826" s="31"/>
      <c r="J826" s="31"/>
      <c r="K826" s="31"/>
      <c r="L826" s="31"/>
      <c r="M826" s="31"/>
      <c r="N826" s="31"/>
      <c r="O826" s="31"/>
      <c r="P826" s="31"/>
    </row>
    <row r="827" spans="7:16" ht="12.75">
      <c r="G827" s="31"/>
      <c r="H827" s="31"/>
      <c r="I827" s="31"/>
      <c r="J827" s="31"/>
      <c r="K827" s="31"/>
      <c r="L827" s="31"/>
      <c r="M827" s="31"/>
      <c r="N827" s="31"/>
      <c r="O827" s="31"/>
      <c r="P827" s="31"/>
    </row>
    <row r="828" spans="7:16" ht="12.75">
      <c r="G828" s="31"/>
      <c r="H828" s="31"/>
      <c r="I828" s="31"/>
      <c r="J828" s="31"/>
      <c r="K828" s="31"/>
      <c r="L828" s="31"/>
      <c r="M828" s="31"/>
      <c r="N828" s="31"/>
      <c r="O828" s="31"/>
      <c r="P828" s="31"/>
    </row>
    <row r="829" spans="7:16" ht="12.75">
      <c r="G829" s="31"/>
      <c r="H829" s="31"/>
      <c r="I829" s="31"/>
      <c r="J829" s="31"/>
      <c r="K829" s="31"/>
      <c r="L829" s="31"/>
      <c r="M829" s="31"/>
      <c r="N829" s="31"/>
      <c r="O829" s="31"/>
      <c r="P829" s="31"/>
    </row>
    <row r="830" spans="7:16" ht="12.75">
      <c r="G830" s="31"/>
      <c r="H830" s="31"/>
      <c r="I830" s="31"/>
      <c r="J830" s="31"/>
      <c r="K830" s="31"/>
      <c r="L830" s="31"/>
      <c r="M830" s="31"/>
      <c r="N830" s="31"/>
      <c r="O830" s="31"/>
      <c r="P830" s="31"/>
    </row>
    <row r="831" spans="7:16" ht="12.75">
      <c r="G831" s="31"/>
      <c r="H831" s="31"/>
      <c r="I831" s="31"/>
      <c r="J831" s="31"/>
      <c r="K831" s="31"/>
      <c r="L831" s="31"/>
      <c r="M831" s="31"/>
      <c r="N831" s="31"/>
      <c r="O831" s="31"/>
      <c r="P831" s="31"/>
    </row>
    <row r="832" spans="7:16" ht="12.75">
      <c r="G832" s="31"/>
      <c r="H832" s="31"/>
      <c r="I832" s="31"/>
      <c r="J832" s="31"/>
      <c r="K832" s="31"/>
      <c r="L832" s="31"/>
      <c r="M832" s="31"/>
      <c r="N832" s="31"/>
      <c r="O832" s="31"/>
      <c r="P832" s="31"/>
    </row>
    <row r="833" spans="7:16" ht="12.75">
      <c r="G833" s="31"/>
      <c r="H833" s="31"/>
      <c r="I833" s="31"/>
      <c r="J833" s="31"/>
      <c r="K833" s="31"/>
      <c r="L833" s="31"/>
      <c r="M833" s="31"/>
      <c r="N833" s="31"/>
      <c r="O833" s="31"/>
      <c r="P833" s="31"/>
    </row>
    <row r="834" spans="7:16" ht="12.75">
      <c r="G834" s="31"/>
      <c r="H834" s="31"/>
      <c r="I834" s="31"/>
      <c r="J834" s="31"/>
      <c r="K834" s="31"/>
      <c r="L834" s="31"/>
      <c r="M834" s="31"/>
      <c r="N834" s="31"/>
      <c r="O834" s="31"/>
      <c r="P834" s="31"/>
    </row>
    <row r="835" spans="7:16" ht="12.75">
      <c r="G835" s="31"/>
      <c r="H835" s="31"/>
      <c r="I835" s="31"/>
      <c r="J835" s="31"/>
      <c r="K835" s="31"/>
      <c r="L835" s="31"/>
      <c r="M835" s="31"/>
      <c r="N835" s="31"/>
      <c r="O835" s="31"/>
      <c r="P835" s="31"/>
    </row>
    <row r="836" spans="7:16" ht="12.75">
      <c r="G836" s="31"/>
      <c r="H836" s="31"/>
      <c r="I836" s="31"/>
      <c r="J836" s="31"/>
      <c r="K836" s="31"/>
      <c r="L836" s="31"/>
      <c r="M836" s="31"/>
      <c r="N836" s="31"/>
      <c r="O836" s="31"/>
      <c r="P836" s="31"/>
    </row>
    <row r="837" spans="7:16" ht="12.75">
      <c r="G837" s="31"/>
      <c r="H837" s="31"/>
      <c r="I837" s="31"/>
      <c r="J837" s="31"/>
      <c r="K837" s="31"/>
      <c r="L837" s="31"/>
      <c r="M837" s="31"/>
      <c r="N837" s="31"/>
      <c r="O837" s="31"/>
      <c r="P837" s="31"/>
    </row>
    <row r="838" spans="7:16" ht="12.75">
      <c r="G838" s="31"/>
      <c r="H838" s="31"/>
      <c r="I838" s="31"/>
      <c r="J838" s="31"/>
      <c r="K838" s="31"/>
      <c r="L838" s="31"/>
      <c r="M838" s="31"/>
      <c r="N838" s="31"/>
      <c r="O838" s="31"/>
      <c r="P838" s="31"/>
    </row>
    <row r="839" spans="7:16" ht="12.75">
      <c r="G839" s="31"/>
      <c r="H839" s="31"/>
      <c r="I839" s="31"/>
      <c r="J839" s="31"/>
      <c r="K839" s="31"/>
      <c r="L839" s="31"/>
      <c r="M839" s="31"/>
      <c r="N839" s="31"/>
      <c r="O839" s="31"/>
      <c r="P839" s="31"/>
    </row>
    <row r="840" spans="7:16" ht="12.75">
      <c r="G840" s="31"/>
      <c r="H840" s="31"/>
      <c r="I840" s="31"/>
      <c r="J840" s="31"/>
      <c r="K840" s="31"/>
      <c r="L840" s="31"/>
      <c r="M840" s="31"/>
      <c r="N840" s="31"/>
      <c r="O840" s="31"/>
      <c r="P840" s="31"/>
    </row>
    <row r="841" spans="7:16" ht="12.75">
      <c r="G841" s="31"/>
      <c r="H841" s="31"/>
      <c r="I841" s="31"/>
      <c r="J841" s="31"/>
      <c r="K841" s="31"/>
      <c r="L841" s="31"/>
      <c r="M841" s="31"/>
      <c r="N841" s="31"/>
      <c r="O841" s="31"/>
      <c r="P841" s="31"/>
    </row>
    <row r="842" spans="7:16" ht="12.75">
      <c r="G842" s="31"/>
      <c r="H842" s="31"/>
      <c r="I842" s="31"/>
      <c r="J842" s="31"/>
      <c r="K842" s="31"/>
      <c r="L842" s="31"/>
      <c r="M842" s="31"/>
      <c r="N842" s="31"/>
      <c r="O842" s="31"/>
      <c r="P842" s="31"/>
    </row>
    <row r="843" spans="7:16" ht="12.75">
      <c r="G843" s="31"/>
      <c r="H843" s="31"/>
      <c r="I843" s="31"/>
      <c r="J843" s="31"/>
      <c r="K843" s="31"/>
      <c r="L843" s="31"/>
      <c r="M843" s="31"/>
      <c r="N843" s="31"/>
      <c r="O843" s="31"/>
      <c r="P843" s="31"/>
    </row>
    <row r="844" spans="7:16" ht="12.75">
      <c r="G844" s="31"/>
      <c r="H844" s="31"/>
      <c r="I844" s="31"/>
      <c r="J844" s="31"/>
      <c r="K844" s="31"/>
      <c r="L844" s="31"/>
      <c r="M844" s="31"/>
      <c r="N844" s="31"/>
      <c r="O844" s="31"/>
      <c r="P844" s="31"/>
    </row>
    <row r="845" spans="7:16" ht="12.75">
      <c r="G845" s="31"/>
      <c r="H845" s="31"/>
      <c r="I845" s="31"/>
      <c r="J845" s="31"/>
      <c r="K845" s="31"/>
      <c r="L845" s="31"/>
      <c r="M845" s="31"/>
      <c r="N845" s="31"/>
      <c r="O845" s="31"/>
      <c r="P845" s="31"/>
    </row>
    <row r="846" spans="7:16" ht="12.75">
      <c r="G846" s="31"/>
      <c r="H846" s="31"/>
      <c r="I846" s="31"/>
      <c r="J846" s="31"/>
      <c r="K846" s="31"/>
      <c r="L846" s="31"/>
      <c r="M846" s="31"/>
      <c r="N846" s="31"/>
      <c r="O846" s="31"/>
      <c r="P846" s="31"/>
    </row>
    <row r="847" spans="7:16" ht="12.75">
      <c r="G847" s="31"/>
      <c r="H847" s="31"/>
      <c r="I847" s="31"/>
      <c r="J847" s="31"/>
      <c r="K847" s="31"/>
      <c r="L847" s="31"/>
      <c r="M847" s="31"/>
      <c r="N847" s="31"/>
      <c r="O847" s="31"/>
      <c r="P847" s="31"/>
    </row>
    <row r="848" spans="7:16" ht="12.75">
      <c r="G848" s="31"/>
      <c r="H848" s="31"/>
      <c r="I848" s="31"/>
      <c r="J848" s="31"/>
      <c r="K848" s="31"/>
      <c r="L848" s="31"/>
      <c r="M848" s="31"/>
      <c r="N848" s="31"/>
      <c r="O848" s="31"/>
      <c r="P848" s="31"/>
    </row>
    <row r="849" spans="7:16" ht="12.75">
      <c r="G849" s="31"/>
      <c r="H849" s="31"/>
      <c r="I849" s="31"/>
      <c r="J849" s="31"/>
      <c r="K849" s="31"/>
      <c r="L849" s="31"/>
      <c r="M849" s="31"/>
      <c r="N849" s="31"/>
      <c r="O849" s="31"/>
      <c r="P849" s="31"/>
    </row>
    <row r="850" spans="7:16" ht="12.75">
      <c r="G850" s="31"/>
      <c r="H850" s="31"/>
      <c r="I850" s="31"/>
      <c r="J850" s="31"/>
      <c r="K850" s="31"/>
      <c r="L850" s="31"/>
      <c r="M850" s="31"/>
      <c r="N850" s="31"/>
      <c r="O850" s="31"/>
      <c r="P850" s="31"/>
    </row>
    <row r="851" spans="7:16" ht="12.75">
      <c r="G851" s="31"/>
      <c r="H851" s="31"/>
      <c r="I851" s="31"/>
      <c r="J851" s="31"/>
      <c r="K851" s="31"/>
      <c r="L851" s="31"/>
      <c r="M851" s="31"/>
      <c r="N851" s="31"/>
      <c r="O851" s="31"/>
      <c r="P851" s="31"/>
    </row>
    <row r="852" spans="7:16" ht="12.75">
      <c r="G852" s="31"/>
      <c r="H852" s="31"/>
      <c r="I852" s="31"/>
      <c r="J852" s="31"/>
      <c r="K852" s="31"/>
      <c r="L852" s="31"/>
      <c r="M852" s="31"/>
      <c r="N852" s="31"/>
      <c r="O852" s="31"/>
      <c r="P852" s="31"/>
    </row>
    <row r="853" spans="7:16" ht="12.75">
      <c r="G853" s="31"/>
      <c r="H853" s="31"/>
      <c r="I853" s="31"/>
      <c r="J853" s="31"/>
      <c r="K853" s="31"/>
      <c r="L853" s="31"/>
      <c r="M853" s="31"/>
      <c r="N853" s="31"/>
      <c r="O853" s="31"/>
      <c r="P853" s="31"/>
    </row>
    <row r="854" spans="7:16" ht="12.75">
      <c r="G854" s="31"/>
      <c r="H854" s="31"/>
      <c r="I854" s="31"/>
      <c r="J854" s="31"/>
      <c r="K854" s="31"/>
      <c r="L854" s="31"/>
      <c r="M854" s="31"/>
      <c r="N854" s="31"/>
      <c r="O854" s="31"/>
      <c r="P854" s="31"/>
    </row>
    <row r="855" spans="7:16" ht="12.75">
      <c r="G855" s="31"/>
      <c r="H855" s="31"/>
      <c r="I855" s="31"/>
      <c r="J855" s="31"/>
      <c r="K855" s="31"/>
      <c r="L855" s="31"/>
      <c r="M855" s="31"/>
      <c r="N855" s="31"/>
      <c r="O855" s="31"/>
      <c r="P855" s="31"/>
    </row>
    <row r="856" spans="7:16" ht="12.75">
      <c r="G856" s="31"/>
      <c r="H856" s="31"/>
      <c r="I856" s="31"/>
      <c r="J856" s="31"/>
      <c r="K856" s="31"/>
      <c r="L856" s="31"/>
      <c r="M856" s="31"/>
      <c r="N856" s="31"/>
      <c r="O856" s="31"/>
      <c r="P856" s="31"/>
    </row>
    <row r="857" spans="7:16" ht="12.75">
      <c r="G857" s="31"/>
      <c r="H857" s="31"/>
      <c r="I857" s="31"/>
      <c r="J857" s="31"/>
      <c r="K857" s="31"/>
      <c r="L857" s="31"/>
      <c r="M857" s="31"/>
      <c r="N857" s="31"/>
      <c r="O857" s="31"/>
      <c r="P857" s="31"/>
    </row>
    <row r="858" spans="7:16" ht="12.75">
      <c r="G858" s="31"/>
      <c r="H858" s="31"/>
      <c r="I858" s="31"/>
      <c r="J858" s="31"/>
      <c r="K858" s="31"/>
      <c r="L858" s="31"/>
      <c r="M858" s="31"/>
      <c r="N858" s="31"/>
      <c r="O858" s="31"/>
      <c r="P858" s="31"/>
    </row>
    <row r="859" spans="7:16" ht="12.75">
      <c r="G859" s="31"/>
      <c r="H859" s="31"/>
      <c r="I859" s="31"/>
      <c r="J859" s="31"/>
      <c r="K859" s="31"/>
      <c r="L859" s="31"/>
      <c r="M859" s="31"/>
      <c r="N859" s="31"/>
      <c r="O859" s="31"/>
      <c r="P859" s="31"/>
    </row>
    <row r="860" spans="7:16" ht="12.75">
      <c r="G860" s="31"/>
      <c r="H860" s="31"/>
      <c r="I860" s="31"/>
      <c r="J860" s="31"/>
      <c r="K860" s="31"/>
      <c r="L860" s="31"/>
      <c r="M860" s="31"/>
      <c r="N860" s="31"/>
      <c r="O860" s="31"/>
      <c r="P860" s="31"/>
    </row>
    <row r="861" spans="7:16" ht="12.75">
      <c r="G861" s="31"/>
      <c r="H861" s="31"/>
      <c r="I861" s="31"/>
      <c r="J861" s="31"/>
      <c r="K861" s="31"/>
      <c r="L861" s="31"/>
      <c r="M861" s="31"/>
      <c r="N861" s="31"/>
      <c r="O861" s="31"/>
      <c r="P861" s="31"/>
    </row>
    <row r="862" spans="7:16" ht="12.75">
      <c r="G862" s="31"/>
      <c r="H862" s="31"/>
      <c r="I862" s="31"/>
      <c r="J862" s="31"/>
      <c r="K862" s="31"/>
      <c r="L862" s="31"/>
      <c r="M862" s="31"/>
      <c r="N862" s="31"/>
      <c r="O862" s="31"/>
      <c r="P862" s="31"/>
    </row>
    <row r="863" spans="7:16" ht="12.75">
      <c r="G863" s="31"/>
      <c r="H863" s="31"/>
      <c r="I863" s="31"/>
      <c r="J863" s="31"/>
      <c r="K863" s="31"/>
      <c r="L863" s="31"/>
      <c r="M863" s="31"/>
      <c r="N863" s="31"/>
      <c r="O863" s="31"/>
      <c r="P863" s="31"/>
    </row>
    <row r="864" spans="7:16" ht="12.75">
      <c r="G864" s="31"/>
      <c r="H864" s="31"/>
      <c r="I864" s="31"/>
      <c r="J864" s="31"/>
      <c r="K864" s="31"/>
      <c r="L864" s="31"/>
      <c r="M864" s="31"/>
      <c r="N864" s="31"/>
      <c r="O864" s="31"/>
      <c r="P864" s="31"/>
    </row>
    <row r="865" spans="7:16" ht="12.75">
      <c r="G865" s="31"/>
      <c r="H865" s="31"/>
      <c r="I865" s="31"/>
      <c r="J865" s="31"/>
      <c r="K865" s="31"/>
      <c r="L865" s="31"/>
      <c r="M865" s="31"/>
      <c r="N865" s="31"/>
      <c r="O865" s="31"/>
      <c r="P865" s="31"/>
    </row>
    <row r="866" spans="7:16" ht="12.75">
      <c r="G866" s="31"/>
      <c r="H866" s="31"/>
      <c r="I866" s="31"/>
      <c r="J866" s="31"/>
      <c r="K866" s="31"/>
      <c r="L866" s="31"/>
      <c r="M866" s="31"/>
      <c r="N866" s="31"/>
      <c r="O866" s="31"/>
      <c r="P866" s="31"/>
    </row>
    <row r="867" spans="7:16" ht="12.75">
      <c r="G867" s="31"/>
      <c r="H867" s="31"/>
      <c r="I867" s="31"/>
      <c r="J867" s="31"/>
      <c r="K867" s="31"/>
      <c r="L867" s="31"/>
      <c r="M867" s="31"/>
      <c r="N867" s="31"/>
      <c r="O867" s="31"/>
      <c r="P867" s="31"/>
    </row>
    <row r="868" spans="7:16" ht="12.75">
      <c r="G868" s="31"/>
      <c r="H868" s="31"/>
      <c r="I868" s="31"/>
      <c r="J868" s="31"/>
      <c r="K868" s="31"/>
      <c r="L868" s="31"/>
      <c r="M868" s="31"/>
      <c r="N868" s="31"/>
      <c r="O868" s="31"/>
      <c r="P868" s="31"/>
    </row>
    <row r="869" spans="7:16" ht="12.75">
      <c r="G869" s="31"/>
      <c r="H869" s="31"/>
      <c r="I869" s="31"/>
      <c r="J869" s="31"/>
      <c r="K869" s="31"/>
      <c r="L869" s="31"/>
      <c r="M869" s="31"/>
      <c r="N869" s="31"/>
      <c r="O869" s="31"/>
      <c r="P869" s="31"/>
    </row>
    <row r="870" spans="7:16" ht="12.75">
      <c r="G870" s="31"/>
      <c r="H870" s="31"/>
      <c r="I870" s="31"/>
      <c r="J870" s="31"/>
      <c r="K870" s="31"/>
      <c r="L870" s="31"/>
      <c r="M870" s="31"/>
      <c r="N870" s="31"/>
      <c r="O870" s="31"/>
      <c r="P870" s="31"/>
    </row>
    <row r="871" spans="7:16" ht="12.75">
      <c r="G871" s="31"/>
      <c r="H871" s="31"/>
      <c r="I871" s="31"/>
      <c r="J871" s="31"/>
      <c r="K871" s="31"/>
      <c r="L871" s="31"/>
      <c r="M871" s="31"/>
      <c r="N871" s="31"/>
      <c r="O871" s="31"/>
      <c r="P871" s="31"/>
    </row>
    <row r="872" spans="7:16" ht="12.75">
      <c r="G872" s="31"/>
      <c r="H872" s="31"/>
      <c r="I872" s="31"/>
      <c r="J872" s="31"/>
      <c r="K872" s="31"/>
      <c r="L872" s="31"/>
      <c r="M872" s="31"/>
      <c r="N872" s="31"/>
      <c r="O872" s="31"/>
      <c r="P872" s="31"/>
    </row>
    <row r="873" spans="7:16" ht="12.75">
      <c r="G873" s="31"/>
      <c r="H873" s="31"/>
      <c r="I873" s="31"/>
      <c r="J873" s="31"/>
      <c r="K873" s="31"/>
      <c r="L873" s="31"/>
      <c r="M873" s="31"/>
      <c r="N873" s="31"/>
      <c r="O873" s="31"/>
      <c r="P873" s="31"/>
    </row>
    <row r="874" spans="7:16" ht="12.75">
      <c r="G874" s="31"/>
      <c r="H874" s="31"/>
      <c r="I874" s="31"/>
      <c r="J874" s="31"/>
      <c r="K874" s="31"/>
      <c r="L874" s="31"/>
      <c r="M874" s="31"/>
      <c r="N874" s="31"/>
      <c r="O874" s="31"/>
      <c r="P874" s="31"/>
    </row>
    <row r="875" spans="7:16" ht="12.75">
      <c r="G875" s="31"/>
      <c r="H875" s="31"/>
      <c r="I875" s="31"/>
      <c r="J875" s="31"/>
      <c r="K875" s="31"/>
      <c r="L875" s="31"/>
      <c r="M875" s="31"/>
      <c r="N875" s="31"/>
      <c r="O875" s="31"/>
      <c r="P875" s="31"/>
    </row>
    <row r="876" spans="7:16" ht="12.75">
      <c r="G876" s="31"/>
      <c r="H876" s="31"/>
      <c r="I876" s="31"/>
      <c r="J876" s="31"/>
      <c r="K876" s="31"/>
      <c r="L876" s="31"/>
      <c r="M876" s="31"/>
      <c r="N876" s="31"/>
      <c r="O876" s="31"/>
      <c r="P876" s="31"/>
    </row>
    <row r="877" spans="7:16" ht="12.75">
      <c r="G877" s="31"/>
      <c r="H877" s="31"/>
      <c r="I877" s="31"/>
      <c r="J877" s="31"/>
      <c r="K877" s="31"/>
      <c r="L877" s="31"/>
      <c r="M877" s="31"/>
      <c r="N877" s="31"/>
      <c r="O877" s="31"/>
      <c r="P877" s="31"/>
    </row>
    <row r="878" spans="7:16" ht="12.75">
      <c r="G878" s="31"/>
      <c r="H878" s="31"/>
      <c r="I878" s="31"/>
      <c r="J878" s="31"/>
      <c r="K878" s="31"/>
      <c r="L878" s="31"/>
      <c r="M878" s="31"/>
      <c r="N878" s="31"/>
      <c r="O878" s="31"/>
      <c r="P878" s="31"/>
    </row>
    <row r="879" spans="7:16" ht="12.75">
      <c r="G879" s="31"/>
      <c r="H879" s="31"/>
      <c r="I879" s="31"/>
      <c r="J879" s="31"/>
      <c r="K879" s="31"/>
      <c r="L879" s="31"/>
      <c r="M879" s="31"/>
      <c r="N879" s="31"/>
      <c r="O879" s="31"/>
      <c r="P879" s="31"/>
    </row>
    <row r="880" spans="7:16" ht="12.75">
      <c r="G880" s="31"/>
      <c r="H880" s="31"/>
      <c r="I880" s="31"/>
      <c r="J880" s="31"/>
      <c r="K880" s="31"/>
      <c r="L880" s="31"/>
      <c r="M880" s="31"/>
      <c r="N880" s="31"/>
      <c r="O880" s="31"/>
      <c r="P880" s="31"/>
    </row>
    <row r="881" spans="7:16" ht="12.75">
      <c r="G881" s="31"/>
      <c r="H881" s="31"/>
      <c r="I881" s="31"/>
      <c r="J881" s="31"/>
      <c r="K881" s="31"/>
      <c r="L881" s="31"/>
      <c r="M881" s="31"/>
      <c r="N881" s="31"/>
      <c r="O881" s="31"/>
      <c r="P881" s="31"/>
    </row>
    <row r="882" spans="7:16" ht="12.75">
      <c r="G882" s="31"/>
      <c r="H882" s="31"/>
      <c r="I882" s="31"/>
      <c r="J882" s="31"/>
      <c r="K882" s="31"/>
      <c r="L882" s="31"/>
      <c r="M882" s="31"/>
      <c r="N882" s="31"/>
      <c r="O882" s="31"/>
      <c r="P882" s="31"/>
    </row>
    <row r="883" spans="7:16" ht="12.75">
      <c r="G883" s="31"/>
      <c r="H883" s="31"/>
      <c r="I883" s="31"/>
      <c r="J883" s="31"/>
      <c r="K883" s="31"/>
      <c r="L883" s="31"/>
      <c r="M883" s="31"/>
      <c r="N883" s="31"/>
      <c r="O883" s="31"/>
      <c r="P883" s="31"/>
    </row>
    <row r="884" spans="7:16" ht="12.75">
      <c r="G884" s="31"/>
      <c r="H884" s="31"/>
      <c r="I884" s="31"/>
      <c r="J884" s="31"/>
      <c r="K884" s="31"/>
      <c r="L884" s="31"/>
      <c r="M884" s="31"/>
      <c r="N884" s="31"/>
      <c r="O884" s="31"/>
      <c r="P884" s="31"/>
    </row>
    <row r="885" spans="7:16" ht="12.75">
      <c r="G885" s="31"/>
      <c r="H885" s="31"/>
      <c r="I885" s="31"/>
      <c r="J885" s="31"/>
      <c r="K885" s="31"/>
      <c r="L885" s="31"/>
      <c r="M885" s="31"/>
      <c r="N885" s="31"/>
      <c r="O885" s="31"/>
      <c r="P885" s="31"/>
    </row>
    <row r="886" spans="7:16" ht="12.75">
      <c r="G886" s="31"/>
      <c r="H886" s="31"/>
      <c r="I886" s="31"/>
      <c r="J886" s="31"/>
      <c r="K886" s="31"/>
      <c r="L886" s="31"/>
      <c r="M886" s="31"/>
      <c r="N886" s="31"/>
      <c r="O886" s="31"/>
      <c r="P886" s="31"/>
    </row>
    <row r="887" spans="7:16" ht="12.75">
      <c r="G887" s="31"/>
      <c r="H887" s="31"/>
      <c r="I887" s="31"/>
      <c r="J887" s="31"/>
      <c r="K887" s="31"/>
      <c r="L887" s="31"/>
      <c r="M887" s="31"/>
      <c r="N887" s="31"/>
      <c r="O887" s="31"/>
      <c r="P887" s="31"/>
    </row>
    <row r="888" spans="7:16" ht="12.75">
      <c r="G888" s="31"/>
      <c r="H888" s="31"/>
      <c r="I888" s="31"/>
      <c r="J888" s="31"/>
      <c r="K888" s="31"/>
      <c r="L888" s="31"/>
      <c r="M888" s="31"/>
      <c r="N888" s="31"/>
      <c r="O888" s="31"/>
      <c r="P888" s="31"/>
    </row>
    <row r="889" spans="7:16" ht="12.75">
      <c r="G889" s="31"/>
      <c r="H889" s="31"/>
      <c r="I889" s="31"/>
      <c r="J889" s="31"/>
      <c r="K889" s="31"/>
      <c r="L889" s="31"/>
      <c r="M889" s="31"/>
      <c r="N889" s="31"/>
      <c r="O889" s="31"/>
      <c r="P889" s="31"/>
    </row>
    <row r="890" spans="7:16" ht="12.75">
      <c r="G890" s="31"/>
      <c r="H890" s="31"/>
      <c r="I890" s="31"/>
      <c r="J890" s="31"/>
      <c r="K890" s="31"/>
      <c r="L890" s="31"/>
      <c r="M890" s="31"/>
      <c r="N890" s="31"/>
      <c r="O890" s="31"/>
      <c r="P890" s="31"/>
    </row>
    <row r="891" spans="7:16" ht="12.75">
      <c r="G891" s="31"/>
      <c r="H891" s="31"/>
      <c r="I891" s="31"/>
      <c r="J891" s="31"/>
      <c r="K891" s="31"/>
      <c r="L891" s="31"/>
      <c r="M891" s="31"/>
      <c r="N891" s="31"/>
      <c r="O891" s="31"/>
      <c r="P891" s="31"/>
    </row>
    <row r="892" spans="7:16" ht="12.75">
      <c r="G892" s="31"/>
      <c r="H892" s="31"/>
      <c r="I892" s="31"/>
      <c r="J892" s="31"/>
      <c r="K892" s="31"/>
      <c r="L892" s="31"/>
      <c r="M892" s="31"/>
      <c r="N892" s="31"/>
      <c r="O892" s="31"/>
      <c r="P892" s="31"/>
    </row>
    <row r="893" spans="7:16" ht="12.75">
      <c r="G893" s="31"/>
      <c r="H893" s="31"/>
      <c r="I893" s="31"/>
      <c r="J893" s="31"/>
      <c r="K893" s="31"/>
      <c r="L893" s="31"/>
      <c r="M893" s="31"/>
      <c r="N893" s="31"/>
      <c r="O893" s="31"/>
      <c r="P893" s="31"/>
    </row>
    <row r="894" spans="7:16" ht="12.75">
      <c r="G894" s="31"/>
      <c r="H894" s="31"/>
      <c r="I894" s="31"/>
      <c r="J894" s="31"/>
      <c r="K894" s="31"/>
      <c r="L894" s="31"/>
      <c r="M894" s="31"/>
      <c r="N894" s="31"/>
      <c r="O894" s="31"/>
      <c r="P894" s="31"/>
    </row>
    <row r="895" spans="7:16" ht="12.75">
      <c r="G895" s="31"/>
      <c r="H895" s="31"/>
      <c r="I895" s="31"/>
      <c r="J895" s="31"/>
      <c r="K895" s="31"/>
      <c r="L895" s="31"/>
      <c r="M895" s="31"/>
      <c r="N895" s="31"/>
      <c r="O895" s="31"/>
      <c r="P895" s="31"/>
    </row>
    <row r="896" spans="7:16" ht="12.75">
      <c r="G896" s="31"/>
      <c r="H896" s="31"/>
      <c r="I896" s="31"/>
      <c r="J896" s="31"/>
      <c r="K896" s="31"/>
      <c r="L896" s="31"/>
      <c r="M896" s="31"/>
      <c r="N896" s="31"/>
      <c r="O896" s="31"/>
      <c r="P896" s="31"/>
    </row>
    <row r="897" spans="7:16" ht="12.75">
      <c r="G897" s="31"/>
      <c r="H897" s="31"/>
      <c r="I897" s="31"/>
      <c r="J897" s="31"/>
      <c r="K897" s="31"/>
      <c r="L897" s="31"/>
      <c r="M897" s="31"/>
      <c r="N897" s="31"/>
      <c r="O897" s="31"/>
      <c r="P897" s="31"/>
    </row>
    <row r="898" spans="7:16" ht="12.75">
      <c r="G898" s="31"/>
      <c r="H898" s="31"/>
      <c r="I898" s="31"/>
      <c r="J898" s="31"/>
      <c r="K898" s="31"/>
      <c r="L898" s="31"/>
      <c r="M898" s="31"/>
      <c r="N898" s="31"/>
      <c r="O898" s="31"/>
      <c r="P898" s="31"/>
    </row>
    <row r="899" spans="7:16" ht="12.75">
      <c r="G899" s="31"/>
      <c r="H899" s="31"/>
      <c r="I899" s="31"/>
      <c r="J899" s="31"/>
      <c r="K899" s="31"/>
      <c r="L899" s="31"/>
      <c r="M899" s="31"/>
      <c r="N899" s="31"/>
      <c r="O899" s="31"/>
      <c r="P899" s="31"/>
    </row>
    <row r="900" spans="7:16" ht="12.75">
      <c r="G900" s="31"/>
      <c r="H900" s="31"/>
      <c r="I900" s="31"/>
      <c r="J900" s="31"/>
      <c r="K900" s="31"/>
      <c r="L900" s="31"/>
      <c r="M900" s="31"/>
      <c r="N900" s="31"/>
      <c r="O900" s="31"/>
      <c r="P900" s="31"/>
    </row>
    <row r="901" spans="7:16" ht="12.75">
      <c r="G901" s="31"/>
      <c r="H901" s="31"/>
      <c r="I901" s="31"/>
      <c r="J901" s="31"/>
      <c r="K901" s="31"/>
      <c r="L901" s="31"/>
      <c r="M901" s="31"/>
      <c r="N901" s="31"/>
      <c r="O901" s="31"/>
      <c r="P901" s="31"/>
    </row>
    <row r="902" spans="7:16" ht="12.75">
      <c r="G902" s="31"/>
      <c r="H902" s="31"/>
      <c r="I902" s="31"/>
      <c r="J902" s="31"/>
      <c r="K902" s="31"/>
      <c r="L902" s="31"/>
      <c r="M902" s="31"/>
      <c r="N902" s="31"/>
      <c r="O902" s="31"/>
      <c r="P902" s="31"/>
    </row>
    <row r="903" spans="7:16" ht="12.75">
      <c r="G903" s="31"/>
      <c r="H903" s="31"/>
      <c r="I903" s="31"/>
      <c r="J903" s="31"/>
      <c r="K903" s="31"/>
      <c r="L903" s="31"/>
      <c r="M903" s="31"/>
      <c r="N903" s="31"/>
      <c r="O903" s="31"/>
      <c r="P903" s="31"/>
    </row>
    <row r="904" spans="7:16" ht="12.75">
      <c r="G904" s="31"/>
      <c r="H904" s="31"/>
      <c r="I904" s="31"/>
      <c r="J904" s="31"/>
      <c r="K904" s="31"/>
      <c r="L904" s="31"/>
      <c r="M904" s="31"/>
      <c r="N904" s="31"/>
      <c r="O904" s="31"/>
      <c r="P904" s="31"/>
    </row>
    <row r="905" spans="7:16" ht="12.75">
      <c r="G905" s="31"/>
      <c r="H905" s="31"/>
      <c r="I905" s="31"/>
      <c r="J905" s="31"/>
      <c r="K905" s="31"/>
      <c r="L905" s="31"/>
      <c r="M905" s="31"/>
      <c r="N905" s="31"/>
      <c r="O905" s="31"/>
      <c r="P905" s="31"/>
    </row>
    <row r="906" spans="7:16" ht="12.75">
      <c r="G906" s="31"/>
      <c r="H906" s="31"/>
      <c r="I906" s="31"/>
      <c r="J906" s="31"/>
      <c r="K906" s="31"/>
      <c r="L906" s="31"/>
      <c r="M906" s="31"/>
      <c r="N906" s="31"/>
      <c r="O906" s="31"/>
      <c r="P906" s="31"/>
    </row>
    <row r="907" spans="7:16" ht="12.75">
      <c r="G907" s="31"/>
      <c r="H907" s="31"/>
      <c r="I907" s="31"/>
      <c r="J907" s="31"/>
      <c r="K907" s="31"/>
      <c r="L907" s="31"/>
      <c r="M907" s="31"/>
      <c r="N907" s="31"/>
      <c r="O907" s="31"/>
      <c r="P907" s="31"/>
    </row>
    <row r="908" spans="7:16" ht="12.75">
      <c r="G908" s="31"/>
      <c r="H908" s="31"/>
      <c r="I908" s="31"/>
      <c r="J908" s="31"/>
      <c r="K908" s="31"/>
      <c r="L908" s="31"/>
      <c r="M908" s="31"/>
      <c r="N908" s="31"/>
      <c r="O908" s="31"/>
      <c r="P908" s="31"/>
    </row>
    <row r="909" spans="7:16" ht="12.75">
      <c r="G909" s="31"/>
      <c r="H909" s="31"/>
      <c r="I909" s="31"/>
      <c r="J909" s="31"/>
      <c r="K909" s="31"/>
      <c r="L909" s="31"/>
      <c r="M909" s="31"/>
      <c r="N909" s="31"/>
      <c r="O909" s="31"/>
      <c r="P909" s="31"/>
    </row>
    <row r="910" spans="7:16" ht="12.75">
      <c r="G910" s="31"/>
      <c r="H910" s="31"/>
      <c r="I910" s="31"/>
      <c r="J910" s="31"/>
      <c r="K910" s="31"/>
      <c r="L910" s="31"/>
      <c r="M910" s="31"/>
      <c r="N910" s="31"/>
      <c r="O910" s="31"/>
      <c r="P910" s="31"/>
    </row>
    <row r="911" spans="7:16" ht="12.75">
      <c r="G911" s="31"/>
      <c r="H911" s="31"/>
      <c r="I911" s="31"/>
      <c r="J911" s="31"/>
      <c r="K911" s="31"/>
      <c r="L911" s="31"/>
      <c r="M911" s="31"/>
      <c r="N911" s="31"/>
      <c r="O911" s="31"/>
      <c r="P911" s="31"/>
    </row>
    <row r="912" spans="7:16" ht="12.75">
      <c r="G912" s="31"/>
      <c r="H912" s="31"/>
      <c r="I912" s="31"/>
      <c r="J912" s="31"/>
      <c r="K912" s="31"/>
      <c r="L912" s="31"/>
      <c r="M912" s="31"/>
      <c r="N912" s="31"/>
      <c r="O912" s="31"/>
      <c r="P912" s="31"/>
    </row>
    <row r="913" spans="7:16" ht="12.75">
      <c r="G913" s="31"/>
      <c r="H913" s="31"/>
      <c r="I913" s="31"/>
      <c r="J913" s="31"/>
      <c r="K913" s="31"/>
      <c r="L913" s="31"/>
      <c r="M913" s="31"/>
      <c r="N913" s="31"/>
      <c r="O913" s="31"/>
      <c r="P913" s="31"/>
    </row>
    <row r="914" spans="7:16" ht="12.75">
      <c r="G914" s="31"/>
      <c r="H914" s="31"/>
      <c r="I914" s="31"/>
      <c r="J914" s="31"/>
      <c r="K914" s="31"/>
      <c r="L914" s="31"/>
      <c r="M914" s="31"/>
      <c r="N914" s="31"/>
      <c r="O914" s="31"/>
      <c r="P914" s="31"/>
    </row>
    <row r="915" spans="7:16" ht="12.75">
      <c r="G915" s="31"/>
      <c r="H915" s="31"/>
      <c r="I915" s="31"/>
      <c r="J915" s="31"/>
      <c r="K915" s="31"/>
      <c r="L915" s="31"/>
      <c r="M915" s="31"/>
      <c r="N915" s="31"/>
      <c r="O915" s="31"/>
      <c r="P915" s="31"/>
    </row>
    <row r="916" spans="7:16" ht="12.75">
      <c r="G916" s="31"/>
      <c r="H916" s="31"/>
      <c r="I916" s="31"/>
      <c r="J916" s="31"/>
      <c r="K916" s="31"/>
      <c r="L916" s="31"/>
      <c r="M916" s="31"/>
      <c r="N916" s="31"/>
      <c r="O916" s="31"/>
      <c r="P916" s="31"/>
    </row>
    <row r="917" spans="7:16" ht="12.75">
      <c r="G917" s="31"/>
      <c r="H917" s="31"/>
      <c r="I917" s="31"/>
      <c r="J917" s="31"/>
      <c r="K917" s="31"/>
      <c r="L917" s="31"/>
      <c r="M917" s="31"/>
      <c r="N917" s="31"/>
      <c r="O917" s="31"/>
      <c r="P917" s="31"/>
    </row>
    <row r="918" spans="7:16" ht="12.75">
      <c r="G918" s="31"/>
      <c r="H918" s="31"/>
      <c r="I918" s="31"/>
      <c r="J918" s="31"/>
      <c r="K918" s="31"/>
      <c r="L918" s="31"/>
      <c r="M918" s="31"/>
      <c r="N918" s="31"/>
      <c r="O918" s="31"/>
      <c r="P918" s="31"/>
    </row>
    <row r="919" spans="7:16" ht="12.75">
      <c r="G919" s="31"/>
      <c r="H919" s="31"/>
      <c r="I919" s="31"/>
      <c r="J919" s="31"/>
      <c r="K919" s="31"/>
      <c r="L919" s="31"/>
      <c r="M919" s="31"/>
      <c r="N919" s="31"/>
      <c r="O919" s="31"/>
      <c r="P919" s="31"/>
    </row>
    <row r="920" spans="7:16" ht="12.75">
      <c r="G920" s="31"/>
      <c r="H920" s="31"/>
      <c r="I920" s="31"/>
      <c r="J920" s="31"/>
      <c r="K920" s="31"/>
      <c r="L920" s="31"/>
      <c r="M920" s="31"/>
      <c r="N920" s="31"/>
      <c r="O920" s="31"/>
      <c r="P920" s="31"/>
    </row>
    <row r="921" spans="7:16" ht="12.75">
      <c r="G921" s="31"/>
      <c r="H921" s="31"/>
      <c r="I921" s="31"/>
      <c r="J921" s="31"/>
      <c r="K921" s="31"/>
      <c r="L921" s="31"/>
      <c r="M921" s="31"/>
      <c r="N921" s="31"/>
      <c r="O921" s="31"/>
      <c r="P921" s="31"/>
    </row>
    <row r="922" spans="7:16" ht="12.75">
      <c r="G922" s="31"/>
      <c r="H922" s="31"/>
      <c r="I922" s="31"/>
      <c r="J922" s="31"/>
      <c r="K922" s="31"/>
      <c r="L922" s="31"/>
      <c r="M922" s="31"/>
      <c r="N922" s="31"/>
      <c r="O922" s="31"/>
      <c r="P922" s="31"/>
    </row>
    <row r="923" spans="7:16" ht="12.75">
      <c r="G923" s="31"/>
      <c r="H923" s="31"/>
      <c r="I923" s="31"/>
      <c r="J923" s="31"/>
      <c r="K923" s="31"/>
      <c r="L923" s="31"/>
      <c r="M923" s="31"/>
      <c r="N923" s="31"/>
      <c r="O923" s="31"/>
      <c r="P923" s="31"/>
    </row>
    <row r="924" spans="7:16" ht="12.75">
      <c r="G924" s="31"/>
      <c r="H924" s="31"/>
      <c r="I924" s="31"/>
      <c r="J924" s="31"/>
      <c r="K924" s="31"/>
      <c r="L924" s="31"/>
      <c r="M924" s="31"/>
      <c r="N924" s="31"/>
      <c r="O924" s="31"/>
      <c r="P924" s="31"/>
    </row>
    <row r="925" spans="7:16" ht="12.75">
      <c r="G925" s="31"/>
      <c r="H925" s="31"/>
      <c r="I925" s="31"/>
      <c r="J925" s="31"/>
      <c r="K925" s="31"/>
      <c r="L925" s="31"/>
      <c r="M925" s="31"/>
      <c r="N925" s="31"/>
      <c r="O925" s="31"/>
      <c r="P925" s="31"/>
    </row>
    <row r="926" spans="7:16" ht="12.75">
      <c r="G926" s="31"/>
      <c r="H926" s="31"/>
      <c r="I926" s="31"/>
      <c r="J926" s="31"/>
      <c r="K926" s="31"/>
      <c r="L926" s="31"/>
      <c r="M926" s="31"/>
      <c r="N926" s="31"/>
      <c r="O926" s="31"/>
      <c r="P926" s="31"/>
    </row>
    <row r="927" spans="7:16" ht="12.75">
      <c r="G927" s="31"/>
      <c r="H927" s="31"/>
      <c r="I927" s="31"/>
      <c r="J927" s="31"/>
      <c r="K927" s="31"/>
      <c r="L927" s="31"/>
      <c r="M927" s="31"/>
      <c r="N927" s="31"/>
      <c r="O927" s="31"/>
      <c r="P927" s="31"/>
    </row>
    <row r="928" spans="7:16" ht="12.75">
      <c r="G928" s="31"/>
      <c r="H928" s="31"/>
      <c r="I928" s="31"/>
      <c r="J928" s="31"/>
      <c r="K928" s="31"/>
      <c r="L928" s="31"/>
      <c r="M928" s="31"/>
      <c r="N928" s="31"/>
      <c r="O928" s="31"/>
      <c r="P928" s="31"/>
    </row>
    <row r="929" spans="7:16" ht="12.75">
      <c r="G929" s="31"/>
      <c r="H929" s="31"/>
      <c r="I929" s="31"/>
      <c r="J929" s="31"/>
      <c r="K929" s="31"/>
      <c r="L929" s="31"/>
      <c r="M929" s="31"/>
      <c r="N929" s="31"/>
      <c r="O929" s="31"/>
      <c r="P929" s="31"/>
    </row>
    <row r="930" spans="7:16" ht="12.75">
      <c r="G930" s="31"/>
      <c r="H930" s="31"/>
      <c r="I930" s="31"/>
      <c r="J930" s="31"/>
      <c r="K930" s="31"/>
      <c r="L930" s="31"/>
      <c r="M930" s="31"/>
      <c r="N930" s="31"/>
      <c r="O930" s="31"/>
      <c r="P930" s="31"/>
    </row>
    <row r="931" spans="7:16" ht="12.75">
      <c r="G931" s="31"/>
      <c r="H931" s="31"/>
      <c r="I931" s="31"/>
      <c r="J931" s="31"/>
      <c r="K931" s="31"/>
      <c r="L931" s="31"/>
      <c r="M931" s="31"/>
      <c r="N931" s="31"/>
      <c r="O931" s="31"/>
      <c r="P931" s="31"/>
    </row>
    <row r="932" spans="7:16" ht="12.75">
      <c r="G932" s="31"/>
      <c r="H932" s="31"/>
      <c r="I932" s="31"/>
      <c r="J932" s="31"/>
      <c r="K932" s="31"/>
      <c r="L932" s="31"/>
      <c r="M932" s="31"/>
      <c r="N932" s="31"/>
      <c r="O932" s="31"/>
      <c r="P932" s="31"/>
    </row>
    <row r="933" spans="7:16" ht="12.75">
      <c r="G933" s="31"/>
      <c r="H933" s="31"/>
      <c r="I933" s="31"/>
      <c r="J933" s="31"/>
      <c r="K933" s="31"/>
      <c r="L933" s="31"/>
      <c r="M933" s="31"/>
      <c r="N933" s="31"/>
      <c r="O933" s="31"/>
      <c r="P933" s="31"/>
    </row>
    <row r="934" spans="7:16" ht="12.75">
      <c r="G934" s="31"/>
      <c r="H934" s="31"/>
      <c r="I934" s="31"/>
      <c r="J934" s="31"/>
      <c r="K934" s="31"/>
      <c r="L934" s="31"/>
      <c r="M934" s="31"/>
      <c r="N934" s="31"/>
      <c r="O934" s="31"/>
      <c r="P934" s="31"/>
    </row>
    <row r="935" spans="7:16" ht="12.75">
      <c r="G935" s="31"/>
      <c r="H935" s="31"/>
      <c r="I935" s="31"/>
      <c r="J935" s="31"/>
      <c r="K935" s="31"/>
      <c r="L935" s="31"/>
      <c r="M935" s="31"/>
      <c r="N935" s="31"/>
      <c r="O935" s="31"/>
      <c r="P935" s="31"/>
    </row>
    <row r="936" spans="7:16" ht="12.75">
      <c r="G936" s="31"/>
      <c r="H936" s="31"/>
      <c r="I936" s="31"/>
      <c r="J936" s="31"/>
      <c r="K936" s="31"/>
      <c r="L936" s="31"/>
      <c r="M936" s="31"/>
      <c r="N936" s="31"/>
      <c r="O936" s="31"/>
      <c r="P936" s="31"/>
    </row>
    <row r="937" spans="7:16" ht="12.75">
      <c r="G937" s="31"/>
      <c r="H937" s="31"/>
      <c r="I937" s="31"/>
      <c r="J937" s="31"/>
      <c r="K937" s="31"/>
      <c r="L937" s="31"/>
      <c r="M937" s="31"/>
      <c r="N937" s="31"/>
      <c r="O937" s="31"/>
      <c r="P937" s="31"/>
    </row>
    <row r="938" spans="7:16" ht="12.75">
      <c r="G938" s="31"/>
      <c r="H938" s="31"/>
      <c r="I938" s="31"/>
      <c r="J938" s="31"/>
      <c r="K938" s="31"/>
      <c r="L938" s="31"/>
      <c r="M938" s="31"/>
      <c r="N938" s="31"/>
      <c r="O938" s="31"/>
      <c r="P938" s="31"/>
    </row>
    <row r="939" spans="7:16" ht="12.75">
      <c r="G939" s="31"/>
      <c r="H939" s="31"/>
      <c r="I939" s="31"/>
      <c r="J939" s="31"/>
      <c r="K939" s="31"/>
      <c r="L939" s="31"/>
      <c r="M939" s="31"/>
      <c r="N939" s="31"/>
      <c r="O939" s="31"/>
      <c r="P939" s="31"/>
    </row>
    <row r="940" spans="7:16" ht="12.75">
      <c r="G940" s="31"/>
      <c r="H940" s="31"/>
      <c r="I940" s="31"/>
      <c r="J940" s="31"/>
      <c r="K940" s="31"/>
      <c r="L940" s="31"/>
      <c r="M940" s="31"/>
      <c r="N940" s="31"/>
      <c r="O940" s="31"/>
      <c r="P940" s="31"/>
    </row>
    <row r="941" spans="7:16" ht="12.75">
      <c r="G941" s="31"/>
      <c r="H941" s="31"/>
      <c r="I941" s="31"/>
      <c r="J941" s="31"/>
      <c r="K941" s="31"/>
      <c r="L941" s="31"/>
      <c r="M941" s="31"/>
      <c r="N941" s="31"/>
      <c r="O941" s="31"/>
      <c r="P941" s="31"/>
    </row>
    <row r="942" spans="7:16" ht="12.75">
      <c r="G942" s="31"/>
      <c r="H942" s="31"/>
      <c r="I942" s="31"/>
      <c r="J942" s="31"/>
      <c r="K942" s="31"/>
      <c r="L942" s="31"/>
      <c r="M942" s="31"/>
      <c r="N942" s="31"/>
      <c r="O942" s="31"/>
      <c r="P942" s="31"/>
    </row>
    <row r="943" spans="7:16" ht="12.75">
      <c r="G943" s="31"/>
      <c r="H943" s="31"/>
      <c r="I943" s="31"/>
      <c r="J943" s="31"/>
      <c r="K943" s="31"/>
      <c r="L943" s="31"/>
      <c r="M943" s="31"/>
      <c r="N943" s="31"/>
      <c r="O943" s="31"/>
      <c r="P943" s="31"/>
    </row>
    <row r="944" spans="7:16" ht="12.75">
      <c r="G944" s="31"/>
      <c r="H944" s="31"/>
      <c r="I944" s="31"/>
      <c r="J944" s="31"/>
      <c r="K944" s="31"/>
      <c r="L944" s="31"/>
      <c r="M944" s="31"/>
      <c r="N944" s="31"/>
      <c r="O944" s="31"/>
      <c r="P944" s="31"/>
    </row>
    <row r="945" spans="7:16" ht="12.75">
      <c r="G945" s="31"/>
      <c r="H945" s="31"/>
      <c r="I945" s="31"/>
      <c r="J945" s="31"/>
      <c r="K945" s="31"/>
      <c r="L945" s="31"/>
      <c r="M945" s="31"/>
      <c r="N945" s="31"/>
      <c r="O945" s="31"/>
      <c r="P945" s="31"/>
    </row>
    <row r="946" spans="7:16" ht="12.75">
      <c r="G946" s="31"/>
      <c r="H946" s="31"/>
      <c r="I946" s="31"/>
      <c r="J946" s="31"/>
      <c r="K946" s="31"/>
      <c r="L946" s="31"/>
      <c r="M946" s="31"/>
      <c r="N946" s="31"/>
      <c r="O946" s="31"/>
      <c r="P946" s="31"/>
    </row>
    <row r="947" spans="7:16" ht="12.75">
      <c r="G947" s="31"/>
      <c r="H947" s="31"/>
      <c r="I947" s="31"/>
      <c r="J947" s="31"/>
      <c r="K947" s="31"/>
      <c r="L947" s="31"/>
      <c r="M947" s="31"/>
      <c r="N947" s="31"/>
      <c r="O947" s="31"/>
      <c r="P947" s="31"/>
    </row>
    <row r="948" spans="7:16" ht="12.75">
      <c r="G948" s="31"/>
      <c r="H948" s="31"/>
      <c r="I948" s="31"/>
      <c r="J948" s="31"/>
      <c r="K948" s="31"/>
      <c r="L948" s="31"/>
      <c r="M948" s="31"/>
      <c r="N948" s="31"/>
      <c r="O948" s="31"/>
      <c r="P948" s="31"/>
    </row>
    <row r="949" spans="7:16" ht="12.75">
      <c r="G949" s="31"/>
      <c r="H949" s="31"/>
      <c r="I949" s="31"/>
      <c r="J949" s="31"/>
      <c r="K949" s="31"/>
      <c r="L949" s="31"/>
      <c r="M949" s="31"/>
      <c r="N949" s="31"/>
      <c r="O949" s="31"/>
      <c r="P949" s="31"/>
    </row>
    <row r="950" spans="7:16" ht="12.75">
      <c r="G950" s="31"/>
      <c r="H950" s="31"/>
      <c r="I950" s="31"/>
      <c r="J950" s="31"/>
      <c r="K950" s="31"/>
      <c r="L950" s="31"/>
      <c r="M950" s="31"/>
      <c r="N950" s="31"/>
      <c r="O950" s="31"/>
      <c r="P950" s="31"/>
    </row>
    <row r="951" spans="7:16" ht="12.75">
      <c r="G951" s="31"/>
      <c r="H951" s="31"/>
      <c r="I951" s="31"/>
      <c r="J951" s="31"/>
      <c r="K951" s="31"/>
      <c r="L951" s="31"/>
      <c r="M951" s="31"/>
      <c r="N951" s="31"/>
      <c r="O951" s="31"/>
      <c r="P951" s="31"/>
    </row>
    <row r="952" spans="7:16" ht="12.75">
      <c r="G952" s="31"/>
      <c r="H952" s="31"/>
      <c r="I952" s="31"/>
      <c r="J952" s="31"/>
      <c r="K952" s="31"/>
      <c r="L952" s="31"/>
      <c r="M952" s="31"/>
      <c r="N952" s="31"/>
      <c r="O952" s="31"/>
      <c r="P952" s="31"/>
    </row>
    <row r="953" spans="7:16" ht="12.75">
      <c r="G953" s="31"/>
      <c r="H953" s="31"/>
      <c r="I953" s="31"/>
      <c r="J953" s="31"/>
      <c r="K953" s="31"/>
      <c r="L953" s="31"/>
      <c r="M953" s="31"/>
      <c r="N953" s="31"/>
      <c r="O953" s="31"/>
      <c r="P953" s="31"/>
    </row>
    <row r="954" spans="7:16" ht="12.75">
      <c r="G954" s="31"/>
      <c r="H954" s="31"/>
      <c r="I954" s="31"/>
      <c r="J954" s="31"/>
      <c r="K954" s="31"/>
      <c r="L954" s="31"/>
      <c r="M954" s="31"/>
      <c r="N954" s="31"/>
      <c r="O954" s="31"/>
      <c r="P954" s="31"/>
    </row>
    <row r="955" spans="7:16" ht="12.75">
      <c r="G955" s="31"/>
      <c r="H955" s="31"/>
      <c r="I955" s="31"/>
      <c r="J955" s="31"/>
      <c r="K955" s="31"/>
      <c r="L955" s="31"/>
      <c r="M955" s="31"/>
      <c r="N955" s="31"/>
      <c r="O955" s="31"/>
      <c r="P955" s="31"/>
    </row>
    <row r="956" spans="7:16" ht="12.75">
      <c r="G956" s="31"/>
      <c r="H956" s="31"/>
      <c r="I956" s="31"/>
      <c r="J956" s="31"/>
      <c r="K956" s="31"/>
      <c r="L956" s="31"/>
      <c r="M956" s="31"/>
      <c r="N956" s="31"/>
      <c r="O956" s="31"/>
      <c r="P956" s="31"/>
    </row>
    <row r="957" spans="7:16" ht="12.75">
      <c r="G957" s="31"/>
      <c r="H957" s="31"/>
      <c r="I957" s="31"/>
      <c r="J957" s="31"/>
      <c r="K957" s="31"/>
      <c r="L957" s="31"/>
      <c r="M957" s="31"/>
      <c r="N957" s="31"/>
      <c r="O957" s="31"/>
      <c r="P957" s="31"/>
    </row>
    <row r="958" spans="7:16" ht="12.75">
      <c r="G958" s="31"/>
      <c r="H958" s="31"/>
      <c r="I958" s="31"/>
      <c r="J958" s="31"/>
      <c r="K958" s="31"/>
      <c r="L958" s="31"/>
      <c r="M958" s="31"/>
      <c r="N958" s="31"/>
      <c r="O958" s="31"/>
      <c r="P958" s="31"/>
    </row>
    <row r="959" spans="7:16" ht="12.75">
      <c r="G959" s="31"/>
      <c r="H959" s="31"/>
      <c r="I959" s="31"/>
      <c r="J959" s="31"/>
      <c r="K959" s="31"/>
      <c r="L959" s="31"/>
      <c r="M959" s="31"/>
      <c r="N959" s="31"/>
      <c r="O959" s="31"/>
      <c r="P959" s="31"/>
    </row>
    <row r="960" spans="7:16" ht="12.75">
      <c r="G960" s="31"/>
      <c r="H960" s="31"/>
      <c r="I960" s="31"/>
      <c r="J960" s="31"/>
      <c r="K960" s="31"/>
      <c r="L960" s="31"/>
      <c r="M960" s="31"/>
      <c r="N960" s="31"/>
      <c r="O960" s="31"/>
      <c r="P960" s="31"/>
    </row>
    <row r="961" spans="7:16" ht="12.75">
      <c r="G961" s="31"/>
      <c r="H961" s="31"/>
      <c r="I961" s="31"/>
      <c r="J961" s="31"/>
      <c r="K961" s="31"/>
      <c r="L961" s="31"/>
      <c r="M961" s="31"/>
      <c r="N961" s="31"/>
      <c r="O961" s="31"/>
      <c r="P961" s="31"/>
    </row>
    <row r="962" spans="7:16" ht="12.75">
      <c r="G962" s="31"/>
      <c r="H962" s="31"/>
      <c r="I962" s="31"/>
      <c r="J962" s="31"/>
      <c r="K962" s="31"/>
      <c r="L962" s="31"/>
      <c r="M962" s="31"/>
      <c r="N962" s="31"/>
      <c r="O962" s="31"/>
      <c r="P962" s="31"/>
    </row>
    <row r="963" spans="7:16" ht="12.75">
      <c r="G963" s="31"/>
      <c r="H963" s="31"/>
      <c r="I963" s="31"/>
      <c r="J963" s="31"/>
      <c r="K963" s="31"/>
      <c r="L963" s="31"/>
      <c r="M963" s="31"/>
      <c r="N963" s="31"/>
      <c r="O963" s="31"/>
      <c r="P963" s="31"/>
    </row>
    <row r="964" spans="7:16" ht="12.75">
      <c r="G964" s="31"/>
      <c r="H964" s="31"/>
      <c r="I964" s="31"/>
      <c r="J964" s="31"/>
      <c r="K964" s="31"/>
      <c r="L964" s="31"/>
      <c r="M964" s="31"/>
      <c r="N964" s="31"/>
      <c r="O964" s="31"/>
      <c r="P964" s="31"/>
    </row>
    <row r="965" spans="7:16" ht="12.75">
      <c r="G965" s="31"/>
      <c r="H965" s="31"/>
      <c r="I965" s="31"/>
      <c r="J965" s="31"/>
      <c r="K965" s="31"/>
      <c r="L965" s="31"/>
      <c r="M965" s="31"/>
      <c r="N965" s="31"/>
      <c r="O965" s="31"/>
      <c r="P965" s="31"/>
    </row>
    <row r="966" spans="7:16" ht="12.75">
      <c r="G966" s="31"/>
      <c r="H966" s="31"/>
      <c r="I966" s="31"/>
      <c r="J966" s="31"/>
      <c r="K966" s="31"/>
      <c r="L966" s="31"/>
      <c r="M966" s="31"/>
      <c r="N966" s="31"/>
      <c r="O966" s="31"/>
      <c r="P966" s="31"/>
    </row>
    <row r="967" spans="7:16" ht="12.75">
      <c r="G967" s="31"/>
      <c r="H967" s="31"/>
      <c r="I967" s="31"/>
      <c r="J967" s="31"/>
      <c r="K967" s="31"/>
      <c r="L967" s="31"/>
      <c r="M967" s="31"/>
      <c r="N967" s="31"/>
      <c r="O967" s="31"/>
      <c r="P967" s="31"/>
    </row>
    <row r="968" spans="7:16" ht="12.75">
      <c r="G968" s="31"/>
      <c r="H968" s="31"/>
      <c r="I968" s="31"/>
      <c r="J968" s="31"/>
      <c r="K968" s="31"/>
      <c r="L968" s="31"/>
      <c r="M968" s="31"/>
      <c r="N968" s="31"/>
      <c r="O968" s="31"/>
      <c r="P968" s="31"/>
    </row>
    <row r="969" spans="7:16" ht="12.75">
      <c r="G969" s="31"/>
      <c r="H969" s="31"/>
      <c r="I969" s="31"/>
      <c r="J969" s="31"/>
      <c r="K969" s="31"/>
      <c r="L969" s="31"/>
      <c r="M969" s="31"/>
      <c r="N969" s="31"/>
      <c r="O969" s="31"/>
      <c r="P969" s="31"/>
    </row>
    <row r="970" spans="7:16" ht="12.75">
      <c r="G970" s="31"/>
      <c r="H970" s="31"/>
      <c r="I970" s="31"/>
      <c r="J970" s="31"/>
      <c r="K970" s="31"/>
      <c r="L970" s="31"/>
      <c r="M970" s="31"/>
      <c r="N970" s="31"/>
      <c r="O970" s="31"/>
      <c r="P970" s="31"/>
    </row>
    <row r="971" spans="7:16" ht="12.75">
      <c r="G971" s="31"/>
      <c r="H971" s="31"/>
      <c r="I971" s="31"/>
      <c r="J971" s="31"/>
      <c r="K971" s="31"/>
      <c r="L971" s="31"/>
      <c r="M971" s="31"/>
      <c r="N971" s="31"/>
      <c r="O971" s="31"/>
      <c r="P971" s="31"/>
    </row>
    <row r="972" spans="7:16" ht="12.75">
      <c r="G972" s="31"/>
      <c r="H972" s="31"/>
      <c r="I972" s="31"/>
      <c r="J972" s="31"/>
      <c r="K972" s="31"/>
      <c r="L972" s="31"/>
      <c r="M972" s="31"/>
      <c r="N972" s="31"/>
      <c r="O972" s="31"/>
      <c r="P972" s="31"/>
    </row>
    <row r="973" spans="7:16" ht="12.75">
      <c r="G973" s="31"/>
      <c r="H973" s="31"/>
      <c r="I973" s="31"/>
      <c r="J973" s="31"/>
      <c r="K973" s="31"/>
      <c r="L973" s="31"/>
      <c r="M973" s="31"/>
      <c r="N973" s="31"/>
      <c r="O973" s="31"/>
      <c r="P973" s="31"/>
    </row>
    <row r="974" spans="7:16" ht="12.75">
      <c r="G974" s="31"/>
      <c r="H974" s="31"/>
      <c r="I974" s="31"/>
      <c r="J974" s="31"/>
      <c r="K974" s="31"/>
      <c r="L974" s="31"/>
      <c r="M974" s="31"/>
      <c r="N974" s="31"/>
      <c r="O974" s="31"/>
      <c r="P974" s="31"/>
    </row>
    <row r="975" spans="7:16" ht="12.75">
      <c r="G975" s="31"/>
      <c r="H975" s="31"/>
      <c r="I975" s="31"/>
      <c r="J975" s="31"/>
      <c r="K975" s="31"/>
      <c r="L975" s="31"/>
      <c r="M975" s="31"/>
      <c r="N975" s="31"/>
      <c r="O975" s="31"/>
      <c r="P975" s="31"/>
    </row>
    <row r="976" spans="7:16" ht="12.75">
      <c r="G976" s="31"/>
      <c r="H976" s="31"/>
      <c r="I976" s="31"/>
      <c r="J976" s="31"/>
      <c r="K976" s="31"/>
      <c r="L976" s="31"/>
      <c r="M976" s="31"/>
      <c r="N976" s="31"/>
      <c r="O976" s="31"/>
      <c r="P976" s="31"/>
    </row>
    <row r="977" spans="7:16" ht="12.75">
      <c r="G977" s="31"/>
      <c r="H977" s="31"/>
      <c r="I977" s="31"/>
      <c r="J977" s="31"/>
      <c r="K977" s="31"/>
      <c r="L977" s="31"/>
      <c r="M977" s="31"/>
      <c r="N977" s="31"/>
      <c r="O977" s="31"/>
      <c r="P977" s="31"/>
    </row>
    <row r="978" spans="7:16" ht="12.75">
      <c r="G978" s="31"/>
      <c r="H978" s="31"/>
      <c r="I978" s="31"/>
      <c r="J978" s="31"/>
      <c r="K978" s="31"/>
      <c r="L978" s="31"/>
      <c r="M978" s="31"/>
      <c r="N978" s="31"/>
      <c r="O978" s="31"/>
      <c r="P978" s="31"/>
    </row>
    <row r="979" spans="7:16" ht="12.75">
      <c r="G979" s="31"/>
      <c r="H979" s="31"/>
      <c r="I979" s="31"/>
      <c r="J979" s="31"/>
      <c r="K979" s="31"/>
      <c r="L979" s="31"/>
      <c r="M979" s="31"/>
      <c r="N979" s="31"/>
      <c r="O979" s="31"/>
      <c r="P979" s="31"/>
    </row>
    <row r="980" spans="7:16" ht="12.75">
      <c r="G980" s="31"/>
      <c r="H980" s="31"/>
      <c r="I980" s="31"/>
      <c r="J980" s="31"/>
      <c r="K980" s="31"/>
      <c r="L980" s="31"/>
      <c r="M980" s="31"/>
      <c r="N980" s="31"/>
      <c r="O980" s="31"/>
      <c r="P980" s="31"/>
    </row>
    <row r="981" spans="7:16" ht="12.75">
      <c r="G981" s="31"/>
      <c r="H981" s="31"/>
      <c r="I981" s="31"/>
      <c r="J981" s="31"/>
      <c r="K981" s="31"/>
      <c r="L981" s="31"/>
      <c r="M981" s="31"/>
      <c r="N981" s="31"/>
      <c r="O981" s="31"/>
      <c r="P981" s="31"/>
    </row>
    <row r="982" spans="7:16" ht="12.75">
      <c r="G982" s="31"/>
      <c r="H982" s="31"/>
      <c r="I982" s="31"/>
      <c r="J982" s="31"/>
      <c r="K982" s="31"/>
      <c r="L982" s="31"/>
      <c r="M982" s="31"/>
      <c r="N982" s="31"/>
      <c r="O982" s="31"/>
      <c r="P982" s="31"/>
    </row>
    <row r="983" spans="7:16" ht="12.75">
      <c r="G983" s="31"/>
      <c r="H983" s="31"/>
      <c r="I983" s="31"/>
      <c r="J983" s="31"/>
      <c r="K983" s="31"/>
      <c r="L983" s="31"/>
      <c r="M983" s="31"/>
      <c r="N983" s="31"/>
      <c r="O983" s="31"/>
      <c r="P983" s="31"/>
    </row>
    <row r="984" spans="7:16" ht="12.75">
      <c r="G984" s="31"/>
      <c r="H984" s="31"/>
      <c r="I984" s="31"/>
      <c r="J984" s="31"/>
      <c r="K984" s="31"/>
      <c r="L984" s="31"/>
      <c r="M984" s="31"/>
      <c r="N984" s="31"/>
      <c r="O984" s="31"/>
      <c r="P984" s="31"/>
    </row>
    <row r="985" spans="7:16" ht="12.75">
      <c r="G985" s="31"/>
      <c r="H985" s="31"/>
      <c r="I985" s="31"/>
      <c r="J985" s="31"/>
      <c r="K985" s="31"/>
      <c r="L985" s="31"/>
      <c r="M985" s="31"/>
      <c r="N985" s="31"/>
      <c r="O985" s="31"/>
      <c r="P985" s="31"/>
    </row>
    <row r="986" spans="7:16" ht="12.75">
      <c r="G986" s="31"/>
      <c r="H986" s="31"/>
      <c r="I986" s="31"/>
      <c r="J986" s="31"/>
      <c r="K986" s="31"/>
      <c r="L986" s="31"/>
      <c r="M986" s="31"/>
      <c r="N986" s="31"/>
      <c r="O986" s="31"/>
      <c r="P986" s="31"/>
    </row>
    <row r="987" spans="7:16" ht="12.75">
      <c r="G987" s="31"/>
      <c r="H987" s="31"/>
      <c r="I987" s="31"/>
      <c r="J987" s="31"/>
      <c r="K987" s="31"/>
      <c r="L987" s="31"/>
      <c r="M987" s="31"/>
      <c r="N987" s="31"/>
      <c r="O987" s="31"/>
      <c r="P987" s="31"/>
    </row>
    <row r="988" spans="7:16" ht="12.75">
      <c r="G988" s="31"/>
      <c r="H988" s="31"/>
      <c r="I988" s="31"/>
      <c r="J988" s="31"/>
      <c r="K988" s="31"/>
      <c r="L988" s="31"/>
      <c r="M988" s="31"/>
      <c r="N988" s="31"/>
      <c r="O988" s="31"/>
      <c r="P988" s="31"/>
    </row>
    <row r="989" spans="7:16" ht="12.75">
      <c r="G989" s="31"/>
      <c r="H989" s="31"/>
      <c r="I989" s="31"/>
      <c r="J989" s="31"/>
      <c r="K989" s="31"/>
      <c r="L989" s="31"/>
      <c r="M989" s="31"/>
      <c r="N989" s="31"/>
      <c r="O989" s="31"/>
      <c r="P989" s="31"/>
    </row>
    <row r="990" spans="7:16" ht="12.75">
      <c r="G990" s="31"/>
      <c r="H990" s="31"/>
      <c r="I990" s="31"/>
      <c r="J990" s="31"/>
      <c r="K990" s="31"/>
      <c r="L990" s="31"/>
      <c r="M990" s="31"/>
      <c r="N990" s="31"/>
      <c r="O990" s="31"/>
      <c r="P990" s="31"/>
    </row>
    <row r="991" spans="7:16" ht="12.75">
      <c r="G991" s="31"/>
      <c r="H991" s="31"/>
      <c r="I991" s="31"/>
      <c r="J991" s="31"/>
      <c r="K991" s="31"/>
      <c r="L991" s="31"/>
      <c r="M991" s="31"/>
      <c r="N991" s="31"/>
      <c r="O991" s="31"/>
      <c r="P991" s="31"/>
    </row>
    <row r="992" spans="7:16" ht="12.75">
      <c r="G992" s="31"/>
      <c r="H992" s="31"/>
      <c r="I992" s="31"/>
      <c r="J992" s="31"/>
      <c r="K992" s="31"/>
      <c r="L992" s="31"/>
      <c r="M992" s="31"/>
      <c r="N992" s="31"/>
      <c r="O992" s="31"/>
      <c r="P992" s="31"/>
    </row>
    <row r="993" spans="7:16" ht="12.75">
      <c r="G993" s="31"/>
      <c r="H993" s="31"/>
      <c r="I993" s="31"/>
      <c r="J993" s="31"/>
      <c r="K993" s="31"/>
      <c r="L993" s="31"/>
      <c r="M993" s="31"/>
      <c r="N993" s="31"/>
      <c r="O993" s="31"/>
      <c r="P993" s="31"/>
    </row>
    <row r="994" spans="7:16" ht="12.75">
      <c r="G994" s="31"/>
      <c r="H994" s="31"/>
      <c r="I994" s="31"/>
      <c r="J994" s="31"/>
      <c r="K994" s="31"/>
      <c r="L994" s="31"/>
      <c r="M994" s="31"/>
      <c r="N994" s="31"/>
      <c r="O994" s="31"/>
      <c r="P994" s="31"/>
    </row>
    <row r="995" spans="7:16" ht="12.75">
      <c r="G995" s="31"/>
      <c r="H995" s="31"/>
      <c r="I995" s="31"/>
      <c r="J995" s="31"/>
      <c r="K995" s="31"/>
      <c r="L995" s="31"/>
      <c r="M995" s="31"/>
      <c r="N995" s="31"/>
      <c r="O995" s="31"/>
      <c r="P995" s="31"/>
    </row>
    <row r="996" spans="7:16" ht="12.75">
      <c r="G996" s="31"/>
      <c r="H996" s="31"/>
      <c r="I996" s="31"/>
      <c r="J996" s="31"/>
      <c r="K996" s="31"/>
      <c r="L996" s="31"/>
      <c r="M996" s="31"/>
      <c r="N996" s="31"/>
      <c r="O996" s="31"/>
      <c r="P996" s="31"/>
    </row>
    <row r="997" spans="7:16" ht="12.75">
      <c r="G997" s="31"/>
      <c r="H997" s="31"/>
      <c r="I997" s="31"/>
      <c r="J997" s="31"/>
      <c r="K997" s="31"/>
      <c r="L997" s="31"/>
      <c r="M997" s="31"/>
      <c r="N997" s="31"/>
      <c r="O997" s="31"/>
      <c r="P997" s="31"/>
    </row>
    <row r="998" spans="7:16" ht="12.75">
      <c r="G998" s="31"/>
      <c r="H998" s="31"/>
      <c r="I998" s="31"/>
      <c r="J998" s="31"/>
      <c r="K998" s="31"/>
      <c r="L998" s="31"/>
      <c r="M998" s="31"/>
      <c r="N998" s="31"/>
      <c r="O998" s="31"/>
      <c r="P998" s="31"/>
    </row>
    <row r="999" spans="7:16" ht="12.75">
      <c r="G999" s="31"/>
      <c r="H999" s="31"/>
      <c r="I999" s="31"/>
      <c r="J999" s="31"/>
      <c r="K999" s="31"/>
      <c r="L999" s="31"/>
      <c r="M999" s="31"/>
      <c r="N999" s="31"/>
      <c r="O999" s="31"/>
      <c r="P999" s="31"/>
    </row>
    <row r="1000" spans="7:16" ht="12.75">
      <c r="G1000" s="31"/>
      <c r="H1000" s="31"/>
      <c r="I1000" s="31"/>
      <c r="J1000" s="31"/>
      <c r="K1000" s="31"/>
      <c r="L1000" s="31"/>
      <c r="M1000" s="31"/>
      <c r="N1000" s="31"/>
      <c r="O1000" s="31"/>
      <c r="P1000" s="31"/>
    </row>
    <row r="1001" spans="7:16" ht="12.75">
      <c r="G1001" s="31"/>
      <c r="H1001" s="31"/>
      <c r="I1001" s="31"/>
      <c r="J1001" s="31"/>
      <c r="K1001" s="31"/>
      <c r="L1001" s="31"/>
      <c r="M1001" s="31"/>
      <c r="N1001" s="31"/>
      <c r="O1001" s="31"/>
      <c r="P1001" s="31"/>
    </row>
    <row r="1002" spans="7:16" ht="12.75">
      <c r="G1002" s="31"/>
      <c r="H1002" s="31"/>
      <c r="I1002" s="31"/>
      <c r="J1002" s="31"/>
      <c r="K1002" s="31"/>
      <c r="L1002" s="31"/>
      <c r="M1002" s="31"/>
      <c r="N1002" s="31"/>
      <c r="O1002" s="31"/>
      <c r="P1002" s="31"/>
    </row>
    <row r="1003" spans="7:16" ht="12.75">
      <c r="G1003" s="31"/>
      <c r="H1003" s="31"/>
      <c r="I1003" s="31"/>
      <c r="J1003" s="31"/>
      <c r="K1003" s="31"/>
      <c r="L1003" s="31"/>
      <c r="M1003" s="31"/>
      <c r="N1003" s="31"/>
      <c r="O1003" s="31"/>
      <c r="P1003" s="31"/>
    </row>
    <row r="1004" spans="7:16" ht="12.75">
      <c r="G1004" s="31"/>
      <c r="H1004" s="31"/>
      <c r="I1004" s="31"/>
      <c r="J1004" s="31"/>
      <c r="K1004" s="31"/>
      <c r="L1004" s="31"/>
      <c r="M1004" s="31"/>
      <c r="N1004" s="31"/>
      <c r="O1004" s="31"/>
      <c r="P1004" s="31"/>
    </row>
    <row r="1005" spans="7:16" ht="12.75">
      <c r="G1005" s="31"/>
      <c r="H1005" s="31"/>
      <c r="I1005" s="31"/>
      <c r="J1005" s="31"/>
      <c r="K1005" s="31"/>
      <c r="L1005" s="31"/>
      <c r="M1005" s="31"/>
      <c r="N1005" s="31"/>
      <c r="O1005" s="31"/>
      <c r="P1005" s="31"/>
    </row>
    <row r="1006" spans="7:16" ht="12.75">
      <c r="G1006" s="31"/>
      <c r="H1006" s="31"/>
      <c r="I1006" s="31"/>
      <c r="J1006" s="31"/>
      <c r="K1006" s="31"/>
      <c r="L1006" s="31"/>
      <c r="M1006" s="31"/>
      <c r="N1006" s="31"/>
      <c r="O1006" s="31"/>
      <c r="P1006" s="31"/>
    </row>
    <row r="1007" spans="7:16" ht="12.75">
      <c r="G1007" s="31"/>
      <c r="H1007" s="31"/>
      <c r="I1007" s="31"/>
      <c r="J1007" s="31"/>
      <c r="K1007" s="31"/>
      <c r="L1007" s="31"/>
      <c r="M1007" s="31"/>
      <c r="N1007" s="31"/>
      <c r="O1007" s="31"/>
      <c r="P1007"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35:AC1008"/>
  <sheetViews>
    <sheetView zoomScale="10" zoomScaleNormal="10" workbookViewId="0">
      <pane xSplit="14" topLeftCell="O1" activePane="topRight" state="frozen"/>
      <selection pane="topRight" activeCell="ED325" sqref="A1:ED325"/>
    </sheetView>
  </sheetViews>
  <sheetFormatPr defaultColWidth="14.42578125" defaultRowHeight="15.75" customHeight="1"/>
  <cols>
    <col min="1" max="1" width="12.28515625" customWidth="1"/>
    <col min="2" max="3" width="14.42578125" customWidth="1"/>
    <col min="4" max="29" width="12.28515625" customWidth="1"/>
  </cols>
  <sheetData>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spans="13:25" ht="12.75"/>
    <row r="322" spans="13:25" ht="12.75"/>
    <row r="323" spans="13:25" ht="12.75"/>
    <row r="324" spans="13:25" ht="12.75"/>
    <row r="325" spans="13:25" ht="12.75"/>
    <row r="326" spans="13:25" ht="12.75">
      <c r="M326" s="52"/>
      <c r="N326" s="52"/>
      <c r="O326" s="52"/>
      <c r="P326" s="52"/>
      <c r="Q326" s="52"/>
      <c r="R326" s="52"/>
      <c r="S326" s="52"/>
      <c r="T326" s="52"/>
      <c r="U326" s="52"/>
      <c r="V326" s="52"/>
      <c r="W326" s="52"/>
      <c r="X326" s="52"/>
      <c r="Y326" s="52"/>
    </row>
    <row r="327" spans="13:25" ht="12.75">
      <c r="M327" s="52"/>
      <c r="N327" s="52"/>
      <c r="O327" s="52"/>
      <c r="P327" s="52"/>
      <c r="Q327" s="52"/>
      <c r="R327" s="52"/>
      <c r="S327" s="52"/>
      <c r="T327" s="52"/>
      <c r="U327" s="52"/>
      <c r="V327" s="52"/>
      <c r="W327" s="52"/>
      <c r="X327" s="52"/>
      <c r="Y327" s="52"/>
    </row>
    <row r="328" spans="13:25" ht="12.75">
      <c r="M328" s="52"/>
      <c r="N328" s="52"/>
      <c r="O328" s="52"/>
      <c r="P328" s="52"/>
      <c r="Q328" s="52"/>
      <c r="R328" s="52"/>
      <c r="S328" s="52"/>
      <c r="T328" s="52"/>
      <c r="U328" s="52"/>
      <c r="V328" s="52"/>
      <c r="W328" s="52"/>
      <c r="X328" s="52"/>
      <c r="Y328" s="52"/>
    </row>
    <row r="329" spans="13:25" ht="12.75">
      <c r="M329" s="52"/>
      <c r="N329" s="52"/>
      <c r="O329" s="52"/>
      <c r="P329" s="52"/>
      <c r="Q329" s="52"/>
      <c r="R329" s="52"/>
      <c r="S329" s="52"/>
      <c r="T329" s="52"/>
      <c r="U329" s="52"/>
      <c r="V329" s="52"/>
      <c r="W329" s="52"/>
      <c r="X329" s="52"/>
      <c r="Y329" s="52"/>
    </row>
    <row r="330" spans="13:25" ht="12.75">
      <c r="M330" s="52"/>
      <c r="N330" s="52"/>
      <c r="O330" s="52"/>
      <c r="P330" s="52"/>
      <c r="Q330" s="52"/>
      <c r="R330" s="52"/>
      <c r="S330" s="52"/>
      <c r="T330" s="52"/>
      <c r="U330" s="52"/>
      <c r="V330" s="52"/>
      <c r="W330" s="52"/>
      <c r="X330" s="52"/>
      <c r="Y330" s="52"/>
    </row>
    <row r="331" spans="13:25" ht="12.75">
      <c r="M331" s="52"/>
      <c r="N331" s="52"/>
      <c r="O331" s="52"/>
      <c r="P331" s="52"/>
      <c r="Q331" s="52"/>
      <c r="R331" s="52"/>
      <c r="S331" s="52"/>
      <c r="T331" s="52"/>
      <c r="U331" s="52"/>
      <c r="V331" s="52"/>
      <c r="W331" s="52"/>
      <c r="X331" s="52"/>
      <c r="Y331" s="52"/>
    </row>
    <row r="332" spans="13:25" ht="12.75">
      <c r="M332" s="52"/>
      <c r="N332" s="52"/>
      <c r="O332" s="52"/>
      <c r="P332" s="52"/>
      <c r="Q332" s="52"/>
      <c r="R332" s="52"/>
      <c r="S332" s="52"/>
      <c r="T332" s="52"/>
      <c r="U332" s="52"/>
      <c r="V332" s="52"/>
      <c r="W332" s="52"/>
      <c r="X332" s="52"/>
      <c r="Y332" s="52"/>
    </row>
    <row r="333" spans="13:25" ht="12.75">
      <c r="M333" s="52"/>
      <c r="N333" s="52"/>
      <c r="O333" s="52"/>
      <c r="P333" s="52"/>
      <c r="Q333" s="52"/>
      <c r="R333" s="52"/>
      <c r="S333" s="52"/>
      <c r="T333" s="52"/>
      <c r="U333" s="52"/>
      <c r="V333" s="52"/>
      <c r="W333" s="52"/>
      <c r="X333" s="52"/>
      <c r="Y333" s="52"/>
    </row>
    <row r="334" spans="13:25" ht="12.75">
      <c r="M334" s="52"/>
      <c r="N334" s="52"/>
      <c r="O334" s="52"/>
      <c r="P334" s="52"/>
      <c r="Q334" s="52"/>
      <c r="R334" s="52"/>
      <c r="S334" s="52"/>
      <c r="T334" s="52"/>
      <c r="U334" s="52"/>
      <c r="V334" s="52"/>
      <c r="W334" s="52"/>
      <c r="X334" s="52"/>
      <c r="Y334" s="52"/>
    </row>
    <row r="335" spans="13:25" ht="12.75">
      <c r="M335" s="52"/>
      <c r="N335" s="52"/>
      <c r="O335" s="52"/>
      <c r="P335" s="52"/>
      <c r="Q335" s="52"/>
      <c r="R335" s="52"/>
      <c r="S335" s="52"/>
      <c r="T335" s="52"/>
      <c r="U335" s="52"/>
      <c r="V335" s="52"/>
      <c r="W335" s="52"/>
      <c r="X335" s="52"/>
      <c r="Y335" s="52"/>
    </row>
    <row r="336" spans="13:25" ht="12.75">
      <c r="M336" s="52"/>
      <c r="N336" s="52"/>
      <c r="O336" s="52"/>
      <c r="P336" s="52"/>
      <c r="Q336" s="52"/>
      <c r="R336" s="52"/>
      <c r="S336" s="52"/>
      <c r="T336" s="52"/>
      <c r="U336" s="52"/>
      <c r="V336" s="52"/>
      <c r="W336" s="52"/>
      <c r="X336" s="52"/>
      <c r="Y336" s="52"/>
    </row>
    <row r="337" spans="1:29" ht="12.75">
      <c r="M337" s="52"/>
      <c r="N337" s="52"/>
      <c r="O337" s="52"/>
      <c r="P337" s="52"/>
      <c r="Q337" s="52"/>
      <c r="R337" s="52"/>
      <c r="S337" s="52"/>
      <c r="T337" s="52"/>
      <c r="U337" s="52"/>
      <c r="V337" s="52"/>
      <c r="W337" s="52"/>
      <c r="X337" s="52"/>
      <c r="Y337" s="52"/>
    </row>
    <row r="338" spans="1:29" ht="12.75">
      <c r="M338" s="52"/>
      <c r="N338" s="52"/>
      <c r="O338" s="52"/>
      <c r="P338" s="52"/>
      <c r="Q338" s="52"/>
      <c r="R338" s="52"/>
      <c r="S338" s="52"/>
      <c r="T338" s="52"/>
      <c r="U338" s="52"/>
      <c r="V338" s="52"/>
      <c r="W338" s="52"/>
      <c r="X338" s="52"/>
      <c r="Y338" s="52"/>
    </row>
    <row r="339" spans="1:29" ht="12.75">
      <c r="M339" s="52"/>
      <c r="N339" s="52"/>
      <c r="O339" s="52"/>
      <c r="P339" s="52"/>
      <c r="Q339" s="52"/>
      <c r="R339" s="52"/>
      <c r="S339" s="52"/>
      <c r="T339" s="52"/>
      <c r="U339" s="52"/>
      <c r="V339" s="52"/>
      <c r="W339" s="52"/>
      <c r="X339" s="52"/>
      <c r="Y339" s="52"/>
    </row>
    <row r="340" spans="1:29" ht="12.75">
      <c r="M340" s="52"/>
      <c r="N340" s="52"/>
      <c r="O340" s="52"/>
      <c r="P340" s="52"/>
      <c r="Q340" s="52"/>
      <c r="R340" s="52"/>
      <c r="S340" s="52"/>
      <c r="T340" s="52"/>
      <c r="U340" s="52"/>
      <c r="V340" s="52"/>
      <c r="W340" s="52"/>
      <c r="X340" s="52"/>
      <c r="Y340" s="52"/>
    </row>
    <row r="341" spans="1:29" ht="12.75">
      <c r="M341" s="52"/>
      <c r="N341" s="52"/>
      <c r="O341" s="52"/>
      <c r="P341" s="52"/>
      <c r="Q341" s="52"/>
      <c r="R341" s="52"/>
      <c r="S341" s="52"/>
      <c r="T341" s="52"/>
      <c r="U341" s="52"/>
      <c r="V341" s="52"/>
      <c r="W341" s="52"/>
      <c r="X341" s="52"/>
      <c r="Y341" s="52"/>
    </row>
    <row r="342" spans="1:29" ht="12.75">
      <c r="M342" s="52"/>
      <c r="N342" s="52"/>
      <c r="O342" s="52"/>
      <c r="P342" s="52"/>
      <c r="Q342" s="52"/>
      <c r="R342" s="52"/>
      <c r="S342" s="52"/>
      <c r="T342" s="52"/>
      <c r="U342" s="52"/>
      <c r="V342" s="52"/>
      <c r="W342" s="52"/>
      <c r="X342" s="52"/>
      <c r="Y342" s="52"/>
    </row>
    <row r="343" spans="1:29" ht="12.75">
      <c r="M343" s="52"/>
      <c r="N343" s="52"/>
      <c r="O343" s="52"/>
      <c r="P343" s="52"/>
      <c r="Q343" s="52"/>
      <c r="R343" s="52"/>
      <c r="S343" s="52"/>
      <c r="T343" s="52"/>
      <c r="U343" s="52"/>
      <c r="V343" s="52"/>
      <c r="W343" s="52"/>
      <c r="X343" s="52"/>
      <c r="Y343" s="52"/>
    </row>
    <row r="344" spans="1:29" ht="12.75">
      <c r="M344" s="52"/>
      <c r="N344" s="52"/>
      <c r="O344" s="52"/>
      <c r="P344" s="52"/>
      <c r="Q344" s="52"/>
      <c r="R344" s="52"/>
      <c r="S344" s="52"/>
      <c r="T344" s="52"/>
      <c r="U344" s="52"/>
      <c r="V344" s="52"/>
      <c r="W344" s="52"/>
      <c r="X344" s="52"/>
      <c r="Y344" s="52"/>
    </row>
    <row r="345" spans="1:29" ht="12.75">
      <c r="M345" s="52"/>
      <c r="N345" s="52"/>
      <c r="O345" s="52"/>
      <c r="P345" s="52"/>
      <c r="Q345" s="52"/>
      <c r="R345" s="52"/>
      <c r="S345" s="52"/>
      <c r="T345" s="52"/>
      <c r="U345" s="52"/>
      <c r="V345" s="52"/>
      <c r="W345" s="52"/>
      <c r="X345" s="52"/>
      <c r="Y345" s="52"/>
    </row>
    <row r="346" spans="1:29" ht="12.75">
      <c r="A346" s="197"/>
      <c r="B346" s="2"/>
      <c r="C346" s="52"/>
      <c r="D346" s="52"/>
      <c r="E346" s="52"/>
      <c r="F346" s="2"/>
      <c r="G346" s="2"/>
      <c r="H346" s="2"/>
      <c r="I346" s="2"/>
      <c r="J346" s="52"/>
      <c r="K346" s="2"/>
      <c r="L346" s="2"/>
      <c r="M346" s="2"/>
      <c r="N346" s="2"/>
      <c r="O346" s="52"/>
      <c r="P346" s="52"/>
      <c r="Q346" s="52"/>
      <c r="R346" s="52"/>
      <c r="S346" s="52"/>
      <c r="T346" s="52"/>
      <c r="U346" s="52"/>
      <c r="V346" s="52"/>
      <c r="W346" s="52"/>
      <c r="X346" s="52"/>
      <c r="Y346" s="52"/>
      <c r="Z346" s="52"/>
      <c r="AA346" s="52"/>
      <c r="AB346" s="52"/>
      <c r="AC346" s="52"/>
    </row>
    <row r="347" spans="1:29" ht="12.75">
      <c r="A347" s="197"/>
      <c r="B347" s="2"/>
      <c r="C347" s="52"/>
      <c r="D347" s="52"/>
      <c r="E347" s="52"/>
      <c r="F347" s="2"/>
      <c r="G347" s="2"/>
      <c r="H347" s="2"/>
      <c r="I347" s="2"/>
      <c r="J347" s="52"/>
      <c r="K347" s="2"/>
      <c r="L347" s="2"/>
      <c r="M347" s="2"/>
      <c r="N347" s="2"/>
      <c r="O347" s="52"/>
      <c r="P347" s="52"/>
      <c r="Q347" s="52"/>
      <c r="R347" s="52"/>
      <c r="S347" s="52"/>
      <c r="T347" s="52"/>
      <c r="U347" s="52"/>
      <c r="V347" s="52"/>
      <c r="W347" s="52"/>
      <c r="X347" s="52"/>
      <c r="Y347" s="52"/>
      <c r="Z347" s="52"/>
      <c r="AA347" s="52"/>
      <c r="AB347" s="52"/>
      <c r="AC347" s="52"/>
    </row>
    <row r="348" spans="1:29" ht="12.75">
      <c r="A348" s="197"/>
      <c r="B348" s="2"/>
      <c r="C348" s="52"/>
      <c r="D348" s="52"/>
      <c r="E348" s="52"/>
      <c r="F348" s="2"/>
      <c r="G348" s="2"/>
      <c r="H348" s="2"/>
      <c r="I348" s="2"/>
      <c r="J348" s="52"/>
      <c r="K348" s="2"/>
      <c r="L348" s="2"/>
      <c r="M348" s="2"/>
      <c r="N348" s="2"/>
      <c r="O348" s="52"/>
      <c r="P348" s="52"/>
      <c r="Q348" s="52"/>
      <c r="R348" s="52"/>
      <c r="S348" s="52"/>
      <c r="T348" s="52"/>
      <c r="U348" s="52"/>
      <c r="V348" s="52"/>
      <c r="W348" s="52"/>
      <c r="X348" s="52"/>
      <c r="Y348" s="52"/>
      <c r="Z348" s="52"/>
      <c r="AA348" s="52"/>
      <c r="AB348" s="52"/>
      <c r="AC348" s="52"/>
    </row>
    <row r="349" spans="1:29" ht="12.75">
      <c r="A349" s="197"/>
      <c r="B349" s="2"/>
      <c r="C349" s="52"/>
      <c r="D349" s="52"/>
      <c r="E349" s="52"/>
      <c r="F349" s="2"/>
      <c r="G349" s="2"/>
      <c r="H349" s="2"/>
      <c r="I349" s="2"/>
      <c r="J349" s="52"/>
      <c r="K349" s="2"/>
      <c r="L349" s="2"/>
      <c r="M349" s="2"/>
      <c r="N349" s="2"/>
      <c r="O349" s="52"/>
      <c r="P349" s="52"/>
      <c r="Q349" s="52"/>
      <c r="R349" s="52"/>
      <c r="S349" s="52"/>
      <c r="T349" s="52"/>
      <c r="U349" s="52"/>
      <c r="V349" s="52"/>
      <c r="W349" s="52"/>
      <c r="X349" s="52"/>
      <c r="Y349" s="52"/>
      <c r="Z349" s="52"/>
      <c r="AA349" s="52"/>
      <c r="AB349" s="52"/>
      <c r="AC349" s="52"/>
    </row>
    <row r="350" spans="1:29" ht="12.75">
      <c r="A350" s="197"/>
      <c r="B350" s="2"/>
      <c r="C350" s="52"/>
      <c r="D350" s="52"/>
      <c r="E350" s="52"/>
      <c r="F350" s="2"/>
      <c r="G350" s="2"/>
      <c r="H350" s="2"/>
      <c r="I350" s="2"/>
      <c r="J350" s="52"/>
      <c r="K350" s="2"/>
      <c r="L350" s="2"/>
      <c r="M350" s="2"/>
      <c r="N350" s="2"/>
      <c r="O350" s="52"/>
      <c r="P350" s="52"/>
      <c r="Q350" s="52"/>
      <c r="R350" s="52"/>
      <c r="S350" s="52"/>
      <c r="T350" s="52"/>
      <c r="U350" s="52"/>
      <c r="V350" s="52"/>
      <c r="W350" s="52"/>
      <c r="X350" s="52"/>
      <c r="Y350" s="52"/>
      <c r="Z350" s="52"/>
      <c r="AA350" s="52"/>
      <c r="AB350" s="52"/>
      <c r="AC350" s="52"/>
    </row>
    <row r="351" spans="1:29" ht="12.75">
      <c r="A351" s="197"/>
      <c r="B351" s="2"/>
      <c r="C351" s="52"/>
      <c r="D351" s="52"/>
      <c r="E351" s="52"/>
      <c r="F351" s="2"/>
      <c r="G351" s="2"/>
      <c r="H351" s="2"/>
      <c r="I351" s="2"/>
      <c r="J351" s="52"/>
      <c r="K351" s="2"/>
      <c r="L351" s="2"/>
      <c r="M351" s="2"/>
      <c r="N351" s="2"/>
      <c r="O351" s="52"/>
      <c r="P351" s="52"/>
      <c r="Q351" s="52"/>
      <c r="R351" s="52"/>
      <c r="S351" s="52"/>
      <c r="T351" s="52"/>
      <c r="U351" s="52"/>
      <c r="V351" s="52"/>
      <c r="W351" s="52"/>
      <c r="X351" s="52"/>
      <c r="Y351" s="52"/>
      <c r="Z351" s="52"/>
      <c r="AA351" s="52"/>
      <c r="AB351" s="52"/>
      <c r="AC351" s="52"/>
    </row>
    <row r="352" spans="1:29" ht="12.75">
      <c r="A352" s="197"/>
      <c r="B352" s="2"/>
      <c r="C352" s="52"/>
      <c r="D352" s="52"/>
      <c r="E352" s="52"/>
      <c r="F352" s="2"/>
      <c r="G352" s="2"/>
      <c r="H352" s="2"/>
      <c r="I352" s="2"/>
      <c r="J352" s="52"/>
      <c r="K352" s="2"/>
      <c r="L352" s="2"/>
      <c r="M352" s="2"/>
      <c r="N352" s="2"/>
      <c r="O352" s="52"/>
      <c r="P352" s="52"/>
      <c r="Q352" s="52"/>
      <c r="R352" s="52"/>
      <c r="S352" s="52"/>
      <c r="T352" s="52"/>
      <c r="U352" s="52"/>
      <c r="V352" s="52"/>
      <c r="W352" s="52"/>
      <c r="X352" s="52"/>
      <c r="Y352" s="52"/>
      <c r="Z352" s="52"/>
      <c r="AA352" s="52"/>
      <c r="AB352" s="52"/>
      <c r="AC352" s="52"/>
    </row>
    <row r="353" spans="1:29" ht="12.75">
      <c r="A353" s="197"/>
      <c r="B353" s="2"/>
      <c r="C353" s="52"/>
      <c r="D353" s="52"/>
      <c r="E353" s="52"/>
      <c r="F353" s="2"/>
      <c r="G353" s="2"/>
      <c r="H353" s="2"/>
      <c r="I353" s="2"/>
      <c r="J353" s="52"/>
      <c r="K353" s="2"/>
      <c r="L353" s="2"/>
      <c r="M353" s="2"/>
      <c r="N353" s="2"/>
      <c r="O353" s="52"/>
      <c r="P353" s="52"/>
      <c r="Q353" s="52"/>
      <c r="R353" s="52"/>
      <c r="S353" s="52"/>
      <c r="T353" s="52"/>
      <c r="U353" s="52"/>
      <c r="V353" s="52"/>
      <c r="W353" s="52"/>
      <c r="X353" s="52"/>
      <c r="Y353" s="52"/>
      <c r="Z353" s="52"/>
      <c r="AA353" s="52"/>
      <c r="AB353" s="52"/>
      <c r="AC353" s="52"/>
    </row>
    <row r="354" spans="1:29" ht="12.75">
      <c r="A354" s="197"/>
      <c r="B354" s="2"/>
      <c r="C354" s="52"/>
      <c r="D354" s="52"/>
      <c r="E354" s="52"/>
      <c r="F354" s="2"/>
      <c r="G354" s="2"/>
      <c r="H354" s="2"/>
      <c r="I354" s="2"/>
      <c r="J354" s="52"/>
      <c r="K354" s="2"/>
      <c r="L354" s="2"/>
      <c r="M354" s="2"/>
      <c r="N354" s="2"/>
      <c r="O354" s="52"/>
      <c r="P354" s="52"/>
      <c r="Q354" s="52"/>
      <c r="R354" s="52"/>
      <c r="S354" s="52"/>
      <c r="T354" s="52"/>
      <c r="U354" s="52"/>
      <c r="V354" s="52"/>
      <c r="W354" s="52"/>
      <c r="X354" s="52"/>
      <c r="Y354" s="52"/>
      <c r="Z354" s="52"/>
      <c r="AA354" s="52"/>
      <c r="AB354" s="52"/>
      <c r="AC354" s="52"/>
    </row>
    <row r="355" spans="1:29" ht="12.75">
      <c r="A355" s="197"/>
      <c r="B355" s="2"/>
      <c r="C355" s="52"/>
      <c r="D355" s="52"/>
      <c r="E355" s="52"/>
      <c r="F355" s="2"/>
      <c r="G355" s="2"/>
      <c r="H355" s="2"/>
      <c r="I355" s="2"/>
      <c r="J355" s="52"/>
      <c r="K355" s="2"/>
      <c r="L355" s="2"/>
      <c r="M355" s="2"/>
      <c r="N355" s="2"/>
      <c r="O355" s="52"/>
      <c r="P355" s="52"/>
      <c r="Q355" s="52"/>
      <c r="R355" s="52"/>
      <c r="S355" s="52"/>
      <c r="T355" s="52"/>
      <c r="U355" s="52"/>
      <c r="V355" s="52"/>
      <c r="W355" s="52"/>
      <c r="X355" s="52"/>
      <c r="Y355" s="52"/>
      <c r="Z355" s="52"/>
      <c r="AA355" s="52"/>
      <c r="AB355" s="52"/>
      <c r="AC355" s="52"/>
    </row>
    <row r="356" spans="1:29" ht="12.75">
      <c r="A356" s="197"/>
      <c r="B356" s="2"/>
      <c r="C356" s="52"/>
      <c r="D356" s="52"/>
      <c r="E356" s="52"/>
      <c r="F356" s="2"/>
      <c r="G356" s="2"/>
      <c r="H356" s="2"/>
      <c r="I356" s="2"/>
      <c r="J356" s="52"/>
      <c r="K356" s="2"/>
      <c r="L356" s="2"/>
      <c r="M356" s="2"/>
      <c r="N356" s="2"/>
      <c r="O356" s="52"/>
      <c r="P356" s="52"/>
      <c r="Q356" s="52"/>
      <c r="R356" s="52"/>
      <c r="S356" s="52"/>
      <c r="T356" s="52"/>
      <c r="U356" s="52"/>
      <c r="V356" s="52"/>
      <c r="W356" s="52"/>
      <c r="X356" s="52"/>
      <c r="Y356" s="52"/>
      <c r="Z356" s="52"/>
      <c r="AA356" s="52"/>
      <c r="AB356" s="52"/>
      <c r="AC356" s="52"/>
    </row>
    <row r="357" spans="1:29" ht="12.75">
      <c r="A357" s="197"/>
      <c r="B357" s="2"/>
      <c r="C357" s="52"/>
      <c r="D357" s="52"/>
      <c r="E357" s="52"/>
      <c r="F357" s="2"/>
      <c r="G357" s="2"/>
      <c r="H357" s="2"/>
      <c r="I357" s="2"/>
      <c r="J357" s="52"/>
      <c r="K357" s="2"/>
      <c r="L357" s="2"/>
      <c r="M357" s="2"/>
      <c r="N357" s="2"/>
      <c r="O357" s="52"/>
      <c r="P357" s="52"/>
      <c r="Q357" s="52"/>
      <c r="R357" s="52"/>
      <c r="S357" s="52"/>
      <c r="T357" s="52"/>
      <c r="U357" s="52"/>
      <c r="V357" s="52"/>
      <c r="W357" s="52"/>
      <c r="X357" s="52"/>
      <c r="Y357" s="52"/>
      <c r="Z357" s="52"/>
      <c r="AA357" s="52"/>
      <c r="AB357" s="52"/>
      <c r="AC357" s="52"/>
    </row>
    <row r="358" spans="1:29" ht="12.75">
      <c r="A358" s="197"/>
      <c r="B358" s="2"/>
      <c r="C358" s="52"/>
      <c r="D358" s="52"/>
      <c r="E358" s="52"/>
      <c r="F358" s="2"/>
      <c r="G358" s="2"/>
      <c r="H358" s="2"/>
      <c r="I358" s="2"/>
      <c r="J358" s="52"/>
      <c r="K358" s="2"/>
      <c r="L358" s="2"/>
      <c r="M358" s="2"/>
      <c r="N358" s="2"/>
      <c r="O358" s="52"/>
      <c r="P358" s="52"/>
      <c r="Q358" s="52"/>
      <c r="R358" s="52"/>
      <c r="S358" s="52"/>
      <c r="T358" s="52"/>
      <c r="U358" s="52"/>
      <c r="V358" s="52"/>
      <c r="W358" s="52"/>
      <c r="X358" s="52"/>
      <c r="Y358" s="52"/>
      <c r="Z358" s="52"/>
      <c r="AA358" s="52"/>
      <c r="AB358" s="52"/>
      <c r="AC358" s="52"/>
    </row>
    <row r="359" spans="1:29" ht="12.75">
      <c r="A359" s="197"/>
      <c r="B359" s="2"/>
      <c r="C359" s="52"/>
      <c r="D359" s="52"/>
      <c r="E359" s="52"/>
      <c r="F359" s="2"/>
      <c r="G359" s="2"/>
      <c r="H359" s="2"/>
      <c r="I359" s="2"/>
      <c r="J359" s="52"/>
      <c r="K359" s="2"/>
      <c r="L359" s="2"/>
      <c r="M359" s="2"/>
      <c r="N359" s="2"/>
      <c r="O359" s="52"/>
      <c r="P359" s="52"/>
      <c r="Q359" s="52"/>
      <c r="R359" s="52"/>
      <c r="S359" s="52"/>
      <c r="T359" s="52"/>
      <c r="U359" s="52"/>
      <c r="V359" s="52"/>
      <c r="W359" s="52"/>
      <c r="X359" s="52"/>
      <c r="Y359" s="52"/>
      <c r="Z359" s="52"/>
      <c r="AA359" s="52"/>
      <c r="AB359" s="52"/>
      <c r="AC359" s="52"/>
    </row>
    <row r="360" spans="1:29" ht="12.75">
      <c r="A360" s="197"/>
      <c r="B360" s="2"/>
      <c r="C360" s="52"/>
      <c r="D360" s="52"/>
      <c r="E360" s="52"/>
      <c r="F360" s="2"/>
      <c r="G360" s="2"/>
      <c r="H360" s="2"/>
      <c r="I360" s="2"/>
      <c r="J360" s="52"/>
      <c r="K360" s="2"/>
      <c r="L360" s="2"/>
      <c r="M360" s="2"/>
      <c r="N360" s="2"/>
      <c r="O360" s="52"/>
      <c r="P360" s="52"/>
      <c r="Q360" s="52"/>
      <c r="R360" s="52"/>
      <c r="S360" s="52"/>
      <c r="T360" s="52"/>
      <c r="U360" s="52"/>
      <c r="V360" s="52"/>
      <c r="W360" s="52"/>
      <c r="X360" s="52"/>
      <c r="Y360" s="52"/>
      <c r="Z360" s="52"/>
      <c r="AA360" s="52"/>
      <c r="AB360" s="52"/>
      <c r="AC360" s="52"/>
    </row>
    <row r="361" spans="1:29" ht="12.75">
      <c r="A361" s="197"/>
      <c r="B361" s="2"/>
      <c r="C361" s="52"/>
      <c r="D361" s="52"/>
      <c r="E361" s="52"/>
      <c r="F361" s="2"/>
      <c r="G361" s="2"/>
      <c r="H361" s="2"/>
      <c r="I361" s="2"/>
      <c r="J361" s="52"/>
      <c r="K361" s="2"/>
      <c r="L361" s="2"/>
      <c r="M361" s="2"/>
      <c r="N361" s="2"/>
      <c r="O361" s="52"/>
      <c r="P361" s="52"/>
      <c r="Q361" s="52"/>
      <c r="R361" s="52"/>
      <c r="S361" s="52"/>
      <c r="T361" s="52"/>
      <c r="U361" s="52"/>
      <c r="V361" s="52"/>
      <c r="W361" s="52"/>
      <c r="X361" s="52"/>
      <c r="Y361" s="52"/>
      <c r="Z361" s="52"/>
      <c r="AA361" s="52"/>
      <c r="AB361" s="52"/>
      <c r="AC361" s="52"/>
    </row>
    <row r="362" spans="1:29" ht="12.75">
      <c r="A362" s="197"/>
      <c r="B362" s="2"/>
      <c r="C362" s="52"/>
      <c r="D362" s="52"/>
      <c r="E362" s="52"/>
      <c r="F362" s="2"/>
      <c r="G362" s="2"/>
      <c r="H362" s="2"/>
      <c r="I362" s="2"/>
      <c r="J362" s="52"/>
      <c r="K362" s="2"/>
      <c r="L362" s="2"/>
      <c r="M362" s="2"/>
      <c r="N362" s="2"/>
      <c r="O362" s="52"/>
      <c r="P362" s="52"/>
      <c r="Q362" s="52"/>
      <c r="R362" s="52"/>
      <c r="S362" s="52"/>
      <c r="T362" s="52"/>
      <c r="U362" s="52"/>
      <c r="V362" s="52"/>
      <c r="W362" s="52"/>
      <c r="X362" s="52"/>
      <c r="Y362" s="52"/>
      <c r="Z362" s="52"/>
      <c r="AA362" s="52"/>
      <c r="AB362" s="52"/>
      <c r="AC362" s="52"/>
    </row>
    <row r="363" spans="1:29" ht="12.75">
      <c r="A363" s="197"/>
      <c r="B363" s="2"/>
      <c r="C363" s="52"/>
      <c r="D363" s="52"/>
      <c r="E363" s="52"/>
      <c r="F363" s="2"/>
      <c r="G363" s="2"/>
      <c r="H363" s="2"/>
      <c r="I363" s="2"/>
      <c r="J363" s="52"/>
      <c r="K363" s="2"/>
      <c r="L363" s="2"/>
      <c r="M363" s="2"/>
      <c r="N363" s="2"/>
      <c r="O363" s="52"/>
      <c r="P363" s="52"/>
      <c r="Q363" s="52"/>
      <c r="R363" s="52"/>
      <c r="S363" s="52"/>
      <c r="T363" s="52"/>
      <c r="U363" s="52"/>
      <c r="V363" s="52"/>
      <c r="W363" s="52"/>
      <c r="X363" s="52"/>
      <c r="Y363" s="52"/>
      <c r="Z363" s="52"/>
      <c r="AA363" s="52"/>
      <c r="AB363" s="52"/>
      <c r="AC363" s="52"/>
    </row>
    <row r="364" spans="1:29" ht="12.75">
      <c r="A364" s="197"/>
      <c r="B364" s="2"/>
      <c r="C364" s="52"/>
      <c r="D364" s="52"/>
      <c r="E364" s="52"/>
      <c r="F364" s="2"/>
      <c r="G364" s="2"/>
      <c r="H364" s="2"/>
      <c r="I364" s="2"/>
      <c r="J364" s="52"/>
      <c r="K364" s="2"/>
      <c r="L364" s="2"/>
      <c r="M364" s="2"/>
      <c r="N364" s="2"/>
      <c r="O364" s="52"/>
      <c r="P364" s="52"/>
      <c r="Q364" s="52"/>
      <c r="R364" s="52"/>
      <c r="S364" s="52"/>
      <c r="T364" s="52"/>
      <c r="U364" s="52"/>
      <c r="V364" s="52"/>
      <c r="W364" s="52"/>
      <c r="X364" s="52"/>
      <c r="Y364" s="52"/>
      <c r="Z364" s="52"/>
      <c r="AA364" s="52"/>
      <c r="AB364" s="52"/>
      <c r="AC364" s="52"/>
    </row>
    <row r="365" spans="1:29" ht="12.75">
      <c r="A365" s="197"/>
      <c r="B365" s="2"/>
      <c r="C365" s="52"/>
      <c r="D365" s="52"/>
      <c r="E365" s="52"/>
      <c r="F365" s="2"/>
      <c r="G365" s="2"/>
      <c r="H365" s="2"/>
      <c r="I365" s="2"/>
      <c r="J365" s="52"/>
      <c r="K365" s="2"/>
      <c r="L365" s="2"/>
      <c r="M365" s="2"/>
      <c r="N365" s="2"/>
      <c r="O365" s="52"/>
      <c r="P365" s="52"/>
      <c r="Q365" s="52"/>
      <c r="R365" s="52"/>
      <c r="S365" s="52"/>
      <c r="T365" s="52"/>
      <c r="U365" s="52"/>
      <c r="V365" s="52"/>
      <c r="W365" s="52"/>
      <c r="X365" s="52"/>
      <c r="Y365" s="52"/>
      <c r="Z365" s="52"/>
      <c r="AA365" s="52"/>
      <c r="AB365" s="52"/>
      <c r="AC365" s="52"/>
    </row>
    <row r="366" spans="1:29" ht="12.75">
      <c r="A366" s="197"/>
      <c r="B366" s="2"/>
      <c r="C366" s="52"/>
      <c r="D366" s="52"/>
      <c r="E366" s="52"/>
      <c r="F366" s="2"/>
      <c r="G366" s="2"/>
      <c r="H366" s="2"/>
      <c r="I366" s="2"/>
      <c r="J366" s="52"/>
      <c r="K366" s="2"/>
      <c r="L366" s="2"/>
      <c r="M366" s="2"/>
      <c r="N366" s="2"/>
      <c r="O366" s="52"/>
      <c r="P366" s="52"/>
      <c r="Q366" s="52"/>
      <c r="R366" s="52"/>
      <c r="S366" s="52"/>
      <c r="T366" s="52"/>
      <c r="U366" s="52"/>
      <c r="V366" s="52"/>
      <c r="W366" s="52"/>
      <c r="X366" s="52"/>
      <c r="Y366" s="52"/>
      <c r="Z366" s="52"/>
      <c r="AA366" s="52"/>
      <c r="AB366" s="52"/>
      <c r="AC366" s="52"/>
    </row>
    <row r="367" spans="1:29" ht="12.75">
      <c r="A367" s="197"/>
      <c r="B367" s="2"/>
      <c r="C367" s="52"/>
      <c r="D367" s="52"/>
      <c r="E367" s="52"/>
      <c r="F367" s="2"/>
      <c r="G367" s="2"/>
      <c r="H367" s="2"/>
      <c r="I367" s="2"/>
      <c r="J367" s="52"/>
      <c r="K367" s="2"/>
      <c r="L367" s="2"/>
      <c r="M367" s="2"/>
      <c r="N367" s="2"/>
      <c r="O367" s="52"/>
      <c r="P367" s="52"/>
      <c r="Q367" s="52"/>
      <c r="R367" s="52"/>
      <c r="S367" s="52"/>
      <c r="T367" s="52"/>
      <c r="U367" s="52"/>
      <c r="V367" s="52"/>
      <c r="W367" s="52"/>
      <c r="X367" s="52"/>
      <c r="Y367" s="52"/>
      <c r="Z367" s="52"/>
      <c r="AA367" s="52"/>
      <c r="AB367" s="52"/>
      <c r="AC367" s="52"/>
    </row>
    <row r="368" spans="1:29" ht="12.75">
      <c r="A368" s="197"/>
      <c r="B368" s="2"/>
      <c r="C368" s="52"/>
      <c r="D368" s="52"/>
      <c r="E368" s="52"/>
      <c r="F368" s="2"/>
      <c r="G368" s="2"/>
      <c r="H368" s="2"/>
      <c r="I368" s="2"/>
      <c r="J368" s="52"/>
      <c r="K368" s="2"/>
      <c r="L368" s="2"/>
      <c r="M368" s="2"/>
      <c r="N368" s="2"/>
      <c r="O368" s="52"/>
      <c r="P368" s="52"/>
      <c r="Q368" s="52"/>
      <c r="R368" s="52"/>
      <c r="S368" s="52"/>
      <c r="T368" s="52"/>
      <c r="U368" s="52"/>
      <c r="V368" s="52"/>
      <c r="W368" s="52"/>
      <c r="X368" s="52"/>
      <c r="Y368" s="52"/>
      <c r="Z368" s="52"/>
      <c r="AA368" s="52"/>
      <c r="AB368" s="52"/>
      <c r="AC368" s="52"/>
    </row>
    <row r="369" spans="1:29" ht="12.75">
      <c r="A369" s="197"/>
      <c r="B369" s="2"/>
      <c r="C369" s="52"/>
      <c r="D369" s="52"/>
      <c r="E369" s="52"/>
      <c r="F369" s="2"/>
      <c r="G369" s="2"/>
      <c r="H369" s="2"/>
      <c r="I369" s="2"/>
      <c r="J369" s="52"/>
      <c r="K369" s="2"/>
      <c r="L369" s="2"/>
      <c r="M369" s="2"/>
      <c r="N369" s="2"/>
      <c r="O369" s="52"/>
      <c r="P369" s="52"/>
      <c r="Q369" s="52"/>
      <c r="R369" s="52"/>
      <c r="S369" s="52"/>
      <c r="T369" s="52"/>
      <c r="U369" s="52"/>
      <c r="V369" s="52"/>
      <c r="W369" s="52"/>
      <c r="X369" s="52"/>
      <c r="Y369" s="52"/>
      <c r="Z369" s="52"/>
      <c r="AA369" s="52"/>
      <c r="AB369" s="52"/>
      <c r="AC369" s="52"/>
    </row>
    <row r="370" spans="1:29" ht="12.75">
      <c r="A370" s="197"/>
      <c r="B370" s="2"/>
      <c r="C370" s="52"/>
      <c r="D370" s="52"/>
      <c r="E370" s="52"/>
      <c r="F370" s="2"/>
      <c r="G370" s="2"/>
      <c r="H370" s="2"/>
      <c r="I370" s="2"/>
      <c r="J370" s="52"/>
      <c r="K370" s="2"/>
      <c r="L370" s="2"/>
      <c r="M370" s="2"/>
      <c r="N370" s="2"/>
      <c r="O370" s="52"/>
      <c r="P370" s="52"/>
      <c r="Q370" s="52"/>
      <c r="R370" s="52"/>
      <c r="S370" s="52"/>
      <c r="T370" s="52"/>
      <c r="U370" s="52"/>
      <c r="V370" s="52"/>
      <c r="W370" s="52"/>
      <c r="X370" s="52"/>
      <c r="Y370" s="52"/>
      <c r="Z370" s="52"/>
      <c r="AA370" s="52"/>
      <c r="AB370" s="52"/>
      <c r="AC370" s="52"/>
    </row>
    <row r="371" spans="1:29" ht="12.75">
      <c r="A371" s="197"/>
      <c r="B371" s="2"/>
      <c r="C371" s="52"/>
      <c r="D371" s="52"/>
      <c r="E371" s="52"/>
      <c r="F371" s="2"/>
      <c r="G371" s="2"/>
      <c r="H371" s="2"/>
      <c r="I371" s="2"/>
      <c r="J371" s="52"/>
      <c r="K371" s="2"/>
      <c r="L371" s="2"/>
      <c r="M371" s="2"/>
      <c r="N371" s="2"/>
      <c r="O371" s="52"/>
      <c r="P371" s="52"/>
      <c r="Q371" s="52"/>
      <c r="R371" s="52"/>
      <c r="S371" s="52"/>
      <c r="T371" s="52"/>
      <c r="U371" s="52"/>
      <c r="V371" s="52"/>
      <c r="W371" s="52"/>
      <c r="X371" s="52"/>
      <c r="Y371" s="52"/>
      <c r="Z371" s="52"/>
      <c r="AA371" s="52"/>
      <c r="AB371" s="52"/>
      <c r="AC371" s="52"/>
    </row>
    <row r="372" spans="1:29" ht="12.75">
      <c r="A372" s="197"/>
      <c r="B372" s="2"/>
      <c r="C372" s="52"/>
      <c r="D372" s="52"/>
      <c r="E372" s="52"/>
      <c r="F372" s="2"/>
      <c r="G372" s="2"/>
      <c r="H372" s="2"/>
      <c r="I372" s="2"/>
      <c r="J372" s="52"/>
      <c r="K372" s="2"/>
      <c r="L372" s="2"/>
      <c r="M372" s="2"/>
      <c r="N372" s="2"/>
      <c r="O372" s="52"/>
      <c r="P372" s="52"/>
      <c r="Q372" s="52"/>
      <c r="R372" s="52"/>
      <c r="S372" s="52"/>
      <c r="T372" s="52"/>
      <c r="U372" s="52"/>
      <c r="V372" s="52"/>
      <c r="W372" s="52"/>
      <c r="X372" s="52"/>
      <c r="Y372" s="52"/>
      <c r="Z372" s="52"/>
      <c r="AA372" s="52"/>
      <c r="AB372" s="52"/>
      <c r="AC372" s="52"/>
    </row>
    <row r="373" spans="1:29" ht="12.75">
      <c r="A373" s="197"/>
      <c r="B373" s="2"/>
      <c r="C373" s="52"/>
      <c r="D373" s="52"/>
      <c r="E373" s="52"/>
      <c r="F373" s="2"/>
      <c r="G373" s="2"/>
      <c r="H373" s="2"/>
      <c r="I373" s="2"/>
      <c r="J373" s="52"/>
      <c r="K373" s="2"/>
      <c r="L373" s="2"/>
      <c r="M373" s="2"/>
      <c r="N373" s="2"/>
      <c r="O373" s="52"/>
      <c r="P373" s="52"/>
      <c r="Q373" s="52"/>
      <c r="R373" s="52"/>
      <c r="S373" s="52"/>
      <c r="T373" s="52"/>
      <c r="U373" s="52"/>
      <c r="V373" s="52"/>
      <c r="W373" s="52"/>
      <c r="X373" s="52"/>
      <c r="Y373" s="52"/>
      <c r="Z373" s="52"/>
      <c r="AA373" s="52"/>
      <c r="AB373" s="52"/>
      <c r="AC373" s="52"/>
    </row>
    <row r="374" spans="1:29" ht="12.75">
      <c r="A374" s="197"/>
      <c r="B374" s="2"/>
      <c r="C374" s="52"/>
      <c r="D374" s="52"/>
      <c r="E374" s="52"/>
      <c r="F374" s="2"/>
      <c r="G374" s="2"/>
      <c r="H374" s="2"/>
      <c r="I374" s="2"/>
      <c r="J374" s="52"/>
      <c r="K374" s="2"/>
      <c r="L374" s="2"/>
      <c r="M374" s="2"/>
      <c r="N374" s="2"/>
      <c r="O374" s="52"/>
      <c r="P374" s="52"/>
      <c r="Q374" s="52"/>
      <c r="R374" s="52"/>
      <c r="S374" s="52"/>
      <c r="T374" s="52"/>
      <c r="U374" s="52"/>
      <c r="V374" s="52"/>
      <c r="W374" s="52"/>
      <c r="X374" s="52"/>
      <c r="Y374" s="52"/>
      <c r="Z374" s="52"/>
      <c r="AA374" s="52"/>
      <c r="AB374" s="52"/>
      <c r="AC374" s="52"/>
    </row>
    <row r="375" spans="1:29" ht="12.75">
      <c r="A375" s="197"/>
      <c r="B375" s="2"/>
      <c r="C375" s="52"/>
      <c r="D375" s="52"/>
      <c r="E375" s="52"/>
      <c r="F375" s="2"/>
      <c r="G375" s="2"/>
      <c r="H375" s="2"/>
      <c r="I375" s="2"/>
      <c r="J375" s="52"/>
      <c r="K375" s="2"/>
      <c r="L375" s="2"/>
      <c r="M375" s="2"/>
      <c r="N375" s="2"/>
      <c r="O375" s="52"/>
      <c r="P375" s="52"/>
      <c r="Q375" s="52"/>
      <c r="R375" s="52"/>
      <c r="S375" s="52"/>
      <c r="T375" s="52"/>
      <c r="U375" s="52"/>
      <c r="V375" s="52"/>
      <c r="W375" s="52"/>
      <c r="X375" s="52"/>
      <c r="Y375" s="52"/>
      <c r="Z375" s="52"/>
      <c r="AA375" s="52"/>
      <c r="AB375" s="52"/>
      <c r="AC375" s="52"/>
    </row>
    <row r="376" spans="1:29" ht="12.75">
      <c r="A376" s="197"/>
      <c r="B376" s="2"/>
      <c r="C376" s="52"/>
      <c r="D376" s="52"/>
      <c r="E376" s="52"/>
      <c r="F376" s="2"/>
      <c r="G376" s="2"/>
      <c r="H376" s="2"/>
      <c r="I376" s="2"/>
      <c r="J376" s="52"/>
      <c r="K376" s="2"/>
      <c r="L376" s="2"/>
      <c r="M376" s="2"/>
      <c r="N376" s="2"/>
      <c r="O376" s="52"/>
      <c r="P376" s="52"/>
      <c r="Q376" s="52"/>
      <c r="R376" s="52"/>
      <c r="S376" s="52"/>
      <c r="T376" s="52"/>
      <c r="U376" s="52"/>
      <c r="V376" s="52"/>
      <c r="W376" s="52"/>
      <c r="X376" s="52"/>
      <c r="Y376" s="52"/>
      <c r="Z376" s="52"/>
      <c r="AA376" s="52"/>
      <c r="AB376" s="52"/>
      <c r="AC376" s="52"/>
    </row>
    <row r="377" spans="1:29" ht="12.75">
      <c r="A377" s="197"/>
      <c r="B377" s="2"/>
      <c r="C377" s="52"/>
      <c r="D377" s="52"/>
      <c r="E377" s="52"/>
      <c r="F377" s="2"/>
      <c r="G377" s="2"/>
      <c r="H377" s="2"/>
      <c r="I377" s="2"/>
      <c r="J377" s="52"/>
      <c r="K377" s="2"/>
      <c r="L377" s="2"/>
      <c r="M377" s="2"/>
      <c r="N377" s="2"/>
      <c r="O377" s="52"/>
      <c r="P377" s="52"/>
      <c r="Q377" s="52"/>
      <c r="R377" s="52"/>
      <c r="S377" s="52"/>
      <c r="T377" s="52"/>
      <c r="U377" s="52"/>
      <c r="V377" s="52"/>
      <c r="W377" s="52"/>
      <c r="X377" s="52"/>
      <c r="Y377" s="52"/>
      <c r="Z377" s="52"/>
      <c r="AA377" s="52"/>
      <c r="AB377" s="52"/>
      <c r="AC377" s="52"/>
    </row>
    <row r="378" spans="1:29" ht="12.75">
      <c r="A378" s="197"/>
      <c r="B378" s="2"/>
      <c r="C378" s="52"/>
      <c r="D378" s="52"/>
      <c r="E378" s="52"/>
      <c r="F378" s="2"/>
      <c r="G378" s="2"/>
      <c r="H378" s="2"/>
      <c r="I378" s="2"/>
      <c r="J378" s="52"/>
      <c r="K378" s="2"/>
      <c r="L378" s="2"/>
      <c r="M378" s="2"/>
      <c r="N378" s="2"/>
      <c r="O378" s="52"/>
      <c r="P378" s="52"/>
      <c r="Q378" s="52"/>
      <c r="R378" s="52"/>
      <c r="S378" s="52"/>
      <c r="T378" s="52"/>
      <c r="U378" s="52"/>
      <c r="V378" s="52"/>
      <c r="W378" s="52"/>
      <c r="X378" s="52"/>
      <c r="Y378" s="52"/>
      <c r="Z378" s="52"/>
      <c r="AA378" s="52"/>
      <c r="AB378" s="52"/>
      <c r="AC378" s="52"/>
    </row>
    <row r="379" spans="1:29" ht="12.75">
      <c r="A379" s="197"/>
      <c r="B379" s="2"/>
      <c r="C379" s="52"/>
      <c r="D379" s="52"/>
      <c r="E379" s="52"/>
      <c r="F379" s="2"/>
      <c r="G379" s="2"/>
      <c r="H379" s="2"/>
      <c r="I379" s="2"/>
      <c r="J379" s="52"/>
      <c r="K379" s="2"/>
      <c r="L379" s="2"/>
      <c r="M379" s="2"/>
      <c r="N379" s="2"/>
      <c r="O379" s="52"/>
      <c r="P379" s="52"/>
      <c r="Q379" s="52"/>
      <c r="R379" s="52"/>
      <c r="S379" s="52"/>
      <c r="T379" s="52"/>
      <c r="U379" s="52"/>
      <c r="V379" s="52"/>
      <c r="W379" s="52"/>
      <c r="X379" s="52"/>
      <c r="Y379" s="52"/>
      <c r="Z379" s="52"/>
      <c r="AA379" s="52"/>
      <c r="AB379" s="52"/>
      <c r="AC379" s="52"/>
    </row>
    <row r="380" spans="1:29" ht="12.75">
      <c r="A380" s="197"/>
      <c r="B380" s="2"/>
      <c r="C380" s="52"/>
      <c r="D380" s="52"/>
      <c r="E380" s="52"/>
      <c r="F380" s="2"/>
      <c r="G380" s="2"/>
      <c r="H380" s="2"/>
      <c r="I380" s="2"/>
      <c r="J380" s="52"/>
      <c r="K380" s="2"/>
      <c r="L380" s="2"/>
      <c r="M380" s="2"/>
      <c r="N380" s="2"/>
      <c r="O380" s="52"/>
      <c r="P380" s="52"/>
      <c r="Q380" s="52"/>
      <c r="R380" s="52"/>
      <c r="S380" s="52"/>
      <c r="T380" s="52"/>
      <c r="U380" s="52"/>
      <c r="V380" s="52"/>
      <c r="W380" s="52"/>
      <c r="X380" s="52"/>
      <c r="Y380" s="52"/>
      <c r="Z380" s="52"/>
      <c r="AA380" s="52"/>
      <c r="AB380" s="52"/>
      <c r="AC380" s="52"/>
    </row>
    <row r="381" spans="1:29" ht="12.75">
      <c r="A381" s="197"/>
      <c r="B381" s="2"/>
      <c r="C381" s="52"/>
      <c r="D381" s="52"/>
      <c r="E381" s="52"/>
      <c r="F381" s="2"/>
      <c r="G381" s="2"/>
      <c r="H381" s="2"/>
      <c r="I381" s="2"/>
      <c r="J381" s="52"/>
      <c r="K381" s="2"/>
      <c r="L381" s="2"/>
      <c r="M381" s="2"/>
      <c r="N381" s="2"/>
      <c r="O381" s="52"/>
      <c r="P381" s="52"/>
      <c r="Q381" s="52"/>
      <c r="R381" s="52"/>
      <c r="S381" s="52"/>
      <c r="T381" s="52"/>
      <c r="U381" s="52"/>
      <c r="V381" s="52"/>
      <c r="W381" s="52"/>
      <c r="X381" s="52"/>
      <c r="Y381" s="52"/>
      <c r="Z381" s="52"/>
      <c r="AA381" s="52"/>
      <c r="AB381" s="52"/>
      <c r="AC381" s="52"/>
    </row>
    <row r="382" spans="1:29" ht="12.75">
      <c r="A382" s="197"/>
      <c r="B382" s="2"/>
      <c r="C382" s="52"/>
      <c r="D382" s="52"/>
      <c r="E382" s="52"/>
      <c r="F382" s="2"/>
      <c r="G382" s="2"/>
      <c r="H382" s="2"/>
      <c r="I382" s="2"/>
      <c r="J382" s="52"/>
      <c r="K382" s="2"/>
      <c r="L382" s="2"/>
      <c r="M382" s="2"/>
      <c r="N382" s="2"/>
      <c r="O382" s="52"/>
      <c r="P382" s="52"/>
      <c r="Q382" s="52"/>
      <c r="R382" s="52"/>
      <c r="S382" s="52"/>
      <c r="T382" s="52"/>
      <c r="U382" s="52"/>
      <c r="V382" s="52"/>
      <c r="W382" s="52"/>
      <c r="X382" s="52"/>
      <c r="Y382" s="52"/>
      <c r="Z382" s="52"/>
      <c r="AA382" s="52"/>
      <c r="AB382" s="52"/>
      <c r="AC382" s="52"/>
    </row>
    <row r="383" spans="1:29" ht="12.75">
      <c r="A383" s="197"/>
      <c r="B383" s="2"/>
      <c r="C383" s="52"/>
      <c r="D383" s="52"/>
      <c r="E383" s="52"/>
      <c r="F383" s="2"/>
      <c r="G383" s="2"/>
      <c r="H383" s="2"/>
      <c r="I383" s="2"/>
      <c r="J383" s="52"/>
      <c r="K383" s="2"/>
      <c r="L383" s="2"/>
      <c r="M383" s="2"/>
      <c r="N383" s="2"/>
      <c r="O383" s="52"/>
      <c r="P383" s="52"/>
      <c r="Q383" s="52"/>
      <c r="R383" s="52"/>
      <c r="S383" s="52"/>
      <c r="T383" s="52"/>
      <c r="U383" s="52"/>
      <c r="V383" s="52"/>
      <c r="W383" s="52"/>
      <c r="X383" s="52"/>
      <c r="Y383" s="52"/>
      <c r="Z383" s="52"/>
      <c r="AA383" s="52"/>
      <c r="AB383" s="52"/>
      <c r="AC383" s="52"/>
    </row>
    <row r="384" spans="1:29" ht="12.75">
      <c r="A384" s="197"/>
      <c r="B384" s="2"/>
      <c r="C384" s="52"/>
      <c r="D384" s="52"/>
      <c r="E384" s="52"/>
      <c r="F384" s="2"/>
      <c r="G384" s="2"/>
      <c r="H384" s="2"/>
      <c r="I384" s="2"/>
      <c r="J384" s="52"/>
      <c r="K384" s="2"/>
      <c r="L384" s="2"/>
      <c r="M384" s="2"/>
      <c r="N384" s="2"/>
      <c r="O384" s="52"/>
      <c r="P384" s="52"/>
      <c r="Q384" s="52"/>
      <c r="R384" s="52"/>
      <c r="S384" s="52"/>
      <c r="T384" s="52"/>
      <c r="U384" s="52"/>
      <c r="V384" s="52"/>
      <c r="W384" s="52"/>
      <c r="X384" s="52"/>
      <c r="Y384" s="52"/>
      <c r="Z384" s="52"/>
      <c r="AA384" s="52"/>
      <c r="AB384" s="52"/>
      <c r="AC384" s="52"/>
    </row>
    <row r="385" spans="1:29" ht="12.75">
      <c r="A385" s="197"/>
      <c r="B385" s="2"/>
      <c r="C385" s="52"/>
      <c r="D385" s="52"/>
      <c r="E385" s="52"/>
      <c r="F385" s="2"/>
      <c r="G385" s="2"/>
      <c r="H385" s="2"/>
      <c r="I385" s="2"/>
      <c r="J385" s="52"/>
      <c r="K385" s="2"/>
      <c r="L385" s="2"/>
      <c r="M385" s="2"/>
      <c r="N385" s="2"/>
      <c r="O385" s="52"/>
      <c r="P385" s="52"/>
      <c r="Q385" s="52"/>
      <c r="R385" s="52"/>
      <c r="S385" s="52"/>
      <c r="T385" s="52"/>
      <c r="U385" s="52"/>
      <c r="V385" s="52"/>
      <c r="W385" s="52"/>
      <c r="X385" s="52"/>
      <c r="Y385" s="52"/>
      <c r="Z385" s="52"/>
      <c r="AA385" s="52"/>
      <c r="AB385" s="52"/>
      <c r="AC385" s="52"/>
    </row>
    <row r="386" spans="1:29" ht="12.75">
      <c r="A386" s="197"/>
      <c r="B386" s="2"/>
      <c r="C386" s="52"/>
      <c r="D386" s="52"/>
      <c r="E386" s="52"/>
      <c r="F386" s="2"/>
      <c r="G386" s="2"/>
      <c r="H386" s="2"/>
      <c r="I386" s="2"/>
      <c r="J386" s="52"/>
      <c r="K386" s="2"/>
      <c r="L386" s="2"/>
      <c r="M386" s="2"/>
      <c r="N386" s="2"/>
      <c r="O386" s="52"/>
      <c r="P386" s="52"/>
      <c r="Q386" s="52"/>
      <c r="R386" s="52"/>
      <c r="S386" s="52"/>
      <c r="T386" s="52"/>
      <c r="U386" s="52"/>
      <c r="V386" s="52"/>
      <c r="W386" s="52"/>
      <c r="X386" s="52"/>
      <c r="Y386" s="52"/>
      <c r="Z386" s="52"/>
      <c r="AA386" s="52"/>
      <c r="AB386" s="52"/>
      <c r="AC386" s="52"/>
    </row>
    <row r="387" spans="1:29" ht="12.75">
      <c r="A387" s="197"/>
      <c r="B387" s="2"/>
      <c r="C387" s="52"/>
      <c r="D387" s="52"/>
      <c r="E387" s="52"/>
      <c r="F387" s="2"/>
      <c r="G387" s="2"/>
      <c r="H387" s="2"/>
      <c r="I387" s="2"/>
      <c r="J387" s="52"/>
      <c r="K387" s="2"/>
      <c r="L387" s="2"/>
      <c r="M387" s="2"/>
      <c r="N387" s="2"/>
      <c r="O387" s="52"/>
      <c r="P387" s="52"/>
      <c r="Q387" s="52"/>
      <c r="R387" s="52"/>
      <c r="S387" s="52"/>
      <c r="T387" s="52"/>
      <c r="U387" s="52"/>
      <c r="V387" s="52"/>
      <c r="W387" s="52"/>
      <c r="X387" s="52"/>
      <c r="Y387" s="52"/>
      <c r="Z387" s="52"/>
      <c r="AA387" s="52"/>
      <c r="AB387" s="52"/>
      <c r="AC387" s="52"/>
    </row>
    <row r="388" spans="1:29" ht="12.75">
      <c r="A388" s="197"/>
      <c r="B388" s="2"/>
      <c r="C388" s="52"/>
      <c r="D388" s="52"/>
      <c r="E388" s="52"/>
      <c r="F388" s="2"/>
      <c r="G388" s="2"/>
      <c r="H388" s="2"/>
      <c r="I388" s="2"/>
      <c r="J388" s="52"/>
      <c r="K388" s="2"/>
      <c r="L388" s="2"/>
      <c r="M388" s="2"/>
      <c r="N388" s="2"/>
      <c r="O388" s="52"/>
      <c r="P388" s="52"/>
      <c r="Q388" s="52"/>
      <c r="R388" s="52"/>
      <c r="S388" s="52"/>
      <c r="T388" s="52"/>
      <c r="U388" s="52"/>
      <c r="V388" s="52"/>
      <c r="W388" s="52"/>
      <c r="X388" s="52"/>
      <c r="Y388" s="52"/>
      <c r="Z388" s="52"/>
      <c r="AA388" s="52"/>
      <c r="AB388" s="52"/>
      <c r="AC388" s="52"/>
    </row>
    <row r="389" spans="1:29" ht="12.75">
      <c r="A389" s="197"/>
      <c r="B389" s="2"/>
      <c r="C389" s="52"/>
      <c r="D389" s="52"/>
      <c r="E389" s="52"/>
      <c r="F389" s="2"/>
      <c r="G389" s="2"/>
      <c r="H389" s="2"/>
      <c r="I389" s="2"/>
      <c r="J389" s="52"/>
      <c r="K389" s="2"/>
      <c r="L389" s="2"/>
      <c r="M389" s="2"/>
      <c r="N389" s="2"/>
      <c r="O389" s="52"/>
      <c r="P389" s="52"/>
      <c r="Q389" s="52"/>
      <c r="R389" s="52"/>
      <c r="S389" s="52"/>
      <c r="T389" s="52"/>
      <c r="U389" s="52"/>
      <c r="V389" s="52"/>
      <c r="W389" s="52"/>
      <c r="X389" s="52"/>
      <c r="Y389" s="52"/>
      <c r="Z389" s="52"/>
      <c r="AA389" s="52"/>
      <c r="AB389" s="52"/>
      <c r="AC389" s="52"/>
    </row>
    <row r="390" spans="1:29" ht="12.75">
      <c r="A390" s="197"/>
      <c r="B390" s="2"/>
      <c r="C390" s="52"/>
      <c r="D390" s="52"/>
      <c r="E390" s="52"/>
      <c r="F390" s="2"/>
      <c r="G390" s="2"/>
      <c r="H390" s="2"/>
      <c r="I390" s="2"/>
      <c r="J390" s="52"/>
      <c r="K390" s="2"/>
      <c r="L390" s="2"/>
      <c r="M390" s="2"/>
      <c r="N390" s="2"/>
      <c r="O390" s="52"/>
      <c r="P390" s="52"/>
      <c r="Q390" s="52"/>
      <c r="R390" s="52"/>
      <c r="S390" s="52"/>
      <c r="T390" s="52"/>
      <c r="U390" s="52"/>
      <c r="V390" s="52"/>
      <c r="W390" s="52"/>
      <c r="X390" s="52"/>
      <c r="Y390" s="52"/>
      <c r="Z390" s="52"/>
      <c r="AA390" s="52"/>
      <c r="AB390" s="52"/>
      <c r="AC390" s="52"/>
    </row>
    <row r="391" spans="1:29" ht="12.75">
      <c r="A391" s="197"/>
      <c r="B391" s="2"/>
      <c r="C391" s="52"/>
      <c r="D391" s="52"/>
      <c r="E391" s="52"/>
      <c r="F391" s="2"/>
      <c r="G391" s="2"/>
      <c r="H391" s="2"/>
      <c r="I391" s="2"/>
      <c r="J391" s="52"/>
      <c r="K391" s="2"/>
      <c r="L391" s="2"/>
      <c r="M391" s="2"/>
      <c r="N391" s="2"/>
      <c r="O391" s="52"/>
      <c r="P391" s="52"/>
      <c r="Q391" s="52"/>
      <c r="R391" s="52"/>
      <c r="S391" s="52"/>
      <c r="T391" s="52"/>
      <c r="U391" s="52"/>
      <c r="V391" s="52"/>
      <c r="W391" s="52"/>
      <c r="X391" s="52"/>
      <c r="Y391" s="52"/>
      <c r="Z391" s="52"/>
      <c r="AA391" s="52"/>
      <c r="AB391" s="52"/>
      <c r="AC391" s="52"/>
    </row>
    <row r="392" spans="1:29" ht="12.75">
      <c r="A392" s="197"/>
      <c r="B392" s="2"/>
      <c r="C392" s="52"/>
      <c r="D392" s="52"/>
      <c r="E392" s="52"/>
      <c r="F392" s="2"/>
      <c r="G392" s="2"/>
      <c r="H392" s="2"/>
      <c r="I392" s="2"/>
      <c r="J392" s="52"/>
      <c r="K392" s="2"/>
      <c r="L392" s="2"/>
      <c r="M392" s="2"/>
      <c r="N392" s="2"/>
      <c r="O392" s="52"/>
      <c r="P392" s="52"/>
      <c r="Q392" s="52"/>
      <c r="R392" s="52"/>
      <c r="S392" s="52"/>
      <c r="T392" s="52"/>
      <c r="U392" s="52"/>
      <c r="V392" s="52"/>
      <c r="W392" s="52"/>
      <c r="X392" s="52"/>
      <c r="Y392" s="52"/>
      <c r="Z392" s="52"/>
      <c r="AA392" s="52"/>
      <c r="AB392" s="52"/>
      <c r="AC392" s="52"/>
    </row>
    <row r="393" spans="1:29" ht="12.75">
      <c r="A393" s="197"/>
      <c r="B393" s="2"/>
      <c r="C393" s="52"/>
      <c r="D393" s="52"/>
      <c r="E393" s="52"/>
      <c r="F393" s="2"/>
      <c r="G393" s="2"/>
      <c r="H393" s="2"/>
      <c r="I393" s="2"/>
      <c r="J393" s="52"/>
      <c r="K393" s="2"/>
      <c r="L393" s="2"/>
      <c r="M393" s="2"/>
      <c r="N393" s="2"/>
      <c r="O393" s="52"/>
      <c r="P393" s="52"/>
      <c r="Q393" s="52"/>
      <c r="R393" s="52"/>
      <c r="S393" s="52"/>
      <c r="T393" s="52"/>
      <c r="U393" s="52"/>
      <c r="V393" s="52"/>
      <c r="W393" s="52"/>
      <c r="X393" s="52"/>
      <c r="Y393" s="52"/>
      <c r="Z393" s="52"/>
      <c r="AA393" s="52"/>
      <c r="AB393" s="52"/>
      <c r="AC393" s="52"/>
    </row>
    <row r="394" spans="1:29" ht="12.75">
      <c r="A394" s="197"/>
      <c r="B394" s="2"/>
      <c r="C394" s="52"/>
      <c r="D394" s="52"/>
      <c r="E394" s="52"/>
      <c r="F394" s="2"/>
      <c r="G394" s="2"/>
      <c r="H394" s="2"/>
      <c r="I394" s="2"/>
      <c r="J394" s="52"/>
      <c r="K394" s="2"/>
      <c r="L394" s="2"/>
      <c r="M394" s="2"/>
      <c r="N394" s="2"/>
      <c r="O394" s="52"/>
      <c r="P394" s="52"/>
      <c r="Q394" s="52"/>
      <c r="R394" s="52"/>
      <c r="S394" s="52"/>
      <c r="T394" s="52"/>
      <c r="U394" s="52"/>
      <c r="V394" s="52"/>
      <c r="W394" s="52"/>
      <c r="X394" s="52"/>
      <c r="Y394" s="52"/>
      <c r="Z394" s="52"/>
      <c r="AA394" s="52"/>
      <c r="AB394" s="52"/>
      <c r="AC394" s="52"/>
    </row>
    <row r="395" spans="1:29" ht="12.75">
      <c r="A395" s="197"/>
      <c r="B395" s="2"/>
      <c r="C395" s="52"/>
      <c r="D395" s="52"/>
      <c r="E395" s="52"/>
      <c r="F395" s="2"/>
      <c r="G395" s="2"/>
      <c r="H395" s="2"/>
      <c r="I395" s="2"/>
      <c r="J395" s="52"/>
      <c r="K395" s="2"/>
      <c r="L395" s="2"/>
      <c r="M395" s="2"/>
      <c r="N395" s="2"/>
      <c r="O395" s="52"/>
      <c r="P395" s="52"/>
      <c r="Q395" s="52"/>
      <c r="R395" s="52"/>
      <c r="S395" s="52"/>
      <c r="T395" s="52"/>
      <c r="U395" s="52"/>
      <c r="V395" s="52"/>
      <c r="W395" s="52"/>
      <c r="X395" s="52"/>
      <c r="Y395" s="52"/>
      <c r="Z395" s="52"/>
      <c r="AA395" s="52"/>
      <c r="AB395" s="52"/>
      <c r="AC395" s="52"/>
    </row>
    <row r="396" spans="1:29" ht="12.75">
      <c r="A396" s="197"/>
      <c r="B396" s="2"/>
      <c r="C396" s="52"/>
      <c r="D396" s="52"/>
      <c r="E396" s="52"/>
      <c r="F396" s="2"/>
      <c r="G396" s="2"/>
      <c r="H396" s="2"/>
      <c r="I396" s="2"/>
      <c r="J396" s="52"/>
      <c r="K396" s="2"/>
      <c r="L396" s="2"/>
      <c r="M396" s="2"/>
      <c r="N396" s="2"/>
      <c r="O396" s="52"/>
      <c r="P396" s="52"/>
      <c r="Q396" s="52"/>
      <c r="R396" s="52"/>
      <c r="S396" s="52"/>
      <c r="T396" s="52"/>
      <c r="U396" s="52"/>
      <c r="V396" s="52"/>
      <c r="W396" s="52"/>
      <c r="X396" s="52"/>
      <c r="Y396" s="52"/>
      <c r="Z396" s="52"/>
      <c r="AA396" s="52"/>
      <c r="AB396" s="52"/>
      <c r="AC396" s="52"/>
    </row>
    <row r="397" spans="1:29" ht="12.75">
      <c r="A397" s="197"/>
      <c r="B397" s="2"/>
      <c r="C397" s="52"/>
      <c r="D397" s="52"/>
      <c r="E397" s="52"/>
      <c r="F397" s="2"/>
      <c r="G397" s="2"/>
      <c r="H397" s="2"/>
      <c r="I397" s="2"/>
      <c r="J397" s="52"/>
      <c r="K397" s="2"/>
      <c r="L397" s="2"/>
      <c r="M397" s="2"/>
      <c r="N397" s="2"/>
      <c r="O397" s="52"/>
      <c r="P397" s="52"/>
      <c r="Q397" s="52"/>
      <c r="R397" s="52"/>
      <c r="S397" s="52"/>
      <c r="T397" s="52"/>
      <c r="U397" s="52"/>
      <c r="V397" s="52"/>
      <c r="W397" s="52"/>
      <c r="X397" s="52"/>
      <c r="Y397" s="52"/>
      <c r="Z397" s="52"/>
      <c r="AA397" s="52"/>
      <c r="AB397" s="52"/>
      <c r="AC397" s="52"/>
    </row>
    <row r="398" spans="1:29" ht="12.75">
      <c r="A398" s="197"/>
      <c r="B398" s="2"/>
      <c r="C398" s="52"/>
      <c r="D398" s="52"/>
      <c r="E398" s="52"/>
      <c r="F398" s="2"/>
      <c r="G398" s="2"/>
      <c r="H398" s="2"/>
      <c r="I398" s="2"/>
      <c r="J398" s="52"/>
      <c r="K398" s="2"/>
      <c r="L398" s="2"/>
      <c r="M398" s="2"/>
      <c r="N398" s="2"/>
      <c r="O398" s="52"/>
      <c r="P398" s="52"/>
      <c r="Q398" s="52"/>
      <c r="R398" s="52"/>
      <c r="S398" s="52"/>
      <c r="T398" s="52"/>
      <c r="U398" s="52"/>
      <c r="V398" s="52"/>
      <c r="W398" s="52"/>
      <c r="X398" s="52"/>
      <c r="Y398" s="52"/>
      <c r="Z398" s="52"/>
      <c r="AA398" s="52"/>
      <c r="AB398" s="52"/>
      <c r="AC398" s="52"/>
    </row>
    <row r="399" spans="1:29" ht="12.75">
      <c r="A399" s="197"/>
      <c r="B399" s="2"/>
      <c r="C399" s="52"/>
      <c r="D399" s="52"/>
      <c r="E399" s="52"/>
      <c r="F399" s="2"/>
      <c r="G399" s="2"/>
      <c r="H399" s="2"/>
      <c r="I399" s="2"/>
      <c r="J399" s="52"/>
      <c r="K399" s="2"/>
      <c r="L399" s="2"/>
      <c r="M399" s="2"/>
      <c r="N399" s="2"/>
      <c r="O399" s="52"/>
      <c r="P399" s="52"/>
      <c r="Q399" s="52"/>
      <c r="R399" s="52"/>
      <c r="S399" s="52"/>
      <c r="T399" s="52"/>
      <c r="U399" s="52"/>
      <c r="V399" s="52"/>
      <c r="W399" s="52"/>
      <c r="X399" s="52"/>
      <c r="Y399" s="52"/>
      <c r="Z399" s="52"/>
      <c r="AA399" s="52"/>
      <c r="AB399" s="52"/>
      <c r="AC399" s="52"/>
    </row>
    <row r="400" spans="1:29" ht="12.75">
      <c r="A400" s="197"/>
      <c r="B400" s="2"/>
      <c r="C400" s="52"/>
      <c r="D400" s="52"/>
      <c r="E400" s="52"/>
      <c r="F400" s="2"/>
      <c r="G400" s="2"/>
      <c r="H400" s="2"/>
      <c r="I400" s="2"/>
      <c r="J400" s="52"/>
      <c r="K400" s="2"/>
      <c r="L400" s="2"/>
      <c r="M400" s="2"/>
      <c r="N400" s="2"/>
      <c r="O400" s="52"/>
      <c r="P400" s="52"/>
      <c r="Q400" s="52"/>
      <c r="R400" s="52"/>
      <c r="S400" s="52"/>
      <c r="T400" s="52"/>
      <c r="U400" s="52"/>
      <c r="V400" s="52"/>
      <c r="W400" s="52"/>
      <c r="X400" s="52"/>
      <c r="Y400" s="52"/>
      <c r="Z400" s="52"/>
      <c r="AA400" s="52"/>
      <c r="AB400" s="52"/>
      <c r="AC400" s="52"/>
    </row>
    <row r="401" spans="1:29" ht="12.75">
      <c r="A401" s="197"/>
      <c r="B401" s="2"/>
      <c r="C401" s="52"/>
      <c r="D401" s="52"/>
      <c r="E401" s="52"/>
      <c r="F401" s="2"/>
      <c r="G401" s="2"/>
      <c r="H401" s="2"/>
      <c r="I401" s="2"/>
      <c r="J401" s="52"/>
      <c r="K401" s="2"/>
      <c r="L401" s="2"/>
      <c r="M401" s="2"/>
      <c r="N401" s="2"/>
      <c r="O401" s="52"/>
      <c r="P401" s="52"/>
      <c r="Q401" s="52"/>
      <c r="R401" s="52"/>
      <c r="S401" s="52"/>
      <c r="T401" s="52"/>
      <c r="U401" s="52"/>
      <c r="V401" s="52"/>
      <c r="W401" s="52"/>
      <c r="X401" s="52"/>
      <c r="Y401" s="52"/>
      <c r="Z401" s="52"/>
      <c r="AA401" s="52"/>
      <c r="AB401" s="52"/>
      <c r="AC401" s="52"/>
    </row>
    <row r="402" spans="1:29" ht="12.75">
      <c r="A402" s="197"/>
      <c r="B402" s="2"/>
      <c r="C402" s="52"/>
      <c r="D402" s="52"/>
      <c r="E402" s="52"/>
      <c r="F402" s="2"/>
      <c r="G402" s="2"/>
      <c r="H402" s="2"/>
      <c r="I402" s="2"/>
      <c r="J402" s="52"/>
      <c r="K402" s="2"/>
      <c r="L402" s="2"/>
      <c r="M402" s="2"/>
      <c r="N402" s="2"/>
      <c r="O402" s="52"/>
      <c r="P402" s="52"/>
      <c r="Q402" s="52"/>
      <c r="R402" s="52"/>
      <c r="S402" s="52"/>
      <c r="T402" s="52"/>
      <c r="U402" s="52"/>
      <c r="V402" s="52"/>
      <c r="W402" s="52"/>
      <c r="X402" s="52"/>
      <c r="Y402" s="52"/>
      <c r="Z402" s="52"/>
      <c r="AA402" s="52"/>
      <c r="AB402" s="52"/>
      <c r="AC402" s="52"/>
    </row>
    <row r="403" spans="1:29" ht="12.75">
      <c r="A403" s="197"/>
      <c r="B403" s="2"/>
      <c r="C403" s="52"/>
      <c r="D403" s="52"/>
      <c r="E403" s="52"/>
      <c r="F403" s="2"/>
      <c r="G403" s="2"/>
      <c r="H403" s="2"/>
      <c r="I403" s="2"/>
      <c r="J403" s="52"/>
      <c r="K403" s="2"/>
      <c r="L403" s="2"/>
      <c r="M403" s="2"/>
      <c r="N403" s="2"/>
      <c r="O403" s="52"/>
      <c r="P403" s="52"/>
      <c r="Q403" s="52"/>
      <c r="R403" s="52"/>
      <c r="S403" s="52"/>
      <c r="T403" s="52"/>
      <c r="U403" s="52"/>
      <c r="V403" s="52"/>
      <c r="W403" s="52"/>
      <c r="X403" s="52"/>
      <c r="Y403" s="52"/>
      <c r="Z403" s="52"/>
      <c r="AA403" s="52"/>
      <c r="AB403" s="52"/>
      <c r="AC403" s="52"/>
    </row>
    <row r="404" spans="1:29" ht="12.75">
      <c r="A404" s="197"/>
      <c r="B404" s="2"/>
      <c r="C404" s="52"/>
      <c r="D404" s="52"/>
      <c r="E404" s="52"/>
      <c r="F404" s="2"/>
      <c r="G404" s="2"/>
      <c r="H404" s="2"/>
      <c r="I404" s="2"/>
      <c r="J404" s="52"/>
      <c r="K404" s="2"/>
      <c r="L404" s="2"/>
      <c r="M404" s="2"/>
      <c r="N404" s="2"/>
      <c r="O404" s="52"/>
      <c r="P404" s="52"/>
      <c r="Q404" s="52"/>
      <c r="R404" s="52"/>
      <c r="S404" s="52"/>
      <c r="T404" s="52"/>
      <c r="U404" s="52"/>
      <c r="V404" s="52"/>
      <c r="W404" s="52"/>
      <c r="X404" s="52"/>
      <c r="Y404" s="52"/>
      <c r="Z404" s="52"/>
      <c r="AA404" s="52"/>
      <c r="AB404" s="52"/>
      <c r="AC404" s="52"/>
    </row>
    <row r="405" spans="1:29" ht="12.75">
      <c r="A405" s="197"/>
      <c r="B405" s="2"/>
      <c r="C405" s="52"/>
      <c r="D405" s="52"/>
      <c r="E405" s="52"/>
      <c r="F405" s="2"/>
      <c r="G405" s="2"/>
      <c r="H405" s="2"/>
      <c r="I405" s="2"/>
      <c r="J405" s="52"/>
      <c r="K405" s="2"/>
      <c r="L405" s="2"/>
      <c r="M405" s="2"/>
      <c r="N405" s="2"/>
      <c r="O405" s="52"/>
      <c r="P405" s="52"/>
      <c r="Q405" s="52"/>
      <c r="R405" s="52"/>
      <c r="S405" s="52"/>
      <c r="T405" s="52"/>
      <c r="U405" s="52"/>
      <c r="V405" s="52"/>
      <c r="W405" s="52"/>
      <c r="X405" s="52"/>
      <c r="Y405" s="52"/>
      <c r="Z405" s="52"/>
      <c r="AA405" s="52"/>
      <c r="AB405" s="52"/>
      <c r="AC405" s="52"/>
    </row>
    <row r="406" spans="1:29" ht="12.75">
      <c r="A406" s="197"/>
      <c r="B406" s="2"/>
      <c r="C406" s="52"/>
      <c r="D406" s="52"/>
      <c r="E406" s="52"/>
      <c r="F406" s="2"/>
      <c r="G406" s="2"/>
      <c r="H406" s="2"/>
      <c r="I406" s="2"/>
      <c r="J406" s="52"/>
      <c r="K406" s="2"/>
      <c r="L406" s="2"/>
      <c r="M406" s="2"/>
      <c r="N406" s="2"/>
      <c r="O406" s="52"/>
      <c r="P406" s="52"/>
      <c r="Q406" s="52"/>
      <c r="R406" s="52"/>
      <c r="S406" s="52"/>
      <c r="T406" s="52"/>
      <c r="U406" s="52"/>
      <c r="V406" s="52"/>
      <c r="W406" s="52"/>
      <c r="X406" s="52"/>
      <c r="Y406" s="52"/>
      <c r="Z406" s="52"/>
      <c r="AA406" s="52"/>
      <c r="AB406" s="52"/>
      <c r="AC406" s="52"/>
    </row>
    <row r="407" spans="1:29" ht="12.75">
      <c r="A407" s="197"/>
      <c r="B407" s="2"/>
      <c r="C407" s="52"/>
      <c r="D407" s="52"/>
      <c r="E407" s="52"/>
      <c r="F407" s="2"/>
      <c r="G407" s="2"/>
      <c r="H407" s="2"/>
      <c r="I407" s="2"/>
      <c r="J407" s="52"/>
      <c r="K407" s="2"/>
      <c r="L407" s="2"/>
      <c r="M407" s="2"/>
      <c r="N407" s="2"/>
      <c r="O407" s="52"/>
      <c r="P407" s="52"/>
      <c r="Q407" s="52"/>
      <c r="R407" s="52"/>
      <c r="S407" s="52"/>
      <c r="T407" s="52"/>
      <c r="U407" s="52"/>
      <c r="V407" s="52"/>
      <c r="W407" s="52"/>
      <c r="X407" s="52"/>
      <c r="Y407" s="52"/>
      <c r="Z407" s="52"/>
      <c r="AA407" s="52"/>
      <c r="AB407" s="52"/>
      <c r="AC407" s="52"/>
    </row>
    <row r="408" spans="1:29" ht="12.75">
      <c r="A408" s="197"/>
      <c r="B408" s="2"/>
      <c r="C408" s="52"/>
      <c r="D408" s="52"/>
      <c r="E408" s="52"/>
      <c r="F408" s="2"/>
      <c r="G408" s="2"/>
      <c r="H408" s="2"/>
      <c r="I408" s="2"/>
      <c r="J408" s="52"/>
      <c r="K408" s="2"/>
      <c r="L408" s="2"/>
      <c r="M408" s="2"/>
      <c r="N408" s="2"/>
      <c r="O408" s="52"/>
      <c r="P408" s="52"/>
      <c r="Q408" s="52"/>
      <c r="R408" s="52"/>
      <c r="S408" s="52"/>
      <c r="T408" s="52"/>
      <c r="U408" s="52"/>
      <c r="V408" s="52"/>
      <c r="W408" s="52"/>
      <c r="X408" s="52"/>
      <c r="Y408" s="52"/>
      <c r="Z408" s="52"/>
      <c r="AA408" s="52"/>
      <c r="AB408" s="52"/>
      <c r="AC408" s="52"/>
    </row>
    <row r="409" spans="1:29" ht="12.75">
      <c r="A409" s="197"/>
      <c r="B409" s="2"/>
      <c r="C409" s="52"/>
      <c r="D409" s="52"/>
      <c r="E409" s="52"/>
      <c r="F409" s="2"/>
      <c r="G409" s="2"/>
      <c r="H409" s="2"/>
      <c r="I409" s="2"/>
      <c r="J409" s="52"/>
      <c r="K409" s="2"/>
      <c r="L409" s="2"/>
      <c r="M409" s="2"/>
      <c r="N409" s="2"/>
      <c r="O409" s="52"/>
      <c r="P409" s="52"/>
      <c r="Q409" s="52"/>
      <c r="R409" s="52"/>
      <c r="S409" s="52"/>
      <c r="T409" s="52"/>
      <c r="U409" s="52"/>
      <c r="V409" s="52"/>
      <c r="W409" s="52"/>
      <c r="X409" s="52"/>
      <c r="Y409" s="52"/>
      <c r="Z409" s="52"/>
      <c r="AA409" s="52"/>
      <c r="AB409" s="52"/>
      <c r="AC409" s="52"/>
    </row>
    <row r="410" spans="1:29" ht="12.75">
      <c r="A410" s="197"/>
      <c r="B410" s="2"/>
      <c r="C410" s="52"/>
      <c r="D410" s="52"/>
      <c r="E410" s="52"/>
      <c r="F410" s="2"/>
      <c r="G410" s="2"/>
      <c r="H410" s="2"/>
      <c r="I410" s="2"/>
      <c r="J410" s="52"/>
      <c r="K410" s="2"/>
      <c r="L410" s="2"/>
      <c r="M410" s="2"/>
      <c r="N410" s="2"/>
      <c r="O410" s="52"/>
      <c r="P410" s="52"/>
      <c r="Q410" s="52"/>
      <c r="R410" s="52"/>
      <c r="S410" s="52"/>
      <c r="T410" s="52"/>
      <c r="U410" s="52"/>
      <c r="V410" s="52"/>
      <c r="W410" s="52"/>
      <c r="X410" s="52"/>
      <c r="Y410" s="52"/>
      <c r="Z410" s="52"/>
      <c r="AA410" s="52"/>
      <c r="AB410" s="52"/>
      <c r="AC410" s="52"/>
    </row>
    <row r="411" spans="1:29" ht="12.75">
      <c r="A411" s="197"/>
      <c r="B411" s="2"/>
      <c r="C411" s="52"/>
      <c r="D411" s="52"/>
      <c r="E411" s="52"/>
      <c r="F411" s="2"/>
      <c r="G411" s="2"/>
      <c r="H411" s="2"/>
      <c r="I411" s="2"/>
      <c r="J411" s="52"/>
      <c r="K411" s="2"/>
      <c r="L411" s="2"/>
      <c r="M411" s="2"/>
      <c r="N411" s="2"/>
      <c r="O411" s="52"/>
      <c r="P411" s="52"/>
      <c r="Q411" s="52"/>
      <c r="R411" s="52"/>
      <c r="S411" s="52"/>
      <c r="T411" s="52"/>
      <c r="U411" s="52"/>
      <c r="V411" s="52"/>
      <c r="W411" s="52"/>
      <c r="X411" s="52"/>
      <c r="Y411" s="52"/>
      <c r="Z411" s="52"/>
      <c r="AA411" s="52"/>
      <c r="AB411" s="52"/>
      <c r="AC411" s="52"/>
    </row>
    <row r="412" spans="1:29" ht="12.75">
      <c r="A412" s="197"/>
      <c r="B412" s="2"/>
      <c r="C412" s="52"/>
      <c r="D412" s="52"/>
      <c r="E412" s="52"/>
      <c r="F412" s="2"/>
      <c r="G412" s="2"/>
      <c r="H412" s="2"/>
      <c r="I412" s="2"/>
      <c r="J412" s="52"/>
      <c r="K412" s="2"/>
      <c r="L412" s="2"/>
      <c r="M412" s="2"/>
      <c r="N412" s="2"/>
      <c r="O412" s="52"/>
      <c r="P412" s="52"/>
      <c r="Q412" s="52"/>
      <c r="R412" s="52"/>
      <c r="S412" s="52"/>
      <c r="T412" s="52"/>
      <c r="U412" s="52"/>
      <c r="V412" s="52"/>
      <c r="W412" s="52"/>
      <c r="X412" s="52"/>
      <c r="Y412" s="52"/>
      <c r="Z412" s="52"/>
      <c r="AA412" s="52"/>
      <c r="AB412" s="52"/>
      <c r="AC412" s="52"/>
    </row>
    <row r="413" spans="1:29" ht="12.75">
      <c r="A413" s="197"/>
      <c r="B413" s="2"/>
      <c r="C413" s="52"/>
      <c r="D413" s="52"/>
      <c r="E413" s="52"/>
      <c r="F413" s="2"/>
      <c r="G413" s="2"/>
      <c r="H413" s="2"/>
      <c r="I413" s="2"/>
      <c r="J413" s="52"/>
      <c r="K413" s="2"/>
      <c r="L413" s="2"/>
      <c r="M413" s="2"/>
      <c r="N413" s="2"/>
      <c r="O413" s="52"/>
      <c r="P413" s="52"/>
      <c r="Q413" s="52"/>
      <c r="R413" s="52"/>
      <c r="S413" s="52"/>
      <c r="T413" s="52"/>
      <c r="U413" s="52"/>
      <c r="V413" s="52"/>
      <c r="W413" s="52"/>
      <c r="X413" s="52"/>
      <c r="Y413" s="52"/>
      <c r="Z413" s="52"/>
      <c r="AA413" s="52"/>
      <c r="AB413" s="52"/>
      <c r="AC413" s="52"/>
    </row>
    <row r="414" spans="1:29" ht="12.75">
      <c r="A414" s="197"/>
      <c r="B414" s="2"/>
      <c r="C414" s="52"/>
      <c r="D414" s="52"/>
      <c r="E414" s="52"/>
      <c r="F414" s="2"/>
      <c r="G414" s="2"/>
      <c r="H414" s="2"/>
      <c r="I414" s="2"/>
      <c r="J414" s="52"/>
      <c r="K414" s="2"/>
      <c r="L414" s="2"/>
      <c r="M414" s="2"/>
      <c r="N414" s="2"/>
      <c r="O414" s="52"/>
      <c r="P414" s="52"/>
      <c r="Q414" s="52"/>
      <c r="R414" s="52"/>
      <c r="S414" s="52"/>
      <c r="T414" s="52"/>
      <c r="U414" s="52"/>
      <c r="V414" s="52"/>
      <c r="W414" s="52"/>
      <c r="X414" s="52"/>
      <c r="Y414" s="52"/>
      <c r="Z414" s="52"/>
      <c r="AA414" s="52"/>
      <c r="AB414" s="52"/>
      <c r="AC414" s="52"/>
    </row>
    <row r="415" spans="1:29" ht="12.75">
      <c r="A415" s="197"/>
      <c r="B415" s="2"/>
      <c r="C415" s="52"/>
      <c r="D415" s="52"/>
      <c r="E415" s="52"/>
      <c r="F415" s="2"/>
      <c r="G415" s="2"/>
      <c r="H415" s="2"/>
      <c r="I415" s="2"/>
      <c r="J415" s="52"/>
      <c r="K415" s="2"/>
      <c r="L415" s="2"/>
      <c r="M415" s="2"/>
      <c r="N415" s="2"/>
      <c r="O415" s="52"/>
      <c r="P415" s="52"/>
      <c r="Q415" s="52"/>
      <c r="R415" s="52"/>
      <c r="S415" s="52"/>
      <c r="T415" s="52"/>
      <c r="U415" s="52"/>
      <c r="V415" s="52"/>
      <c r="W415" s="52"/>
      <c r="X415" s="52"/>
      <c r="Y415" s="52"/>
      <c r="Z415" s="52"/>
      <c r="AA415" s="52"/>
      <c r="AB415" s="52"/>
      <c r="AC415" s="52"/>
    </row>
    <row r="416" spans="1:29" ht="12.75">
      <c r="A416" s="197"/>
      <c r="B416" s="2"/>
      <c r="C416" s="52"/>
      <c r="D416" s="52"/>
      <c r="E416" s="52"/>
      <c r="F416" s="2"/>
      <c r="G416" s="2"/>
      <c r="H416" s="2"/>
      <c r="I416" s="2"/>
      <c r="J416" s="52"/>
      <c r="K416" s="2"/>
      <c r="L416" s="2"/>
      <c r="M416" s="2"/>
      <c r="N416" s="2"/>
      <c r="O416" s="52"/>
      <c r="P416" s="52"/>
      <c r="Q416" s="52"/>
      <c r="R416" s="52"/>
      <c r="S416" s="52"/>
      <c r="T416" s="52"/>
      <c r="U416" s="52"/>
      <c r="V416" s="52"/>
      <c r="W416" s="52"/>
      <c r="X416" s="52"/>
      <c r="Y416" s="52"/>
      <c r="Z416" s="52"/>
      <c r="AA416" s="52"/>
      <c r="AB416" s="52"/>
      <c r="AC416" s="52"/>
    </row>
    <row r="417" spans="1:29" ht="12.75">
      <c r="A417" s="197"/>
      <c r="B417" s="2"/>
      <c r="C417" s="52"/>
      <c r="D417" s="52"/>
      <c r="E417" s="52"/>
      <c r="F417" s="2"/>
      <c r="G417" s="2"/>
      <c r="H417" s="2"/>
      <c r="I417" s="2"/>
      <c r="J417" s="52"/>
      <c r="K417" s="2"/>
      <c r="L417" s="2"/>
      <c r="M417" s="2"/>
      <c r="N417" s="2"/>
      <c r="O417" s="52"/>
      <c r="P417" s="52"/>
      <c r="Q417" s="52"/>
      <c r="R417" s="52"/>
      <c r="S417" s="52"/>
      <c r="T417" s="52"/>
      <c r="U417" s="52"/>
      <c r="V417" s="52"/>
      <c r="W417" s="52"/>
      <c r="X417" s="52"/>
      <c r="Y417" s="52"/>
      <c r="Z417" s="52"/>
      <c r="AA417" s="52"/>
      <c r="AB417" s="52"/>
      <c r="AC417" s="52"/>
    </row>
    <row r="418" spans="1:29" ht="12.75">
      <c r="A418" s="197"/>
      <c r="B418" s="2"/>
      <c r="C418" s="52"/>
      <c r="D418" s="52"/>
      <c r="E418" s="52"/>
      <c r="F418" s="2"/>
      <c r="G418" s="2"/>
      <c r="H418" s="2"/>
      <c r="I418" s="2"/>
      <c r="J418" s="52"/>
      <c r="K418" s="2"/>
      <c r="L418" s="2"/>
      <c r="M418" s="2"/>
      <c r="N418" s="2"/>
      <c r="O418" s="52"/>
      <c r="P418" s="52"/>
      <c r="Q418" s="52"/>
      <c r="R418" s="52"/>
      <c r="S418" s="52"/>
      <c r="T418" s="52"/>
      <c r="U418" s="52"/>
      <c r="V418" s="52"/>
      <c r="W418" s="52"/>
      <c r="X418" s="52"/>
      <c r="Y418" s="52"/>
      <c r="Z418" s="52"/>
      <c r="AA418" s="52"/>
      <c r="AB418" s="52"/>
      <c r="AC418" s="52"/>
    </row>
    <row r="419" spans="1:29" ht="12.75">
      <c r="A419" s="197"/>
      <c r="B419" s="2"/>
      <c r="C419" s="52"/>
      <c r="D419" s="52"/>
      <c r="E419" s="52"/>
      <c r="F419" s="2"/>
      <c r="G419" s="2"/>
      <c r="H419" s="2"/>
      <c r="I419" s="2"/>
      <c r="J419" s="52"/>
      <c r="K419" s="2"/>
      <c r="L419" s="2"/>
      <c r="M419" s="2"/>
      <c r="N419" s="2"/>
      <c r="O419" s="52"/>
      <c r="P419" s="52"/>
      <c r="Q419" s="52"/>
      <c r="R419" s="52"/>
      <c r="S419" s="52"/>
      <c r="T419" s="52"/>
      <c r="U419" s="52"/>
      <c r="V419" s="52"/>
      <c r="W419" s="52"/>
      <c r="X419" s="52"/>
      <c r="Y419" s="52"/>
      <c r="Z419" s="52"/>
      <c r="AA419" s="52"/>
      <c r="AB419" s="52"/>
      <c r="AC419" s="52"/>
    </row>
    <row r="420" spans="1:29" ht="12.75">
      <c r="A420" s="197"/>
      <c r="B420" s="2"/>
      <c r="C420" s="52"/>
      <c r="D420" s="52"/>
      <c r="E420" s="52"/>
      <c r="F420" s="2"/>
      <c r="G420" s="2"/>
      <c r="H420" s="2"/>
      <c r="I420" s="2"/>
      <c r="J420" s="52"/>
      <c r="K420" s="2"/>
      <c r="L420" s="2"/>
      <c r="M420" s="2"/>
      <c r="N420" s="2"/>
      <c r="O420" s="52"/>
      <c r="P420" s="52"/>
      <c r="Q420" s="52"/>
      <c r="R420" s="52"/>
      <c r="S420" s="52"/>
      <c r="T420" s="52"/>
      <c r="U420" s="52"/>
      <c r="V420" s="52"/>
      <c r="W420" s="52"/>
      <c r="X420" s="52"/>
      <c r="Y420" s="52"/>
      <c r="Z420" s="52"/>
      <c r="AA420" s="52"/>
      <c r="AB420" s="52"/>
      <c r="AC420" s="52"/>
    </row>
    <row r="421" spans="1:29" ht="12.75">
      <c r="A421" s="197"/>
      <c r="B421" s="2"/>
      <c r="C421" s="52"/>
      <c r="D421" s="52"/>
      <c r="E421" s="52"/>
      <c r="F421" s="2"/>
      <c r="G421" s="2"/>
      <c r="H421" s="2"/>
      <c r="I421" s="2"/>
      <c r="J421" s="52"/>
      <c r="K421" s="2"/>
      <c r="L421" s="2"/>
      <c r="M421" s="2"/>
      <c r="N421" s="2"/>
      <c r="O421" s="52"/>
      <c r="P421" s="52"/>
      <c r="Q421" s="52"/>
      <c r="R421" s="52"/>
      <c r="S421" s="52"/>
      <c r="T421" s="52"/>
      <c r="U421" s="52"/>
      <c r="V421" s="52"/>
      <c r="W421" s="52"/>
      <c r="X421" s="52"/>
      <c r="Y421" s="52"/>
      <c r="Z421" s="52"/>
      <c r="AA421" s="52"/>
      <c r="AB421" s="52"/>
      <c r="AC421" s="52"/>
    </row>
    <row r="422" spans="1:29" ht="12.75">
      <c r="A422" s="197"/>
      <c r="B422" s="2"/>
      <c r="C422" s="52"/>
      <c r="D422" s="52"/>
      <c r="E422" s="52"/>
      <c r="F422" s="2"/>
      <c r="G422" s="2"/>
      <c r="H422" s="2"/>
      <c r="I422" s="2"/>
      <c r="J422" s="52"/>
      <c r="K422" s="2"/>
      <c r="L422" s="2"/>
      <c r="M422" s="2"/>
      <c r="N422" s="2"/>
      <c r="O422" s="52"/>
      <c r="P422" s="52"/>
      <c r="Q422" s="52"/>
      <c r="R422" s="52"/>
      <c r="S422" s="52"/>
      <c r="T422" s="52"/>
      <c r="U422" s="52"/>
      <c r="V422" s="52"/>
      <c r="W422" s="52"/>
      <c r="X422" s="52"/>
      <c r="Y422" s="52"/>
      <c r="Z422" s="52"/>
      <c r="AA422" s="52"/>
      <c r="AB422" s="52"/>
      <c r="AC422" s="52"/>
    </row>
    <row r="423" spans="1:29" ht="12.75">
      <c r="A423" s="197"/>
      <c r="B423" s="2"/>
      <c r="C423" s="52"/>
      <c r="D423" s="52"/>
      <c r="E423" s="52"/>
      <c r="F423" s="2"/>
      <c r="G423" s="2"/>
      <c r="H423" s="2"/>
      <c r="I423" s="2"/>
      <c r="J423" s="52"/>
      <c r="K423" s="2"/>
      <c r="L423" s="2"/>
      <c r="M423" s="2"/>
      <c r="N423" s="2"/>
      <c r="O423" s="52"/>
      <c r="P423" s="52"/>
      <c r="Q423" s="52"/>
      <c r="R423" s="52"/>
      <c r="S423" s="52"/>
      <c r="T423" s="52"/>
      <c r="U423" s="52"/>
      <c r="V423" s="52"/>
      <c r="W423" s="52"/>
      <c r="X423" s="52"/>
      <c r="Y423" s="52"/>
      <c r="Z423" s="52"/>
      <c r="AA423" s="52"/>
      <c r="AB423" s="52"/>
      <c r="AC423" s="52"/>
    </row>
    <row r="424" spans="1:29" ht="12.75">
      <c r="A424" s="197"/>
      <c r="B424" s="2"/>
      <c r="C424" s="52"/>
      <c r="D424" s="52"/>
      <c r="E424" s="52"/>
      <c r="F424" s="2"/>
      <c r="G424" s="2"/>
      <c r="H424" s="2"/>
      <c r="I424" s="2"/>
      <c r="J424" s="52"/>
      <c r="K424" s="2"/>
      <c r="L424" s="2"/>
      <c r="M424" s="2"/>
      <c r="N424" s="2"/>
      <c r="O424" s="52"/>
      <c r="P424" s="52"/>
      <c r="Q424" s="52"/>
      <c r="R424" s="52"/>
      <c r="S424" s="52"/>
      <c r="T424" s="52"/>
      <c r="U424" s="52"/>
      <c r="V424" s="52"/>
      <c r="W424" s="52"/>
      <c r="X424" s="52"/>
      <c r="Y424" s="52"/>
      <c r="Z424" s="52"/>
      <c r="AA424" s="52"/>
      <c r="AB424" s="52"/>
      <c r="AC424" s="52"/>
    </row>
    <row r="425" spans="1:29" ht="12.75">
      <c r="A425" s="197"/>
      <c r="B425" s="2"/>
      <c r="C425" s="52"/>
      <c r="D425" s="52"/>
      <c r="E425" s="52"/>
      <c r="F425" s="2"/>
      <c r="G425" s="2"/>
      <c r="H425" s="2"/>
      <c r="I425" s="2"/>
      <c r="J425" s="52"/>
      <c r="K425" s="2"/>
      <c r="L425" s="2"/>
      <c r="M425" s="2"/>
      <c r="N425" s="2"/>
      <c r="O425" s="52"/>
      <c r="P425" s="52"/>
      <c r="Q425" s="52"/>
      <c r="R425" s="52"/>
      <c r="S425" s="52"/>
      <c r="T425" s="52"/>
      <c r="U425" s="52"/>
      <c r="V425" s="52"/>
      <c r="W425" s="52"/>
      <c r="X425" s="52"/>
      <c r="Y425" s="52"/>
      <c r="Z425" s="52"/>
      <c r="AA425" s="52"/>
      <c r="AB425" s="52"/>
      <c r="AC425" s="52"/>
    </row>
    <row r="426" spans="1:29" ht="12.75">
      <c r="A426" s="197"/>
      <c r="B426" s="2"/>
      <c r="C426" s="52"/>
      <c r="D426" s="52"/>
      <c r="E426" s="52"/>
      <c r="F426" s="2"/>
      <c r="G426" s="2"/>
      <c r="H426" s="2"/>
      <c r="I426" s="2"/>
      <c r="J426" s="52"/>
      <c r="K426" s="2"/>
      <c r="L426" s="2"/>
      <c r="M426" s="2"/>
      <c r="N426" s="2"/>
      <c r="O426" s="52"/>
      <c r="P426" s="52"/>
      <c r="Q426" s="52"/>
      <c r="R426" s="52"/>
      <c r="S426" s="52"/>
      <c r="T426" s="52"/>
      <c r="U426" s="52"/>
      <c r="V426" s="52"/>
      <c r="W426" s="52"/>
      <c r="X426" s="52"/>
      <c r="Y426" s="52"/>
      <c r="Z426" s="52"/>
      <c r="AA426" s="52"/>
      <c r="AB426" s="52"/>
      <c r="AC426" s="52"/>
    </row>
    <row r="427" spans="1:29" ht="12.75">
      <c r="A427" s="197"/>
      <c r="B427" s="2"/>
      <c r="C427" s="52"/>
      <c r="D427" s="52"/>
      <c r="E427" s="52"/>
      <c r="F427" s="2"/>
      <c r="G427" s="2"/>
      <c r="H427" s="2"/>
      <c r="I427" s="2"/>
      <c r="J427" s="52"/>
      <c r="K427" s="2"/>
      <c r="L427" s="2"/>
      <c r="M427" s="2"/>
      <c r="N427" s="2"/>
      <c r="O427" s="52"/>
      <c r="P427" s="52"/>
      <c r="Q427" s="52"/>
      <c r="R427" s="52"/>
      <c r="S427" s="52"/>
      <c r="T427" s="52"/>
      <c r="U427" s="52"/>
      <c r="V427" s="52"/>
      <c r="W427" s="52"/>
      <c r="X427" s="52"/>
      <c r="Y427" s="52"/>
      <c r="Z427" s="52"/>
      <c r="AA427" s="52"/>
      <c r="AB427" s="52"/>
      <c r="AC427" s="52"/>
    </row>
    <row r="428" spans="1:29" ht="12.75">
      <c r="A428" s="197"/>
      <c r="B428" s="2"/>
      <c r="C428" s="52"/>
      <c r="D428" s="52"/>
      <c r="E428" s="52"/>
      <c r="F428" s="2"/>
      <c r="G428" s="2"/>
      <c r="H428" s="2"/>
      <c r="I428" s="2"/>
      <c r="J428" s="52"/>
      <c r="K428" s="2"/>
      <c r="L428" s="2"/>
      <c r="M428" s="2"/>
      <c r="N428" s="2"/>
      <c r="O428" s="52"/>
      <c r="P428" s="52"/>
      <c r="Q428" s="52"/>
      <c r="R428" s="52"/>
      <c r="S428" s="52"/>
      <c r="T428" s="52"/>
      <c r="U428" s="52"/>
      <c r="V428" s="52"/>
      <c r="W428" s="52"/>
      <c r="X428" s="52"/>
      <c r="Y428" s="52"/>
      <c r="Z428" s="52"/>
      <c r="AA428" s="52"/>
      <c r="AB428" s="52"/>
      <c r="AC428" s="52"/>
    </row>
    <row r="429" spans="1:29" ht="12.75">
      <c r="A429" s="197"/>
      <c r="B429" s="2"/>
      <c r="C429" s="52"/>
      <c r="D429" s="52"/>
      <c r="E429" s="52"/>
      <c r="F429" s="2"/>
      <c r="G429" s="2"/>
      <c r="H429" s="2"/>
      <c r="I429" s="2"/>
      <c r="J429" s="52"/>
      <c r="K429" s="2"/>
      <c r="L429" s="2"/>
      <c r="M429" s="2"/>
      <c r="N429" s="2"/>
      <c r="O429" s="52"/>
      <c r="P429" s="52"/>
      <c r="Q429" s="52"/>
      <c r="R429" s="52"/>
      <c r="S429" s="52"/>
      <c r="T429" s="52"/>
      <c r="U429" s="52"/>
      <c r="V429" s="52"/>
      <c r="W429" s="52"/>
      <c r="X429" s="52"/>
      <c r="Y429" s="52"/>
      <c r="Z429" s="52"/>
      <c r="AA429" s="52"/>
      <c r="AB429" s="52"/>
      <c r="AC429" s="52"/>
    </row>
    <row r="430" spans="1:29" ht="12.75">
      <c r="A430" s="197"/>
      <c r="B430" s="2"/>
      <c r="C430" s="52"/>
      <c r="D430" s="52"/>
      <c r="E430" s="52"/>
      <c r="F430" s="2"/>
      <c r="G430" s="2"/>
      <c r="H430" s="2"/>
      <c r="I430" s="2"/>
      <c r="J430" s="52"/>
      <c r="K430" s="2"/>
      <c r="L430" s="2"/>
      <c r="M430" s="2"/>
      <c r="N430" s="2"/>
      <c r="O430" s="52"/>
      <c r="P430" s="52"/>
      <c r="Q430" s="52"/>
      <c r="R430" s="52"/>
      <c r="S430" s="52"/>
      <c r="T430" s="52"/>
      <c r="U430" s="52"/>
      <c r="V430" s="52"/>
      <c r="W430" s="52"/>
      <c r="X430" s="52"/>
      <c r="Y430" s="52"/>
      <c r="Z430" s="52"/>
      <c r="AA430" s="52"/>
      <c r="AB430" s="52"/>
      <c r="AC430" s="52"/>
    </row>
    <row r="431" spans="1:29" ht="12.75">
      <c r="A431" s="197"/>
      <c r="B431" s="2"/>
      <c r="C431" s="52"/>
      <c r="D431" s="52"/>
      <c r="E431" s="52"/>
      <c r="F431" s="2"/>
      <c r="G431" s="2"/>
      <c r="H431" s="2"/>
      <c r="I431" s="2"/>
      <c r="J431" s="52"/>
      <c r="K431" s="2"/>
      <c r="L431" s="2"/>
      <c r="M431" s="2"/>
      <c r="N431" s="2"/>
      <c r="O431" s="52"/>
      <c r="P431" s="52"/>
      <c r="Q431" s="52"/>
      <c r="R431" s="52"/>
      <c r="S431" s="52"/>
      <c r="T431" s="52"/>
      <c r="U431" s="52"/>
      <c r="V431" s="52"/>
      <c r="W431" s="52"/>
      <c r="X431" s="52"/>
      <c r="Y431" s="52"/>
      <c r="Z431" s="52"/>
      <c r="AA431" s="52"/>
      <c r="AB431" s="52"/>
      <c r="AC431" s="52"/>
    </row>
    <row r="432" spans="1:29" ht="12.75">
      <c r="A432" s="197"/>
      <c r="B432" s="2"/>
      <c r="C432" s="52"/>
      <c r="D432" s="52"/>
      <c r="E432" s="52"/>
      <c r="F432" s="2"/>
      <c r="G432" s="2"/>
      <c r="H432" s="2"/>
      <c r="I432" s="2"/>
      <c r="J432" s="52"/>
      <c r="K432" s="2"/>
      <c r="L432" s="2"/>
      <c r="M432" s="2"/>
      <c r="N432" s="2"/>
      <c r="O432" s="52"/>
      <c r="P432" s="52"/>
      <c r="Q432" s="52"/>
      <c r="R432" s="52"/>
      <c r="S432" s="52"/>
      <c r="T432" s="52"/>
      <c r="U432" s="52"/>
      <c r="V432" s="52"/>
      <c r="W432" s="52"/>
      <c r="X432" s="52"/>
      <c r="Y432" s="52"/>
      <c r="Z432" s="52"/>
      <c r="AA432" s="52"/>
      <c r="AB432" s="52"/>
      <c r="AC432" s="52"/>
    </row>
    <row r="433" spans="1:29" ht="12.75">
      <c r="A433" s="197"/>
      <c r="B433" s="2"/>
      <c r="C433" s="52"/>
      <c r="D433" s="52"/>
      <c r="E433" s="52"/>
      <c r="F433" s="2"/>
      <c r="G433" s="2"/>
      <c r="H433" s="2"/>
      <c r="I433" s="2"/>
      <c r="J433" s="52"/>
      <c r="K433" s="2"/>
      <c r="L433" s="2"/>
      <c r="M433" s="2"/>
      <c r="N433" s="2"/>
      <c r="O433" s="52"/>
      <c r="P433" s="52"/>
      <c r="Q433" s="52"/>
      <c r="R433" s="52"/>
      <c r="S433" s="52"/>
      <c r="T433" s="52"/>
      <c r="U433" s="52"/>
      <c r="V433" s="52"/>
      <c r="W433" s="52"/>
      <c r="X433" s="52"/>
      <c r="Y433" s="52"/>
      <c r="Z433" s="52"/>
      <c r="AA433" s="52"/>
      <c r="AB433" s="52"/>
      <c r="AC433" s="52"/>
    </row>
    <row r="434" spans="1:29" ht="12.75">
      <c r="A434" s="197"/>
      <c r="B434" s="2"/>
      <c r="C434" s="52"/>
      <c r="D434" s="52"/>
      <c r="E434" s="52"/>
      <c r="F434" s="2"/>
      <c r="G434" s="2"/>
      <c r="H434" s="2"/>
      <c r="I434" s="2"/>
      <c r="J434" s="52"/>
      <c r="K434" s="2"/>
      <c r="L434" s="2"/>
      <c r="M434" s="2"/>
      <c r="N434" s="2"/>
      <c r="O434" s="52"/>
      <c r="P434" s="52"/>
      <c r="Q434" s="52"/>
      <c r="R434" s="52"/>
      <c r="S434" s="52"/>
      <c r="T434" s="52"/>
      <c r="U434" s="52"/>
      <c r="V434" s="52"/>
      <c r="W434" s="52"/>
      <c r="X434" s="52"/>
      <c r="Y434" s="52"/>
      <c r="Z434" s="52"/>
      <c r="AA434" s="52"/>
      <c r="AB434" s="52"/>
      <c r="AC434" s="52"/>
    </row>
    <row r="435" spans="1:29" ht="12.75">
      <c r="A435" s="197"/>
      <c r="B435" s="2"/>
      <c r="C435" s="52"/>
      <c r="D435" s="52"/>
      <c r="E435" s="52"/>
      <c r="F435" s="2"/>
      <c r="G435" s="2"/>
      <c r="H435" s="2"/>
      <c r="I435" s="2"/>
      <c r="J435" s="52"/>
      <c r="K435" s="2"/>
      <c r="L435" s="2"/>
      <c r="M435" s="2"/>
      <c r="N435" s="2"/>
      <c r="O435" s="52"/>
      <c r="P435" s="52"/>
      <c r="Q435" s="52"/>
      <c r="R435" s="52"/>
      <c r="S435" s="52"/>
      <c r="T435" s="52"/>
      <c r="U435" s="52"/>
      <c r="V435" s="52"/>
      <c r="W435" s="52"/>
      <c r="X435" s="52"/>
      <c r="Y435" s="52"/>
      <c r="Z435" s="52"/>
      <c r="AA435" s="52"/>
      <c r="AB435" s="52"/>
      <c r="AC435" s="52"/>
    </row>
    <row r="436" spans="1:29" ht="12.75">
      <c r="A436" s="197"/>
      <c r="B436" s="2"/>
      <c r="C436" s="52"/>
      <c r="D436" s="52"/>
      <c r="E436" s="52"/>
      <c r="F436" s="2"/>
      <c r="G436" s="2"/>
      <c r="H436" s="2"/>
      <c r="I436" s="2"/>
      <c r="J436" s="52"/>
      <c r="K436" s="2"/>
      <c r="L436" s="2"/>
      <c r="M436" s="2"/>
      <c r="N436" s="2"/>
      <c r="O436" s="52"/>
      <c r="P436" s="52"/>
      <c r="Q436" s="52"/>
      <c r="R436" s="52"/>
      <c r="S436" s="52"/>
      <c r="T436" s="52"/>
      <c r="U436" s="52"/>
      <c r="V436" s="52"/>
      <c r="W436" s="52"/>
      <c r="X436" s="52"/>
      <c r="Y436" s="52"/>
      <c r="Z436" s="52"/>
      <c r="AA436" s="52"/>
      <c r="AB436" s="52"/>
      <c r="AC436" s="52"/>
    </row>
    <row r="437" spans="1:29" ht="12.75">
      <c r="A437" s="197"/>
      <c r="B437" s="2"/>
      <c r="C437" s="52"/>
      <c r="D437" s="52"/>
      <c r="E437" s="52"/>
      <c r="F437" s="2"/>
      <c r="G437" s="2"/>
      <c r="H437" s="2"/>
      <c r="I437" s="2"/>
      <c r="J437" s="52"/>
      <c r="K437" s="2"/>
      <c r="L437" s="2"/>
      <c r="M437" s="2"/>
      <c r="N437" s="2"/>
      <c r="O437" s="52"/>
      <c r="P437" s="52"/>
      <c r="Q437" s="52"/>
      <c r="R437" s="52"/>
      <c r="S437" s="52"/>
      <c r="T437" s="52"/>
      <c r="U437" s="52"/>
      <c r="V437" s="52"/>
      <c r="W437" s="52"/>
      <c r="X437" s="52"/>
      <c r="Y437" s="52"/>
      <c r="Z437" s="52"/>
      <c r="AA437" s="52"/>
      <c r="AB437" s="52"/>
      <c r="AC437" s="52"/>
    </row>
    <row r="438" spans="1:29" ht="12.75">
      <c r="A438" s="197"/>
      <c r="B438" s="2"/>
      <c r="C438" s="52"/>
      <c r="D438" s="52"/>
      <c r="E438" s="52"/>
      <c r="F438" s="2"/>
      <c r="G438" s="2"/>
      <c r="H438" s="2"/>
      <c r="I438" s="2"/>
      <c r="J438" s="52"/>
      <c r="K438" s="2"/>
      <c r="L438" s="2"/>
      <c r="M438" s="2"/>
      <c r="N438" s="2"/>
      <c r="O438" s="52"/>
      <c r="P438" s="52"/>
      <c r="Q438" s="52"/>
      <c r="R438" s="52"/>
      <c r="S438" s="52"/>
      <c r="T438" s="52"/>
      <c r="U438" s="52"/>
      <c r="V438" s="52"/>
      <c r="W438" s="52"/>
      <c r="X438" s="52"/>
      <c r="Y438" s="52"/>
      <c r="Z438" s="52"/>
      <c r="AA438" s="52"/>
      <c r="AB438" s="52"/>
      <c r="AC438" s="52"/>
    </row>
    <row r="439" spans="1:29" ht="12.75">
      <c r="A439" s="197"/>
      <c r="B439" s="2"/>
      <c r="C439" s="52"/>
      <c r="D439" s="52"/>
      <c r="E439" s="52"/>
      <c r="F439" s="2"/>
      <c r="G439" s="2"/>
      <c r="H439" s="2"/>
      <c r="I439" s="2"/>
      <c r="J439" s="52"/>
      <c r="K439" s="2"/>
      <c r="L439" s="2"/>
      <c r="M439" s="2"/>
      <c r="N439" s="2"/>
      <c r="O439" s="52"/>
      <c r="P439" s="52"/>
      <c r="Q439" s="52"/>
      <c r="R439" s="52"/>
      <c r="S439" s="52"/>
      <c r="T439" s="52"/>
      <c r="U439" s="52"/>
      <c r="V439" s="52"/>
      <c r="W439" s="52"/>
      <c r="X439" s="52"/>
      <c r="Y439" s="52"/>
      <c r="Z439" s="52"/>
      <c r="AA439" s="52"/>
      <c r="AB439" s="52"/>
      <c r="AC439" s="52"/>
    </row>
    <row r="440" spans="1:29" ht="12.75">
      <c r="A440" s="197"/>
      <c r="B440" s="2"/>
      <c r="C440" s="52"/>
      <c r="D440" s="52"/>
      <c r="E440" s="52"/>
      <c r="F440" s="2"/>
      <c r="G440" s="2"/>
      <c r="H440" s="2"/>
      <c r="I440" s="2"/>
      <c r="J440" s="52"/>
      <c r="K440" s="2"/>
      <c r="L440" s="2"/>
      <c r="M440" s="2"/>
      <c r="N440" s="2"/>
      <c r="O440" s="52"/>
      <c r="P440" s="52"/>
      <c r="Q440" s="52"/>
      <c r="R440" s="52"/>
      <c r="S440" s="52"/>
      <c r="T440" s="52"/>
      <c r="U440" s="52"/>
      <c r="V440" s="52"/>
      <c r="W440" s="52"/>
      <c r="X440" s="52"/>
      <c r="Y440" s="52"/>
      <c r="Z440" s="52"/>
      <c r="AA440" s="52"/>
      <c r="AB440" s="52"/>
      <c r="AC440" s="52"/>
    </row>
    <row r="441" spans="1:29" ht="12.75">
      <c r="A441" s="197"/>
      <c r="B441" s="2"/>
      <c r="C441" s="52"/>
      <c r="D441" s="52"/>
      <c r="E441" s="52"/>
      <c r="F441" s="2"/>
      <c r="G441" s="2"/>
      <c r="H441" s="2"/>
      <c r="I441" s="2"/>
      <c r="J441" s="52"/>
      <c r="K441" s="2"/>
      <c r="L441" s="2"/>
      <c r="M441" s="2"/>
      <c r="N441" s="2"/>
      <c r="O441" s="52"/>
      <c r="P441" s="52"/>
      <c r="Q441" s="52"/>
      <c r="R441" s="52"/>
      <c r="S441" s="52"/>
      <c r="T441" s="52"/>
      <c r="U441" s="52"/>
      <c r="V441" s="52"/>
      <c r="W441" s="52"/>
      <c r="X441" s="52"/>
      <c r="Y441" s="52"/>
      <c r="Z441" s="52"/>
      <c r="AA441" s="52"/>
      <c r="AB441" s="52"/>
      <c r="AC441" s="52"/>
    </row>
    <row r="442" spans="1:29" ht="12.75">
      <c r="A442" s="197"/>
      <c r="B442" s="2"/>
      <c r="C442" s="52"/>
      <c r="D442" s="52"/>
      <c r="E442" s="52"/>
      <c r="F442" s="2"/>
      <c r="G442" s="2"/>
      <c r="H442" s="2"/>
      <c r="I442" s="2"/>
      <c r="J442" s="52"/>
      <c r="K442" s="2"/>
      <c r="L442" s="2"/>
      <c r="M442" s="2"/>
      <c r="N442" s="2"/>
      <c r="O442" s="52"/>
      <c r="P442" s="52"/>
      <c r="Q442" s="52"/>
      <c r="R442" s="52"/>
      <c r="S442" s="52"/>
      <c r="T442" s="52"/>
      <c r="U442" s="52"/>
      <c r="V442" s="52"/>
      <c r="W442" s="52"/>
      <c r="X442" s="52"/>
      <c r="Y442" s="52"/>
      <c r="Z442" s="52"/>
      <c r="AA442" s="52"/>
      <c r="AB442" s="52"/>
      <c r="AC442" s="52"/>
    </row>
    <row r="443" spans="1:29" ht="12.75">
      <c r="A443" s="197"/>
      <c r="B443" s="2"/>
      <c r="C443" s="52"/>
      <c r="D443" s="52"/>
      <c r="E443" s="52"/>
      <c r="F443" s="2"/>
      <c r="G443" s="2"/>
      <c r="H443" s="2"/>
      <c r="I443" s="2"/>
      <c r="J443" s="52"/>
      <c r="K443" s="2"/>
      <c r="L443" s="2"/>
      <c r="M443" s="2"/>
      <c r="N443" s="2"/>
      <c r="O443" s="52"/>
      <c r="P443" s="52"/>
      <c r="Q443" s="52"/>
      <c r="R443" s="52"/>
      <c r="S443" s="52"/>
      <c r="T443" s="52"/>
      <c r="U443" s="52"/>
      <c r="V443" s="52"/>
      <c r="W443" s="52"/>
      <c r="X443" s="52"/>
      <c r="Y443" s="52"/>
      <c r="Z443" s="52"/>
      <c r="AA443" s="52"/>
      <c r="AB443" s="52"/>
      <c r="AC443" s="52"/>
    </row>
    <row r="444" spans="1:29" ht="12.75">
      <c r="A444" s="197"/>
      <c r="B444" s="2"/>
      <c r="C444" s="52"/>
      <c r="D444" s="52"/>
      <c r="E444" s="52"/>
      <c r="F444" s="2"/>
      <c r="G444" s="2"/>
      <c r="H444" s="2"/>
      <c r="I444" s="2"/>
      <c r="J444" s="52"/>
      <c r="K444" s="2"/>
      <c r="L444" s="2"/>
      <c r="M444" s="2"/>
      <c r="N444" s="2"/>
      <c r="O444" s="52"/>
      <c r="P444" s="52"/>
      <c r="Q444" s="52"/>
      <c r="R444" s="52"/>
      <c r="S444" s="52"/>
      <c r="T444" s="52"/>
      <c r="U444" s="52"/>
      <c r="V444" s="52"/>
      <c r="W444" s="52"/>
      <c r="X444" s="52"/>
      <c r="Y444" s="52"/>
      <c r="Z444" s="52"/>
      <c r="AA444" s="52"/>
      <c r="AB444" s="52"/>
      <c r="AC444" s="52"/>
    </row>
    <row r="445" spans="1:29" ht="12.75">
      <c r="A445" s="197"/>
      <c r="B445" s="2"/>
      <c r="C445" s="52"/>
      <c r="D445" s="52"/>
      <c r="E445" s="52"/>
      <c r="F445" s="2"/>
      <c r="G445" s="2"/>
      <c r="H445" s="2"/>
      <c r="I445" s="2"/>
      <c r="J445" s="52"/>
      <c r="K445" s="2"/>
      <c r="L445" s="2"/>
      <c r="M445" s="2"/>
      <c r="N445" s="2"/>
      <c r="O445" s="52"/>
      <c r="P445" s="52"/>
      <c r="Q445" s="52"/>
      <c r="R445" s="52"/>
      <c r="S445" s="52"/>
      <c r="T445" s="52"/>
      <c r="U445" s="52"/>
      <c r="V445" s="52"/>
      <c r="W445" s="52"/>
      <c r="X445" s="52"/>
      <c r="Y445" s="52"/>
      <c r="Z445" s="52"/>
      <c r="AA445" s="52"/>
      <c r="AB445" s="52"/>
      <c r="AC445" s="52"/>
    </row>
    <row r="446" spans="1:29" ht="12.75">
      <c r="A446" s="197"/>
      <c r="B446" s="2"/>
      <c r="C446" s="52"/>
      <c r="D446" s="52"/>
      <c r="E446" s="52"/>
      <c r="F446" s="2"/>
      <c r="G446" s="2"/>
      <c r="H446" s="2"/>
      <c r="I446" s="2"/>
      <c r="J446" s="52"/>
      <c r="K446" s="2"/>
      <c r="L446" s="2"/>
      <c r="M446" s="2"/>
      <c r="N446" s="2"/>
      <c r="O446" s="52"/>
      <c r="P446" s="52"/>
      <c r="Q446" s="52"/>
      <c r="R446" s="52"/>
      <c r="S446" s="52"/>
      <c r="T446" s="52"/>
      <c r="U446" s="52"/>
      <c r="V446" s="52"/>
      <c r="W446" s="52"/>
      <c r="X446" s="52"/>
      <c r="Y446" s="52"/>
      <c r="Z446" s="52"/>
      <c r="AA446" s="52"/>
      <c r="AB446" s="52"/>
      <c r="AC446" s="52"/>
    </row>
    <row r="447" spans="1:29" ht="12.75">
      <c r="A447" s="197"/>
      <c r="B447" s="2"/>
      <c r="C447" s="52"/>
      <c r="D447" s="52"/>
      <c r="E447" s="52"/>
      <c r="F447" s="2"/>
      <c r="G447" s="2"/>
      <c r="H447" s="2"/>
      <c r="I447" s="2"/>
      <c r="J447" s="52"/>
      <c r="K447" s="2"/>
      <c r="L447" s="2"/>
      <c r="M447" s="2"/>
      <c r="N447" s="2"/>
      <c r="O447" s="52"/>
      <c r="P447" s="52"/>
      <c r="Q447" s="52"/>
      <c r="R447" s="52"/>
      <c r="S447" s="52"/>
      <c r="T447" s="52"/>
      <c r="U447" s="52"/>
      <c r="V447" s="52"/>
      <c r="W447" s="52"/>
      <c r="X447" s="52"/>
      <c r="Y447" s="52"/>
      <c r="Z447" s="52"/>
      <c r="AA447" s="52"/>
      <c r="AB447" s="52"/>
      <c r="AC447" s="52"/>
    </row>
    <row r="448" spans="1:29" ht="12.75">
      <c r="A448" s="197"/>
      <c r="B448" s="2"/>
      <c r="C448" s="52"/>
      <c r="D448" s="52"/>
      <c r="E448" s="52"/>
      <c r="F448" s="2"/>
      <c r="G448" s="2"/>
      <c r="H448" s="2"/>
      <c r="I448" s="2"/>
      <c r="J448" s="52"/>
      <c r="K448" s="2"/>
      <c r="L448" s="2"/>
      <c r="M448" s="2"/>
      <c r="N448" s="2"/>
      <c r="O448" s="52"/>
      <c r="P448" s="52"/>
      <c r="Q448" s="52"/>
      <c r="R448" s="52"/>
      <c r="S448" s="52"/>
      <c r="T448" s="52"/>
      <c r="U448" s="52"/>
      <c r="V448" s="52"/>
      <c r="W448" s="52"/>
      <c r="X448" s="52"/>
      <c r="Y448" s="52"/>
      <c r="Z448" s="52"/>
      <c r="AA448" s="52"/>
      <c r="AB448" s="52"/>
      <c r="AC448" s="52"/>
    </row>
    <row r="449" spans="1:29" ht="12.75">
      <c r="A449" s="197"/>
      <c r="B449" s="2"/>
      <c r="C449" s="52"/>
      <c r="D449" s="52"/>
      <c r="E449" s="52"/>
      <c r="F449" s="2"/>
      <c r="G449" s="2"/>
      <c r="H449" s="2"/>
      <c r="I449" s="2"/>
      <c r="J449" s="52"/>
      <c r="K449" s="2"/>
      <c r="L449" s="2"/>
      <c r="M449" s="2"/>
      <c r="N449" s="2"/>
      <c r="O449" s="52"/>
      <c r="P449" s="52"/>
      <c r="Q449" s="52"/>
      <c r="R449" s="52"/>
      <c r="S449" s="52"/>
      <c r="T449" s="52"/>
      <c r="U449" s="52"/>
      <c r="V449" s="52"/>
      <c r="W449" s="52"/>
      <c r="X449" s="52"/>
      <c r="Y449" s="52"/>
      <c r="Z449" s="52"/>
      <c r="AA449" s="52"/>
      <c r="AB449" s="52"/>
      <c r="AC449" s="52"/>
    </row>
    <row r="450" spans="1:29" ht="12.75">
      <c r="A450" s="197"/>
      <c r="B450" s="2"/>
      <c r="C450" s="52"/>
      <c r="D450" s="52"/>
      <c r="E450" s="52"/>
      <c r="F450" s="2"/>
      <c r="G450" s="2"/>
      <c r="H450" s="2"/>
      <c r="I450" s="2"/>
      <c r="J450" s="52"/>
      <c r="K450" s="2"/>
      <c r="L450" s="2"/>
      <c r="M450" s="2"/>
      <c r="N450" s="2"/>
      <c r="O450" s="52"/>
      <c r="P450" s="52"/>
      <c r="Q450" s="52"/>
      <c r="R450" s="52"/>
      <c r="S450" s="52"/>
      <c r="T450" s="52"/>
      <c r="U450" s="52"/>
      <c r="V450" s="52"/>
      <c r="W450" s="52"/>
      <c r="X450" s="52"/>
      <c r="Y450" s="52"/>
      <c r="Z450" s="52"/>
      <c r="AA450" s="52"/>
      <c r="AB450" s="52"/>
      <c r="AC450" s="52"/>
    </row>
    <row r="451" spans="1:29" ht="12.75">
      <c r="A451" s="197"/>
      <c r="B451" s="2"/>
      <c r="C451" s="52"/>
      <c r="D451" s="52"/>
      <c r="E451" s="52"/>
      <c r="F451" s="2"/>
      <c r="G451" s="2"/>
      <c r="H451" s="2"/>
      <c r="I451" s="2"/>
      <c r="J451" s="52"/>
      <c r="K451" s="2"/>
      <c r="L451" s="2"/>
      <c r="M451" s="2"/>
      <c r="N451" s="2"/>
      <c r="O451" s="52"/>
      <c r="P451" s="52"/>
      <c r="Q451" s="52"/>
      <c r="R451" s="52"/>
      <c r="S451" s="52"/>
      <c r="T451" s="52"/>
      <c r="U451" s="52"/>
      <c r="V451" s="52"/>
      <c r="W451" s="52"/>
      <c r="X451" s="52"/>
      <c r="Y451" s="52"/>
      <c r="Z451" s="52"/>
      <c r="AA451" s="52"/>
      <c r="AB451" s="52"/>
      <c r="AC451" s="52"/>
    </row>
    <row r="452" spans="1:29" ht="12.75">
      <c r="A452" s="197"/>
      <c r="B452" s="2"/>
      <c r="C452" s="52"/>
      <c r="D452" s="52"/>
      <c r="E452" s="52"/>
      <c r="F452" s="2"/>
      <c r="G452" s="2"/>
      <c r="H452" s="2"/>
      <c r="I452" s="2"/>
      <c r="J452" s="52"/>
      <c r="K452" s="2"/>
      <c r="L452" s="2"/>
      <c r="M452" s="2"/>
      <c r="N452" s="2"/>
      <c r="O452" s="52"/>
      <c r="P452" s="52"/>
      <c r="Q452" s="52"/>
      <c r="R452" s="52"/>
      <c r="S452" s="52"/>
      <c r="T452" s="52"/>
      <c r="U452" s="52"/>
      <c r="V452" s="52"/>
      <c r="W452" s="52"/>
      <c r="X452" s="52"/>
      <c r="Y452" s="52"/>
      <c r="Z452" s="52"/>
      <c r="AA452" s="52"/>
      <c r="AB452" s="52"/>
      <c r="AC452" s="52"/>
    </row>
    <row r="453" spans="1:29" ht="12.75">
      <c r="A453" s="197"/>
      <c r="B453" s="2"/>
      <c r="C453" s="52"/>
      <c r="D453" s="52"/>
      <c r="E453" s="52"/>
      <c r="F453" s="2"/>
      <c r="G453" s="2"/>
      <c r="H453" s="2"/>
      <c r="I453" s="2"/>
      <c r="J453" s="52"/>
      <c r="K453" s="2"/>
      <c r="L453" s="2"/>
      <c r="M453" s="2"/>
      <c r="N453" s="2"/>
      <c r="O453" s="52"/>
      <c r="P453" s="52"/>
      <c r="Q453" s="52"/>
      <c r="R453" s="52"/>
      <c r="S453" s="52"/>
      <c r="T453" s="52"/>
      <c r="U453" s="52"/>
      <c r="V453" s="52"/>
      <c r="W453" s="52"/>
      <c r="X453" s="52"/>
      <c r="Y453" s="52"/>
      <c r="Z453" s="52"/>
      <c r="AA453" s="52"/>
      <c r="AB453" s="52"/>
      <c r="AC453" s="52"/>
    </row>
    <row r="454" spans="1:29" ht="12.75">
      <c r="A454" s="197"/>
      <c r="B454" s="2"/>
      <c r="C454" s="52"/>
      <c r="D454" s="52"/>
      <c r="E454" s="52"/>
      <c r="F454" s="2"/>
      <c r="G454" s="2"/>
      <c r="H454" s="2"/>
      <c r="I454" s="2"/>
      <c r="J454" s="52"/>
      <c r="K454" s="2"/>
      <c r="L454" s="2"/>
      <c r="M454" s="2"/>
      <c r="N454" s="2"/>
      <c r="O454" s="52"/>
      <c r="P454" s="52"/>
      <c r="Q454" s="52"/>
      <c r="R454" s="52"/>
      <c r="S454" s="52"/>
      <c r="T454" s="52"/>
      <c r="U454" s="52"/>
      <c r="V454" s="52"/>
      <c r="W454" s="52"/>
      <c r="X454" s="52"/>
      <c r="Y454" s="52"/>
      <c r="Z454" s="52"/>
      <c r="AA454" s="52"/>
      <c r="AB454" s="52"/>
      <c r="AC454" s="52"/>
    </row>
    <row r="455" spans="1:29" ht="12.75">
      <c r="A455" s="197"/>
      <c r="B455" s="2"/>
      <c r="C455" s="52"/>
      <c r="D455" s="52"/>
      <c r="E455" s="52"/>
      <c r="F455" s="2"/>
      <c r="G455" s="2"/>
      <c r="H455" s="2"/>
      <c r="I455" s="2"/>
      <c r="J455" s="52"/>
      <c r="K455" s="2"/>
      <c r="L455" s="2"/>
      <c r="M455" s="2"/>
      <c r="N455" s="2"/>
      <c r="O455" s="52"/>
      <c r="P455" s="52"/>
      <c r="Q455" s="52"/>
      <c r="R455" s="52"/>
      <c r="S455" s="52"/>
      <c r="T455" s="52"/>
      <c r="U455" s="52"/>
      <c r="V455" s="52"/>
      <c r="W455" s="52"/>
      <c r="X455" s="52"/>
      <c r="Y455" s="52"/>
      <c r="Z455" s="52"/>
      <c r="AA455" s="52"/>
      <c r="AB455" s="52"/>
      <c r="AC455" s="52"/>
    </row>
    <row r="456" spans="1:29" ht="12.75">
      <c r="A456" s="197"/>
      <c r="B456" s="2"/>
      <c r="C456" s="52"/>
      <c r="D456" s="52"/>
      <c r="E456" s="52"/>
      <c r="F456" s="2"/>
      <c r="G456" s="2"/>
      <c r="H456" s="2"/>
      <c r="I456" s="2"/>
      <c r="J456" s="52"/>
      <c r="K456" s="2"/>
      <c r="L456" s="2"/>
      <c r="M456" s="2"/>
      <c r="N456" s="2"/>
      <c r="O456" s="52"/>
      <c r="P456" s="52"/>
      <c r="Q456" s="52"/>
      <c r="R456" s="52"/>
      <c r="S456" s="52"/>
      <c r="T456" s="52"/>
      <c r="U456" s="52"/>
      <c r="V456" s="52"/>
      <c r="W456" s="52"/>
      <c r="X456" s="52"/>
      <c r="Y456" s="52"/>
      <c r="Z456" s="52"/>
      <c r="AA456" s="52"/>
      <c r="AB456" s="52"/>
      <c r="AC456" s="52"/>
    </row>
    <row r="457" spans="1:29" ht="12.75">
      <c r="A457" s="197"/>
      <c r="B457" s="2"/>
      <c r="C457" s="52"/>
      <c r="D457" s="52"/>
      <c r="E457" s="52"/>
      <c r="F457" s="2"/>
      <c r="G457" s="2"/>
      <c r="H457" s="2"/>
      <c r="I457" s="2"/>
      <c r="J457" s="52"/>
      <c r="K457" s="2"/>
      <c r="L457" s="2"/>
      <c r="M457" s="2"/>
      <c r="N457" s="2"/>
      <c r="O457" s="52"/>
      <c r="P457" s="52"/>
      <c r="Q457" s="52"/>
      <c r="R457" s="52"/>
      <c r="S457" s="52"/>
      <c r="T457" s="52"/>
      <c r="U457" s="52"/>
      <c r="V457" s="52"/>
      <c r="W457" s="52"/>
      <c r="X457" s="52"/>
      <c r="Y457" s="52"/>
      <c r="Z457" s="52"/>
      <c r="AA457" s="52"/>
      <c r="AB457" s="52"/>
      <c r="AC457" s="52"/>
    </row>
    <row r="458" spans="1:29" ht="12.75">
      <c r="A458" s="197"/>
      <c r="B458" s="2"/>
      <c r="C458" s="52"/>
      <c r="D458" s="52"/>
      <c r="E458" s="52"/>
      <c r="F458" s="2"/>
      <c r="G458" s="2"/>
      <c r="H458" s="2"/>
      <c r="I458" s="2"/>
      <c r="J458" s="52"/>
      <c r="K458" s="2"/>
      <c r="L458" s="2"/>
      <c r="M458" s="2"/>
      <c r="N458" s="2"/>
      <c r="O458" s="52"/>
      <c r="P458" s="52"/>
      <c r="Q458" s="52"/>
      <c r="R458" s="52"/>
      <c r="S458" s="52"/>
      <c r="T458" s="52"/>
      <c r="U458" s="52"/>
      <c r="V458" s="52"/>
      <c r="W458" s="52"/>
      <c r="X458" s="52"/>
      <c r="Y458" s="52"/>
      <c r="Z458" s="52"/>
      <c r="AA458" s="52"/>
      <c r="AB458" s="52"/>
      <c r="AC458" s="52"/>
    </row>
    <row r="459" spans="1:29" ht="12.75">
      <c r="A459" s="197"/>
      <c r="B459" s="2"/>
      <c r="C459" s="52"/>
      <c r="D459" s="52"/>
      <c r="E459" s="52"/>
      <c r="F459" s="2"/>
      <c r="G459" s="2"/>
      <c r="H459" s="2"/>
      <c r="I459" s="2"/>
      <c r="J459" s="52"/>
      <c r="K459" s="2"/>
      <c r="L459" s="2"/>
      <c r="M459" s="2"/>
      <c r="N459" s="2"/>
      <c r="O459" s="52"/>
      <c r="P459" s="52"/>
      <c r="Q459" s="52"/>
      <c r="R459" s="52"/>
      <c r="S459" s="52"/>
      <c r="T459" s="52"/>
      <c r="U459" s="52"/>
      <c r="V459" s="52"/>
      <c r="W459" s="52"/>
      <c r="X459" s="52"/>
      <c r="Y459" s="52"/>
      <c r="Z459" s="52"/>
      <c r="AA459" s="52"/>
      <c r="AB459" s="52"/>
      <c r="AC459" s="52"/>
    </row>
    <row r="460" spans="1:29" ht="12.75">
      <c r="A460" s="197"/>
      <c r="B460" s="2"/>
      <c r="C460" s="52"/>
      <c r="D460" s="52"/>
      <c r="E460" s="52"/>
      <c r="F460" s="2"/>
      <c r="G460" s="2"/>
      <c r="H460" s="2"/>
      <c r="I460" s="2"/>
      <c r="J460" s="52"/>
      <c r="K460" s="2"/>
      <c r="L460" s="2"/>
      <c r="M460" s="2"/>
      <c r="N460" s="2"/>
      <c r="O460" s="52"/>
      <c r="P460" s="52"/>
      <c r="Q460" s="52"/>
      <c r="R460" s="52"/>
      <c r="S460" s="52"/>
      <c r="T460" s="52"/>
      <c r="U460" s="52"/>
      <c r="V460" s="52"/>
      <c r="W460" s="52"/>
      <c r="X460" s="52"/>
      <c r="Y460" s="52"/>
      <c r="Z460" s="52"/>
      <c r="AA460" s="52"/>
      <c r="AB460" s="52"/>
      <c r="AC460" s="52"/>
    </row>
    <row r="461" spans="1:29" ht="12.75">
      <c r="A461" s="197"/>
      <c r="B461" s="2"/>
      <c r="C461" s="52"/>
      <c r="D461" s="52"/>
      <c r="E461" s="52"/>
      <c r="F461" s="2"/>
      <c r="G461" s="2"/>
      <c r="H461" s="2"/>
      <c r="I461" s="2"/>
      <c r="J461" s="52"/>
      <c r="K461" s="2"/>
      <c r="L461" s="2"/>
      <c r="M461" s="2"/>
      <c r="N461" s="2"/>
      <c r="O461" s="52"/>
      <c r="P461" s="52"/>
      <c r="Q461" s="52"/>
      <c r="R461" s="52"/>
      <c r="S461" s="52"/>
      <c r="T461" s="52"/>
      <c r="U461" s="52"/>
      <c r="V461" s="52"/>
      <c r="W461" s="52"/>
      <c r="X461" s="52"/>
      <c r="Y461" s="52"/>
      <c r="Z461" s="52"/>
      <c r="AA461" s="52"/>
      <c r="AB461" s="52"/>
      <c r="AC461" s="52"/>
    </row>
    <row r="462" spans="1:29" ht="12.75">
      <c r="A462" s="197"/>
      <c r="B462" s="2"/>
      <c r="C462" s="52"/>
      <c r="D462" s="52"/>
      <c r="E462" s="52"/>
      <c r="F462" s="2"/>
      <c r="G462" s="2"/>
      <c r="H462" s="2"/>
      <c r="I462" s="2"/>
      <c r="J462" s="52"/>
      <c r="K462" s="2"/>
      <c r="L462" s="2"/>
      <c r="M462" s="2"/>
      <c r="N462" s="2"/>
      <c r="O462" s="52"/>
      <c r="P462" s="52"/>
      <c r="Q462" s="52"/>
      <c r="R462" s="52"/>
      <c r="S462" s="52"/>
      <c r="T462" s="52"/>
      <c r="U462" s="52"/>
      <c r="V462" s="52"/>
      <c r="W462" s="52"/>
      <c r="X462" s="52"/>
      <c r="Y462" s="52"/>
      <c r="Z462" s="52"/>
      <c r="AA462" s="52"/>
      <c r="AB462" s="52"/>
      <c r="AC462" s="52"/>
    </row>
    <row r="463" spans="1:29" ht="12.75">
      <c r="A463" s="197"/>
      <c r="B463" s="2"/>
      <c r="C463" s="52"/>
      <c r="D463" s="52"/>
      <c r="E463" s="52"/>
      <c r="F463" s="2"/>
      <c r="G463" s="2"/>
      <c r="H463" s="2"/>
      <c r="I463" s="2"/>
      <c r="J463" s="52"/>
      <c r="K463" s="2"/>
      <c r="L463" s="2"/>
      <c r="M463" s="2"/>
      <c r="N463" s="2"/>
      <c r="O463" s="52"/>
      <c r="P463" s="52"/>
      <c r="Q463" s="52"/>
      <c r="R463" s="52"/>
      <c r="S463" s="52"/>
      <c r="T463" s="52"/>
      <c r="U463" s="52"/>
      <c r="V463" s="52"/>
      <c r="W463" s="52"/>
      <c r="X463" s="52"/>
      <c r="Y463" s="52"/>
      <c r="Z463" s="52"/>
      <c r="AA463" s="52"/>
      <c r="AB463" s="52"/>
      <c r="AC463" s="52"/>
    </row>
    <row r="464" spans="1:29" ht="12.75">
      <c r="A464" s="197"/>
      <c r="B464" s="2"/>
      <c r="C464" s="52"/>
      <c r="D464" s="52"/>
      <c r="E464" s="52"/>
      <c r="F464" s="2"/>
      <c r="G464" s="2"/>
      <c r="H464" s="2"/>
      <c r="I464" s="2"/>
      <c r="J464" s="52"/>
      <c r="K464" s="2"/>
      <c r="L464" s="2"/>
      <c r="M464" s="2"/>
      <c r="N464" s="2"/>
      <c r="O464" s="52"/>
      <c r="P464" s="52"/>
      <c r="Q464" s="52"/>
      <c r="R464" s="52"/>
      <c r="S464" s="52"/>
      <c r="T464" s="52"/>
      <c r="U464" s="52"/>
      <c r="V464" s="52"/>
      <c r="W464" s="52"/>
      <c r="X464" s="52"/>
      <c r="Y464" s="52"/>
      <c r="Z464" s="52"/>
      <c r="AA464" s="52"/>
      <c r="AB464" s="52"/>
      <c r="AC464" s="52"/>
    </row>
    <row r="465" spans="1:29" ht="12.75">
      <c r="A465" s="197"/>
      <c r="B465" s="2"/>
      <c r="C465" s="52"/>
      <c r="D465" s="52"/>
      <c r="E465" s="52"/>
      <c r="F465" s="2"/>
      <c r="G465" s="2"/>
      <c r="H465" s="2"/>
      <c r="I465" s="2"/>
      <c r="J465" s="52"/>
      <c r="K465" s="2"/>
      <c r="L465" s="2"/>
      <c r="M465" s="2"/>
      <c r="N465" s="2"/>
      <c r="O465" s="52"/>
      <c r="P465" s="52"/>
      <c r="Q465" s="52"/>
      <c r="R465" s="52"/>
      <c r="S465" s="52"/>
      <c r="T465" s="52"/>
      <c r="U465" s="52"/>
      <c r="V465" s="52"/>
      <c r="W465" s="52"/>
      <c r="X465" s="52"/>
      <c r="Y465" s="52"/>
      <c r="Z465" s="52"/>
      <c r="AA465" s="52"/>
      <c r="AB465" s="52"/>
      <c r="AC465" s="52"/>
    </row>
    <row r="466" spans="1:29" ht="12.75">
      <c r="A466" s="197"/>
      <c r="B466" s="2"/>
      <c r="C466" s="52"/>
      <c r="D466" s="52"/>
      <c r="E466" s="52"/>
      <c r="F466" s="2"/>
      <c r="G466" s="2"/>
      <c r="H466" s="2"/>
      <c r="I466" s="2"/>
      <c r="J466" s="52"/>
      <c r="K466" s="2"/>
      <c r="L466" s="2"/>
      <c r="M466" s="2"/>
      <c r="N466" s="2"/>
      <c r="O466" s="52"/>
      <c r="P466" s="52"/>
      <c r="Q466" s="52"/>
      <c r="R466" s="52"/>
      <c r="S466" s="52"/>
      <c r="T466" s="52"/>
      <c r="U466" s="52"/>
      <c r="V466" s="52"/>
      <c r="W466" s="52"/>
      <c r="X466" s="52"/>
      <c r="Y466" s="52"/>
      <c r="Z466" s="52"/>
      <c r="AA466" s="52"/>
      <c r="AB466" s="52"/>
      <c r="AC466" s="52"/>
    </row>
    <row r="467" spans="1:29" ht="12.75">
      <c r="A467" s="197"/>
      <c r="B467" s="2"/>
      <c r="C467" s="52"/>
      <c r="D467" s="52"/>
      <c r="E467" s="52"/>
      <c r="F467" s="2"/>
      <c r="G467" s="2"/>
      <c r="H467" s="2"/>
      <c r="I467" s="2"/>
      <c r="J467" s="52"/>
      <c r="K467" s="2"/>
      <c r="L467" s="2"/>
      <c r="M467" s="2"/>
      <c r="N467" s="2"/>
      <c r="O467" s="52"/>
      <c r="P467" s="52"/>
      <c r="Q467" s="52"/>
      <c r="R467" s="52"/>
      <c r="S467" s="52"/>
      <c r="T467" s="52"/>
      <c r="U467" s="52"/>
      <c r="V467" s="52"/>
      <c r="W467" s="52"/>
      <c r="X467" s="52"/>
      <c r="Y467" s="52"/>
      <c r="Z467" s="52"/>
      <c r="AA467" s="52"/>
      <c r="AB467" s="52"/>
      <c r="AC467" s="52"/>
    </row>
    <row r="468" spans="1:29" ht="12.75">
      <c r="A468" s="197"/>
      <c r="B468" s="2"/>
      <c r="C468" s="52"/>
      <c r="D468" s="52"/>
      <c r="E468" s="52"/>
      <c r="F468" s="2"/>
      <c r="G468" s="2"/>
      <c r="H468" s="2"/>
      <c r="I468" s="2"/>
      <c r="J468" s="52"/>
      <c r="K468" s="2"/>
      <c r="L468" s="2"/>
      <c r="M468" s="2"/>
      <c r="N468" s="2"/>
      <c r="O468" s="52"/>
      <c r="P468" s="52"/>
      <c r="Q468" s="52"/>
      <c r="R468" s="52"/>
      <c r="S468" s="52"/>
      <c r="T468" s="52"/>
      <c r="U468" s="52"/>
      <c r="V468" s="52"/>
      <c r="W468" s="52"/>
      <c r="X468" s="52"/>
      <c r="Y468" s="52"/>
      <c r="Z468" s="52"/>
      <c r="AA468" s="52"/>
      <c r="AB468" s="52"/>
      <c r="AC468" s="52"/>
    </row>
    <row r="469" spans="1:29" ht="12.75">
      <c r="A469" s="197"/>
      <c r="B469" s="2"/>
      <c r="C469" s="52"/>
      <c r="D469" s="52"/>
      <c r="E469" s="52"/>
      <c r="F469" s="2"/>
      <c r="G469" s="2"/>
      <c r="H469" s="2"/>
      <c r="I469" s="2"/>
      <c r="J469" s="52"/>
      <c r="K469" s="2"/>
      <c r="L469" s="2"/>
      <c r="M469" s="2"/>
      <c r="N469" s="2"/>
      <c r="O469" s="52"/>
      <c r="P469" s="52"/>
      <c r="Q469" s="52"/>
      <c r="R469" s="52"/>
      <c r="S469" s="52"/>
      <c r="T469" s="52"/>
      <c r="U469" s="52"/>
      <c r="V469" s="52"/>
      <c r="W469" s="52"/>
      <c r="X469" s="52"/>
      <c r="Y469" s="52"/>
      <c r="Z469" s="52"/>
      <c r="AA469" s="52"/>
      <c r="AB469" s="52"/>
      <c r="AC469" s="52"/>
    </row>
    <row r="470" spans="1:29" ht="12.75">
      <c r="A470" s="197"/>
      <c r="B470" s="2"/>
      <c r="C470" s="52"/>
      <c r="D470" s="52"/>
      <c r="E470" s="52"/>
      <c r="F470" s="2"/>
      <c r="G470" s="2"/>
      <c r="H470" s="2"/>
      <c r="I470" s="2"/>
      <c r="J470" s="52"/>
      <c r="K470" s="2"/>
      <c r="L470" s="2"/>
      <c r="M470" s="2"/>
      <c r="N470" s="2"/>
      <c r="O470" s="52"/>
      <c r="P470" s="52"/>
      <c r="Q470" s="52"/>
      <c r="R470" s="52"/>
      <c r="S470" s="52"/>
      <c r="T470" s="52"/>
      <c r="U470" s="52"/>
      <c r="V470" s="52"/>
      <c r="W470" s="52"/>
      <c r="X470" s="52"/>
      <c r="Y470" s="52"/>
      <c r="Z470" s="52"/>
      <c r="AA470" s="52"/>
      <c r="AB470" s="52"/>
      <c r="AC470" s="52"/>
    </row>
    <row r="471" spans="1:29" ht="12.75">
      <c r="A471" s="197"/>
      <c r="B471" s="2"/>
      <c r="C471" s="52"/>
      <c r="D471" s="52"/>
      <c r="E471" s="52"/>
      <c r="F471" s="2"/>
      <c r="G471" s="2"/>
      <c r="H471" s="2"/>
      <c r="I471" s="2"/>
      <c r="J471" s="52"/>
      <c r="K471" s="2"/>
      <c r="L471" s="2"/>
      <c r="M471" s="2"/>
      <c r="N471" s="2"/>
      <c r="O471" s="52"/>
      <c r="P471" s="52"/>
      <c r="Q471" s="52"/>
      <c r="R471" s="52"/>
      <c r="S471" s="52"/>
      <c r="T471" s="52"/>
      <c r="U471" s="52"/>
      <c r="V471" s="52"/>
      <c r="W471" s="52"/>
      <c r="X471" s="52"/>
      <c r="Y471" s="52"/>
      <c r="Z471" s="52"/>
      <c r="AA471" s="52"/>
      <c r="AB471" s="52"/>
      <c r="AC471" s="52"/>
    </row>
    <row r="472" spans="1:29" ht="12.75">
      <c r="A472" s="197"/>
      <c r="B472" s="2"/>
      <c r="C472" s="52"/>
      <c r="D472" s="52"/>
      <c r="E472" s="52"/>
      <c r="F472" s="2"/>
      <c r="G472" s="2"/>
      <c r="H472" s="2"/>
      <c r="I472" s="2"/>
      <c r="J472" s="52"/>
      <c r="K472" s="2"/>
      <c r="L472" s="2"/>
      <c r="M472" s="2"/>
      <c r="N472" s="2"/>
      <c r="O472" s="52"/>
      <c r="P472" s="52"/>
      <c r="Q472" s="52"/>
      <c r="R472" s="52"/>
      <c r="S472" s="52"/>
      <c r="T472" s="52"/>
      <c r="U472" s="52"/>
      <c r="V472" s="52"/>
      <c r="W472" s="52"/>
      <c r="X472" s="52"/>
      <c r="Y472" s="52"/>
      <c r="Z472" s="52"/>
      <c r="AA472" s="52"/>
      <c r="AB472" s="52"/>
      <c r="AC472" s="52"/>
    </row>
    <row r="473" spans="1:29" ht="12.75">
      <c r="A473" s="197"/>
      <c r="B473" s="2"/>
      <c r="C473" s="52"/>
      <c r="D473" s="52"/>
      <c r="E473" s="52"/>
      <c r="F473" s="2"/>
      <c r="G473" s="2"/>
      <c r="H473" s="2"/>
      <c r="I473" s="2"/>
      <c r="J473" s="52"/>
      <c r="K473" s="2"/>
      <c r="L473" s="2"/>
      <c r="M473" s="2"/>
      <c r="N473" s="2"/>
      <c r="O473" s="52"/>
      <c r="P473" s="52"/>
      <c r="Q473" s="52"/>
      <c r="R473" s="52"/>
      <c r="S473" s="52"/>
      <c r="T473" s="52"/>
      <c r="U473" s="52"/>
      <c r="V473" s="52"/>
      <c r="W473" s="52"/>
      <c r="X473" s="52"/>
      <c r="Y473" s="52"/>
      <c r="Z473" s="52"/>
      <c r="AA473" s="52"/>
      <c r="AB473" s="52"/>
      <c r="AC473" s="52"/>
    </row>
    <row r="474" spans="1:29" ht="12.75">
      <c r="A474" s="197"/>
      <c r="B474" s="2"/>
      <c r="C474" s="52"/>
      <c r="D474" s="52"/>
      <c r="E474" s="52"/>
      <c r="F474" s="2"/>
      <c r="G474" s="2"/>
      <c r="H474" s="2"/>
      <c r="I474" s="2"/>
      <c r="J474" s="52"/>
      <c r="K474" s="2"/>
      <c r="L474" s="2"/>
      <c r="M474" s="2"/>
      <c r="N474" s="2"/>
      <c r="O474" s="52"/>
      <c r="P474" s="52"/>
      <c r="Q474" s="52"/>
      <c r="R474" s="52"/>
      <c r="S474" s="52"/>
      <c r="T474" s="52"/>
      <c r="U474" s="52"/>
      <c r="V474" s="52"/>
      <c r="W474" s="52"/>
      <c r="X474" s="52"/>
      <c r="Y474" s="52"/>
      <c r="Z474" s="52"/>
      <c r="AA474" s="52"/>
      <c r="AB474" s="52"/>
      <c r="AC474" s="52"/>
    </row>
    <row r="475" spans="1:29" ht="12.75">
      <c r="A475" s="197"/>
      <c r="B475" s="2"/>
      <c r="C475" s="52"/>
      <c r="D475" s="52"/>
      <c r="E475" s="52"/>
      <c r="F475" s="2"/>
      <c r="G475" s="2"/>
      <c r="H475" s="2"/>
      <c r="I475" s="2"/>
      <c r="J475" s="52"/>
      <c r="K475" s="2"/>
      <c r="L475" s="2"/>
      <c r="M475" s="2"/>
      <c r="N475" s="2"/>
      <c r="O475" s="52"/>
      <c r="P475" s="52"/>
      <c r="Q475" s="52"/>
      <c r="R475" s="52"/>
      <c r="S475" s="52"/>
      <c r="T475" s="52"/>
      <c r="U475" s="52"/>
      <c r="V475" s="52"/>
      <c r="W475" s="52"/>
      <c r="X475" s="52"/>
      <c r="Y475" s="52"/>
      <c r="Z475" s="52"/>
      <c r="AA475" s="52"/>
      <c r="AB475" s="52"/>
      <c r="AC475" s="52"/>
    </row>
    <row r="476" spans="1:29" ht="12.75">
      <c r="A476" s="197"/>
      <c r="B476" s="2"/>
      <c r="C476" s="52"/>
      <c r="D476" s="52"/>
      <c r="E476" s="52"/>
      <c r="F476" s="2"/>
      <c r="G476" s="2"/>
      <c r="H476" s="2"/>
      <c r="I476" s="2"/>
      <c r="J476" s="52"/>
      <c r="K476" s="2"/>
      <c r="L476" s="2"/>
      <c r="M476" s="2"/>
      <c r="N476" s="2"/>
      <c r="O476" s="52"/>
      <c r="P476" s="52"/>
      <c r="Q476" s="52"/>
      <c r="R476" s="52"/>
      <c r="S476" s="52"/>
      <c r="T476" s="52"/>
      <c r="U476" s="52"/>
      <c r="V476" s="52"/>
      <c r="W476" s="52"/>
      <c r="X476" s="52"/>
      <c r="Y476" s="52"/>
      <c r="Z476" s="52"/>
      <c r="AA476" s="52"/>
      <c r="AB476" s="52"/>
      <c r="AC476" s="52"/>
    </row>
    <row r="477" spans="1:29" ht="12.75">
      <c r="A477" s="197"/>
      <c r="B477" s="2"/>
      <c r="C477" s="52"/>
      <c r="D477" s="52"/>
      <c r="E477" s="52"/>
      <c r="F477" s="2"/>
      <c r="G477" s="2"/>
      <c r="H477" s="2"/>
      <c r="I477" s="2"/>
      <c r="J477" s="52"/>
      <c r="K477" s="2"/>
      <c r="L477" s="2"/>
      <c r="M477" s="2"/>
      <c r="N477" s="2"/>
      <c r="O477" s="52"/>
      <c r="P477" s="52"/>
      <c r="Q477" s="52"/>
      <c r="R477" s="52"/>
      <c r="S477" s="52"/>
      <c r="T477" s="52"/>
      <c r="U477" s="52"/>
      <c r="V477" s="52"/>
      <c r="W477" s="52"/>
      <c r="X477" s="52"/>
      <c r="Y477" s="52"/>
      <c r="Z477" s="52"/>
      <c r="AA477" s="52"/>
      <c r="AB477" s="52"/>
      <c r="AC477" s="52"/>
    </row>
    <row r="478" spans="1:29" ht="12.75">
      <c r="A478" s="197"/>
      <c r="B478" s="2"/>
      <c r="C478" s="52"/>
      <c r="D478" s="52"/>
      <c r="E478" s="52"/>
      <c r="F478" s="2"/>
      <c r="G478" s="2"/>
      <c r="H478" s="2"/>
      <c r="I478" s="2"/>
      <c r="J478" s="52"/>
      <c r="K478" s="2"/>
      <c r="L478" s="2"/>
      <c r="M478" s="2"/>
      <c r="N478" s="2"/>
      <c r="O478" s="52"/>
      <c r="P478" s="52"/>
      <c r="Q478" s="52"/>
      <c r="R478" s="52"/>
      <c r="S478" s="52"/>
      <c r="T478" s="52"/>
      <c r="U478" s="52"/>
      <c r="V478" s="52"/>
      <c r="W478" s="52"/>
      <c r="X478" s="52"/>
      <c r="Y478" s="52"/>
      <c r="Z478" s="52"/>
      <c r="AA478" s="52"/>
      <c r="AB478" s="52"/>
      <c r="AC478" s="52"/>
    </row>
    <row r="479" spans="1:29" ht="12.75">
      <c r="A479" s="197"/>
      <c r="B479" s="2"/>
      <c r="C479" s="52"/>
      <c r="D479" s="52"/>
      <c r="E479" s="52"/>
      <c r="F479" s="2"/>
      <c r="G479" s="2"/>
      <c r="H479" s="2"/>
      <c r="I479" s="2"/>
      <c r="J479" s="52"/>
      <c r="K479" s="2"/>
      <c r="L479" s="2"/>
      <c r="M479" s="2"/>
      <c r="N479" s="2"/>
      <c r="O479" s="52"/>
      <c r="P479" s="52"/>
      <c r="Q479" s="52"/>
      <c r="R479" s="52"/>
      <c r="S479" s="52"/>
      <c r="T479" s="52"/>
      <c r="U479" s="52"/>
      <c r="V479" s="52"/>
      <c r="W479" s="52"/>
      <c r="X479" s="52"/>
      <c r="Y479" s="52"/>
      <c r="Z479" s="52"/>
      <c r="AA479" s="52"/>
      <c r="AB479" s="52"/>
      <c r="AC479" s="52"/>
    </row>
    <row r="480" spans="1:29" ht="12.75">
      <c r="A480" s="197"/>
      <c r="B480" s="2"/>
      <c r="C480" s="52"/>
      <c r="D480" s="52"/>
      <c r="E480" s="52"/>
      <c r="F480" s="2"/>
      <c r="G480" s="2"/>
      <c r="H480" s="2"/>
      <c r="I480" s="2"/>
      <c r="J480" s="52"/>
      <c r="K480" s="2"/>
      <c r="L480" s="2"/>
      <c r="M480" s="2"/>
      <c r="N480" s="2"/>
      <c r="O480" s="52"/>
      <c r="P480" s="52"/>
      <c r="Q480" s="52"/>
      <c r="R480" s="52"/>
      <c r="S480" s="52"/>
      <c r="T480" s="52"/>
      <c r="U480" s="52"/>
      <c r="V480" s="52"/>
      <c r="W480" s="52"/>
      <c r="X480" s="52"/>
      <c r="Y480" s="52"/>
      <c r="Z480" s="52"/>
      <c r="AA480" s="52"/>
      <c r="AB480" s="52"/>
      <c r="AC480" s="52"/>
    </row>
    <row r="481" spans="1:29" ht="12.75">
      <c r="A481" s="197"/>
      <c r="B481" s="2"/>
      <c r="C481" s="52"/>
      <c r="D481" s="52"/>
      <c r="E481" s="52"/>
      <c r="F481" s="2"/>
      <c r="G481" s="2"/>
      <c r="H481" s="2"/>
      <c r="I481" s="2"/>
      <c r="J481" s="52"/>
      <c r="K481" s="2"/>
      <c r="L481" s="2"/>
      <c r="M481" s="2"/>
      <c r="N481" s="2"/>
      <c r="O481" s="52"/>
      <c r="P481" s="52"/>
      <c r="Q481" s="52"/>
      <c r="R481" s="52"/>
      <c r="S481" s="52"/>
      <c r="T481" s="52"/>
      <c r="U481" s="52"/>
      <c r="V481" s="52"/>
      <c r="W481" s="52"/>
      <c r="X481" s="52"/>
      <c r="Y481" s="52"/>
      <c r="Z481" s="52"/>
      <c r="AA481" s="52"/>
      <c r="AB481" s="52"/>
      <c r="AC481" s="52"/>
    </row>
    <row r="482" spans="1:29" ht="12.75">
      <c r="A482" s="197"/>
      <c r="B482" s="2"/>
      <c r="C482" s="52"/>
      <c r="D482" s="52"/>
      <c r="E482" s="52"/>
      <c r="F482" s="2"/>
      <c r="G482" s="2"/>
      <c r="H482" s="2"/>
      <c r="I482" s="2"/>
      <c r="J482" s="52"/>
      <c r="K482" s="2"/>
      <c r="L482" s="2"/>
      <c r="M482" s="2"/>
      <c r="N482" s="2"/>
      <c r="O482" s="52"/>
      <c r="P482" s="52"/>
      <c r="Q482" s="52"/>
      <c r="R482" s="52"/>
      <c r="S482" s="52"/>
      <c r="T482" s="52"/>
      <c r="U482" s="52"/>
      <c r="V482" s="52"/>
      <c r="W482" s="52"/>
      <c r="X482" s="52"/>
      <c r="Y482" s="52"/>
      <c r="Z482" s="52"/>
      <c r="AA482" s="52"/>
      <c r="AB482" s="52"/>
      <c r="AC482" s="52"/>
    </row>
    <row r="483" spans="1:29" ht="12.75">
      <c r="A483" s="197"/>
      <c r="B483" s="2"/>
      <c r="C483" s="52"/>
      <c r="D483" s="52"/>
      <c r="E483" s="52"/>
      <c r="F483" s="2"/>
      <c r="G483" s="2"/>
      <c r="H483" s="2"/>
      <c r="I483" s="2"/>
      <c r="J483" s="52"/>
      <c r="K483" s="2"/>
      <c r="L483" s="2"/>
      <c r="M483" s="2"/>
      <c r="N483" s="2"/>
      <c r="O483" s="52"/>
      <c r="P483" s="52"/>
      <c r="Q483" s="52"/>
      <c r="R483" s="52"/>
      <c r="S483" s="52"/>
      <c r="T483" s="52"/>
      <c r="U483" s="52"/>
      <c r="V483" s="52"/>
      <c r="W483" s="52"/>
      <c r="X483" s="52"/>
      <c r="Y483" s="52"/>
      <c r="Z483" s="52"/>
      <c r="AA483" s="52"/>
      <c r="AB483" s="52"/>
      <c r="AC483" s="52"/>
    </row>
    <row r="484" spans="1:29" ht="12.75">
      <c r="A484" s="197"/>
      <c r="B484" s="2"/>
      <c r="C484" s="52"/>
      <c r="D484" s="52"/>
      <c r="E484" s="52"/>
      <c r="F484" s="2"/>
      <c r="G484" s="2"/>
      <c r="H484" s="2"/>
      <c r="I484" s="2"/>
      <c r="J484" s="52"/>
      <c r="K484" s="2"/>
      <c r="L484" s="2"/>
      <c r="M484" s="2"/>
      <c r="N484" s="2"/>
      <c r="O484" s="52"/>
      <c r="P484" s="52"/>
      <c r="Q484" s="52"/>
      <c r="R484" s="52"/>
      <c r="S484" s="52"/>
      <c r="T484" s="52"/>
      <c r="U484" s="52"/>
      <c r="V484" s="52"/>
      <c r="W484" s="52"/>
      <c r="X484" s="52"/>
      <c r="Y484" s="52"/>
      <c r="Z484" s="52"/>
      <c r="AA484" s="52"/>
      <c r="AB484" s="52"/>
      <c r="AC484" s="52"/>
    </row>
    <row r="485" spans="1:29" ht="12.75">
      <c r="A485" s="197"/>
      <c r="B485" s="2"/>
      <c r="C485" s="52"/>
      <c r="D485" s="52"/>
      <c r="E485" s="52"/>
      <c r="F485" s="2"/>
      <c r="G485" s="2"/>
      <c r="H485" s="2"/>
      <c r="I485" s="2"/>
      <c r="J485" s="52"/>
      <c r="K485" s="2"/>
      <c r="L485" s="2"/>
      <c r="M485" s="2"/>
      <c r="N485" s="2"/>
      <c r="O485" s="52"/>
      <c r="P485" s="52"/>
      <c r="Q485" s="52"/>
      <c r="R485" s="52"/>
      <c r="S485" s="52"/>
      <c r="T485" s="52"/>
      <c r="U485" s="52"/>
      <c r="V485" s="52"/>
      <c r="W485" s="52"/>
      <c r="X485" s="52"/>
      <c r="Y485" s="52"/>
      <c r="Z485" s="52"/>
      <c r="AA485" s="52"/>
      <c r="AB485" s="52"/>
      <c r="AC485" s="52"/>
    </row>
    <row r="486" spans="1:29" ht="12.75">
      <c r="A486" s="197"/>
      <c r="B486" s="2"/>
      <c r="C486" s="52"/>
      <c r="D486" s="52"/>
      <c r="E486" s="52"/>
      <c r="F486" s="2"/>
      <c r="G486" s="2"/>
      <c r="H486" s="2"/>
      <c r="I486" s="2"/>
      <c r="J486" s="52"/>
      <c r="K486" s="2"/>
      <c r="L486" s="2"/>
      <c r="M486" s="2"/>
      <c r="N486" s="2"/>
      <c r="O486" s="52"/>
      <c r="P486" s="52"/>
      <c r="Q486" s="52"/>
      <c r="R486" s="52"/>
      <c r="S486" s="52"/>
      <c r="T486" s="52"/>
      <c r="U486" s="52"/>
      <c r="V486" s="52"/>
      <c r="W486" s="52"/>
      <c r="X486" s="52"/>
      <c r="Y486" s="52"/>
      <c r="Z486" s="52"/>
      <c r="AA486" s="52"/>
      <c r="AB486" s="52"/>
      <c r="AC486" s="52"/>
    </row>
    <row r="487" spans="1:29" ht="12.75">
      <c r="A487" s="197"/>
      <c r="B487" s="2"/>
      <c r="C487" s="52"/>
      <c r="D487" s="52"/>
      <c r="E487" s="52"/>
      <c r="F487" s="2"/>
      <c r="G487" s="2"/>
      <c r="H487" s="2"/>
      <c r="I487" s="2"/>
      <c r="J487" s="52"/>
      <c r="K487" s="2"/>
      <c r="L487" s="2"/>
      <c r="M487" s="2"/>
      <c r="N487" s="2"/>
      <c r="O487" s="52"/>
      <c r="P487" s="52"/>
      <c r="Q487" s="52"/>
      <c r="R487" s="52"/>
      <c r="S487" s="52"/>
      <c r="T487" s="52"/>
      <c r="U487" s="52"/>
      <c r="V487" s="52"/>
      <c r="W487" s="52"/>
      <c r="X487" s="52"/>
      <c r="Y487" s="52"/>
      <c r="Z487" s="52"/>
      <c r="AA487" s="52"/>
      <c r="AB487" s="52"/>
      <c r="AC487" s="52"/>
    </row>
    <row r="488" spans="1:29" ht="12.75">
      <c r="A488" s="197"/>
      <c r="B488" s="2"/>
      <c r="C488" s="52"/>
      <c r="D488" s="52"/>
      <c r="E488" s="52"/>
      <c r="F488" s="2"/>
      <c r="G488" s="2"/>
      <c r="H488" s="2"/>
      <c r="I488" s="2"/>
      <c r="J488" s="52"/>
      <c r="K488" s="2"/>
      <c r="L488" s="2"/>
      <c r="M488" s="2"/>
      <c r="N488" s="2"/>
      <c r="O488" s="52"/>
      <c r="P488" s="52"/>
      <c r="Q488" s="52"/>
      <c r="R488" s="52"/>
      <c r="S488" s="52"/>
      <c r="T488" s="52"/>
      <c r="U488" s="52"/>
      <c r="V488" s="52"/>
      <c r="W488" s="52"/>
      <c r="X488" s="52"/>
      <c r="Y488" s="52"/>
      <c r="Z488" s="52"/>
      <c r="AA488" s="52"/>
      <c r="AB488" s="52"/>
      <c r="AC488" s="52"/>
    </row>
    <row r="489" spans="1:29" ht="12.75">
      <c r="A489" s="197"/>
      <c r="B489" s="2"/>
      <c r="C489" s="52"/>
      <c r="D489" s="52"/>
      <c r="E489" s="52"/>
      <c r="F489" s="2"/>
      <c r="G489" s="2"/>
      <c r="H489" s="2"/>
      <c r="I489" s="2"/>
      <c r="J489" s="52"/>
      <c r="K489" s="2"/>
      <c r="L489" s="2"/>
      <c r="M489" s="2"/>
      <c r="N489" s="2"/>
      <c r="O489" s="52"/>
      <c r="P489" s="52"/>
      <c r="Q489" s="52"/>
      <c r="R489" s="52"/>
      <c r="S489" s="52"/>
      <c r="T489" s="52"/>
      <c r="U489" s="52"/>
      <c r="V489" s="52"/>
      <c r="W489" s="52"/>
      <c r="X489" s="52"/>
      <c r="Y489" s="52"/>
      <c r="Z489" s="52"/>
      <c r="AA489" s="52"/>
      <c r="AB489" s="52"/>
      <c r="AC489" s="52"/>
    </row>
    <row r="490" spans="1:29" ht="12.75">
      <c r="A490" s="197"/>
      <c r="B490" s="2"/>
      <c r="C490" s="52"/>
      <c r="D490" s="52"/>
      <c r="E490" s="52"/>
      <c r="F490" s="2"/>
      <c r="G490" s="2"/>
      <c r="H490" s="2"/>
      <c r="I490" s="2"/>
      <c r="J490" s="52"/>
      <c r="K490" s="2"/>
      <c r="L490" s="2"/>
      <c r="M490" s="2"/>
      <c r="N490" s="2"/>
      <c r="O490" s="52"/>
      <c r="P490" s="52"/>
      <c r="Q490" s="52"/>
      <c r="R490" s="52"/>
      <c r="S490" s="52"/>
      <c r="T490" s="52"/>
      <c r="U490" s="52"/>
      <c r="V490" s="52"/>
      <c r="W490" s="52"/>
      <c r="X490" s="52"/>
      <c r="Y490" s="52"/>
      <c r="Z490" s="52"/>
      <c r="AA490" s="52"/>
      <c r="AB490" s="52"/>
      <c r="AC490" s="52"/>
    </row>
    <row r="491" spans="1:29" ht="12.75">
      <c r="A491" s="197"/>
      <c r="B491" s="2"/>
      <c r="C491" s="52"/>
      <c r="D491" s="52"/>
      <c r="E491" s="52"/>
      <c r="F491" s="2"/>
      <c r="G491" s="2"/>
      <c r="H491" s="2"/>
      <c r="I491" s="2"/>
      <c r="J491" s="52"/>
      <c r="K491" s="2"/>
      <c r="L491" s="2"/>
      <c r="M491" s="2"/>
      <c r="N491" s="2"/>
      <c r="O491" s="52"/>
      <c r="P491" s="52"/>
      <c r="Q491" s="52"/>
      <c r="R491" s="52"/>
      <c r="S491" s="52"/>
      <c r="T491" s="52"/>
      <c r="U491" s="52"/>
      <c r="V491" s="52"/>
      <c r="W491" s="52"/>
      <c r="X491" s="52"/>
      <c r="Y491" s="52"/>
      <c r="Z491" s="52"/>
      <c r="AA491" s="52"/>
      <c r="AB491" s="52"/>
      <c r="AC491" s="52"/>
    </row>
    <row r="492" spans="1:29" ht="12.75">
      <c r="A492" s="197"/>
      <c r="B492" s="2"/>
      <c r="C492" s="52"/>
      <c r="D492" s="52"/>
      <c r="E492" s="52"/>
      <c r="F492" s="2"/>
      <c r="G492" s="2"/>
      <c r="H492" s="2"/>
      <c r="I492" s="2"/>
      <c r="J492" s="52"/>
      <c r="K492" s="2"/>
      <c r="L492" s="2"/>
      <c r="M492" s="2"/>
      <c r="N492" s="2"/>
      <c r="O492" s="52"/>
      <c r="P492" s="52"/>
      <c r="Q492" s="52"/>
      <c r="R492" s="52"/>
      <c r="S492" s="52"/>
      <c r="T492" s="52"/>
      <c r="U492" s="52"/>
      <c r="V492" s="52"/>
      <c r="W492" s="52"/>
      <c r="X492" s="52"/>
      <c r="Y492" s="52"/>
      <c r="Z492" s="52"/>
      <c r="AA492" s="52"/>
      <c r="AB492" s="52"/>
      <c r="AC492" s="52"/>
    </row>
    <row r="493" spans="1:29" ht="12.75">
      <c r="A493" s="197"/>
      <c r="B493" s="2"/>
      <c r="C493" s="52"/>
      <c r="D493" s="52"/>
      <c r="E493" s="52"/>
      <c r="F493" s="2"/>
      <c r="G493" s="2"/>
      <c r="H493" s="2"/>
      <c r="I493" s="2"/>
      <c r="J493" s="52"/>
      <c r="K493" s="2"/>
      <c r="L493" s="2"/>
      <c r="M493" s="2"/>
      <c r="N493" s="2"/>
      <c r="O493" s="52"/>
      <c r="P493" s="52"/>
      <c r="Q493" s="52"/>
      <c r="R493" s="52"/>
      <c r="S493" s="52"/>
      <c r="T493" s="52"/>
      <c r="U493" s="52"/>
      <c r="V493" s="52"/>
      <c r="W493" s="52"/>
      <c r="X493" s="52"/>
      <c r="Y493" s="52"/>
      <c r="Z493" s="52"/>
      <c r="AA493" s="52"/>
      <c r="AB493" s="52"/>
      <c r="AC493" s="52"/>
    </row>
    <row r="494" spans="1:29" ht="12.75">
      <c r="A494" s="197"/>
      <c r="B494" s="2"/>
      <c r="C494" s="52"/>
      <c r="D494" s="52"/>
      <c r="E494" s="52"/>
      <c r="F494" s="2"/>
      <c r="G494" s="2"/>
      <c r="H494" s="2"/>
      <c r="I494" s="2"/>
      <c r="J494" s="52"/>
      <c r="K494" s="2"/>
      <c r="L494" s="2"/>
      <c r="M494" s="2"/>
      <c r="N494" s="2"/>
      <c r="O494" s="52"/>
      <c r="P494" s="52"/>
      <c r="Q494" s="52"/>
      <c r="R494" s="52"/>
      <c r="S494" s="52"/>
      <c r="T494" s="52"/>
      <c r="U494" s="52"/>
      <c r="V494" s="52"/>
      <c r="W494" s="52"/>
      <c r="X494" s="52"/>
      <c r="Y494" s="52"/>
      <c r="Z494" s="52"/>
      <c r="AA494" s="52"/>
      <c r="AB494" s="52"/>
      <c r="AC494" s="52"/>
    </row>
    <row r="495" spans="1:29" ht="12.75">
      <c r="A495" s="197"/>
      <c r="B495" s="2"/>
      <c r="C495" s="52"/>
      <c r="D495" s="52"/>
      <c r="E495" s="52"/>
      <c r="F495" s="2"/>
      <c r="G495" s="2"/>
      <c r="H495" s="2"/>
      <c r="I495" s="2"/>
      <c r="J495" s="52"/>
      <c r="K495" s="2"/>
      <c r="L495" s="2"/>
      <c r="M495" s="2"/>
      <c r="N495" s="2"/>
      <c r="O495" s="52"/>
      <c r="P495" s="52"/>
      <c r="Q495" s="52"/>
      <c r="R495" s="52"/>
      <c r="S495" s="52"/>
      <c r="T495" s="52"/>
      <c r="U495" s="52"/>
      <c r="V495" s="52"/>
      <c r="W495" s="52"/>
      <c r="X495" s="52"/>
      <c r="Y495" s="52"/>
      <c r="Z495" s="52"/>
      <c r="AA495" s="52"/>
      <c r="AB495" s="52"/>
      <c r="AC495" s="52"/>
    </row>
    <row r="496" spans="1:29" ht="12.75">
      <c r="A496" s="197"/>
      <c r="B496" s="2"/>
      <c r="C496" s="52"/>
      <c r="D496" s="52"/>
      <c r="E496" s="52"/>
      <c r="F496" s="2"/>
      <c r="G496" s="2"/>
      <c r="H496" s="2"/>
      <c r="I496" s="2"/>
      <c r="J496" s="52"/>
      <c r="K496" s="2"/>
      <c r="L496" s="2"/>
      <c r="M496" s="2"/>
      <c r="N496" s="2"/>
      <c r="O496" s="52"/>
      <c r="P496" s="52"/>
      <c r="Q496" s="52"/>
      <c r="R496" s="52"/>
      <c r="S496" s="52"/>
      <c r="T496" s="52"/>
      <c r="U496" s="52"/>
      <c r="V496" s="52"/>
      <c r="W496" s="52"/>
      <c r="X496" s="52"/>
      <c r="Y496" s="52"/>
      <c r="Z496" s="52"/>
      <c r="AA496" s="52"/>
      <c r="AB496" s="52"/>
      <c r="AC496" s="52"/>
    </row>
    <row r="497" spans="1:29" ht="12.75">
      <c r="A497" s="197"/>
      <c r="B497" s="2"/>
      <c r="C497" s="52"/>
      <c r="D497" s="52"/>
      <c r="E497" s="52"/>
      <c r="F497" s="2"/>
      <c r="G497" s="2"/>
      <c r="H497" s="2"/>
      <c r="I497" s="2"/>
      <c r="J497" s="52"/>
      <c r="K497" s="2"/>
      <c r="L497" s="2"/>
      <c r="M497" s="2"/>
      <c r="N497" s="2"/>
      <c r="O497" s="52"/>
      <c r="P497" s="52"/>
      <c r="Q497" s="52"/>
      <c r="R497" s="52"/>
      <c r="S497" s="52"/>
      <c r="T497" s="52"/>
      <c r="U497" s="52"/>
      <c r="V497" s="52"/>
      <c r="W497" s="52"/>
      <c r="X497" s="52"/>
      <c r="Y497" s="52"/>
      <c r="Z497" s="52"/>
      <c r="AA497" s="52"/>
      <c r="AB497" s="52"/>
      <c r="AC497" s="52"/>
    </row>
    <row r="498" spans="1:29" ht="12.75">
      <c r="A498" s="197"/>
      <c r="B498" s="2"/>
      <c r="C498" s="52"/>
      <c r="D498" s="52"/>
      <c r="E498" s="52"/>
      <c r="F498" s="2"/>
      <c r="G498" s="2"/>
      <c r="H498" s="2"/>
      <c r="I498" s="2"/>
      <c r="J498" s="52"/>
      <c r="K498" s="2"/>
      <c r="L498" s="2"/>
      <c r="M498" s="2"/>
      <c r="N498" s="2"/>
      <c r="O498" s="52"/>
      <c r="P498" s="52"/>
      <c r="Q498" s="52"/>
      <c r="R498" s="52"/>
      <c r="S498" s="52"/>
      <c r="T498" s="52"/>
      <c r="U498" s="52"/>
      <c r="V498" s="52"/>
      <c r="W498" s="52"/>
      <c r="X498" s="52"/>
      <c r="Y498" s="52"/>
      <c r="Z498" s="52"/>
      <c r="AA498" s="52"/>
      <c r="AB498" s="52"/>
      <c r="AC498" s="52"/>
    </row>
    <row r="499" spans="1:29" ht="12.75">
      <c r="A499" s="197"/>
      <c r="B499" s="2"/>
      <c r="C499" s="52"/>
      <c r="D499" s="52"/>
      <c r="E499" s="52"/>
      <c r="F499" s="2"/>
      <c r="G499" s="2"/>
      <c r="H499" s="2"/>
      <c r="I499" s="2"/>
      <c r="J499" s="52"/>
      <c r="K499" s="2"/>
      <c r="L499" s="2"/>
      <c r="M499" s="2"/>
      <c r="N499" s="2"/>
      <c r="O499" s="52"/>
      <c r="P499" s="52"/>
      <c r="Q499" s="52"/>
      <c r="R499" s="52"/>
      <c r="S499" s="52"/>
      <c r="T499" s="52"/>
      <c r="U499" s="52"/>
      <c r="V499" s="52"/>
      <c r="W499" s="52"/>
      <c r="X499" s="52"/>
      <c r="Y499" s="52"/>
      <c r="Z499" s="52"/>
      <c r="AA499" s="52"/>
      <c r="AB499" s="52"/>
      <c r="AC499" s="52"/>
    </row>
    <row r="500" spans="1:29" ht="12.75">
      <c r="A500" s="197"/>
      <c r="B500" s="2"/>
      <c r="C500" s="52"/>
      <c r="D500" s="52"/>
      <c r="E500" s="52"/>
      <c r="F500" s="2"/>
      <c r="G500" s="2"/>
      <c r="H500" s="2"/>
      <c r="I500" s="2"/>
      <c r="J500" s="52"/>
      <c r="K500" s="2"/>
      <c r="L500" s="2"/>
      <c r="M500" s="2"/>
      <c r="N500" s="2"/>
      <c r="O500" s="52"/>
      <c r="P500" s="52"/>
      <c r="Q500" s="52"/>
      <c r="R500" s="52"/>
      <c r="S500" s="52"/>
      <c r="T500" s="52"/>
      <c r="U500" s="52"/>
      <c r="V500" s="52"/>
      <c r="W500" s="52"/>
      <c r="X500" s="52"/>
      <c r="Y500" s="52"/>
      <c r="Z500" s="52"/>
      <c r="AA500" s="52"/>
      <c r="AB500" s="52"/>
      <c r="AC500" s="52"/>
    </row>
    <row r="501" spans="1:29" ht="12.75">
      <c r="A501" s="197"/>
      <c r="B501" s="2"/>
      <c r="C501" s="52"/>
      <c r="D501" s="52"/>
      <c r="E501" s="52"/>
      <c r="F501" s="2"/>
      <c r="G501" s="2"/>
      <c r="H501" s="2"/>
      <c r="I501" s="2"/>
      <c r="J501" s="52"/>
      <c r="K501" s="2"/>
      <c r="L501" s="2"/>
      <c r="M501" s="2"/>
      <c r="N501" s="2"/>
      <c r="O501" s="52"/>
      <c r="P501" s="52"/>
      <c r="Q501" s="52"/>
      <c r="R501" s="52"/>
      <c r="S501" s="52"/>
      <c r="T501" s="52"/>
      <c r="U501" s="52"/>
      <c r="V501" s="52"/>
      <c r="W501" s="52"/>
      <c r="X501" s="52"/>
      <c r="Y501" s="52"/>
      <c r="Z501" s="52"/>
      <c r="AA501" s="52"/>
      <c r="AB501" s="52"/>
      <c r="AC501" s="52"/>
    </row>
    <row r="502" spans="1:29" ht="12.75">
      <c r="A502" s="197"/>
      <c r="B502" s="2"/>
      <c r="C502" s="52"/>
      <c r="D502" s="52"/>
      <c r="E502" s="52"/>
      <c r="F502" s="2"/>
      <c r="G502" s="2"/>
      <c r="H502" s="2"/>
      <c r="I502" s="2"/>
      <c r="J502" s="52"/>
      <c r="K502" s="2"/>
      <c r="L502" s="2"/>
      <c r="M502" s="2"/>
      <c r="N502" s="2"/>
      <c r="O502" s="52"/>
      <c r="P502" s="52"/>
      <c r="Q502" s="52"/>
      <c r="R502" s="52"/>
      <c r="S502" s="52"/>
      <c r="T502" s="52"/>
      <c r="U502" s="52"/>
      <c r="V502" s="52"/>
      <c r="W502" s="52"/>
      <c r="X502" s="52"/>
      <c r="Y502" s="52"/>
      <c r="Z502" s="52"/>
      <c r="AA502" s="52"/>
      <c r="AB502" s="52"/>
      <c r="AC502" s="52"/>
    </row>
    <row r="503" spans="1:29" ht="12.75">
      <c r="A503" s="197"/>
      <c r="B503" s="2"/>
      <c r="C503" s="52"/>
      <c r="D503" s="52"/>
      <c r="E503" s="52"/>
      <c r="F503" s="2"/>
      <c r="G503" s="2"/>
      <c r="H503" s="2"/>
      <c r="I503" s="2"/>
      <c r="J503" s="52"/>
      <c r="K503" s="2"/>
      <c r="L503" s="2"/>
      <c r="M503" s="2"/>
      <c r="N503" s="2"/>
      <c r="O503" s="52"/>
      <c r="P503" s="52"/>
      <c r="Q503" s="52"/>
      <c r="R503" s="52"/>
      <c r="S503" s="52"/>
      <c r="T503" s="52"/>
      <c r="U503" s="52"/>
      <c r="V503" s="52"/>
      <c r="W503" s="52"/>
      <c r="X503" s="52"/>
      <c r="Y503" s="52"/>
      <c r="Z503" s="52"/>
      <c r="AA503" s="52"/>
      <c r="AB503" s="52"/>
      <c r="AC503" s="52"/>
    </row>
    <row r="504" spans="1:29" ht="12.75">
      <c r="A504" s="197"/>
      <c r="B504" s="2"/>
      <c r="C504" s="52"/>
      <c r="D504" s="52"/>
      <c r="E504" s="52"/>
      <c r="F504" s="2"/>
      <c r="G504" s="2"/>
      <c r="H504" s="2"/>
      <c r="I504" s="2"/>
      <c r="J504" s="52"/>
      <c r="K504" s="2"/>
      <c r="L504" s="2"/>
      <c r="M504" s="2"/>
      <c r="N504" s="2"/>
      <c r="O504" s="52"/>
      <c r="P504" s="52"/>
      <c r="Q504" s="52"/>
      <c r="R504" s="52"/>
      <c r="S504" s="52"/>
      <c r="T504" s="52"/>
      <c r="U504" s="52"/>
      <c r="V504" s="52"/>
      <c r="W504" s="52"/>
      <c r="X504" s="52"/>
      <c r="Y504" s="52"/>
      <c r="Z504" s="52"/>
      <c r="AA504" s="52"/>
      <c r="AB504" s="52"/>
      <c r="AC504" s="52"/>
    </row>
    <row r="505" spans="1:29" ht="12.75">
      <c r="A505" s="197"/>
      <c r="B505" s="2"/>
      <c r="C505" s="52"/>
      <c r="D505" s="52"/>
      <c r="E505" s="52"/>
      <c r="F505" s="2"/>
      <c r="G505" s="2"/>
      <c r="H505" s="2"/>
      <c r="I505" s="2"/>
      <c r="J505" s="52"/>
      <c r="K505" s="2"/>
      <c r="L505" s="2"/>
      <c r="M505" s="2"/>
      <c r="N505" s="2"/>
      <c r="O505" s="52"/>
      <c r="P505" s="52"/>
      <c r="Q505" s="52"/>
      <c r="R505" s="52"/>
      <c r="S505" s="52"/>
      <c r="T505" s="52"/>
      <c r="U505" s="52"/>
      <c r="V505" s="52"/>
      <c r="W505" s="52"/>
      <c r="X505" s="52"/>
      <c r="Y505" s="52"/>
      <c r="Z505" s="52"/>
      <c r="AA505" s="52"/>
      <c r="AB505" s="52"/>
      <c r="AC505" s="52"/>
    </row>
    <row r="506" spans="1:29" ht="12.75">
      <c r="A506" s="197"/>
      <c r="B506" s="2"/>
      <c r="C506" s="52"/>
      <c r="D506" s="52"/>
      <c r="E506" s="52"/>
      <c r="F506" s="2"/>
      <c r="G506" s="2"/>
      <c r="H506" s="2"/>
      <c r="I506" s="2"/>
      <c r="J506" s="52"/>
      <c r="K506" s="2"/>
      <c r="L506" s="2"/>
      <c r="M506" s="2"/>
      <c r="N506" s="2"/>
      <c r="O506" s="52"/>
      <c r="P506" s="52"/>
      <c r="Q506" s="52"/>
      <c r="R506" s="52"/>
      <c r="S506" s="52"/>
      <c r="T506" s="52"/>
      <c r="U506" s="52"/>
      <c r="V506" s="52"/>
      <c r="W506" s="52"/>
      <c r="X506" s="52"/>
      <c r="Y506" s="52"/>
      <c r="Z506" s="52"/>
      <c r="AA506" s="52"/>
      <c r="AB506" s="52"/>
      <c r="AC506" s="52"/>
    </row>
    <row r="507" spans="1:29" ht="12.75">
      <c r="A507" s="197"/>
      <c r="B507" s="2"/>
      <c r="C507" s="52"/>
      <c r="D507" s="52"/>
      <c r="E507" s="52"/>
      <c r="F507" s="2"/>
      <c r="G507" s="2"/>
      <c r="H507" s="2"/>
      <c r="I507" s="2"/>
      <c r="J507" s="52"/>
      <c r="K507" s="2"/>
      <c r="L507" s="2"/>
      <c r="M507" s="2"/>
      <c r="N507" s="2"/>
      <c r="O507" s="52"/>
      <c r="P507" s="52"/>
      <c r="Q507" s="52"/>
      <c r="R507" s="52"/>
      <c r="S507" s="52"/>
      <c r="T507" s="52"/>
      <c r="U507" s="52"/>
      <c r="V507" s="52"/>
      <c r="W507" s="52"/>
      <c r="X507" s="52"/>
      <c r="Y507" s="52"/>
      <c r="Z507" s="52"/>
      <c r="AA507" s="52"/>
      <c r="AB507" s="52"/>
      <c r="AC507" s="52"/>
    </row>
    <row r="508" spans="1:29" ht="12.75">
      <c r="A508" s="197"/>
      <c r="B508" s="2"/>
      <c r="C508" s="52"/>
      <c r="D508" s="52"/>
      <c r="E508" s="52"/>
      <c r="F508" s="2"/>
      <c r="G508" s="2"/>
      <c r="H508" s="2"/>
      <c r="I508" s="2"/>
      <c r="J508" s="52"/>
      <c r="K508" s="2"/>
      <c r="L508" s="2"/>
      <c r="M508" s="2"/>
      <c r="N508" s="2"/>
      <c r="O508" s="52"/>
      <c r="P508" s="52"/>
      <c r="Q508" s="52"/>
      <c r="R508" s="52"/>
      <c r="S508" s="52"/>
      <c r="T508" s="52"/>
      <c r="U508" s="52"/>
      <c r="V508" s="52"/>
      <c r="W508" s="52"/>
      <c r="X508" s="52"/>
      <c r="Y508" s="52"/>
      <c r="Z508" s="52"/>
      <c r="AA508" s="52"/>
      <c r="AB508" s="52"/>
      <c r="AC508" s="52"/>
    </row>
    <row r="509" spans="1:29" ht="12.75">
      <c r="A509" s="197"/>
      <c r="B509" s="2"/>
      <c r="C509" s="52"/>
      <c r="D509" s="52"/>
      <c r="E509" s="52"/>
      <c r="F509" s="2"/>
      <c r="G509" s="2"/>
      <c r="H509" s="2"/>
      <c r="I509" s="2"/>
      <c r="J509" s="52"/>
      <c r="K509" s="2"/>
      <c r="L509" s="2"/>
      <c r="M509" s="2"/>
      <c r="N509" s="2"/>
      <c r="O509" s="52"/>
      <c r="P509" s="52"/>
      <c r="Q509" s="52"/>
      <c r="R509" s="52"/>
      <c r="S509" s="52"/>
      <c r="T509" s="52"/>
      <c r="U509" s="52"/>
      <c r="V509" s="52"/>
      <c r="W509" s="52"/>
      <c r="X509" s="52"/>
      <c r="Y509" s="52"/>
      <c r="Z509" s="52"/>
      <c r="AA509" s="52"/>
      <c r="AB509" s="52"/>
      <c r="AC509" s="52"/>
    </row>
    <row r="510" spans="1:29" ht="12.75">
      <c r="A510" s="197"/>
      <c r="B510" s="2"/>
      <c r="C510" s="52"/>
      <c r="D510" s="52"/>
      <c r="E510" s="52"/>
      <c r="F510" s="2"/>
      <c r="G510" s="2"/>
      <c r="H510" s="2"/>
      <c r="I510" s="2"/>
      <c r="J510" s="52"/>
      <c r="K510" s="2"/>
      <c r="L510" s="2"/>
      <c r="M510" s="2"/>
      <c r="N510" s="2"/>
      <c r="O510" s="52"/>
      <c r="P510" s="52"/>
      <c r="Q510" s="52"/>
      <c r="R510" s="52"/>
      <c r="S510" s="52"/>
      <c r="T510" s="52"/>
      <c r="U510" s="52"/>
      <c r="V510" s="52"/>
      <c r="W510" s="52"/>
      <c r="X510" s="52"/>
      <c r="Y510" s="52"/>
      <c r="Z510" s="52"/>
      <c r="AA510" s="52"/>
      <c r="AB510" s="52"/>
      <c r="AC510" s="52"/>
    </row>
    <row r="511" spans="1:29" ht="12.75">
      <c r="A511" s="197"/>
      <c r="B511" s="2"/>
      <c r="C511" s="52"/>
      <c r="D511" s="52"/>
      <c r="E511" s="52"/>
      <c r="F511" s="2"/>
      <c r="G511" s="2"/>
      <c r="H511" s="2"/>
      <c r="I511" s="2"/>
      <c r="J511" s="52"/>
      <c r="K511" s="2"/>
      <c r="L511" s="2"/>
      <c r="M511" s="2"/>
      <c r="N511" s="2"/>
      <c r="O511" s="52"/>
      <c r="P511" s="52"/>
      <c r="Q511" s="52"/>
      <c r="R511" s="52"/>
      <c r="S511" s="52"/>
      <c r="T511" s="52"/>
      <c r="U511" s="52"/>
      <c r="V511" s="52"/>
      <c r="W511" s="52"/>
      <c r="X511" s="52"/>
      <c r="Y511" s="52"/>
      <c r="Z511" s="52"/>
      <c r="AA511" s="52"/>
      <c r="AB511" s="52"/>
      <c r="AC511" s="52"/>
    </row>
    <row r="512" spans="1:29" ht="12.75">
      <c r="A512" s="197"/>
      <c r="B512" s="2"/>
      <c r="C512" s="52"/>
      <c r="D512" s="52"/>
      <c r="E512" s="52"/>
      <c r="F512" s="2"/>
      <c r="G512" s="2"/>
      <c r="H512" s="2"/>
      <c r="I512" s="2"/>
      <c r="J512" s="52"/>
      <c r="K512" s="2"/>
      <c r="L512" s="2"/>
      <c r="M512" s="2"/>
      <c r="N512" s="2"/>
      <c r="O512" s="52"/>
      <c r="P512" s="52"/>
      <c r="Q512" s="52"/>
      <c r="R512" s="52"/>
      <c r="S512" s="52"/>
      <c r="T512" s="52"/>
      <c r="U512" s="52"/>
      <c r="V512" s="52"/>
      <c r="W512" s="52"/>
      <c r="X512" s="52"/>
      <c r="Y512" s="52"/>
      <c r="Z512" s="52"/>
      <c r="AA512" s="52"/>
      <c r="AB512" s="52"/>
      <c r="AC512" s="52"/>
    </row>
    <row r="513" spans="1:29" ht="12.75">
      <c r="A513" s="197"/>
      <c r="B513" s="2"/>
      <c r="C513" s="52"/>
      <c r="D513" s="52"/>
      <c r="E513" s="52"/>
      <c r="F513" s="2"/>
      <c r="G513" s="2"/>
      <c r="H513" s="2"/>
      <c r="I513" s="2"/>
      <c r="J513" s="52"/>
      <c r="K513" s="2"/>
      <c r="L513" s="2"/>
      <c r="M513" s="2"/>
      <c r="N513" s="2"/>
      <c r="O513" s="52"/>
      <c r="P513" s="52"/>
      <c r="Q513" s="52"/>
      <c r="R513" s="52"/>
      <c r="S513" s="52"/>
      <c r="T513" s="52"/>
      <c r="U513" s="52"/>
      <c r="V513" s="52"/>
      <c r="W513" s="52"/>
      <c r="X513" s="52"/>
      <c r="Y513" s="52"/>
      <c r="Z513" s="52"/>
      <c r="AA513" s="52"/>
      <c r="AB513" s="52"/>
      <c r="AC513" s="52"/>
    </row>
    <row r="514" spans="1:29" ht="12.75">
      <c r="A514" s="197"/>
      <c r="B514" s="2"/>
      <c r="C514" s="52"/>
      <c r="D514" s="52"/>
      <c r="E514" s="52"/>
      <c r="F514" s="2"/>
      <c r="G514" s="2"/>
      <c r="H514" s="2"/>
      <c r="I514" s="2"/>
      <c r="J514" s="52"/>
      <c r="K514" s="2"/>
      <c r="L514" s="2"/>
      <c r="M514" s="2"/>
      <c r="N514" s="2"/>
      <c r="O514" s="52"/>
      <c r="P514" s="52"/>
      <c r="Q514" s="52"/>
      <c r="R514" s="52"/>
      <c r="S514" s="52"/>
      <c r="T514" s="52"/>
      <c r="U514" s="52"/>
      <c r="V514" s="52"/>
      <c r="W514" s="52"/>
      <c r="X514" s="52"/>
      <c r="Y514" s="52"/>
      <c r="Z514" s="52"/>
      <c r="AA514" s="52"/>
      <c r="AB514" s="52"/>
      <c r="AC514" s="52"/>
    </row>
    <row r="515" spans="1:29" ht="12.75">
      <c r="A515" s="197"/>
      <c r="B515" s="2"/>
      <c r="C515" s="52"/>
      <c r="D515" s="52"/>
      <c r="E515" s="52"/>
      <c r="F515" s="2"/>
      <c r="G515" s="2"/>
      <c r="H515" s="2"/>
      <c r="I515" s="2"/>
      <c r="J515" s="52"/>
      <c r="K515" s="2"/>
      <c r="L515" s="2"/>
      <c r="M515" s="2"/>
      <c r="N515" s="2"/>
      <c r="O515" s="52"/>
      <c r="P515" s="52"/>
      <c r="Q515" s="52"/>
      <c r="R515" s="52"/>
      <c r="S515" s="52"/>
      <c r="T515" s="52"/>
      <c r="U515" s="52"/>
      <c r="V515" s="52"/>
      <c r="W515" s="52"/>
      <c r="X515" s="52"/>
      <c r="Y515" s="52"/>
      <c r="Z515" s="52"/>
      <c r="AA515" s="52"/>
      <c r="AB515" s="52"/>
      <c r="AC515" s="52"/>
    </row>
    <row r="516" spans="1:29" ht="12.75">
      <c r="A516" s="197"/>
      <c r="B516" s="2"/>
      <c r="C516" s="52"/>
      <c r="D516" s="52"/>
      <c r="E516" s="52"/>
      <c r="F516" s="2"/>
      <c r="G516" s="2"/>
      <c r="H516" s="2"/>
      <c r="I516" s="2"/>
      <c r="J516" s="52"/>
      <c r="K516" s="2"/>
      <c r="L516" s="2"/>
      <c r="M516" s="2"/>
      <c r="N516" s="2"/>
      <c r="O516" s="52"/>
      <c r="P516" s="52"/>
      <c r="Q516" s="52"/>
      <c r="R516" s="52"/>
      <c r="S516" s="52"/>
      <c r="T516" s="52"/>
      <c r="U516" s="52"/>
      <c r="V516" s="52"/>
      <c r="W516" s="52"/>
      <c r="X516" s="52"/>
      <c r="Y516" s="52"/>
      <c r="Z516" s="52"/>
      <c r="AA516" s="52"/>
      <c r="AB516" s="52"/>
      <c r="AC516" s="52"/>
    </row>
    <row r="517" spans="1:29" ht="12.75">
      <c r="A517" s="197"/>
      <c r="B517" s="2"/>
      <c r="C517" s="52"/>
      <c r="D517" s="52"/>
      <c r="E517" s="52"/>
      <c r="F517" s="2"/>
      <c r="G517" s="2"/>
      <c r="H517" s="2"/>
      <c r="I517" s="2"/>
      <c r="J517" s="52"/>
      <c r="K517" s="2"/>
      <c r="L517" s="2"/>
      <c r="M517" s="2"/>
      <c r="N517" s="2"/>
      <c r="O517" s="52"/>
      <c r="P517" s="52"/>
      <c r="Q517" s="52"/>
      <c r="R517" s="52"/>
      <c r="S517" s="52"/>
      <c r="T517" s="52"/>
      <c r="U517" s="52"/>
      <c r="V517" s="52"/>
      <c r="W517" s="52"/>
      <c r="X517" s="52"/>
      <c r="Y517" s="52"/>
      <c r="Z517" s="52"/>
      <c r="AA517" s="52"/>
      <c r="AB517" s="52"/>
      <c r="AC517" s="52"/>
    </row>
    <row r="518" spans="1:29" ht="12.75">
      <c r="A518" s="197"/>
      <c r="B518" s="2"/>
      <c r="C518" s="52"/>
      <c r="D518" s="52"/>
      <c r="E518" s="52"/>
      <c r="F518" s="2"/>
      <c r="G518" s="2"/>
      <c r="H518" s="2"/>
      <c r="I518" s="2"/>
      <c r="J518" s="52"/>
      <c r="K518" s="2"/>
      <c r="L518" s="2"/>
      <c r="M518" s="2"/>
      <c r="N518" s="2"/>
      <c r="O518" s="52"/>
      <c r="P518" s="52"/>
      <c r="Q518" s="52"/>
      <c r="R518" s="52"/>
      <c r="S518" s="52"/>
      <c r="T518" s="52"/>
      <c r="U518" s="52"/>
      <c r="V518" s="52"/>
      <c r="W518" s="52"/>
      <c r="X518" s="52"/>
      <c r="Y518" s="52"/>
      <c r="Z518" s="52"/>
      <c r="AA518" s="52"/>
      <c r="AB518" s="52"/>
      <c r="AC518" s="52"/>
    </row>
    <row r="519" spans="1:29" ht="12.75">
      <c r="A519" s="197"/>
      <c r="B519" s="2"/>
      <c r="C519" s="52"/>
      <c r="D519" s="52"/>
      <c r="E519" s="52"/>
      <c r="F519" s="2"/>
      <c r="G519" s="2"/>
      <c r="H519" s="2"/>
      <c r="I519" s="2"/>
      <c r="J519" s="52"/>
      <c r="K519" s="2"/>
      <c r="L519" s="2"/>
      <c r="M519" s="2"/>
      <c r="N519" s="2"/>
      <c r="O519" s="52"/>
      <c r="P519" s="52"/>
      <c r="Q519" s="52"/>
      <c r="R519" s="52"/>
      <c r="S519" s="52"/>
      <c r="T519" s="52"/>
      <c r="U519" s="52"/>
      <c r="V519" s="52"/>
      <c r="W519" s="52"/>
      <c r="X519" s="52"/>
      <c r="Y519" s="52"/>
      <c r="Z519" s="52"/>
      <c r="AA519" s="52"/>
      <c r="AB519" s="52"/>
      <c r="AC519" s="52"/>
    </row>
    <row r="520" spans="1:29" ht="12.75">
      <c r="A520" s="197"/>
      <c r="B520" s="2"/>
      <c r="C520" s="52"/>
      <c r="D520" s="52"/>
      <c r="E520" s="52"/>
      <c r="F520" s="2"/>
      <c r="G520" s="2"/>
      <c r="H520" s="2"/>
      <c r="I520" s="2"/>
      <c r="J520" s="52"/>
      <c r="K520" s="2"/>
      <c r="L520" s="2"/>
      <c r="M520" s="2"/>
      <c r="N520" s="2"/>
      <c r="O520" s="52"/>
      <c r="P520" s="52"/>
      <c r="Q520" s="52"/>
      <c r="R520" s="52"/>
      <c r="S520" s="52"/>
      <c r="T520" s="52"/>
      <c r="U520" s="52"/>
      <c r="V520" s="52"/>
      <c r="W520" s="52"/>
      <c r="X520" s="52"/>
      <c r="Y520" s="52"/>
      <c r="Z520" s="52"/>
      <c r="AA520" s="52"/>
      <c r="AB520" s="52"/>
      <c r="AC520" s="52"/>
    </row>
    <row r="521" spans="1:29" ht="12.75">
      <c r="A521" s="197"/>
      <c r="B521" s="2"/>
      <c r="C521" s="52"/>
      <c r="D521" s="52"/>
      <c r="E521" s="52"/>
      <c r="F521" s="2"/>
      <c r="G521" s="2"/>
      <c r="H521" s="2"/>
      <c r="I521" s="2"/>
      <c r="J521" s="52"/>
      <c r="K521" s="2"/>
      <c r="L521" s="2"/>
      <c r="M521" s="2"/>
      <c r="N521" s="2"/>
      <c r="O521" s="52"/>
      <c r="P521" s="52"/>
      <c r="Q521" s="52"/>
      <c r="R521" s="52"/>
      <c r="S521" s="52"/>
      <c r="T521" s="52"/>
      <c r="U521" s="52"/>
      <c r="V521" s="52"/>
      <c r="W521" s="52"/>
      <c r="X521" s="52"/>
      <c r="Y521" s="52"/>
      <c r="Z521" s="52"/>
      <c r="AA521" s="52"/>
      <c r="AB521" s="52"/>
      <c r="AC521" s="52"/>
    </row>
    <row r="522" spans="1:29" ht="12.75">
      <c r="A522" s="197"/>
      <c r="B522" s="2"/>
      <c r="C522" s="52"/>
      <c r="D522" s="52"/>
      <c r="E522" s="52"/>
      <c r="F522" s="2"/>
      <c r="G522" s="2"/>
      <c r="H522" s="2"/>
      <c r="I522" s="2"/>
      <c r="J522" s="52"/>
      <c r="K522" s="2"/>
      <c r="L522" s="2"/>
      <c r="M522" s="2"/>
      <c r="N522" s="2"/>
      <c r="O522" s="52"/>
      <c r="P522" s="52"/>
      <c r="Q522" s="52"/>
      <c r="R522" s="52"/>
      <c r="S522" s="52"/>
      <c r="T522" s="52"/>
      <c r="U522" s="52"/>
      <c r="V522" s="52"/>
      <c r="W522" s="52"/>
      <c r="X522" s="52"/>
      <c r="Y522" s="52"/>
      <c r="Z522" s="52"/>
      <c r="AA522" s="52"/>
      <c r="AB522" s="52"/>
      <c r="AC522" s="52"/>
    </row>
    <row r="523" spans="1:29" ht="12.75">
      <c r="A523" s="197"/>
      <c r="B523" s="2"/>
      <c r="C523" s="52"/>
      <c r="D523" s="52"/>
      <c r="E523" s="52"/>
      <c r="F523" s="2"/>
      <c r="G523" s="2"/>
      <c r="H523" s="2"/>
      <c r="I523" s="2"/>
      <c r="J523" s="52"/>
      <c r="K523" s="2"/>
      <c r="L523" s="2"/>
      <c r="M523" s="2"/>
      <c r="N523" s="2"/>
      <c r="O523" s="52"/>
      <c r="P523" s="52"/>
      <c r="Q523" s="52"/>
      <c r="R523" s="52"/>
      <c r="S523" s="52"/>
      <c r="T523" s="52"/>
      <c r="U523" s="52"/>
      <c r="V523" s="52"/>
      <c r="W523" s="52"/>
      <c r="X523" s="52"/>
      <c r="Y523" s="52"/>
      <c r="Z523" s="52"/>
      <c r="AA523" s="52"/>
      <c r="AB523" s="52"/>
      <c r="AC523" s="52"/>
    </row>
    <row r="524" spans="1:29" ht="12.75">
      <c r="A524" s="197"/>
      <c r="B524" s="2"/>
      <c r="C524" s="52"/>
      <c r="D524" s="52"/>
      <c r="E524" s="52"/>
      <c r="F524" s="2"/>
      <c r="G524" s="2"/>
      <c r="H524" s="2"/>
      <c r="I524" s="2"/>
      <c r="J524" s="52"/>
      <c r="K524" s="2"/>
      <c r="L524" s="2"/>
      <c r="M524" s="2"/>
      <c r="N524" s="2"/>
      <c r="O524" s="52"/>
      <c r="P524" s="52"/>
      <c r="Q524" s="52"/>
      <c r="R524" s="52"/>
      <c r="S524" s="52"/>
      <c r="T524" s="52"/>
      <c r="U524" s="52"/>
      <c r="V524" s="52"/>
      <c r="W524" s="52"/>
      <c r="X524" s="52"/>
      <c r="Y524" s="52"/>
      <c r="Z524" s="52"/>
      <c r="AA524" s="52"/>
      <c r="AB524" s="52"/>
      <c r="AC524" s="52"/>
    </row>
    <row r="525" spans="1:29" ht="12.75">
      <c r="A525" s="197"/>
      <c r="B525" s="2"/>
      <c r="C525" s="52"/>
      <c r="D525" s="52"/>
      <c r="E525" s="52"/>
      <c r="F525" s="2"/>
      <c r="G525" s="2"/>
      <c r="H525" s="2"/>
      <c r="I525" s="2"/>
      <c r="J525" s="52"/>
      <c r="K525" s="2"/>
      <c r="L525" s="2"/>
      <c r="M525" s="2"/>
      <c r="N525" s="2"/>
      <c r="O525" s="52"/>
      <c r="P525" s="52"/>
      <c r="Q525" s="52"/>
      <c r="R525" s="52"/>
      <c r="S525" s="52"/>
      <c r="T525" s="52"/>
      <c r="U525" s="52"/>
      <c r="V525" s="52"/>
      <c r="W525" s="52"/>
      <c r="X525" s="52"/>
      <c r="Y525" s="52"/>
      <c r="Z525" s="52"/>
      <c r="AA525" s="52"/>
      <c r="AB525" s="52"/>
      <c r="AC525" s="52"/>
    </row>
    <row r="526" spans="1:29" ht="12.75">
      <c r="A526" s="197"/>
      <c r="B526" s="2"/>
      <c r="C526" s="52"/>
      <c r="D526" s="52"/>
      <c r="E526" s="52"/>
      <c r="F526" s="2"/>
      <c r="G526" s="2"/>
      <c r="H526" s="2"/>
      <c r="I526" s="2"/>
      <c r="J526" s="52"/>
      <c r="K526" s="2"/>
      <c r="L526" s="2"/>
      <c r="M526" s="2"/>
      <c r="N526" s="2"/>
      <c r="O526" s="52"/>
      <c r="P526" s="52"/>
      <c r="Q526" s="52"/>
      <c r="R526" s="52"/>
      <c r="S526" s="52"/>
      <c r="T526" s="52"/>
      <c r="U526" s="52"/>
      <c r="V526" s="52"/>
      <c r="W526" s="52"/>
      <c r="X526" s="52"/>
      <c r="Y526" s="52"/>
      <c r="Z526" s="52"/>
      <c r="AA526" s="52"/>
      <c r="AB526" s="52"/>
      <c r="AC526" s="52"/>
    </row>
    <row r="527" spans="1:29" ht="12.75">
      <c r="A527" s="197"/>
      <c r="B527" s="2"/>
      <c r="C527" s="52"/>
      <c r="D527" s="52"/>
      <c r="E527" s="52"/>
      <c r="F527" s="2"/>
      <c r="G527" s="2"/>
      <c r="H527" s="2"/>
      <c r="I527" s="2"/>
      <c r="J527" s="52"/>
      <c r="K527" s="2"/>
      <c r="L527" s="2"/>
      <c r="M527" s="2"/>
      <c r="N527" s="2"/>
      <c r="O527" s="52"/>
      <c r="P527" s="52"/>
      <c r="Q527" s="52"/>
      <c r="R527" s="52"/>
      <c r="S527" s="52"/>
      <c r="T527" s="52"/>
      <c r="U527" s="52"/>
      <c r="V527" s="52"/>
      <c r="W527" s="52"/>
      <c r="X527" s="52"/>
      <c r="Y527" s="52"/>
      <c r="Z527" s="52"/>
      <c r="AA527" s="52"/>
      <c r="AB527" s="52"/>
      <c r="AC527" s="52"/>
    </row>
    <row r="528" spans="1:29" ht="12.75">
      <c r="A528" s="197"/>
      <c r="B528" s="2"/>
      <c r="C528" s="52"/>
      <c r="D528" s="52"/>
      <c r="E528" s="52"/>
      <c r="F528" s="2"/>
      <c r="G528" s="2"/>
      <c r="H528" s="2"/>
      <c r="I528" s="2"/>
      <c r="J528" s="52"/>
      <c r="K528" s="2"/>
      <c r="L528" s="2"/>
      <c r="M528" s="2"/>
      <c r="N528" s="2"/>
      <c r="O528" s="52"/>
      <c r="P528" s="52"/>
      <c r="Q528" s="52"/>
      <c r="R528" s="52"/>
      <c r="S528" s="52"/>
      <c r="T528" s="52"/>
      <c r="U528" s="52"/>
      <c r="V528" s="52"/>
      <c r="W528" s="52"/>
      <c r="X528" s="52"/>
      <c r="Y528" s="52"/>
      <c r="Z528" s="52"/>
      <c r="AA528" s="52"/>
      <c r="AB528" s="52"/>
      <c r="AC528" s="52"/>
    </row>
    <row r="529" spans="1:29" ht="12.75">
      <c r="A529" s="197"/>
      <c r="B529" s="2"/>
      <c r="C529" s="52"/>
      <c r="D529" s="52"/>
      <c r="E529" s="52"/>
      <c r="F529" s="2"/>
      <c r="G529" s="2"/>
      <c r="H529" s="2"/>
      <c r="I529" s="2"/>
      <c r="J529" s="52"/>
      <c r="K529" s="2"/>
      <c r="L529" s="2"/>
      <c r="M529" s="2"/>
      <c r="N529" s="2"/>
      <c r="O529" s="52"/>
      <c r="P529" s="52"/>
      <c r="Q529" s="52"/>
      <c r="R529" s="52"/>
      <c r="S529" s="52"/>
      <c r="T529" s="52"/>
      <c r="U529" s="52"/>
      <c r="V529" s="52"/>
      <c r="W529" s="52"/>
      <c r="X529" s="52"/>
      <c r="Y529" s="52"/>
      <c r="Z529" s="52"/>
      <c r="AA529" s="52"/>
      <c r="AB529" s="52"/>
      <c r="AC529" s="52"/>
    </row>
    <row r="530" spans="1:29" ht="12.75">
      <c r="A530" s="197"/>
      <c r="B530" s="2"/>
      <c r="C530" s="52"/>
      <c r="D530" s="52"/>
      <c r="E530" s="52"/>
      <c r="F530" s="2"/>
      <c r="G530" s="2"/>
      <c r="H530" s="2"/>
      <c r="I530" s="2"/>
      <c r="J530" s="52"/>
      <c r="K530" s="2"/>
      <c r="L530" s="2"/>
      <c r="M530" s="2"/>
      <c r="N530" s="2"/>
      <c r="O530" s="52"/>
      <c r="P530" s="52"/>
      <c r="Q530" s="52"/>
      <c r="R530" s="52"/>
      <c r="S530" s="52"/>
      <c r="T530" s="52"/>
      <c r="U530" s="52"/>
      <c r="V530" s="52"/>
      <c r="W530" s="52"/>
      <c r="X530" s="52"/>
      <c r="Y530" s="52"/>
      <c r="Z530" s="52"/>
      <c r="AA530" s="52"/>
      <c r="AB530" s="52"/>
      <c r="AC530" s="52"/>
    </row>
    <row r="531" spans="1:29" ht="12.75">
      <c r="A531" s="197"/>
      <c r="B531" s="2"/>
      <c r="C531" s="52"/>
      <c r="D531" s="52"/>
      <c r="E531" s="52"/>
      <c r="F531" s="2"/>
      <c r="G531" s="2"/>
      <c r="H531" s="2"/>
      <c r="I531" s="2"/>
      <c r="J531" s="52"/>
      <c r="K531" s="2"/>
      <c r="L531" s="2"/>
      <c r="M531" s="2"/>
      <c r="N531" s="2"/>
      <c r="O531" s="52"/>
      <c r="P531" s="52"/>
      <c r="Q531" s="52"/>
      <c r="R531" s="52"/>
      <c r="S531" s="52"/>
      <c r="T531" s="52"/>
      <c r="U531" s="52"/>
      <c r="V531" s="52"/>
      <c r="W531" s="52"/>
      <c r="X531" s="52"/>
      <c r="Y531" s="52"/>
      <c r="Z531" s="52"/>
      <c r="AA531" s="52"/>
      <c r="AB531" s="52"/>
      <c r="AC531" s="52"/>
    </row>
    <row r="532" spans="1:29" ht="12.75">
      <c r="A532" s="197"/>
      <c r="B532" s="2"/>
      <c r="C532" s="52"/>
      <c r="D532" s="52"/>
      <c r="E532" s="52"/>
      <c r="F532" s="2"/>
      <c r="G532" s="2"/>
      <c r="H532" s="2"/>
      <c r="I532" s="2"/>
      <c r="J532" s="52"/>
      <c r="K532" s="2"/>
      <c r="L532" s="2"/>
      <c r="M532" s="2"/>
      <c r="N532" s="2"/>
      <c r="O532" s="52"/>
      <c r="P532" s="52"/>
      <c r="Q532" s="52"/>
      <c r="R532" s="52"/>
      <c r="S532" s="52"/>
      <c r="T532" s="52"/>
      <c r="U532" s="52"/>
      <c r="V532" s="52"/>
      <c r="W532" s="52"/>
      <c r="X532" s="52"/>
      <c r="Y532" s="52"/>
      <c r="Z532" s="52"/>
      <c r="AA532" s="52"/>
      <c r="AB532" s="52"/>
      <c r="AC532" s="52"/>
    </row>
    <row r="533" spans="1:29" ht="12.75">
      <c r="A533" s="197"/>
      <c r="B533" s="2"/>
      <c r="C533" s="52"/>
      <c r="D533" s="52"/>
      <c r="E533" s="52"/>
      <c r="F533" s="2"/>
      <c r="G533" s="2"/>
      <c r="H533" s="2"/>
      <c r="I533" s="2"/>
      <c r="J533" s="52"/>
      <c r="K533" s="2"/>
      <c r="L533" s="2"/>
      <c r="M533" s="2"/>
      <c r="N533" s="2"/>
      <c r="O533" s="52"/>
      <c r="P533" s="52"/>
      <c r="Q533" s="52"/>
      <c r="R533" s="52"/>
      <c r="S533" s="52"/>
      <c r="T533" s="52"/>
      <c r="U533" s="52"/>
      <c r="V533" s="52"/>
      <c r="W533" s="52"/>
      <c r="X533" s="52"/>
      <c r="Y533" s="52"/>
      <c r="Z533" s="52"/>
      <c r="AA533" s="52"/>
      <c r="AB533" s="52"/>
      <c r="AC533" s="52"/>
    </row>
    <row r="534" spans="1:29" ht="12.75">
      <c r="A534" s="197"/>
      <c r="B534" s="2"/>
      <c r="C534" s="52"/>
      <c r="D534" s="52"/>
      <c r="E534" s="52"/>
      <c r="F534" s="2"/>
      <c r="G534" s="2"/>
      <c r="H534" s="2"/>
      <c r="I534" s="2"/>
      <c r="J534" s="52"/>
      <c r="K534" s="2"/>
      <c r="L534" s="2"/>
      <c r="M534" s="2"/>
      <c r="N534" s="2"/>
      <c r="O534" s="52"/>
      <c r="P534" s="52"/>
      <c r="Q534" s="52"/>
      <c r="R534" s="52"/>
      <c r="S534" s="52"/>
      <c r="T534" s="52"/>
      <c r="U534" s="52"/>
      <c r="V534" s="52"/>
      <c r="W534" s="52"/>
      <c r="X534" s="52"/>
      <c r="Y534" s="52"/>
      <c r="Z534" s="52"/>
      <c r="AA534" s="52"/>
      <c r="AB534" s="52"/>
      <c r="AC534" s="52"/>
    </row>
    <row r="535" spans="1:29" ht="12.75">
      <c r="A535" s="197"/>
      <c r="B535" s="2"/>
      <c r="C535" s="52"/>
      <c r="D535" s="52"/>
      <c r="E535" s="52"/>
      <c r="F535" s="2"/>
      <c r="G535" s="2"/>
      <c r="H535" s="2"/>
      <c r="I535" s="2"/>
      <c r="J535" s="52"/>
      <c r="K535" s="2"/>
      <c r="L535" s="2"/>
      <c r="M535" s="2"/>
      <c r="N535" s="2"/>
      <c r="O535" s="52"/>
      <c r="P535" s="52"/>
      <c r="Q535" s="52"/>
      <c r="R535" s="52"/>
      <c r="S535" s="52"/>
      <c r="T535" s="52"/>
      <c r="U535" s="52"/>
      <c r="V535" s="52"/>
      <c r="W535" s="52"/>
      <c r="X535" s="52"/>
      <c r="Y535" s="52"/>
      <c r="Z535" s="52"/>
      <c r="AA535" s="52"/>
      <c r="AB535" s="52"/>
      <c r="AC535" s="52"/>
    </row>
    <row r="536" spans="1:29" ht="12.75">
      <c r="A536" s="197"/>
      <c r="B536" s="2"/>
      <c r="C536" s="52"/>
      <c r="D536" s="52"/>
      <c r="E536" s="52"/>
      <c r="F536" s="2"/>
      <c r="G536" s="2"/>
      <c r="H536" s="2"/>
      <c r="I536" s="2"/>
      <c r="J536" s="52"/>
      <c r="K536" s="2"/>
      <c r="L536" s="2"/>
      <c r="M536" s="2"/>
      <c r="N536" s="2"/>
      <c r="O536" s="52"/>
      <c r="P536" s="52"/>
      <c r="Q536" s="52"/>
      <c r="R536" s="52"/>
      <c r="S536" s="52"/>
      <c r="T536" s="52"/>
      <c r="U536" s="52"/>
      <c r="V536" s="52"/>
      <c r="W536" s="52"/>
      <c r="X536" s="52"/>
      <c r="Y536" s="52"/>
      <c r="Z536" s="52"/>
      <c r="AA536" s="52"/>
      <c r="AB536" s="52"/>
      <c r="AC536" s="52"/>
    </row>
    <row r="537" spans="1:29" ht="12.75">
      <c r="A537" s="197"/>
      <c r="B537" s="2"/>
      <c r="C537" s="52"/>
      <c r="D537" s="52"/>
      <c r="E537" s="52"/>
      <c r="F537" s="2"/>
      <c r="G537" s="2"/>
      <c r="H537" s="2"/>
      <c r="I537" s="2"/>
      <c r="J537" s="52"/>
      <c r="K537" s="2"/>
      <c r="L537" s="2"/>
      <c r="M537" s="2"/>
      <c r="N537" s="2"/>
      <c r="O537" s="52"/>
      <c r="P537" s="52"/>
      <c r="Q537" s="52"/>
      <c r="R537" s="52"/>
      <c r="S537" s="52"/>
      <c r="T537" s="52"/>
      <c r="U537" s="52"/>
      <c r="V537" s="52"/>
      <c r="W537" s="52"/>
      <c r="X537" s="52"/>
      <c r="Y537" s="52"/>
      <c r="Z537" s="52"/>
      <c r="AA537" s="52"/>
      <c r="AB537" s="52"/>
      <c r="AC537" s="52"/>
    </row>
    <row r="538" spans="1:29" ht="12.75">
      <c r="A538" s="197"/>
      <c r="B538" s="2"/>
      <c r="C538" s="52"/>
      <c r="D538" s="52"/>
      <c r="E538" s="52"/>
      <c r="F538" s="2"/>
      <c r="G538" s="2"/>
      <c r="H538" s="2"/>
      <c r="I538" s="2"/>
      <c r="J538" s="52"/>
      <c r="K538" s="2"/>
      <c r="L538" s="2"/>
      <c r="M538" s="2"/>
      <c r="N538" s="2"/>
      <c r="O538" s="52"/>
      <c r="P538" s="52"/>
      <c r="Q538" s="52"/>
      <c r="R538" s="52"/>
      <c r="S538" s="52"/>
      <c r="T538" s="52"/>
      <c r="U538" s="52"/>
      <c r="V538" s="52"/>
      <c r="W538" s="52"/>
      <c r="X538" s="52"/>
      <c r="Y538" s="52"/>
      <c r="Z538" s="52"/>
      <c r="AA538" s="52"/>
      <c r="AB538" s="52"/>
      <c r="AC538" s="52"/>
    </row>
    <row r="539" spans="1:29" ht="12.75">
      <c r="A539" s="197"/>
      <c r="B539" s="2"/>
      <c r="C539" s="52"/>
      <c r="D539" s="52"/>
      <c r="E539" s="52"/>
      <c r="F539" s="2"/>
      <c r="G539" s="2"/>
      <c r="H539" s="2"/>
      <c r="I539" s="2"/>
      <c r="J539" s="52"/>
      <c r="K539" s="2"/>
      <c r="L539" s="2"/>
      <c r="M539" s="2"/>
      <c r="N539" s="2"/>
      <c r="O539" s="52"/>
      <c r="P539" s="52"/>
      <c r="Q539" s="52"/>
      <c r="R539" s="52"/>
      <c r="S539" s="52"/>
      <c r="T539" s="52"/>
      <c r="U539" s="52"/>
      <c r="V539" s="52"/>
      <c r="W539" s="52"/>
      <c r="X539" s="52"/>
      <c r="Y539" s="52"/>
      <c r="Z539" s="52"/>
      <c r="AA539" s="52"/>
      <c r="AB539" s="52"/>
      <c r="AC539" s="52"/>
    </row>
    <row r="540" spans="1:29" ht="12.75">
      <c r="A540" s="197"/>
      <c r="B540" s="2"/>
      <c r="C540" s="52"/>
      <c r="D540" s="52"/>
      <c r="E540" s="52"/>
      <c r="F540" s="2"/>
      <c r="G540" s="2"/>
      <c r="H540" s="2"/>
      <c r="I540" s="2"/>
      <c r="J540" s="52"/>
      <c r="K540" s="2"/>
      <c r="L540" s="2"/>
      <c r="M540" s="2"/>
      <c r="N540" s="2"/>
      <c r="O540" s="52"/>
      <c r="P540" s="52"/>
      <c r="Q540" s="52"/>
      <c r="R540" s="52"/>
      <c r="S540" s="52"/>
      <c r="T540" s="52"/>
      <c r="U540" s="52"/>
      <c r="V540" s="52"/>
      <c r="W540" s="52"/>
      <c r="X540" s="52"/>
      <c r="Y540" s="52"/>
      <c r="Z540" s="52"/>
      <c r="AA540" s="52"/>
      <c r="AB540" s="52"/>
      <c r="AC540" s="52"/>
    </row>
    <row r="541" spans="1:29" ht="12.75">
      <c r="A541" s="197"/>
      <c r="B541" s="2"/>
      <c r="C541" s="52"/>
      <c r="D541" s="52"/>
      <c r="E541" s="52"/>
      <c r="F541" s="2"/>
      <c r="G541" s="2"/>
      <c r="H541" s="2"/>
      <c r="I541" s="2"/>
      <c r="J541" s="52"/>
      <c r="K541" s="2"/>
      <c r="L541" s="2"/>
      <c r="M541" s="2"/>
      <c r="N541" s="2"/>
      <c r="O541" s="52"/>
      <c r="P541" s="52"/>
      <c r="Q541" s="52"/>
      <c r="R541" s="52"/>
      <c r="S541" s="52"/>
      <c r="T541" s="52"/>
      <c r="U541" s="52"/>
      <c r="V541" s="52"/>
      <c r="W541" s="52"/>
      <c r="X541" s="52"/>
      <c r="Y541" s="52"/>
      <c r="Z541" s="52"/>
      <c r="AA541" s="52"/>
      <c r="AB541" s="52"/>
      <c r="AC541" s="52"/>
    </row>
    <row r="542" spans="1:29" ht="12.75">
      <c r="A542" s="197"/>
      <c r="B542" s="2"/>
      <c r="C542" s="52"/>
      <c r="D542" s="52"/>
      <c r="E542" s="52"/>
      <c r="F542" s="2"/>
      <c r="G542" s="2"/>
      <c r="H542" s="2"/>
      <c r="I542" s="2"/>
      <c r="J542" s="52"/>
      <c r="K542" s="2"/>
      <c r="L542" s="2"/>
      <c r="M542" s="2"/>
      <c r="N542" s="2"/>
      <c r="O542" s="52"/>
      <c r="P542" s="52"/>
      <c r="Q542" s="52"/>
      <c r="R542" s="52"/>
      <c r="S542" s="52"/>
      <c r="T542" s="52"/>
      <c r="U542" s="52"/>
      <c r="V542" s="52"/>
      <c r="W542" s="52"/>
      <c r="X542" s="52"/>
      <c r="Y542" s="52"/>
      <c r="Z542" s="52"/>
      <c r="AA542" s="52"/>
      <c r="AB542" s="52"/>
      <c r="AC542" s="52"/>
    </row>
    <row r="543" spans="1:29" ht="12.75">
      <c r="A543" s="197"/>
      <c r="B543" s="2"/>
      <c r="C543" s="52"/>
      <c r="D543" s="52"/>
      <c r="E543" s="52"/>
      <c r="F543" s="2"/>
      <c r="G543" s="2"/>
      <c r="H543" s="2"/>
      <c r="I543" s="2"/>
      <c r="J543" s="52"/>
      <c r="K543" s="2"/>
      <c r="L543" s="2"/>
      <c r="M543" s="2"/>
      <c r="N543" s="2"/>
      <c r="O543" s="52"/>
      <c r="P543" s="52"/>
      <c r="Q543" s="52"/>
      <c r="R543" s="52"/>
      <c r="S543" s="52"/>
      <c r="T543" s="52"/>
      <c r="U543" s="52"/>
      <c r="V543" s="52"/>
      <c r="W543" s="52"/>
      <c r="X543" s="52"/>
      <c r="Y543" s="52"/>
      <c r="Z543" s="52"/>
      <c r="AA543" s="52"/>
      <c r="AB543" s="52"/>
      <c r="AC543" s="52"/>
    </row>
    <row r="544" spans="1:29" ht="12.75">
      <c r="A544" s="197"/>
      <c r="B544" s="2"/>
      <c r="C544" s="52"/>
      <c r="D544" s="52"/>
      <c r="E544" s="52"/>
      <c r="F544" s="2"/>
      <c r="G544" s="2"/>
      <c r="H544" s="2"/>
      <c r="I544" s="2"/>
      <c r="J544" s="52"/>
      <c r="K544" s="2"/>
      <c r="L544" s="2"/>
      <c r="M544" s="2"/>
      <c r="N544" s="2"/>
      <c r="O544" s="52"/>
      <c r="P544" s="52"/>
      <c r="Q544" s="52"/>
      <c r="R544" s="52"/>
      <c r="S544" s="52"/>
      <c r="T544" s="52"/>
      <c r="U544" s="52"/>
      <c r="V544" s="52"/>
      <c r="W544" s="52"/>
      <c r="X544" s="52"/>
      <c r="Y544" s="52"/>
      <c r="Z544" s="52"/>
      <c r="AA544" s="52"/>
      <c r="AB544" s="52"/>
      <c r="AC544" s="52"/>
    </row>
    <row r="545" spans="1:29" ht="12.75">
      <c r="A545" s="197"/>
      <c r="B545" s="2"/>
      <c r="C545" s="52"/>
      <c r="D545" s="52"/>
      <c r="E545" s="52"/>
      <c r="F545" s="2"/>
      <c r="G545" s="2"/>
      <c r="H545" s="2"/>
      <c r="I545" s="2"/>
      <c r="J545" s="52"/>
      <c r="K545" s="2"/>
      <c r="L545" s="2"/>
      <c r="M545" s="2"/>
      <c r="N545" s="2"/>
      <c r="O545" s="52"/>
      <c r="P545" s="52"/>
      <c r="Q545" s="52"/>
      <c r="R545" s="52"/>
      <c r="S545" s="52"/>
      <c r="T545" s="52"/>
      <c r="U545" s="52"/>
      <c r="V545" s="52"/>
      <c r="W545" s="52"/>
      <c r="X545" s="52"/>
      <c r="Y545" s="52"/>
      <c r="Z545" s="52"/>
      <c r="AA545" s="52"/>
      <c r="AB545" s="52"/>
      <c r="AC545" s="52"/>
    </row>
    <row r="546" spans="1:29" ht="12.75">
      <c r="A546" s="197"/>
      <c r="B546" s="2"/>
      <c r="C546" s="52"/>
      <c r="D546" s="52"/>
      <c r="E546" s="52"/>
      <c r="F546" s="2"/>
      <c r="G546" s="2"/>
      <c r="H546" s="2"/>
      <c r="I546" s="2"/>
      <c r="J546" s="52"/>
      <c r="K546" s="2"/>
      <c r="L546" s="2"/>
      <c r="M546" s="2"/>
      <c r="N546" s="2"/>
      <c r="O546" s="52"/>
      <c r="P546" s="52"/>
      <c r="Q546" s="52"/>
      <c r="R546" s="52"/>
      <c r="S546" s="52"/>
      <c r="T546" s="52"/>
      <c r="U546" s="52"/>
      <c r="V546" s="52"/>
      <c r="W546" s="52"/>
      <c r="X546" s="52"/>
      <c r="Y546" s="52"/>
      <c r="Z546" s="52"/>
      <c r="AA546" s="52"/>
      <c r="AB546" s="52"/>
      <c r="AC546" s="52"/>
    </row>
    <row r="547" spans="1:29" ht="12.75">
      <c r="A547" s="197"/>
      <c r="B547" s="2"/>
      <c r="C547" s="52"/>
      <c r="D547" s="52"/>
      <c r="E547" s="52"/>
      <c r="F547" s="2"/>
      <c r="G547" s="2"/>
      <c r="H547" s="2"/>
      <c r="I547" s="2"/>
      <c r="J547" s="52"/>
      <c r="K547" s="2"/>
      <c r="L547" s="2"/>
      <c r="M547" s="2"/>
      <c r="N547" s="2"/>
      <c r="O547" s="52"/>
      <c r="P547" s="52"/>
      <c r="Q547" s="52"/>
      <c r="R547" s="52"/>
      <c r="S547" s="52"/>
      <c r="T547" s="52"/>
      <c r="U547" s="52"/>
      <c r="V547" s="52"/>
      <c r="W547" s="52"/>
      <c r="X547" s="52"/>
      <c r="Y547" s="52"/>
      <c r="Z547" s="52"/>
      <c r="AA547" s="52"/>
      <c r="AB547" s="52"/>
      <c r="AC547" s="52"/>
    </row>
    <row r="548" spans="1:29" ht="12.75">
      <c r="A548" s="197"/>
      <c r="B548" s="2"/>
      <c r="C548" s="52"/>
      <c r="D548" s="52"/>
      <c r="E548" s="52"/>
      <c r="F548" s="2"/>
      <c r="G548" s="2"/>
      <c r="H548" s="2"/>
      <c r="I548" s="2"/>
      <c r="J548" s="52"/>
      <c r="K548" s="2"/>
      <c r="L548" s="2"/>
      <c r="M548" s="2"/>
      <c r="N548" s="2"/>
      <c r="O548" s="52"/>
      <c r="P548" s="52"/>
      <c r="Q548" s="52"/>
      <c r="R548" s="52"/>
      <c r="S548" s="52"/>
      <c r="T548" s="52"/>
      <c r="U548" s="52"/>
      <c r="V548" s="52"/>
      <c r="W548" s="52"/>
      <c r="X548" s="52"/>
      <c r="Y548" s="52"/>
      <c r="Z548" s="52"/>
      <c r="AA548" s="52"/>
      <c r="AB548" s="52"/>
      <c r="AC548" s="52"/>
    </row>
    <row r="549" spans="1:29" ht="12.75">
      <c r="A549" s="197"/>
      <c r="B549" s="2"/>
      <c r="C549" s="52"/>
      <c r="D549" s="52"/>
      <c r="E549" s="52"/>
      <c r="F549" s="2"/>
      <c r="G549" s="2"/>
      <c r="H549" s="2"/>
      <c r="I549" s="2"/>
      <c r="J549" s="52"/>
      <c r="K549" s="2"/>
      <c r="L549" s="2"/>
      <c r="M549" s="2"/>
      <c r="N549" s="2"/>
      <c r="O549" s="52"/>
      <c r="P549" s="52"/>
      <c r="Q549" s="52"/>
      <c r="R549" s="52"/>
      <c r="S549" s="52"/>
      <c r="T549" s="52"/>
      <c r="U549" s="52"/>
      <c r="V549" s="52"/>
      <c r="W549" s="52"/>
      <c r="X549" s="52"/>
      <c r="Y549" s="52"/>
      <c r="Z549" s="52"/>
      <c r="AA549" s="52"/>
      <c r="AB549" s="52"/>
      <c r="AC549" s="52"/>
    </row>
    <row r="550" spans="1:29" ht="12.75">
      <c r="A550" s="197"/>
      <c r="B550" s="2"/>
      <c r="C550" s="52"/>
      <c r="D550" s="52"/>
      <c r="E550" s="52"/>
      <c r="F550" s="2"/>
      <c r="G550" s="2"/>
      <c r="H550" s="2"/>
      <c r="I550" s="2"/>
      <c r="J550" s="52"/>
      <c r="K550" s="2"/>
      <c r="L550" s="2"/>
      <c r="M550" s="2"/>
      <c r="N550" s="2"/>
      <c r="O550" s="52"/>
      <c r="P550" s="52"/>
      <c r="Q550" s="52"/>
      <c r="R550" s="52"/>
      <c r="S550" s="52"/>
      <c r="T550" s="52"/>
      <c r="U550" s="52"/>
      <c r="V550" s="52"/>
      <c r="W550" s="52"/>
      <c r="X550" s="52"/>
      <c r="Y550" s="52"/>
      <c r="Z550" s="52"/>
      <c r="AA550" s="52"/>
      <c r="AB550" s="52"/>
      <c r="AC550" s="52"/>
    </row>
    <row r="551" spans="1:29" ht="12.75">
      <c r="A551" s="197"/>
      <c r="B551" s="2"/>
      <c r="C551" s="52"/>
      <c r="D551" s="52"/>
      <c r="E551" s="52"/>
      <c r="F551" s="2"/>
      <c r="G551" s="2"/>
      <c r="H551" s="2"/>
      <c r="I551" s="2"/>
      <c r="J551" s="52"/>
      <c r="K551" s="2"/>
      <c r="L551" s="2"/>
      <c r="M551" s="2"/>
      <c r="N551" s="2"/>
      <c r="O551" s="52"/>
      <c r="P551" s="52"/>
      <c r="Q551" s="52"/>
      <c r="R551" s="52"/>
      <c r="S551" s="52"/>
      <c r="T551" s="52"/>
      <c r="U551" s="52"/>
      <c r="V551" s="52"/>
      <c r="W551" s="52"/>
      <c r="X551" s="52"/>
      <c r="Y551" s="52"/>
      <c r="Z551" s="52"/>
      <c r="AA551" s="52"/>
      <c r="AB551" s="52"/>
      <c r="AC551" s="52"/>
    </row>
    <row r="552" spans="1:29" ht="12.75">
      <c r="A552" s="197"/>
      <c r="B552" s="2"/>
      <c r="C552" s="52"/>
      <c r="D552" s="52"/>
      <c r="E552" s="52"/>
      <c r="F552" s="2"/>
      <c r="G552" s="2"/>
      <c r="H552" s="2"/>
      <c r="I552" s="2"/>
      <c r="J552" s="52"/>
      <c r="K552" s="2"/>
      <c r="L552" s="2"/>
      <c r="M552" s="2"/>
      <c r="N552" s="2"/>
      <c r="O552" s="52"/>
      <c r="P552" s="52"/>
      <c r="Q552" s="52"/>
      <c r="R552" s="52"/>
      <c r="S552" s="52"/>
      <c r="T552" s="52"/>
      <c r="U552" s="52"/>
      <c r="V552" s="52"/>
      <c r="W552" s="52"/>
      <c r="X552" s="52"/>
      <c r="Y552" s="52"/>
      <c r="Z552" s="52"/>
      <c r="AA552" s="52"/>
      <c r="AB552" s="52"/>
      <c r="AC552" s="52"/>
    </row>
    <row r="553" spans="1:29" ht="12.75">
      <c r="A553" s="197"/>
      <c r="B553" s="2"/>
      <c r="C553" s="52"/>
      <c r="D553" s="52"/>
      <c r="E553" s="52"/>
      <c r="F553" s="2"/>
      <c r="G553" s="2"/>
      <c r="H553" s="2"/>
      <c r="I553" s="2"/>
      <c r="J553" s="52"/>
      <c r="K553" s="2"/>
      <c r="L553" s="2"/>
      <c r="M553" s="2"/>
      <c r="N553" s="2"/>
      <c r="O553" s="52"/>
      <c r="P553" s="52"/>
      <c r="Q553" s="52"/>
      <c r="R553" s="52"/>
      <c r="S553" s="52"/>
      <c r="T553" s="52"/>
      <c r="U553" s="52"/>
      <c r="V553" s="52"/>
      <c r="W553" s="52"/>
      <c r="X553" s="52"/>
      <c r="Y553" s="52"/>
      <c r="Z553" s="52"/>
      <c r="AA553" s="52"/>
      <c r="AB553" s="52"/>
      <c r="AC553" s="52"/>
    </row>
    <row r="554" spans="1:29" ht="12.75">
      <c r="A554" s="197"/>
      <c r="B554" s="2"/>
      <c r="C554" s="52"/>
      <c r="D554" s="52"/>
      <c r="E554" s="52"/>
      <c r="F554" s="2"/>
      <c r="G554" s="2"/>
      <c r="H554" s="2"/>
      <c r="I554" s="2"/>
      <c r="J554" s="52"/>
      <c r="K554" s="2"/>
      <c r="L554" s="2"/>
      <c r="M554" s="2"/>
      <c r="N554" s="2"/>
      <c r="O554" s="52"/>
      <c r="P554" s="52"/>
      <c r="Q554" s="52"/>
      <c r="R554" s="52"/>
      <c r="S554" s="52"/>
      <c r="T554" s="52"/>
      <c r="U554" s="52"/>
      <c r="V554" s="52"/>
      <c r="W554" s="52"/>
      <c r="X554" s="52"/>
      <c r="Y554" s="52"/>
      <c r="Z554" s="52"/>
      <c r="AA554" s="52"/>
      <c r="AB554" s="52"/>
      <c r="AC554" s="52"/>
    </row>
    <row r="555" spans="1:29" ht="12.75">
      <c r="A555" s="197"/>
      <c r="B555" s="2"/>
      <c r="C555" s="52"/>
      <c r="D555" s="52"/>
      <c r="E555" s="52"/>
      <c r="F555" s="2"/>
      <c r="G555" s="2"/>
      <c r="H555" s="2"/>
      <c r="I555" s="2"/>
      <c r="J555" s="52"/>
      <c r="K555" s="2"/>
      <c r="L555" s="2"/>
      <c r="M555" s="2"/>
      <c r="N555" s="2"/>
      <c r="O555" s="52"/>
      <c r="P555" s="52"/>
      <c r="Q555" s="52"/>
      <c r="R555" s="52"/>
      <c r="S555" s="52"/>
      <c r="T555" s="52"/>
      <c r="U555" s="52"/>
      <c r="V555" s="52"/>
      <c r="W555" s="52"/>
      <c r="X555" s="52"/>
      <c r="Y555" s="52"/>
      <c r="Z555" s="52"/>
      <c r="AA555" s="52"/>
      <c r="AB555" s="52"/>
      <c r="AC555" s="52"/>
    </row>
    <row r="556" spans="1:29" ht="12.75">
      <c r="A556" s="197"/>
      <c r="B556" s="2"/>
      <c r="C556" s="52"/>
      <c r="D556" s="52"/>
      <c r="E556" s="52"/>
      <c r="F556" s="2"/>
      <c r="G556" s="2"/>
      <c r="H556" s="2"/>
      <c r="I556" s="2"/>
      <c r="J556" s="52"/>
      <c r="K556" s="2"/>
      <c r="L556" s="2"/>
      <c r="M556" s="2"/>
      <c r="N556" s="2"/>
      <c r="O556" s="52"/>
      <c r="P556" s="52"/>
      <c r="Q556" s="52"/>
      <c r="R556" s="52"/>
      <c r="S556" s="52"/>
      <c r="T556" s="52"/>
      <c r="U556" s="52"/>
      <c r="V556" s="52"/>
      <c r="W556" s="52"/>
      <c r="X556" s="52"/>
      <c r="Y556" s="52"/>
      <c r="Z556" s="52"/>
      <c r="AA556" s="52"/>
      <c r="AB556" s="52"/>
      <c r="AC556" s="52"/>
    </row>
    <row r="557" spans="1:29" ht="12.75">
      <c r="A557" s="197"/>
      <c r="B557" s="2"/>
      <c r="C557" s="52"/>
      <c r="D557" s="52"/>
      <c r="E557" s="52"/>
      <c r="F557" s="2"/>
      <c r="G557" s="2"/>
      <c r="H557" s="2"/>
      <c r="I557" s="2"/>
      <c r="J557" s="52"/>
      <c r="K557" s="2"/>
      <c r="L557" s="2"/>
      <c r="M557" s="2"/>
      <c r="N557" s="2"/>
      <c r="O557" s="52"/>
      <c r="P557" s="52"/>
      <c r="Q557" s="52"/>
      <c r="R557" s="52"/>
      <c r="S557" s="52"/>
      <c r="T557" s="52"/>
      <c r="U557" s="52"/>
      <c r="V557" s="52"/>
      <c r="W557" s="52"/>
      <c r="X557" s="52"/>
      <c r="Y557" s="52"/>
      <c r="Z557" s="52"/>
      <c r="AA557" s="52"/>
      <c r="AB557" s="52"/>
      <c r="AC557" s="52"/>
    </row>
    <row r="558" spans="1:29" ht="12.75">
      <c r="A558" s="197"/>
      <c r="B558" s="2"/>
      <c r="C558" s="52"/>
      <c r="D558" s="52"/>
      <c r="E558" s="52"/>
      <c r="F558" s="2"/>
      <c r="G558" s="2"/>
      <c r="H558" s="2"/>
      <c r="I558" s="2"/>
      <c r="J558" s="52"/>
      <c r="K558" s="2"/>
      <c r="L558" s="2"/>
      <c r="M558" s="2"/>
      <c r="N558" s="2"/>
      <c r="O558" s="52"/>
      <c r="P558" s="52"/>
      <c r="Q558" s="52"/>
      <c r="R558" s="52"/>
      <c r="S558" s="52"/>
      <c r="T558" s="52"/>
      <c r="U558" s="52"/>
      <c r="V558" s="52"/>
      <c r="W558" s="52"/>
      <c r="X558" s="52"/>
      <c r="Y558" s="52"/>
      <c r="Z558" s="52"/>
      <c r="AA558" s="52"/>
      <c r="AB558" s="52"/>
      <c r="AC558" s="52"/>
    </row>
    <row r="559" spans="1:29" ht="12.75">
      <c r="A559" s="197"/>
      <c r="B559" s="2"/>
      <c r="C559" s="52"/>
      <c r="D559" s="52"/>
      <c r="E559" s="52"/>
      <c r="F559" s="2"/>
      <c r="G559" s="2"/>
      <c r="H559" s="2"/>
      <c r="I559" s="2"/>
      <c r="J559" s="52"/>
      <c r="K559" s="2"/>
      <c r="L559" s="2"/>
      <c r="M559" s="2"/>
      <c r="N559" s="2"/>
      <c r="O559" s="52"/>
      <c r="P559" s="52"/>
      <c r="Q559" s="52"/>
      <c r="R559" s="52"/>
      <c r="S559" s="52"/>
      <c r="T559" s="52"/>
      <c r="U559" s="52"/>
      <c r="V559" s="52"/>
      <c r="W559" s="52"/>
      <c r="X559" s="52"/>
      <c r="Y559" s="52"/>
      <c r="Z559" s="52"/>
      <c r="AA559" s="52"/>
      <c r="AB559" s="52"/>
      <c r="AC559" s="52"/>
    </row>
    <row r="560" spans="1:29" ht="12.75">
      <c r="A560" s="197"/>
      <c r="B560" s="2"/>
      <c r="C560" s="52"/>
      <c r="D560" s="52"/>
      <c r="E560" s="52"/>
      <c r="F560" s="2"/>
      <c r="G560" s="2"/>
      <c r="H560" s="2"/>
      <c r="I560" s="2"/>
      <c r="J560" s="52"/>
      <c r="K560" s="2"/>
      <c r="L560" s="2"/>
      <c r="M560" s="2"/>
      <c r="N560" s="2"/>
      <c r="O560" s="52"/>
      <c r="P560" s="52"/>
      <c r="Q560" s="52"/>
      <c r="R560" s="52"/>
      <c r="S560" s="52"/>
      <c r="T560" s="52"/>
      <c r="U560" s="52"/>
      <c r="V560" s="52"/>
      <c r="W560" s="52"/>
      <c r="X560" s="52"/>
      <c r="Y560" s="52"/>
      <c r="Z560" s="52"/>
      <c r="AA560" s="52"/>
      <c r="AB560" s="52"/>
      <c r="AC560" s="52"/>
    </row>
    <row r="561" spans="1:29" ht="12.75">
      <c r="A561" s="197"/>
      <c r="B561" s="2"/>
      <c r="C561" s="52"/>
      <c r="D561" s="52"/>
      <c r="E561" s="52"/>
      <c r="F561" s="2"/>
      <c r="G561" s="2"/>
      <c r="H561" s="2"/>
      <c r="I561" s="2"/>
      <c r="J561" s="52"/>
      <c r="K561" s="2"/>
      <c r="L561" s="2"/>
      <c r="M561" s="2"/>
      <c r="N561" s="2"/>
      <c r="O561" s="52"/>
      <c r="P561" s="52"/>
      <c r="Q561" s="52"/>
      <c r="R561" s="52"/>
      <c r="S561" s="52"/>
      <c r="T561" s="52"/>
      <c r="U561" s="52"/>
      <c r="V561" s="52"/>
      <c r="W561" s="52"/>
      <c r="X561" s="52"/>
      <c r="Y561" s="52"/>
      <c r="Z561" s="52"/>
      <c r="AA561" s="52"/>
      <c r="AB561" s="52"/>
      <c r="AC561" s="52"/>
    </row>
    <row r="562" spans="1:29" ht="12.75">
      <c r="A562" s="197"/>
      <c r="B562" s="2"/>
      <c r="C562" s="52"/>
      <c r="D562" s="52"/>
      <c r="E562" s="52"/>
      <c r="F562" s="2"/>
      <c r="G562" s="2"/>
      <c r="H562" s="2"/>
      <c r="I562" s="2"/>
      <c r="J562" s="52"/>
      <c r="K562" s="2"/>
      <c r="L562" s="2"/>
      <c r="M562" s="2"/>
      <c r="N562" s="2"/>
      <c r="O562" s="52"/>
      <c r="P562" s="52"/>
      <c r="Q562" s="52"/>
      <c r="R562" s="52"/>
      <c r="S562" s="52"/>
      <c r="T562" s="52"/>
      <c r="U562" s="52"/>
      <c r="V562" s="52"/>
      <c r="W562" s="52"/>
      <c r="X562" s="52"/>
      <c r="Y562" s="52"/>
      <c r="Z562" s="52"/>
      <c r="AA562" s="52"/>
      <c r="AB562" s="52"/>
      <c r="AC562" s="52"/>
    </row>
    <row r="563" spans="1:29" ht="12.75">
      <c r="A563" s="197"/>
      <c r="B563" s="2"/>
      <c r="C563" s="52"/>
      <c r="D563" s="52"/>
      <c r="E563" s="52"/>
      <c r="F563" s="2"/>
      <c r="G563" s="2"/>
      <c r="H563" s="2"/>
      <c r="I563" s="2"/>
      <c r="J563" s="52"/>
      <c r="K563" s="2"/>
      <c r="L563" s="2"/>
      <c r="M563" s="2"/>
      <c r="N563" s="2"/>
      <c r="O563" s="52"/>
      <c r="P563" s="52"/>
      <c r="Q563" s="52"/>
      <c r="R563" s="52"/>
      <c r="S563" s="52"/>
      <c r="T563" s="52"/>
      <c r="U563" s="52"/>
      <c r="V563" s="52"/>
      <c r="W563" s="52"/>
      <c r="X563" s="52"/>
      <c r="Y563" s="52"/>
      <c r="Z563" s="52"/>
      <c r="AA563" s="52"/>
      <c r="AB563" s="52"/>
      <c r="AC563" s="52"/>
    </row>
    <row r="564" spans="1:29" ht="12.75">
      <c r="A564" s="197"/>
      <c r="B564" s="2"/>
      <c r="C564" s="52"/>
      <c r="D564" s="52"/>
      <c r="E564" s="52"/>
      <c r="F564" s="2"/>
      <c r="G564" s="2"/>
      <c r="H564" s="2"/>
      <c r="I564" s="2"/>
      <c r="J564" s="52"/>
      <c r="K564" s="2"/>
      <c r="L564" s="2"/>
      <c r="M564" s="2"/>
      <c r="N564" s="2"/>
      <c r="O564" s="52"/>
      <c r="P564" s="52"/>
      <c r="Q564" s="52"/>
      <c r="R564" s="52"/>
      <c r="S564" s="52"/>
      <c r="T564" s="52"/>
      <c r="U564" s="52"/>
      <c r="V564" s="52"/>
      <c r="W564" s="52"/>
      <c r="X564" s="52"/>
      <c r="Y564" s="52"/>
      <c r="Z564" s="52"/>
      <c r="AA564" s="52"/>
      <c r="AB564" s="52"/>
      <c r="AC564" s="52"/>
    </row>
    <row r="565" spans="1:29" ht="12.75">
      <c r="A565" s="197"/>
      <c r="B565" s="2"/>
      <c r="C565" s="52"/>
      <c r="D565" s="52"/>
      <c r="E565" s="52"/>
      <c r="F565" s="2"/>
      <c r="G565" s="2"/>
      <c r="H565" s="2"/>
      <c r="I565" s="2"/>
      <c r="J565" s="52"/>
      <c r="K565" s="2"/>
      <c r="L565" s="2"/>
      <c r="M565" s="2"/>
      <c r="N565" s="2"/>
      <c r="O565" s="52"/>
      <c r="P565" s="52"/>
      <c r="Q565" s="52"/>
      <c r="R565" s="52"/>
      <c r="S565" s="52"/>
      <c r="T565" s="52"/>
      <c r="U565" s="52"/>
      <c r="V565" s="52"/>
      <c r="W565" s="52"/>
      <c r="X565" s="52"/>
      <c r="Y565" s="52"/>
      <c r="Z565" s="52"/>
      <c r="AA565" s="52"/>
      <c r="AB565" s="52"/>
      <c r="AC565" s="52"/>
    </row>
    <row r="566" spans="1:29" ht="12.75">
      <c r="A566" s="197"/>
      <c r="B566" s="2"/>
      <c r="C566" s="52"/>
      <c r="D566" s="52"/>
      <c r="E566" s="52"/>
      <c r="F566" s="2"/>
      <c r="G566" s="2"/>
      <c r="H566" s="2"/>
      <c r="I566" s="2"/>
      <c r="J566" s="52"/>
      <c r="K566" s="2"/>
      <c r="L566" s="2"/>
      <c r="M566" s="2"/>
      <c r="N566" s="2"/>
      <c r="O566" s="52"/>
      <c r="P566" s="52"/>
      <c r="Q566" s="52"/>
      <c r="R566" s="52"/>
      <c r="S566" s="52"/>
      <c r="T566" s="52"/>
      <c r="U566" s="52"/>
      <c r="V566" s="52"/>
      <c r="W566" s="52"/>
      <c r="X566" s="52"/>
      <c r="Y566" s="52"/>
      <c r="Z566" s="52"/>
      <c r="AA566" s="52"/>
      <c r="AB566" s="52"/>
      <c r="AC566" s="52"/>
    </row>
    <row r="567" spans="1:29" ht="12.75">
      <c r="A567" s="197"/>
      <c r="B567" s="2"/>
      <c r="C567" s="52"/>
      <c r="D567" s="52"/>
      <c r="E567" s="52"/>
      <c r="F567" s="2"/>
      <c r="G567" s="2"/>
      <c r="H567" s="2"/>
      <c r="I567" s="2"/>
      <c r="J567" s="52"/>
      <c r="K567" s="2"/>
      <c r="L567" s="2"/>
      <c r="M567" s="2"/>
      <c r="N567" s="2"/>
      <c r="O567" s="52"/>
      <c r="P567" s="52"/>
      <c r="Q567" s="52"/>
      <c r="R567" s="52"/>
      <c r="S567" s="52"/>
      <c r="T567" s="52"/>
      <c r="U567" s="52"/>
      <c r="V567" s="52"/>
      <c r="W567" s="52"/>
      <c r="X567" s="52"/>
      <c r="Y567" s="52"/>
      <c r="Z567" s="52"/>
      <c r="AA567" s="52"/>
      <c r="AB567" s="52"/>
      <c r="AC567" s="52"/>
    </row>
    <row r="568" spans="1:29" ht="12.75">
      <c r="A568" s="197"/>
      <c r="B568" s="2"/>
      <c r="C568" s="52"/>
      <c r="D568" s="52"/>
      <c r="E568" s="52"/>
      <c r="F568" s="2"/>
      <c r="G568" s="2"/>
      <c r="H568" s="2"/>
      <c r="I568" s="2"/>
      <c r="J568" s="52"/>
      <c r="K568" s="2"/>
      <c r="L568" s="2"/>
      <c r="M568" s="2"/>
      <c r="N568" s="2"/>
      <c r="O568" s="52"/>
      <c r="P568" s="52"/>
      <c r="Q568" s="52"/>
      <c r="R568" s="52"/>
      <c r="S568" s="52"/>
      <c r="T568" s="52"/>
      <c r="U568" s="52"/>
      <c r="V568" s="52"/>
      <c r="W568" s="52"/>
      <c r="X568" s="52"/>
      <c r="Y568" s="52"/>
      <c r="Z568" s="52"/>
      <c r="AA568" s="52"/>
      <c r="AB568" s="52"/>
      <c r="AC568" s="52"/>
    </row>
    <row r="569" spans="1:29" ht="12.75">
      <c r="A569" s="197"/>
      <c r="B569" s="2"/>
      <c r="C569" s="52"/>
      <c r="D569" s="52"/>
      <c r="E569" s="52"/>
      <c r="F569" s="2"/>
      <c r="G569" s="2"/>
      <c r="H569" s="2"/>
      <c r="I569" s="2"/>
      <c r="J569" s="52"/>
      <c r="K569" s="2"/>
      <c r="L569" s="2"/>
      <c r="M569" s="2"/>
      <c r="N569" s="2"/>
      <c r="O569" s="52"/>
      <c r="P569" s="52"/>
      <c r="Q569" s="52"/>
      <c r="R569" s="52"/>
      <c r="S569" s="52"/>
      <c r="T569" s="52"/>
      <c r="U569" s="52"/>
      <c r="V569" s="52"/>
      <c r="W569" s="52"/>
      <c r="X569" s="52"/>
      <c r="Y569" s="52"/>
      <c r="Z569" s="52"/>
      <c r="AA569" s="52"/>
      <c r="AB569" s="52"/>
      <c r="AC569" s="52"/>
    </row>
    <row r="570" spans="1:29" ht="12.75">
      <c r="A570" s="197"/>
      <c r="B570" s="2"/>
      <c r="C570" s="52"/>
      <c r="D570" s="52"/>
      <c r="E570" s="52"/>
      <c r="F570" s="2"/>
      <c r="G570" s="2"/>
      <c r="H570" s="2"/>
      <c r="I570" s="2"/>
      <c r="J570" s="52"/>
      <c r="K570" s="2"/>
      <c r="L570" s="2"/>
      <c r="M570" s="2"/>
      <c r="N570" s="2"/>
      <c r="O570" s="52"/>
      <c r="P570" s="52"/>
      <c r="Q570" s="52"/>
      <c r="R570" s="52"/>
      <c r="S570" s="52"/>
      <c r="T570" s="52"/>
      <c r="U570" s="52"/>
      <c r="V570" s="52"/>
      <c r="W570" s="52"/>
      <c r="X570" s="52"/>
      <c r="Y570" s="52"/>
      <c r="Z570" s="52"/>
      <c r="AA570" s="52"/>
      <c r="AB570" s="52"/>
      <c r="AC570" s="52"/>
    </row>
    <row r="571" spans="1:29" ht="12.75">
      <c r="A571" s="197"/>
      <c r="B571" s="2"/>
      <c r="C571" s="52"/>
      <c r="D571" s="52"/>
      <c r="E571" s="52"/>
      <c r="F571" s="2"/>
      <c r="G571" s="2"/>
      <c r="H571" s="2"/>
      <c r="I571" s="2"/>
      <c r="J571" s="52"/>
      <c r="K571" s="2"/>
      <c r="L571" s="2"/>
      <c r="M571" s="2"/>
      <c r="N571" s="2"/>
      <c r="O571" s="52"/>
      <c r="P571" s="52"/>
      <c r="Q571" s="52"/>
      <c r="R571" s="52"/>
      <c r="S571" s="52"/>
      <c r="T571" s="52"/>
      <c r="U571" s="52"/>
      <c r="V571" s="52"/>
      <c r="W571" s="52"/>
      <c r="X571" s="52"/>
      <c r="Y571" s="52"/>
      <c r="Z571" s="52"/>
      <c r="AA571" s="52"/>
      <c r="AB571" s="52"/>
      <c r="AC571" s="52"/>
    </row>
    <row r="572" spans="1:29" ht="12.75">
      <c r="A572" s="197"/>
      <c r="B572" s="2"/>
      <c r="C572" s="52"/>
      <c r="D572" s="52"/>
      <c r="E572" s="52"/>
      <c r="F572" s="2"/>
      <c r="G572" s="2"/>
      <c r="H572" s="2"/>
      <c r="I572" s="2"/>
      <c r="J572" s="52"/>
      <c r="K572" s="2"/>
      <c r="L572" s="2"/>
      <c r="M572" s="2"/>
      <c r="N572" s="2"/>
      <c r="O572" s="52"/>
      <c r="P572" s="52"/>
      <c r="Q572" s="52"/>
      <c r="R572" s="52"/>
      <c r="S572" s="52"/>
      <c r="T572" s="52"/>
      <c r="U572" s="52"/>
      <c r="V572" s="52"/>
      <c r="W572" s="52"/>
      <c r="X572" s="52"/>
      <c r="Y572" s="52"/>
      <c r="Z572" s="52"/>
      <c r="AA572" s="52"/>
      <c r="AB572" s="52"/>
      <c r="AC572" s="52"/>
    </row>
    <row r="573" spans="1:29" ht="12.75">
      <c r="A573" s="197"/>
      <c r="B573" s="2"/>
      <c r="C573" s="52"/>
      <c r="D573" s="52"/>
      <c r="E573" s="52"/>
      <c r="F573" s="2"/>
      <c r="G573" s="2"/>
      <c r="H573" s="2"/>
      <c r="I573" s="2"/>
      <c r="J573" s="52"/>
      <c r="K573" s="2"/>
      <c r="L573" s="2"/>
      <c r="M573" s="2"/>
      <c r="N573" s="2"/>
      <c r="O573" s="52"/>
      <c r="P573" s="52"/>
      <c r="Q573" s="52"/>
      <c r="R573" s="52"/>
      <c r="S573" s="52"/>
      <c r="T573" s="52"/>
      <c r="U573" s="52"/>
      <c r="V573" s="52"/>
      <c r="W573" s="52"/>
      <c r="X573" s="52"/>
      <c r="Y573" s="52"/>
      <c r="Z573" s="52"/>
      <c r="AA573" s="52"/>
      <c r="AB573" s="52"/>
      <c r="AC573" s="52"/>
    </row>
    <row r="574" spans="1:29" ht="12.75">
      <c r="A574" s="197"/>
      <c r="B574" s="2"/>
      <c r="C574" s="52"/>
      <c r="D574" s="52"/>
      <c r="E574" s="52"/>
      <c r="F574" s="2"/>
      <c r="G574" s="2"/>
      <c r="H574" s="2"/>
      <c r="I574" s="2"/>
      <c r="J574" s="52"/>
      <c r="K574" s="2"/>
      <c r="L574" s="2"/>
      <c r="M574" s="2"/>
      <c r="N574" s="2"/>
      <c r="O574" s="52"/>
      <c r="P574" s="52"/>
      <c r="Q574" s="52"/>
      <c r="R574" s="52"/>
      <c r="S574" s="52"/>
      <c r="T574" s="52"/>
      <c r="U574" s="52"/>
      <c r="V574" s="52"/>
      <c r="W574" s="52"/>
      <c r="X574" s="52"/>
      <c r="Y574" s="52"/>
      <c r="Z574" s="52"/>
      <c r="AA574" s="52"/>
      <c r="AB574" s="52"/>
      <c r="AC574" s="52"/>
    </row>
    <row r="575" spans="1:29" ht="12.75">
      <c r="A575" s="197"/>
      <c r="B575" s="2"/>
      <c r="C575" s="52"/>
      <c r="D575" s="52"/>
      <c r="E575" s="52"/>
      <c r="F575" s="2"/>
      <c r="G575" s="2"/>
      <c r="H575" s="2"/>
      <c r="I575" s="2"/>
      <c r="J575" s="52"/>
      <c r="K575" s="2"/>
      <c r="L575" s="2"/>
      <c r="M575" s="2"/>
      <c r="N575" s="2"/>
      <c r="O575" s="52"/>
      <c r="P575" s="52"/>
      <c r="Q575" s="52"/>
      <c r="R575" s="52"/>
      <c r="S575" s="52"/>
      <c r="T575" s="52"/>
      <c r="U575" s="52"/>
      <c r="V575" s="52"/>
      <c r="W575" s="52"/>
      <c r="X575" s="52"/>
      <c r="Y575" s="52"/>
      <c r="Z575" s="52"/>
      <c r="AA575" s="52"/>
      <c r="AB575" s="52"/>
      <c r="AC575" s="52"/>
    </row>
    <row r="576" spans="1:29" ht="12.75">
      <c r="A576" s="197"/>
      <c r="B576" s="2"/>
      <c r="C576" s="52"/>
      <c r="D576" s="52"/>
      <c r="E576" s="52"/>
      <c r="F576" s="2"/>
      <c r="G576" s="2"/>
      <c r="H576" s="2"/>
      <c r="I576" s="2"/>
      <c r="J576" s="52"/>
      <c r="K576" s="2"/>
      <c r="L576" s="2"/>
      <c r="M576" s="2"/>
      <c r="N576" s="2"/>
      <c r="O576" s="52"/>
      <c r="P576" s="52"/>
      <c r="Q576" s="52"/>
      <c r="R576" s="52"/>
      <c r="S576" s="52"/>
      <c r="T576" s="52"/>
      <c r="U576" s="52"/>
      <c r="V576" s="52"/>
      <c r="W576" s="52"/>
      <c r="X576" s="52"/>
      <c r="Y576" s="52"/>
      <c r="Z576" s="52"/>
      <c r="AA576" s="52"/>
      <c r="AB576" s="52"/>
      <c r="AC576" s="52"/>
    </row>
    <row r="577" spans="1:29" ht="12.75">
      <c r="A577" s="197"/>
      <c r="B577" s="2"/>
      <c r="C577" s="52"/>
      <c r="D577" s="52"/>
      <c r="E577" s="52"/>
      <c r="F577" s="2"/>
      <c r="G577" s="2"/>
      <c r="H577" s="2"/>
      <c r="I577" s="2"/>
      <c r="J577" s="52"/>
      <c r="K577" s="2"/>
      <c r="L577" s="2"/>
      <c r="M577" s="2"/>
      <c r="N577" s="2"/>
      <c r="O577" s="52"/>
      <c r="P577" s="52"/>
      <c r="Q577" s="52"/>
      <c r="R577" s="52"/>
      <c r="S577" s="52"/>
      <c r="T577" s="52"/>
      <c r="U577" s="52"/>
      <c r="V577" s="52"/>
      <c r="W577" s="52"/>
      <c r="X577" s="52"/>
      <c r="Y577" s="52"/>
      <c r="Z577" s="52"/>
      <c r="AA577" s="52"/>
      <c r="AB577" s="52"/>
      <c r="AC577" s="52"/>
    </row>
    <row r="578" spans="1:29" ht="12.75">
      <c r="A578" s="197"/>
      <c r="B578" s="2"/>
      <c r="C578" s="52"/>
      <c r="D578" s="52"/>
      <c r="E578" s="52"/>
      <c r="F578" s="2"/>
      <c r="G578" s="2"/>
      <c r="H578" s="2"/>
      <c r="I578" s="2"/>
      <c r="J578" s="52"/>
      <c r="K578" s="2"/>
      <c r="L578" s="2"/>
      <c r="M578" s="2"/>
      <c r="N578" s="2"/>
      <c r="O578" s="52"/>
      <c r="P578" s="52"/>
      <c r="Q578" s="52"/>
      <c r="R578" s="52"/>
      <c r="S578" s="52"/>
      <c r="T578" s="52"/>
      <c r="U578" s="52"/>
      <c r="V578" s="52"/>
      <c r="W578" s="52"/>
      <c r="X578" s="52"/>
      <c r="Y578" s="52"/>
      <c r="Z578" s="52"/>
      <c r="AA578" s="52"/>
      <c r="AB578" s="52"/>
      <c r="AC578" s="52"/>
    </row>
    <row r="579" spans="1:29" ht="12.75">
      <c r="A579" s="197"/>
      <c r="B579" s="2"/>
      <c r="C579" s="52"/>
      <c r="D579" s="52"/>
      <c r="E579" s="52"/>
      <c r="F579" s="2"/>
      <c r="G579" s="2"/>
      <c r="H579" s="2"/>
      <c r="I579" s="2"/>
      <c r="J579" s="52"/>
      <c r="K579" s="2"/>
      <c r="L579" s="2"/>
      <c r="M579" s="2"/>
      <c r="N579" s="2"/>
      <c r="O579" s="52"/>
      <c r="P579" s="52"/>
      <c r="Q579" s="52"/>
      <c r="R579" s="52"/>
      <c r="S579" s="52"/>
      <c r="T579" s="52"/>
      <c r="U579" s="52"/>
      <c r="V579" s="52"/>
      <c r="W579" s="52"/>
      <c r="X579" s="52"/>
      <c r="Y579" s="52"/>
      <c r="Z579" s="52"/>
      <c r="AA579" s="52"/>
      <c r="AB579" s="52"/>
      <c r="AC579" s="52"/>
    </row>
    <row r="580" spans="1:29" ht="12.75">
      <c r="A580" s="197"/>
      <c r="B580" s="2"/>
      <c r="C580" s="52"/>
      <c r="D580" s="52"/>
      <c r="E580" s="52"/>
      <c r="F580" s="2"/>
      <c r="G580" s="2"/>
      <c r="H580" s="2"/>
      <c r="I580" s="2"/>
      <c r="J580" s="52"/>
      <c r="K580" s="2"/>
      <c r="L580" s="2"/>
      <c r="M580" s="2"/>
      <c r="N580" s="2"/>
      <c r="O580" s="52"/>
      <c r="P580" s="52"/>
      <c r="Q580" s="52"/>
      <c r="R580" s="52"/>
      <c r="S580" s="52"/>
      <c r="T580" s="52"/>
      <c r="U580" s="52"/>
      <c r="V580" s="52"/>
      <c r="W580" s="52"/>
      <c r="X580" s="52"/>
      <c r="Y580" s="52"/>
      <c r="Z580" s="52"/>
      <c r="AA580" s="52"/>
      <c r="AB580" s="52"/>
      <c r="AC580" s="52"/>
    </row>
    <row r="581" spans="1:29" ht="12.75">
      <c r="A581" s="197"/>
      <c r="B581" s="2"/>
      <c r="C581" s="52"/>
      <c r="D581" s="52"/>
      <c r="E581" s="52"/>
      <c r="F581" s="2"/>
      <c r="G581" s="2"/>
      <c r="H581" s="2"/>
      <c r="I581" s="2"/>
      <c r="J581" s="52"/>
      <c r="K581" s="2"/>
      <c r="L581" s="2"/>
      <c r="M581" s="2"/>
      <c r="N581" s="2"/>
      <c r="O581" s="52"/>
      <c r="P581" s="52"/>
      <c r="Q581" s="52"/>
      <c r="R581" s="52"/>
      <c r="S581" s="52"/>
      <c r="T581" s="52"/>
      <c r="U581" s="52"/>
      <c r="V581" s="52"/>
      <c r="W581" s="52"/>
      <c r="X581" s="52"/>
      <c r="Y581" s="52"/>
      <c r="Z581" s="52"/>
      <c r="AA581" s="52"/>
      <c r="AB581" s="52"/>
      <c r="AC581" s="52"/>
    </row>
    <row r="582" spans="1:29" ht="12.75">
      <c r="A582" s="197"/>
      <c r="B582" s="2"/>
      <c r="C582" s="52"/>
      <c r="D582" s="52"/>
      <c r="E582" s="52"/>
      <c r="F582" s="2"/>
      <c r="G582" s="2"/>
      <c r="H582" s="2"/>
      <c r="I582" s="2"/>
      <c r="J582" s="52"/>
      <c r="K582" s="2"/>
      <c r="L582" s="2"/>
      <c r="M582" s="2"/>
      <c r="N582" s="2"/>
      <c r="O582" s="52"/>
      <c r="P582" s="52"/>
      <c r="Q582" s="52"/>
      <c r="R582" s="52"/>
      <c r="S582" s="52"/>
      <c r="T582" s="52"/>
      <c r="U582" s="52"/>
      <c r="V582" s="52"/>
      <c r="W582" s="52"/>
      <c r="X582" s="52"/>
      <c r="Y582" s="52"/>
      <c r="Z582" s="52"/>
      <c r="AA582" s="52"/>
      <c r="AB582" s="52"/>
      <c r="AC582" s="52"/>
    </row>
    <row r="583" spans="1:29" ht="12.75">
      <c r="A583" s="197"/>
      <c r="B583" s="2"/>
      <c r="C583" s="52"/>
      <c r="D583" s="52"/>
      <c r="E583" s="52"/>
      <c r="F583" s="2"/>
      <c r="G583" s="2"/>
      <c r="H583" s="2"/>
      <c r="I583" s="2"/>
      <c r="J583" s="52"/>
      <c r="K583" s="2"/>
      <c r="L583" s="2"/>
      <c r="M583" s="2"/>
      <c r="N583" s="2"/>
      <c r="O583" s="52"/>
      <c r="P583" s="52"/>
      <c r="Q583" s="52"/>
      <c r="R583" s="52"/>
      <c r="S583" s="52"/>
      <c r="T583" s="52"/>
      <c r="U583" s="52"/>
      <c r="V583" s="52"/>
      <c r="W583" s="52"/>
      <c r="X583" s="52"/>
      <c r="Y583" s="52"/>
      <c r="Z583" s="52"/>
      <c r="AA583" s="52"/>
      <c r="AB583" s="52"/>
      <c r="AC583" s="52"/>
    </row>
    <row r="584" spans="1:29" ht="12.75">
      <c r="A584" s="197"/>
      <c r="B584" s="2"/>
      <c r="C584" s="52"/>
      <c r="D584" s="52"/>
      <c r="E584" s="52"/>
      <c r="F584" s="2"/>
      <c r="G584" s="2"/>
      <c r="H584" s="2"/>
      <c r="I584" s="2"/>
      <c r="J584" s="52"/>
      <c r="K584" s="2"/>
      <c r="L584" s="2"/>
      <c r="M584" s="2"/>
      <c r="N584" s="2"/>
      <c r="O584" s="52"/>
      <c r="P584" s="52"/>
      <c r="Q584" s="52"/>
      <c r="R584" s="52"/>
      <c r="S584" s="52"/>
      <c r="T584" s="52"/>
      <c r="U584" s="52"/>
      <c r="V584" s="52"/>
      <c r="W584" s="52"/>
      <c r="X584" s="52"/>
      <c r="Y584" s="52"/>
      <c r="Z584" s="52"/>
      <c r="AA584" s="52"/>
      <c r="AB584" s="52"/>
      <c r="AC584" s="52"/>
    </row>
    <row r="585" spans="1:29" ht="12.75">
      <c r="A585" s="197"/>
      <c r="B585" s="2"/>
      <c r="C585" s="52"/>
      <c r="D585" s="52"/>
      <c r="E585" s="52"/>
      <c r="F585" s="2"/>
      <c r="G585" s="2"/>
      <c r="H585" s="2"/>
      <c r="I585" s="2"/>
      <c r="J585" s="52"/>
      <c r="K585" s="2"/>
      <c r="L585" s="2"/>
      <c r="M585" s="2"/>
      <c r="N585" s="2"/>
      <c r="O585" s="52"/>
      <c r="P585" s="52"/>
      <c r="Q585" s="52"/>
      <c r="R585" s="52"/>
      <c r="S585" s="52"/>
      <c r="T585" s="52"/>
      <c r="U585" s="52"/>
      <c r="V585" s="52"/>
      <c r="W585" s="52"/>
      <c r="X585" s="52"/>
      <c r="Y585" s="52"/>
      <c r="Z585" s="52"/>
      <c r="AA585" s="52"/>
      <c r="AB585" s="52"/>
      <c r="AC585" s="52"/>
    </row>
    <row r="586" spans="1:29" ht="12.75">
      <c r="A586" s="197"/>
      <c r="B586" s="2"/>
      <c r="C586" s="52"/>
      <c r="D586" s="52"/>
      <c r="E586" s="52"/>
      <c r="F586" s="2"/>
      <c r="G586" s="2"/>
      <c r="H586" s="2"/>
      <c r="I586" s="2"/>
      <c r="J586" s="52"/>
      <c r="K586" s="2"/>
      <c r="L586" s="2"/>
      <c r="M586" s="2"/>
      <c r="N586" s="2"/>
      <c r="O586" s="52"/>
      <c r="P586" s="52"/>
      <c r="Q586" s="52"/>
      <c r="R586" s="52"/>
      <c r="S586" s="52"/>
      <c r="T586" s="52"/>
      <c r="U586" s="52"/>
      <c r="V586" s="52"/>
      <c r="W586" s="52"/>
      <c r="X586" s="52"/>
      <c r="Y586" s="52"/>
      <c r="Z586" s="52"/>
      <c r="AA586" s="52"/>
      <c r="AB586" s="52"/>
      <c r="AC586" s="52"/>
    </row>
    <row r="587" spans="1:29" ht="12.75">
      <c r="A587" s="197"/>
      <c r="B587" s="2"/>
      <c r="C587" s="52"/>
      <c r="D587" s="52"/>
      <c r="E587" s="52"/>
      <c r="F587" s="2"/>
      <c r="G587" s="2"/>
      <c r="H587" s="2"/>
      <c r="I587" s="2"/>
      <c r="J587" s="52"/>
      <c r="K587" s="2"/>
      <c r="L587" s="2"/>
      <c r="M587" s="2"/>
      <c r="N587" s="2"/>
      <c r="O587" s="52"/>
      <c r="P587" s="52"/>
      <c r="Q587" s="52"/>
      <c r="R587" s="52"/>
      <c r="S587" s="52"/>
      <c r="T587" s="52"/>
      <c r="U587" s="52"/>
      <c r="V587" s="52"/>
      <c r="W587" s="52"/>
      <c r="X587" s="52"/>
      <c r="Y587" s="52"/>
      <c r="Z587" s="52"/>
      <c r="AA587" s="52"/>
      <c r="AB587" s="52"/>
      <c r="AC587" s="52"/>
    </row>
    <row r="588" spans="1:29" ht="12.75">
      <c r="A588" s="197"/>
      <c r="B588" s="2"/>
      <c r="C588" s="52"/>
      <c r="D588" s="52"/>
      <c r="E588" s="52"/>
      <c r="F588" s="2"/>
      <c r="G588" s="2"/>
      <c r="H588" s="2"/>
      <c r="I588" s="2"/>
      <c r="J588" s="52"/>
      <c r="K588" s="2"/>
      <c r="L588" s="2"/>
      <c r="M588" s="2"/>
      <c r="N588" s="2"/>
      <c r="O588" s="52"/>
      <c r="P588" s="52"/>
      <c r="Q588" s="52"/>
      <c r="R588" s="52"/>
      <c r="S588" s="52"/>
      <c r="T588" s="52"/>
      <c r="U588" s="52"/>
      <c r="V588" s="52"/>
      <c r="W588" s="52"/>
      <c r="X588" s="52"/>
      <c r="Y588" s="52"/>
      <c r="Z588" s="52"/>
      <c r="AA588" s="52"/>
      <c r="AB588" s="52"/>
      <c r="AC588" s="52"/>
    </row>
    <row r="589" spans="1:29" ht="12.75">
      <c r="A589" s="197"/>
      <c r="B589" s="2"/>
      <c r="C589" s="52"/>
      <c r="D589" s="52"/>
      <c r="E589" s="52"/>
      <c r="F589" s="2"/>
      <c r="G589" s="2"/>
      <c r="H589" s="2"/>
      <c r="I589" s="2"/>
      <c r="J589" s="52"/>
      <c r="K589" s="2"/>
      <c r="L589" s="2"/>
      <c r="M589" s="2"/>
      <c r="N589" s="2"/>
      <c r="O589" s="52"/>
      <c r="P589" s="52"/>
      <c r="Q589" s="52"/>
      <c r="R589" s="52"/>
      <c r="S589" s="52"/>
      <c r="T589" s="52"/>
      <c r="U589" s="52"/>
      <c r="V589" s="52"/>
      <c r="W589" s="52"/>
      <c r="X589" s="52"/>
      <c r="Y589" s="52"/>
      <c r="Z589" s="52"/>
      <c r="AA589" s="52"/>
      <c r="AB589" s="52"/>
      <c r="AC589" s="52"/>
    </row>
    <row r="590" spans="1:29" ht="12.75">
      <c r="A590" s="197"/>
      <c r="B590" s="2"/>
      <c r="C590" s="52"/>
      <c r="D590" s="52"/>
      <c r="E590" s="52"/>
      <c r="F590" s="2"/>
      <c r="G590" s="2"/>
      <c r="H590" s="2"/>
      <c r="I590" s="2"/>
      <c r="J590" s="52"/>
      <c r="K590" s="2"/>
      <c r="L590" s="2"/>
      <c r="M590" s="2"/>
      <c r="N590" s="2"/>
      <c r="O590" s="52"/>
      <c r="P590" s="52"/>
      <c r="Q590" s="52"/>
      <c r="R590" s="52"/>
      <c r="S590" s="52"/>
      <c r="T590" s="52"/>
      <c r="U590" s="52"/>
      <c r="V590" s="52"/>
      <c r="W590" s="52"/>
      <c r="X590" s="52"/>
      <c r="Y590" s="52"/>
      <c r="Z590" s="52"/>
      <c r="AA590" s="52"/>
      <c r="AB590" s="52"/>
      <c r="AC590" s="52"/>
    </row>
    <row r="591" spans="1:29" ht="12.75">
      <c r="A591" s="197"/>
      <c r="B591" s="2"/>
      <c r="C591" s="52"/>
      <c r="D591" s="52"/>
      <c r="E591" s="52"/>
      <c r="F591" s="2"/>
      <c r="G591" s="2"/>
      <c r="H591" s="2"/>
      <c r="I591" s="2"/>
      <c r="J591" s="52"/>
      <c r="K591" s="2"/>
      <c r="L591" s="2"/>
      <c r="M591" s="2"/>
      <c r="N591" s="2"/>
      <c r="O591" s="52"/>
      <c r="P591" s="52"/>
      <c r="Q591" s="52"/>
      <c r="R591" s="52"/>
      <c r="S591" s="52"/>
      <c r="T591" s="52"/>
      <c r="U591" s="52"/>
      <c r="V591" s="52"/>
      <c r="W591" s="52"/>
      <c r="X591" s="52"/>
      <c r="Y591" s="52"/>
      <c r="Z591" s="52"/>
      <c r="AA591" s="52"/>
      <c r="AB591" s="52"/>
      <c r="AC591" s="52"/>
    </row>
    <row r="592" spans="1:29" ht="12.75">
      <c r="A592" s="197"/>
      <c r="B592" s="2"/>
      <c r="C592" s="52"/>
      <c r="D592" s="52"/>
      <c r="E592" s="52"/>
      <c r="F592" s="2"/>
      <c r="G592" s="2"/>
      <c r="H592" s="2"/>
      <c r="I592" s="2"/>
      <c r="J592" s="52"/>
      <c r="K592" s="2"/>
      <c r="L592" s="2"/>
      <c r="M592" s="2"/>
      <c r="N592" s="2"/>
      <c r="O592" s="52"/>
      <c r="P592" s="52"/>
      <c r="Q592" s="52"/>
      <c r="R592" s="52"/>
      <c r="S592" s="52"/>
      <c r="T592" s="52"/>
      <c r="U592" s="52"/>
      <c r="V592" s="52"/>
      <c r="W592" s="52"/>
      <c r="X592" s="52"/>
      <c r="Y592" s="52"/>
      <c r="Z592" s="52"/>
      <c r="AA592" s="52"/>
      <c r="AB592" s="52"/>
      <c r="AC592" s="52"/>
    </row>
    <row r="593" spans="1:29" ht="12.75">
      <c r="A593" s="197"/>
      <c r="B593" s="2"/>
      <c r="C593" s="52"/>
      <c r="D593" s="52"/>
      <c r="E593" s="52"/>
      <c r="F593" s="2"/>
      <c r="G593" s="2"/>
      <c r="H593" s="2"/>
      <c r="I593" s="2"/>
      <c r="J593" s="52"/>
      <c r="K593" s="2"/>
      <c r="L593" s="2"/>
      <c r="M593" s="2"/>
      <c r="N593" s="2"/>
      <c r="O593" s="52"/>
      <c r="P593" s="52"/>
      <c r="Q593" s="52"/>
      <c r="R593" s="52"/>
      <c r="S593" s="52"/>
      <c r="T593" s="52"/>
      <c r="U593" s="52"/>
      <c r="V593" s="52"/>
      <c r="W593" s="52"/>
      <c r="X593" s="52"/>
      <c r="Y593" s="52"/>
      <c r="Z593" s="52"/>
      <c r="AA593" s="52"/>
      <c r="AB593" s="52"/>
      <c r="AC593" s="52"/>
    </row>
    <row r="594" spans="1:29" ht="12.75">
      <c r="A594" s="197"/>
      <c r="B594" s="2"/>
      <c r="C594" s="52"/>
      <c r="D594" s="52"/>
      <c r="E594" s="52"/>
      <c r="F594" s="2"/>
      <c r="G594" s="2"/>
      <c r="H594" s="2"/>
      <c r="I594" s="2"/>
      <c r="J594" s="52"/>
      <c r="K594" s="2"/>
      <c r="L594" s="2"/>
      <c r="M594" s="2"/>
      <c r="N594" s="2"/>
      <c r="O594" s="52"/>
      <c r="P594" s="52"/>
      <c r="Q594" s="52"/>
      <c r="R594" s="52"/>
      <c r="S594" s="52"/>
      <c r="T594" s="52"/>
      <c r="U594" s="52"/>
      <c r="V594" s="52"/>
      <c r="W594" s="52"/>
      <c r="X594" s="52"/>
      <c r="Y594" s="52"/>
      <c r="Z594" s="52"/>
      <c r="AA594" s="52"/>
      <c r="AB594" s="52"/>
      <c r="AC594" s="52"/>
    </row>
    <row r="595" spans="1:29" ht="12.75">
      <c r="A595" s="197"/>
      <c r="B595" s="2"/>
      <c r="C595" s="52"/>
      <c r="D595" s="52"/>
      <c r="E595" s="52"/>
      <c r="F595" s="2"/>
      <c r="G595" s="2"/>
      <c r="H595" s="2"/>
      <c r="I595" s="2"/>
      <c r="J595" s="52"/>
      <c r="K595" s="2"/>
      <c r="L595" s="2"/>
      <c r="M595" s="2"/>
      <c r="N595" s="2"/>
      <c r="O595" s="52"/>
      <c r="P595" s="52"/>
      <c r="Q595" s="52"/>
      <c r="R595" s="52"/>
      <c r="S595" s="52"/>
      <c r="T595" s="52"/>
      <c r="U595" s="52"/>
      <c r="V595" s="52"/>
      <c r="W595" s="52"/>
      <c r="X595" s="52"/>
      <c r="Y595" s="52"/>
      <c r="Z595" s="52"/>
      <c r="AA595" s="52"/>
      <c r="AB595" s="52"/>
      <c r="AC595" s="52"/>
    </row>
    <row r="596" spans="1:29" ht="12.75">
      <c r="A596" s="197"/>
      <c r="B596" s="2"/>
      <c r="C596" s="52"/>
      <c r="D596" s="52"/>
      <c r="E596" s="52"/>
      <c r="F596" s="2"/>
      <c r="G596" s="2"/>
      <c r="H596" s="2"/>
      <c r="I596" s="2"/>
      <c r="J596" s="52"/>
      <c r="K596" s="2"/>
      <c r="L596" s="2"/>
      <c r="M596" s="2"/>
      <c r="N596" s="2"/>
      <c r="O596" s="52"/>
      <c r="P596" s="52"/>
      <c r="Q596" s="52"/>
      <c r="R596" s="52"/>
      <c r="S596" s="52"/>
      <c r="T596" s="52"/>
      <c r="U596" s="52"/>
      <c r="V596" s="52"/>
      <c r="W596" s="52"/>
      <c r="X596" s="52"/>
      <c r="Y596" s="52"/>
      <c r="Z596" s="52"/>
      <c r="AA596" s="52"/>
      <c r="AB596" s="52"/>
      <c r="AC596" s="52"/>
    </row>
    <row r="597" spans="1:29" ht="12.75">
      <c r="A597" s="197"/>
      <c r="B597" s="2"/>
      <c r="C597" s="52"/>
      <c r="D597" s="52"/>
      <c r="E597" s="52"/>
      <c r="F597" s="2"/>
      <c r="G597" s="2"/>
      <c r="H597" s="2"/>
      <c r="I597" s="2"/>
      <c r="J597" s="52"/>
      <c r="K597" s="2"/>
      <c r="L597" s="2"/>
      <c r="M597" s="2"/>
      <c r="N597" s="2"/>
      <c r="O597" s="52"/>
      <c r="P597" s="52"/>
      <c r="Q597" s="52"/>
      <c r="R597" s="52"/>
      <c r="S597" s="52"/>
      <c r="T597" s="52"/>
      <c r="U597" s="52"/>
      <c r="V597" s="52"/>
      <c r="W597" s="52"/>
      <c r="X597" s="52"/>
      <c r="Y597" s="52"/>
      <c r="Z597" s="52"/>
      <c r="AA597" s="52"/>
      <c r="AB597" s="52"/>
      <c r="AC597" s="52"/>
    </row>
    <row r="598" spans="1:29" ht="12.75">
      <c r="A598" s="197"/>
      <c r="B598" s="2"/>
      <c r="C598" s="52"/>
      <c r="D598" s="52"/>
      <c r="E598" s="52"/>
      <c r="F598" s="2"/>
      <c r="G598" s="2"/>
      <c r="H598" s="2"/>
      <c r="I598" s="2"/>
      <c r="J598" s="52"/>
      <c r="K598" s="2"/>
      <c r="L598" s="2"/>
      <c r="M598" s="2"/>
      <c r="N598" s="2"/>
      <c r="O598" s="52"/>
      <c r="P598" s="52"/>
      <c r="Q598" s="52"/>
      <c r="R598" s="52"/>
      <c r="S598" s="52"/>
      <c r="T598" s="52"/>
      <c r="U598" s="52"/>
      <c r="V598" s="52"/>
      <c r="W598" s="52"/>
      <c r="X598" s="52"/>
      <c r="Y598" s="52"/>
      <c r="Z598" s="52"/>
      <c r="AA598" s="52"/>
      <c r="AB598" s="52"/>
      <c r="AC598" s="52"/>
    </row>
    <row r="599" spans="1:29" ht="12.75">
      <c r="A599" s="197"/>
      <c r="B599" s="2"/>
      <c r="C599" s="52"/>
      <c r="D599" s="52"/>
      <c r="E599" s="52"/>
      <c r="F599" s="2"/>
      <c r="G599" s="2"/>
      <c r="H599" s="2"/>
      <c r="I599" s="2"/>
      <c r="J599" s="52"/>
      <c r="K599" s="2"/>
      <c r="L599" s="2"/>
      <c r="M599" s="2"/>
      <c r="N599" s="2"/>
      <c r="O599" s="52"/>
      <c r="P599" s="52"/>
      <c r="Q599" s="52"/>
      <c r="R599" s="52"/>
      <c r="S599" s="52"/>
      <c r="T599" s="52"/>
      <c r="U599" s="52"/>
      <c r="V599" s="52"/>
      <c r="W599" s="52"/>
      <c r="X599" s="52"/>
      <c r="Y599" s="52"/>
      <c r="Z599" s="52"/>
      <c r="AA599" s="52"/>
      <c r="AB599" s="52"/>
      <c r="AC599" s="52"/>
    </row>
    <row r="600" spans="1:29" ht="12.75">
      <c r="A600" s="197"/>
      <c r="B600" s="2"/>
      <c r="C600" s="52"/>
      <c r="D600" s="52"/>
      <c r="E600" s="52"/>
      <c r="F600" s="2"/>
      <c r="G600" s="2"/>
      <c r="H600" s="2"/>
      <c r="I600" s="2"/>
      <c r="J600" s="52"/>
      <c r="K600" s="2"/>
      <c r="L600" s="2"/>
      <c r="M600" s="2"/>
      <c r="N600" s="2"/>
      <c r="O600" s="52"/>
      <c r="P600" s="52"/>
      <c r="Q600" s="52"/>
      <c r="R600" s="52"/>
      <c r="S600" s="52"/>
      <c r="T600" s="52"/>
      <c r="U600" s="52"/>
      <c r="V600" s="52"/>
      <c r="W600" s="52"/>
      <c r="X600" s="52"/>
      <c r="Y600" s="52"/>
      <c r="Z600" s="52"/>
      <c r="AA600" s="52"/>
      <c r="AB600" s="52"/>
      <c r="AC600" s="52"/>
    </row>
    <row r="601" spans="1:29" ht="12.75">
      <c r="A601" s="197"/>
      <c r="B601" s="2"/>
      <c r="C601" s="52"/>
      <c r="D601" s="52"/>
      <c r="E601" s="52"/>
      <c r="F601" s="2"/>
      <c r="G601" s="2"/>
      <c r="H601" s="2"/>
      <c r="I601" s="2"/>
      <c r="J601" s="52"/>
      <c r="K601" s="2"/>
      <c r="L601" s="2"/>
      <c r="M601" s="2"/>
      <c r="N601" s="2"/>
      <c r="O601" s="52"/>
      <c r="P601" s="52"/>
      <c r="Q601" s="52"/>
      <c r="R601" s="52"/>
      <c r="S601" s="52"/>
      <c r="T601" s="52"/>
      <c r="U601" s="52"/>
      <c r="V601" s="52"/>
      <c r="W601" s="52"/>
      <c r="X601" s="52"/>
      <c r="Y601" s="52"/>
      <c r="Z601" s="52"/>
      <c r="AA601" s="52"/>
      <c r="AB601" s="52"/>
      <c r="AC601" s="52"/>
    </row>
    <row r="602" spans="1:29" ht="12.75">
      <c r="A602" s="197"/>
      <c r="B602" s="2"/>
      <c r="C602" s="52"/>
      <c r="D602" s="52"/>
      <c r="E602" s="52"/>
      <c r="F602" s="2"/>
      <c r="G602" s="2"/>
      <c r="H602" s="2"/>
      <c r="I602" s="2"/>
      <c r="J602" s="52"/>
      <c r="K602" s="2"/>
      <c r="L602" s="2"/>
      <c r="M602" s="2"/>
      <c r="N602" s="2"/>
      <c r="O602" s="52"/>
      <c r="P602" s="52"/>
      <c r="Q602" s="52"/>
      <c r="R602" s="52"/>
      <c r="S602" s="52"/>
      <c r="T602" s="52"/>
      <c r="U602" s="52"/>
      <c r="V602" s="52"/>
      <c r="W602" s="52"/>
      <c r="X602" s="52"/>
      <c r="Y602" s="52"/>
      <c r="Z602" s="52"/>
      <c r="AA602" s="52"/>
      <c r="AB602" s="52"/>
      <c r="AC602" s="52"/>
    </row>
    <row r="603" spans="1:29" ht="12.75">
      <c r="A603" s="197"/>
      <c r="B603" s="2"/>
      <c r="C603" s="52"/>
      <c r="D603" s="52"/>
      <c r="E603" s="52"/>
      <c r="F603" s="2"/>
      <c r="G603" s="2"/>
      <c r="H603" s="2"/>
      <c r="I603" s="2"/>
      <c r="J603" s="52"/>
      <c r="K603" s="2"/>
      <c r="L603" s="2"/>
      <c r="M603" s="2"/>
      <c r="N603" s="2"/>
      <c r="O603" s="52"/>
      <c r="P603" s="52"/>
      <c r="Q603" s="52"/>
      <c r="R603" s="52"/>
      <c r="S603" s="52"/>
      <c r="T603" s="52"/>
      <c r="U603" s="52"/>
      <c r="V603" s="52"/>
      <c r="W603" s="52"/>
      <c r="X603" s="52"/>
      <c r="Y603" s="52"/>
      <c r="Z603" s="52"/>
      <c r="AA603" s="52"/>
      <c r="AB603" s="52"/>
      <c r="AC603" s="52"/>
    </row>
    <row r="604" spans="1:29" ht="12.75">
      <c r="A604" s="197"/>
      <c r="B604" s="2"/>
      <c r="C604" s="52"/>
      <c r="D604" s="52"/>
      <c r="E604" s="52"/>
      <c r="F604" s="2"/>
      <c r="G604" s="2"/>
      <c r="H604" s="2"/>
      <c r="I604" s="2"/>
      <c r="J604" s="52"/>
      <c r="K604" s="2"/>
      <c r="L604" s="2"/>
      <c r="M604" s="2"/>
      <c r="N604" s="2"/>
      <c r="O604" s="52"/>
      <c r="P604" s="52"/>
      <c r="Q604" s="52"/>
      <c r="R604" s="52"/>
      <c r="S604" s="52"/>
      <c r="T604" s="52"/>
      <c r="U604" s="52"/>
      <c r="V604" s="52"/>
      <c r="W604" s="52"/>
      <c r="X604" s="52"/>
      <c r="Y604" s="52"/>
      <c r="Z604" s="52"/>
      <c r="AA604" s="52"/>
      <c r="AB604" s="52"/>
      <c r="AC604" s="52"/>
    </row>
    <row r="605" spans="1:29" ht="12.75">
      <c r="A605" s="197"/>
      <c r="B605" s="2"/>
      <c r="C605" s="52"/>
      <c r="D605" s="52"/>
      <c r="E605" s="52"/>
      <c r="F605" s="2"/>
      <c r="G605" s="2"/>
      <c r="H605" s="2"/>
      <c r="I605" s="2"/>
      <c r="J605" s="52"/>
      <c r="K605" s="2"/>
      <c r="L605" s="2"/>
      <c r="M605" s="2"/>
      <c r="N605" s="2"/>
      <c r="O605" s="52"/>
      <c r="P605" s="52"/>
      <c r="Q605" s="52"/>
      <c r="R605" s="52"/>
      <c r="S605" s="52"/>
      <c r="T605" s="52"/>
      <c r="U605" s="52"/>
      <c r="V605" s="52"/>
      <c r="W605" s="52"/>
      <c r="X605" s="52"/>
      <c r="Y605" s="52"/>
      <c r="Z605" s="52"/>
      <c r="AA605" s="52"/>
      <c r="AB605" s="52"/>
      <c r="AC605" s="52"/>
    </row>
    <row r="606" spans="1:29" ht="12.75">
      <c r="A606" s="197"/>
      <c r="B606" s="2"/>
      <c r="C606" s="52"/>
      <c r="D606" s="52"/>
      <c r="E606" s="52"/>
      <c r="F606" s="2"/>
      <c r="G606" s="2"/>
      <c r="H606" s="2"/>
      <c r="I606" s="2"/>
      <c r="J606" s="52"/>
      <c r="K606" s="2"/>
      <c r="L606" s="2"/>
      <c r="M606" s="2"/>
      <c r="N606" s="2"/>
      <c r="O606" s="52"/>
      <c r="P606" s="52"/>
      <c r="Q606" s="52"/>
      <c r="R606" s="52"/>
      <c r="S606" s="52"/>
      <c r="T606" s="52"/>
      <c r="U606" s="52"/>
      <c r="V606" s="52"/>
      <c r="W606" s="52"/>
      <c r="X606" s="52"/>
      <c r="Y606" s="52"/>
      <c r="Z606" s="52"/>
      <c r="AA606" s="52"/>
      <c r="AB606" s="52"/>
      <c r="AC606" s="52"/>
    </row>
    <row r="607" spans="1:29" ht="12.75">
      <c r="A607" s="197"/>
      <c r="B607" s="2"/>
      <c r="C607" s="52"/>
      <c r="D607" s="52"/>
      <c r="E607" s="52"/>
      <c r="F607" s="2"/>
      <c r="G607" s="2"/>
      <c r="H607" s="2"/>
      <c r="I607" s="2"/>
      <c r="J607" s="52"/>
      <c r="K607" s="2"/>
      <c r="L607" s="2"/>
      <c r="M607" s="2"/>
      <c r="N607" s="2"/>
      <c r="O607" s="52"/>
      <c r="P607" s="52"/>
      <c r="Q607" s="52"/>
      <c r="R607" s="52"/>
      <c r="S607" s="52"/>
      <c r="T607" s="52"/>
      <c r="U607" s="52"/>
      <c r="V607" s="52"/>
      <c r="W607" s="52"/>
      <c r="X607" s="52"/>
      <c r="Y607" s="52"/>
      <c r="Z607" s="52"/>
      <c r="AA607" s="52"/>
      <c r="AB607" s="52"/>
      <c r="AC607" s="52"/>
    </row>
    <row r="608" spans="1:29" ht="12.75">
      <c r="A608" s="197"/>
      <c r="B608" s="2"/>
      <c r="C608" s="52"/>
      <c r="D608" s="52"/>
      <c r="E608" s="52"/>
      <c r="F608" s="2"/>
      <c r="G608" s="2"/>
      <c r="H608" s="2"/>
      <c r="I608" s="2"/>
      <c r="J608" s="52"/>
      <c r="K608" s="2"/>
      <c r="L608" s="2"/>
      <c r="M608" s="2"/>
      <c r="N608" s="2"/>
      <c r="O608" s="52"/>
      <c r="P608" s="52"/>
      <c r="Q608" s="52"/>
      <c r="R608" s="52"/>
      <c r="S608" s="52"/>
      <c r="T608" s="52"/>
      <c r="U608" s="52"/>
      <c r="V608" s="52"/>
      <c r="W608" s="52"/>
      <c r="X608" s="52"/>
      <c r="Y608" s="52"/>
      <c r="Z608" s="52"/>
      <c r="AA608" s="52"/>
      <c r="AB608" s="52"/>
      <c r="AC608" s="52"/>
    </row>
    <row r="609" spans="1:29" ht="12.75">
      <c r="A609" s="197"/>
      <c r="B609" s="2"/>
      <c r="C609" s="52"/>
      <c r="D609" s="52"/>
      <c r="E609" s="52"/>
      <c r="F609" s="2"/>
      <c r="G609" s="2"/>
      <c r="H609" s="2"/>
      <c r="I609" s="2"/>
      <c r="J609" s="52"/>
      <c r="K609" s="2"/>
      <c r="L609" s="2"/>
      <c r="M609" s="2"/>
      <c r="N609" s="2"/>
      <c r="O609" s="52"/>
      <c r="P609" s="52"/>
      <c r="Q609" s="52"/>
      <c r="R609" s="52"/>
      <c r="S609" s="52"/>
      <c r="T609" s="52"/>
      <c r="U609" s="52"/>
      <c r="V609" s="52"/>
      <c r="W609" s="52"/>
      <c r="X609" s="52"/>
      <c r="Y609" s="52"/>
      <c r="Z609" s="52"/>
      <c r="AA609" s="52"/>
      <c r="AB609" s="52"/>
      <c r="AC609" s="52"/>
    </row>
    <row r="610" spans="1:29" ht="12.75">
      <c r="A610" s="197"/>
      <c r="B610" s="2"/>
      <c r="C610" s="52"/>
      <c r="D610" s="52"/>
      <c r="E610" s="52"/>
      <c r="F610" s="2"/>
      <c r="G610" s="2"/>
      <c r="H610" s="2"/>
      <c r="I610" s="2"/>
      <c r="J610" s="52"/>
      <c r="K610" s="2"/>
      <c r="L610" s="2"/>
      <c r="M610" s="2"/>
      <c r="N610" s="2"/>
      <c r="O610" s="52"/>
      <c r="P610" s="52"/>
      <c r="Q610" s="52"/>
      <c r="R610" s="52"/>
      <c r="S610" s="52"/>
      <c r="T610" s="52"/>
      <c r="U610" s="52"/>
      <c r="V610" s="52"/>
      <c r="W610" s="52"/>
      <c r="X610" s="52"/>
      <c r="Y610" s="52"/>
      <c r="Z610" s="52"/>
      <c r="AA610" s="52"/>
      <c r="AB610" s="52"/>
      <c r="AC610" s="52"/>
    </row>
    <row r="611" spans="1:29" ht="12.75">
      <c r="A611" s="197"/>
      <c r="B611" s="2"/>
      <c r="C611" s="52"/>
      <c r="D611" s="52"/>
      <c r="E611" s="52"/>
      <c r="F611" s="2"/>
      <c r="G611" s="2"/>
      <c r="H611" s="2"/>
      <c r="I611" s="2"/>
      <c r="J611" s="52"/>
      <c r="K611" s="2"/>
      <c r="L611" s="2"/>
      <c r="M611" s="2"/>
      <c r="N611" s="2"/>
      <c r="O611" s="52"/>
      <c r="P611" s="52"/>
      <c r="Q611" s="52"/>
      <c r="R611" s="52"/>
      <c r="S611" s="52"/>
      <c r="T611" s="52"/>
      <c r="U611" s="52"/>
      <c r="V611" s="52"/>
      <c r="W611" s="52"/>
      <c r="X611" s="52"/>
      <c r="Y611" s="52"/>
      <c r="Z611" s="52"/>
      <c r="AA611" s="52"/>
      <c r="AB611" s="52"/>
      <c r="AC611" s="52"/>
    </row>
    <row r="612" spans="1:29" ht="12.75">
      <c r="A612" s="197"/>
      <c r="B612" s="2"/>
      <c r="C612" s="52"/>
      <c r="D612" s="52"/>
      <c r="E612" s="52"/>
      <c r="F612" s="2"/>
      <c r="G612" s="2"/>
      <c r="H612" s="2"/>
      <c r="I612" s="2"/>
      <c r="J612" s="52"/>
      <c r="K612" s="2"/>
      <c r="L612" s="2"/>
      <c r="M612" s="2"/>
      <c r="N612" s="2"/>
      <c r="O612" s="52"/>
      <c r="P612" s="52"/>
      <c r="Q612" s="52"/>
      <c r="R612" s="52"/>
      <c r="S612" s="52"/>
      <c r="T612" s="52"/>
      <c r="U612" s="52"/>
      <c r="V612" s="52"/>
      <c r="W612" s="52"/>
      <c r="X612" s="52"/>
      <c r="Y612" s="52"/>
      <c r="Z612" s="52"/>
      <c r="AA612" s="52"/>
      <c r="AB612" s="52"/>
      <c r="AC612" s="52"/>
    </row>
    <row r="613" spans="1:29" ht="12.75">
      <c r="A613" s="197"/>
      <c r="B613" s="2"/>
      <c r="C613" s="52"/>
      <c r="D613" s="52"/>
      <c r="E613" s="52"/>
      <c r="F613" s="2"/>
      <c r="G613" s="2"/>
      <c r="H613" s="2"/>
      <c r="I613" s="2"/>
      <c r="J613" s="52"/>
      <c r="K613" s="2"/>
      <c r="L613" s="2"/>
      <c r="M613" s="2"/>
      <c r="N613" s="2"/>
      <c r="O613" s="52"/>
      <c r="P613" s="52"/>
      <c r="Q613" s="52"/>
      <c r="R613" s="52"/>
      <c r="S613" s="52"/>
      <c r="T613" s="52"/>
      <c r="U613" s="52"/>
      <c r="V613" s="52"/>
      <c r="W613" s="52"/>
      <c r="X613" s="52"/>
      <c r="Y613" s="52"/>
      <c r="Z613" s="52"/>
      <c r="AA613" s="52"/>
      <c r="AB613" s="52"/>
      <c r="AC613" s="52"/>
    </row>
    <row r="614" spans="1:29" ht="12.75">
      <c r="A614" s="197"/>
      <c r="B614" s="2"/>
      <c r="C614" s="52"/>
      <c r="D614" s="52"/>
      <c r="E614" s="52"/>
      <c r="F614" s="2"/>
      <c r="G614" s="2"/>
      <c r="H614" s="2"/>
      <c r="I614" s="2"/>
      <c r="J614" s="52"/>
      <c r="K614" s="2"/>
      <c r="L614" s="2"/>
      <c r="M614" s="2"/>
      <c r="N614" s="2"/>
      <c r="O614" s="52"/>
      <c r="P614" s="52"/>
      <c r="Q614" s="52"/>
      <c r="R614" s="52"/>
      <c r="S614" s="52"/>
      <c r="T614" s="52"/>
      <c r="U614" s="52"/>
      <c r="V614" s="52"/>
      <c r="W614" s="52"/>
      <c r="X614" s="52"/>
      <c r="Y614" s="52"/>
      <c r="Z614" s="52"/>
      <c r="AA614" s="52"/>
      <c r="AB614" s="52"/>
      <c r="AC614" s="52"/>
    </row>
    <row r="615" spans="1:29" ht="12.75">
      <c r="A615" s="197"/>
      <c r="B615" s="2"/>
      <c r="C615" s="52"/>
      <c r="D615" s="52"/>
      <c r="E615" s="52"/>
      <c r="F615" s="2"/>
      <c r="G615" s="2"/>
      <c r="H615" s="2"/>
      <c r="I615" s="2"/>
      <c r="J615" s="52"/>
      <c r="K615" s="2"/>
      <c r="L615" s="2"/>
      <c r="M615" s="2"/>
      <c r="N615" s="2"/>
      <c r="O615" s="52"/>
      <c r="P615" s="52"/>
      <c r="Q615" s="52"/>
      <c r="R615" s="52"/>
      <c r="S615" s="52"/>
      <c r="T615" s="52"/>
      <c r="U615" s="52"/>
      <c r="V615" s="52"/>
      <c r="W615" s="52"/>
      <c r="X615" s="52"/>
      <c r="Y615" s="52"/>
      <c r="Z615" s="52"/>
      <c r="AA615" s="52"/>
      <c r="AB615" s="52"/>
      <c r="AC615" s="52"/>
    </row>
    <row r="616" spans="1:29" ht="12.75">
      <c r="A616" s="197"/>
      <c r="B616" s="2"/>
      <c r="C616" s="52"/>
      <c r="D616" s="52"/>
      <c r="E616" s="52"/>
      <c r="F616" s="2"/>
      <c r="G616" s="2"/>
      <c r="H616" s="2"/>
      <c r="I616" s="2"/>
      <c r="J616" s="52"/>
      <c r="K616" s="2"/>
      <c r="L616" s="2"/>
      <c r="M616" s="2"/>
      <c r="N616" s="2"/>
      <c r="O616" s="52"/>
      <c r="P616" s="52"/>
      <c r="Q616" s="52"/>
      <c r="R616" s="52"/>
      <c r="S616" s="52"/>
      <c r="T616" s="52"/>
      <c r="U616" s="52"/>
      <c r="V616" s="52"/>
      <c r="W616" s="52"/>
      <c r="X616" s="52"/>
      <c r="Y616" s="52"/>
      <c r="Z616" s="52"/>
      <c r="AA616" s="52"/>
      <c r="AB616" s="52"/>
      <c r="AC616" s="52"/>
    </row>
    <row r="617" spans="1:29" ht="12.75">
      <c r="A617" s="197"/>
      <c r="B617" s="2"/>
      <c r="C617" s="52"/>
      <c r="D617" s="52"/>
      <c r="E617" s="52"/>
      <c r="F617" s="2"/>
      <c r="G617" s="2"/>
      <c r="H617" s="2"/>
      <c r="I617" s="2"/>
      <c r="J617" s="52"/>
      <c r="K617" s="2"/>
      <c r="L617" s="2"/>
      <c r="M617" s="2"/>
      <c r="N617" s="2"/>
      <c r="O617" s="52"/>
      <c r="P617" s="52"/>
      <c r="Q617" s="52"/>
      <c r="R617" s="52"/>
      <c r="S617" s="52"/>
      <c r="T617" s="52"/>
      <c r="U617" s="52"/>
      <c r="V617" s="52"/>
      <c r="W617" s="52"/>
      <c r="X617" s="52"/>
      <c r="Y617" s="52"/>
      <c r="Z617" s="52"/>
      <c r="AA617" s="52"/>
      <c r="AB617" s="52"/>
      <c r="AC617" s="52"/>
    </row>
    <row r="618" spans="1:29" ht="12.75">
      <c r="A618" s="197"/>
      <c r="B618" s="2"/>
      <c r="C618" s="52"/>
      <c r="D618" s="52"/>
      <c r="E618" s="52"/>
      <c r="F618" s="2"/>
      <c r="G618" s="2"/>
      <c r="H618" s="2"/>
      <c r="I618" s="2"/>
      <c r="J618" s="52"/>
      <c r="K618" s="2"/>
      <c r="L618" s="2"/>
      <c r="M618" s="2"/>
      <c r="N618" s="2"/>
      <c r="O618" s="52"/>
      <c r="P618" s="52"/>
      <c r="Q618" s="52"/>
      <c r="R618" s="52"/>
      <c r="S618" s="52"/>
      <c r="T618" s="52"/>
      <c r="U618" s="52"/>
      <c r="V618" s="52"/>
      <c r="W618" s="52"/>
      <c r="X618" s="52"/>
      <c r="Y618" s="52"/>
      <c r="Z618" s="52"/>
      <c r="AA618" s="52"/>
      <c r="AB618" s="52"/>
      <c r="AC618" s="52"/>
    </row>
    <row r="619" spans="1:29" ht="12.75">
      <c r="A619" s="197"/>
      <c r="B619" s="2"/>
      <c r="C619" s="52"/>
      <c r="D619" s="52"/>
      <c r="E619" s="52"/>
      <c r="F619" s="2"/>
      <c r="G619" s="2"/>
      <c r="H619" s="2"/>
      <c r="I619" s="2"/>
      <c r="J619" s="52"/>
      <c r="K619" s="2"/>
      <c r="L619" s="2"/>
      <c r="M619" s="2"/>
      <c r="N619" s="2"/>
      <c r="O619" s="52"/>
      <c r="P619" s="52"/>
      <c r="Q619" s="52"/>
      <c r="R619" s="52"/>
      <c r="S619" s="52"/>
      <c r="T619" s="52"/>
      <c r="U619" s="52"/>
      <c r="V619" s="52"/>
      <c r="W619" s="52"/>
      <c r="X619" s="52"/>
      <c r="Y619" s="52"/>
      <c r="Z619" s="52"/>
      <c r="AA619" s="52"/>
      <c r="AB619" s="52"/>
      <c r="AC619" s="52"/>
    </row>
    <row r="620" spans="1:29" ht="12.75">
      <c r="A620" s="197"/>
      <c r="B620" s="2"/>
      <c r="C620" s="52"/>
      <c r="D620" s="52"/>
      <c r="E620" s="52"/>
      <c r="F620" s="2"/>
      <c r="G620" s="2"/>
      <c r="H620" s="2"/>
      <c r="I620" s="2"/>
      <c r="J620" s="52"/>
      <c r="K620" s="2"/>
      <c r="L620" s="2"/>
      <c r="M620" s="2"/>
      <c r="N620" s="2"/>
      <c r="O620" s="52"/>
      <c r="P620" s="52"/>
      <c r="Q620" s="52"/>
      <c r="R620" s="52"/>
      <c r="S620" s="52"/>
      <c r="T620" s="52"/>
      <c r="U620" s="52"/>
      <c r="V620" s="52"/>
      <c r="W620" s="52"/>
      <c r="X620" s="52"/>
      <c r="Y620" s="52"/>
      <c r="Z620" s="52"/>
      <c r="AA620" s="52"/>
      <c r="AB620" s="52"/>
      <c r="AC620" s="52"/>
    </row>
    <row r="621" spans="1:29" ht="12.75">
      <c r="A621" s="197"/>
      <c r="B621" s="2"/>
      <c r="C621" s="52"/>
      <c r="D621" s="52"/>
      <c r="E621" s="52"/>
      <c r="F621" s="2"/>
      <c r="G621" s="2"/>
      <c r="H621" s="2"/>
      <c r="I621" s="2"/>
      <c r="J621" s="52"/>
      <c r="K621" s="2"/>
      <c r="L621" s="2"/>
      <c r="M621" s="2"/>
      <c r="N621" s="2"/>
      <c r="O621" s="52"/>
      <c r="P621" s="52"/>
      <c r="Q621" s="52"/>
      <c r="R621" s="52"/>
      <c r="S621" s="52"/>
      <c r="T621" s="52"/>
      <c r="U621" s="52"/>
      <c r="V621" s="52"/>
      <c r="W621" s="52"/>
      <c r="X621" s="52"/>
      <c r="Y621" s="52"/>
      <c r="Z621" s="52"/>
      <c r="AA621" s="52"/>
      <c r="AB621" s="52"/>
      <c r="AC621" s="52"/>
    </row>
    <row r="622" spans="1:29" ht="12.75">
      <c r="A622" s="197"/>
      <c r="B622" s="2"/>
      <c r="C622" s="52"/>
      <c r="D622" s="52"/>
      <c r="E622" s="52"/>
      <c r="F622" s="2"/>
      <c r="G622" s="2"/>
      <c r="H622" s="2"/>
      <c r="I622" s="2"/>
      <c r="J622" s="52"/>
      <c r="K622" s="2"/>
      <c r="L622" s="2"/>
      <c r="M622" s="2"/>
      <c r="N622" s="2"/>
      <c r="O622" s="52"/>
      <c r="P622" s="52"/>
      <c r="Q622" s="52"/>
      <c r="R622" s="52"/>
      <c r="S622" s="52"/>
      <c r="T622" s="52"/>
      <c r="U622" s="52"/>
      <c r="V622" s="52"/>
      <c r="W622" s="52"/>
      <c r="X622" s="52"/>
      <c r="Y622" s="52"/>
      <c r="Z622" s="52"/>
      <c r="AA622" s="52"/>
      <c r="AB622" s="52"/>
      <c r="AC622" s="52"/>
    </row>
    <row r="623" spans="1:29" ht="12.75">
      <c r="A623" s="197"/>
      <c r="B623" s="2"/>
      <c r="C623" s="52"/>
      <c r="D623" s="52"/>
      <c r="E623" s="52"/>
      <c r="F623" s="2"/>
      <c r="G623" s="2"/>
      <c r="H623" s="2"/>
      <c r="I623" s="2"/>
      <c r="J623" s="52"/>
      <c r="K623" s="2"/>
      <c r="L623" s="2"/>
      <c r="M623" s="2"/>
      <c r="N623" s="2"/>
      <c r="O623" s="52"/>
      <c r="P623" s="52"/>
      <c r="Q623" s="52"/>
      <c r="R623" s="52"/>
      <c r="S623" s="52"/>
      <c r="T623" s="52"/>
      <c r="U623" s="52"/>
      <c r="V623" s="52"/>
      <c r="W623" s="52"/>
      <c r="X623" s="52"/>
      <c r="Y623" s="52"/>
      <c r="Z623" s="52"/>
      <c r="AA623" s="52"/>
      <c r="AB623" s="52"/>
      <c r="AC623" s="52"/>
    </row>
    <row r="624" spans="1:29" ht="12.75">
      <c r="A624" s="197"/>
      <c r="B624" s="2"/>
      <c r="C624" s="52"/>
      <c r="D624" s="52"/>
      <c r="E624" s="52"/>
      <c r="F624" s="2"/>
      <c r="G624" s="2"/>
      <c r="H624" s="2"/>
      <c r="I624" s="2"/>
      <c r="J624" s="52"/>
      <c r="K624" s="2"/>
      <c r="L624" s="2"/>
      <c r="M624" s="2"/>
      <c r="N624" s="2"/>
      <c r="O624" s="52"/>
      <c r="P624" s="52"/>
      <c r="Q624" s="52"/>
      <c r="R624" s="52"/>
      <c r="S624" s="52"/>
      <c r="T624" s="52"/>
      <c r="U624" s="52"/>
      <c r="V624" s="52"/>
      <c r="W624" s="52"/>
      <c r="X624" s="52"/>
      <c r="Y624" s="52"/>
      <c r="Z624" s="52"/>
      <c r="AA624" s="52"/>
      <c r="AB624" s="52"/>
      <c r="AC624" s="52"/>
    </row>
    <row r="625" spans="1:29" ht="12.75">
      <c r="A625" s="197"/>
      <c r="B625" s="2"/>
      <c r="C625" s="52"/>
      <c r="D625" s="52"/>
      <c r="E625" s="52"/>
      <c r="F625" s="2"/>
      <c r="G625" s="2"/>
      <c r="H625" s="2"/>
      <c r="I625" s="2"/>
      <c r="J625" s="52"/>
      <c r="K625" s="2"/>
      <c r="L625" s="2"/>
      <c r="M625" s="2"/>
      <c r="N625" s="2"/>
      <c r="O625" s="52"/>
      <c r="P625" s="52"/>
      <c r="Q625" s="52"/>
      <c r="R625" s="52"/>
      <c r="S625" s="52"/>
      <c r="T625" s="52"/>
      <c r="U625" s="52"/>
      <c r="V625" s="52"/>
      <c r="W625" s="52"/>
      <c r="X625" s="52"/>
      <c r="Y625" s="52"/>
      <c r="Z625" s="52"/>
      <c r="AA625" s="52"/>
      <c r="AB625" s="52"/>
      <c r="AC625" s="52"/>
    </row>
    <row r="626" spans="1:29" ht="12.75">
      <c r="A626" s="197"/>
      <c r="B626" s="2"/>
      <c r="C626" s="52"/>
      <c r="D626" s="52"/>
      <c r="E626" s="52"/>
      <c r="F626" s="2"/>
      <c r="G626" s="2"/>
      <c r="H626" s="2"/>
      <c r="I626" s="2"/>
      <c r="J626" s="52"/>
      <c r="K626" s="2"/>
      <c r="L626" s="2"/>
      <c r="M626" s="2"/>
      <c r="N626" s="2"/>
      <c r="O626" s="52"/>
      <c r="P626" s="52"/>
      <c r="Q626" s="52"/>
      <c r="R626" s="52"/>
      <c r="S626" s="52"/>
      <c r="T626" s="52"/>
      <c r="U626" s="52"/>
      <c r="V626" s="52"/>
      <c r="W626" s="52"/>
      <c r="X626" s="52"/>
      <c r="Y626" s="52"/>
      <c r="Z626" s="52"/>
      <c r="AA626" s="52"/>
      <c r="AB626" s="52"/>
      <c r="AC626" s="52"/>
    </row>
    <row r="627" spans="1:29" ht="12.75">
      <c r="A627" s="197"/>
      <c r="B627" s="2"/>
      <c r="C627" s="52"/>
      <c r="D627" s="52"/>
      <c r="E627" s="52"/>
      <c r="F627" s="2"/>
      <c r="G627" s="2"/>
      <c r="H627" s="2"/>
      <c r="I627" s="2"/>
      <c r="J627" s="52"/>
      <c r="K627" s="2"/>
      <c r="L627" s="2"/>
      <c r="M627" s="2"/>
      <c r="N627" s="2"/>
      <c r="O627" s="52"/>
      <c r="P627" s="52"/>
      <c r="Q627" s="52"/>
      <c r="R627" s="52"/>
      <c r="S627" s="52"/>
      <c r="T627" s="52"/>
      <c r="U627" s="52"/>
      <c r="V627" s="52"/>
      <c r="W627" s="52"/>
      <c r="X627" s="52"/>
      <c r="Y627" s="52"/>
      <c r="Z627" s="52"/>
      <c r="AA627" s="52"/>
      <c r="AB627" s="52"/>
      <c r="AC627" s="52"/>
    </row>
    <row r="628" spans="1:29" ht="12.75">
      <c r="A628" s="197"/>
      <c r="B628" s="2"/>
      <c r="C628" s="52"/>
      <c r="D628" s="52"/>
      <c r="E628" s="52"/>
      <c r="F628" s="2"/>
      <c r="G628" s="2"/>
      <c r="H628" s="2"/>
      <c r="I628" s="2"/>
      <c r="J628" s="52"/>
      <c r="K628" s="2"/>
      <c r="L628" s="2"/>
      <c r="M628" s="2"/>
      <c r="N628" s="2"/>
      <c r="O628" s="52"/>
      <c r="P628" s="52"/>
      <c r="Q628" s="52"/>
      <c r="R628" s="52"/>
      <c r="S628" s="52"/>
      <c r="T628" s="52"/>
      <c r="U628" s="52"/>
      <c r="V628" s="52"/>
      <c r="W628" s="52"/>
      <c r="X628" s="52"/>
      <c r="Y628" s="52"/>
      <c r="Z628" s="52"/>
      <c r="AA628" s="52"/>
      <c r="AB628" s="52"/>
      <c r="AC628" s="52"/>
    </row>
    <row r="629" spans="1:29" ht="12.75">
      <c r="A629" s="197"/>
      <c r="B629" s="2"/>
      <c r="C629" s="52"/>
      <c r="D629" s="52"/>
      <c r="E629" s="52"/>
      <c r="F629" s="2"/>
      <c r="G629" s="2"/>
      <c r="H629" s="2"/>
      <c r="I629" s="2"/>
      <c r="J629" s="52"/>
      <c r="K629" s="2"/>
      <c r="L629" s="2"/>
      <c r="M629" s="2"/>
      <c r="N629" s="2"/>
      <c r="O629" s="52"/>
      <c r="P629" s="52"/>
      <c r="Q629" s="52"/>
      <c r="R629" s="52"/>
      <c r="S629" s="52"/>
      <c r="T629" s="52"/>
      <c r="U629" s="52"/>
      <c r="V629" s="52"/>
      <c r="W629" s="52"/>
      <c r="X629" s="52"/>
      <c r="Y629" s="52"/>
      <c r="Z629" s="52"/>
      <c r="AA629" s="52"/>
      <c r="AB629" s="52"/>
      <c r="AC629" s="52"/>
    </row>
    <row r="630" spans="1:29" ht="12.75">
      <c r="A630" s="197"/>
      <c r="B630" s="2"/>
      <c r="C630" s="52"/>
      <c r="D630" s="52"/>
      <c r="E630" s="52"/>
      <c r="F630" s="2"/>
      <c r="G630" s="2"/>
      <c r="H630" s="2"/>
      <c r="I630" s="2"/>
      <c r="J630" s="52"/>
      <c r="K630" s="2"/>
      <c r="L630" s="2"/>
      <c r="M630" s="2"/>
      <c r="N630" s="2"/>
      <c r="O630" s="52"/>
      <c r="P630" s="52"/>
      <c r="Q630" s="52"/>
      <c r="R630" s="52"/>
      <c r="S630" s="52"/>
      <c r="T630" s="52"/>
      <c r="U630" s="52"/>
      <c r="V630" s="52"/>
      <c r="W630" s="52"/>
      <c r="X630" s="52"/>
      <c r="Y630" s="52"/>
      <c r="Z630" s="52"/>
      <c r="AA630" s="52"/>
      <c r="AB630" s="52"/>
      <c r="AC630" s="52"/>
    </row>
    <row r="631" spans="1:29" ht="12.75">
      <c r="A631" s="197"/>
      <c r="B631" s="2"/>
      <c r="C631" s="52"/>
      <c r="D631" s="52"/>
      <c r="E631" s="52"/>
      <c r="F631" s="2"/>
      <c r="G631" s="2"/>
      <c r="H631" s="2"/>
      <c r="I631" s="2"/>
      <c r="J631" s="52"/>
      <c r="K631" s="2"/>
      <c r="L631" s="2"/>
      <c r="M631" s="2"/>
      <c r="N631" s="2"/>
      <c r="O631" s="52"/>
      <c r="P631" s="52"/>
      <c r="Q631" s="52"/>
      <c r="R631" s="52"/>
      <c r="S631" s="52"/>
      <c r="T631" s="52"/>
      <c r="U631" s="52"/>
      <c r="V631" s="52"/>
      <c r="W631" s="52"/>
      <c r="X631" s="52"/>
      <c r="Y631" s="52"/>
      <c r="Z631" s="52"/>
      <c r="AA631" s="52"/>
      <c r="AB631" s="52"/>
      <c r="AC631" s="52"/>
    </row>
    <row r="632" spans="1:29" ht="12.75">
      <c r="A632" s="197"/>
      <c r="B632" s="2"/>
      <c r="C632" s="52"/>
      <c r="D632" s="52"/>
      <c r="E632" s="52"/>
      <c r="F632" s="2"/>
      <c r="G632" s="2"/>
      <c r="H632" s="2"/>
      <c r="I632" s="2"/>
      <c r="J632" s="52"/>
      <c r="K632" s="2"/>
      <c r="L632" s="2"/>
      <c r="M632" s="2"/>
      <c r="N632" s="2"/>
      <c r="O632" s="52"/>
      <c r="P632" s="52"/>
      <c r="Q632" s="52"/>
      <c r="R632" s="52"/>
      <c r="S632" s="52"/>
      <c r="T632" s="52"/>
      <c r="U632" s="52"/>
      <c r="V632" s="52"/>
      <c r="W632" s="52"/>
      <c r="X632" s="52"/>
      <c r="Y632" s="52"/>
      <c r="Z632" s="52"/>
      <c r="AA632" s="52"/>
      <c r="AB632" s="52"/>
      <c r="AC632" s="52"/>
    </row>
    <row r="633" spans="1:29" ht="12.75">
      <c r="A633" s="197"/>
      <c r="B633" s="2"/>
      <c r="C633" s="52"/>
      <c r="D633" s="52"/>
      <c r="E633" s="52"/>
      <c r="F633" s="2"/>
      <c r="G633" s="2"/>
      <c r="H633" s="2"/>
      <c r="I633" s="2"/>
      <c r="J633" s="52"/>
      <c r="K633" s="2"/>
      <c r="L633" s="2"/>
      <c r="M633" s="2"/>
      <c r="N633" s="2"/>
      <c r="O633" s="52"/>
      <c r="P633" s="52"/>
      <c r="Q633" s="52"/>
      <c r="R633" s="52"/>
      <c r="S633" s="52"/>
      <c r="T633" s="52"/>
      <c r="U633" s="52"/>
      <c r="V633" s="52"/>
      <c r="W633" s="52"/>
      <c r="X633" s="52"/>
      <c r="Y633" s="52"/>
      <c r="Z633" s="52"/>
      <c r="AA633" s="52"/>
      <c r="AB633" s="52"/>
      <c r="AC633" s="52"/>
    </row>
    <row r="634" spans="1:29" ht="12.75">
      <c r="A634" s="197"/>
      <c r="B634" s="2"/>
      <c r="C634" s="52"/>
      <c r="D634" s="52"/>
      <c r="E634" s="52"/>
      <c r="F634" s="2"/>
      <c r="G634" s="2"/>
      <c r="H634" s="2"/>
      <c r="I634" s="2"/>
      <c r="J634" s="52"/>
      <c r="K634" s="2"/>
      <c r="L634" s="2"/>
      <c r="M634" s="2"/>
      <c r="N634" s="2"/>
      <c r="O634" s="52"/>
      <c r="P634" s="52"/>
      <c r="Q634" s="52"/>
      <c r="R634" s="52"/>
      <c r="S634" s="52"/>
      <c r="T634" s="52"/>
      <c r="U634" s="52"/>
      <c r="V634" s="52"/>
      <c r="W634" s="52"/>
      <c r="X634" s="52"/>
      <c r="Y634" s="52"/>
      <c r="Z634" s="52"/>
      <c r="AA634" s="52"/>
      <c r="AB634" s="52"/>
      <c r="AC634" s="52"/>
    </row>
    <row r="635" spans="1:29" ht="12.75">
      <c r="A635" s="197"/>
      <c r="B635" s="2"/>
      <c r="C635" s="52"/>
      <c r="D635" s="52"/>
      <c r="E635" s="52"/>
      <c r="F635" s="2"/>
      <c r="G635" s="2"/>
      <c r="H635" s="2"/>
      <c r="I635" s="2"/>
      <c r="J635" s="52"/>
      <c r="K635" s="2"/>
      <c r="L635" s="2"/>
      <c r="M635" s="2"/>
      <c r="N635" s="2"/>
      <c r="O635" s="52"/>
      <c r="P635" s="52"/>
      <c r="Q635" s="52"/>
      <c r="R635" s="52"/>
      <c r="S635" s="52"/>
      <c r="T635" s="52"/>
      <c r="U635" s="52"/>
      <c r="V635" s="52"/>
      <c r="W635" s="52"/>
      <c r="X635" s="52"/>
      <c r="Y635" s="52"/>
      <c r="Z635" s="52"/>
      <c r="AA635" s="52"/>
      <c r="AB635" s="52"/>
      <c r="AC635" s="52"/>
    </row>
    <row r="636" spans="1:29" ht="12.75">
      <c r="A636" s="197"/>
      <c r="B636" s="2"/>
      <c r="C636" s="52"/>
      <c r="D636" s="52"/>
      <c r="E636" s="52"/>
      <c r="F636" s="2"/>
      <c r="G636" s="2"/>
      <c r="H636" s="2"/>
      <c r="I636" s="2"/>
      <c r="J636" s="52"/>
      <c r="K636" s="2"/>
      <c r="L636" s="2"/>
      <c r="M636" s="2"/>
      <c r="N636" s="2"/>
      <c r="O636" s="52"/>
      <c r="P636" s="52"/>
      <c r="Q636" s="52"/>
      <c r="R636" s="52"/>
      <c r="S636" s="52"/>
      <c r="T636" s="52"/>
      <c r="U636" s="52"/>
      <c r="V636" s="52"/>
      <c r="W636" s="52"/>
      <c r="X636" s="52"/>
      <c r="Y636" s="52"/>
      <c r="Z636" s="52"/>
      <c r="AA636" s="52"/>
      <c r="AB636" s="52"/>
      <c r="AC636" s="52"/>
    </row>
    <row r="637" spans="1:29" ht="12.75">
      <c r="A637" s="197"/>
      <c r="B637" s="2"/>
      <c r="C637" s="52"/>
      <c r="D637" s="52"/>
      <c r="E637" s="52"/>
      <c r="F637" s="2"/>
      <c r="G637" s="2"/>
      <c r="H637" s="2"/>
      <c r="I637" s="2"/>
      <c r="J637" s="52"/>
      <c r="K637" s="2"/>
      <c r="L637" s="2"/>
      <c r="M637" s="2"/>
      <c r="N637" s="2"/>
      <c r="O637" s="52"/>
      <c r="P637" s="52"/>
      <c r="Q637" s="52"/>
      <c r="R637" s="52"/>
      <c r="S637" s="52"/>
      <c r="T637" s="52"/>
      <c r="U637" s="52"/>
      <c r="V637" s="52"/>
      <c r="W637" s="52"/>
      <c r="X637" s="52"/>
      <c r="Y637" s="52"/>
      <c r="Z637" s="52"/>
      <c r="AA637" s="52"/>
      <c r="AB637" s="52"/>
      <c r="AC637" s="52"/>
    </row>
    <row r="638" spans="1:29" ht="12.75">
      <c r="A638" s="197"/>
      <c r="B638" s="2"/>
      <c r="C638" s="52"/>
      <c r="D638" s="52"/>
      <c r="E638" s="52"/>
      <c r="F638" s="2"/>
      <c r="G638" s="2"/>
      <c r="H638" s="2"/>
      <c r="I638" s="2"/>
      <c r="J638" s="52"/>
      <c r="K638" s="2"/>
      <c r="L638" s="2"/>
      <c r="M638" s="2"/>
      <c r="N638" s="2"/>
      <c r="O638" s="52"/>
      <c r="P638" s="52"/>
      <c r="Q638" s="52"/>
      <c r="R638" s="52"/>
      <c r="S638" s="52"/>
      <c r="T638" s="52"/>
      <c r="U638" s="52"/>
      <c r="V638" s="52"/>
      <c r="W638" s="52"/>
      <c r="X638" s="52"/>
      <c r="Y638" s="52"/>
      <c r="Z638" s="52"/>
      <c r="AA638" s="52"/>
      <c r="AB638" s="52"/>
      <c r="AC638" s="52"/>
    </row>
    <row r="639" spans="1:29" ht="12.75">
      <c r="A639" s="197"/>
      <c r="B639" s="2"/>
      <c r="C639" s="52"/>
      <c r="D639" s="52"/>
      <c r="E639" s="52"/>
      <c r="F639" s="2"/>
      <c r="G639" s="2"/>
      <c r="H639" s="2"/>
      <c r="I639" s="2"/>
      <c r="J639" s="52"/>
      <c r="K639" s="2"/>
      <c r="L639" s="2"/>
      <c r="M639" s="2"/>
      <c r="N639" s="2"/>
      <c r="O639" s="52"/>
      <c r="P639" s="52"/>
      <c r="Q639" s="52"/>
      <c r="R639" s="52"/>
      <c r="S639" s="52"/>
      <c r="T639" s="52"/>
      <c r="U639" s="52"/>
      <c r="V639" s="52"/>
      <c r="W639" s="52"/>
      <c r="X639" s="52"/>
      <c r="Y639" s="52"/>
      <c r="Z639" s="52"/>
      <c r="AA639" s="52"/>
      <c r="AB639" s="52"/>
      <c r="AC639" s="52"/>
    </row>
    <row r="640" spans="1:29" ht="12.75">
      <c r="A640" s="197"/>
      <c r="B640" s="2"/>
      <c r="C640" s="52"/>
      <c r="D640" s="52"/>
      <c r="E640" s="52"/>
      <c r="F640" s="2"/>
      <c r="G640" s="2"/>
      <c r="H640" s="2"/>
      <c r="I640" s="2"/>
      <c r="J640" s="52"/>
      <c r="K640" s="2"/>
      <c r="L640" s="2"/>
      <c r="M640" s="2"/>
      <c r="N640" s="2"/>
      <c r="O640" s="52"/>
      <c r="P640" s="52"/>
      <c r="Q640" s="52"/>
      <c r="R640" s="52"/>
      <c r="S640" s="52"/>
      <c r="T640" s="52"/>
      <c r="U640" s="52"/>
      <c r="V640" s="52"/>
      <c r="W640" s="52"/>
      <c r="X640" s="52"/>
      <c r="Y640" s="52"/>
      <c r="Z640" s="52"/>
      <c r="AA640" s="52"/>
      <c r="AB640" s="52"/>
      <c r="AC640" s="52"/>
    </row>
    <row r="641" spans="1:29" ht="12.75">
      <c r="A641" s="197"/>
      <c r="B641" s="2"/>
      <c r="C641" s="52"/>
      <c r="D641" s="52"/>
      <c r="E641" s="52"/>
      <c r="F641" s="2"/>
      <c r="G641" s="2"/>
      <c r="H641" s="2"/>
      <c r="I641" s="2"/>
      <c r="J641" s="52"/>
      <c r="K641" s="2"/>
      <c r="L641" s="2"/>
      <c r="M641" s="2"/>
      <c r="N641" s="2"/>
      <c r="O641" s="52"/>
      <c r="P641" s="52"/>
      <c r="Q641" s="52"/>
      <c r="R641" s="52"/>
      <c r="S641" s="52"/>
      <c r="T641" s="52"/>
      <c r="U641" s="52"/>
      <c r="V641" s="52"/>
      <c r="W641" s="52"/>
      <c r="X641" s="52"/>
      <c r="Y641" s="52"/>
      <c r="Z641" s="52"/>
      <c r="AA641" s="52"/>
      <c r="AB641" s="52"/>
      <c r="AC641" s="52"/>
    </row>
    <row r="642" spans="1:29" ht="12.75">
      <c r="A642" s="197"/>
      <c r="B642" s="2"/>
      <c r="C642" s="52"/>
      <c r="D642" s="52"/>
      <c r="E642" s="52"/>
      <c r="F642" s="2"/>
      <c r="G642" s="2"/>
      <c r="H642" s="2"/>
      <c r="I642" s="2"/>
      <c r="J642" s="52"/>
      <c r="K642" s="2"/>
      <c r="L642" s="2"/>
      <c r="M642" s="2"/>
      <c r="N642" s="2"/>
      <c r="O642" s="52"/>
      <c r="P642" s="52"/>
      <c r="Q642" s="52"/>
      <c r="R642" s="52"/>
      <c r="S642" s="52"/>
      <c r="T642" s="52"/>
      <c r="U642" s="52"/>
      <c r="V642" s="52"/>
      <c r="W642" s="52"/>
      <c r="X642" s="52"/>
      <c r="Y642" s="52"/>
      <c r="Z642" s="52"/>
      <c r="AA642" s="52"/>
      <c r="AB642" s="52"/>
      <c r="AC642" s="52"/>
    </row>
    <row r="643" spans="1:29" ht="12.75">
      <c r="A643" s="197"/>
      <c r="B643" s="2"/>
      <c r="C643" s="52"/>
      <c r="D643" s="52"/>
      <c r="E643" s="52"/>
      <c r="F643" s="2"/>
      <c r="G643" s="2"/>
      <c r="H643" s="2"/>
      <c r="I643" s="2"/>
      <c r="J643" s="52"/>
      <c r="K643" s="2"/>
      <c r="L643" s="2"/>
      <c r="M643" s="2"/>
      <c r="N643" s="2"/>
      <c r="O643" s="52"/>
      <c r="P643" s="52"/>
      <c r="Q643" s="52"/>
      <c r="R643" s="52"/>
      <c r="S643" s="52"/>
      <c r="T643" s="52"/>
      <c r="U643" s="52"/>
      <c r="V643" s="52"/>
      <c r="W643" s="52"/>
      <c r="X643" s="52"/>
      <c r="Y643" s="52"/>
      <c r="Z643" s="52"/>
      <c r="AA643" s="52"/>
      <c r="AB643" s="52"/>
      <c r="AC643" s="52"/>
    </row>
    <row r="644" spans="1:29" ht="12.75">
      <c r="A644" s="197"/>
      <c r="B644" s="2"/>
      <c r="C644" s="52"/>
      <c r="D644" s="52"/>
      <c r="E644" s="52"/>
      <c r="F644" s="2"/>
      <c r="G644" s="2"/>
      <c r="H644" s="2"/>
      <c r="I644" s="2"/>
      <c r="J644" s="52"/>
      <c r="K644" s="2"/>
      <c r="L644" s="2"/>
      <c r="M644" s="2"/>
      <c r="N644" s="2"/>
      <c r="O644" s="52"/>
      <c r="P644" s="52"/>
      <c r="Q644" s="52"/>
      <c r="R644" s="52"/>
      <c r="S644" s="52"/>
      <c r="T644" s="52"/>
      <c r="U644" s="52"/>
      <c r="V644" s="52"/>
      <c r="W644" s="52"/>
      <c r="X644" s="52"/>
      <c r="Y644" s="52"/>
      <c r="Z644" s="52"/>
      <c r="AA644" s="52"/>
      <c r="AB644" s="52"/>
      <c r="AC644" s="52"/>
    </row>
    <row r="645" spans="1:29" ht="12.75">
      <c r="A645" s="197"/>
      <c r="B645" s="2"/>
      <c r="C645" s="52"/>
      <c r="D645" s="52"/>
      <c r="E645" s="52"/>
      <c r="F645" s="2"/>
      <c r="G645" s="2"/>
      <c r="H645" s="2"/>
      <c r="I645" s="2"/>
      <c r="J645" s="52"/>
      <c r="K645" s="2"/>
      <c r="L645" s="2"/>
      <c r="M645" s="2"/>
      <c r="N645" s="2"/>
      <c r="O645" s="52"/>
      <c r="P645" s="52"/>
      <c r="Q645" s="52"/>
      <c r="R645" s="52"/>
      <c r="S645" s="52"/>
      <c r="T645" s="52"/>
      <c r="U645" s="52"/>
      <c r="V645" s="52"/>
      <c r="W645" s="52"/>
      <c r="X645" s="52"/>
      <c r="Y645" s="52"/>
      <c r="Z645" s="52"/>
      <c r="AA645" s="52"/>
      <c r="AB645" s="52"/>
      <c r="AC645" s="52"/>
    </row>
    <row r="646" spans="1:29" ht="12.75">
      <c r="A646" s="197"/>
      <c r="B646" s="2"/>
      <c r="C646" s="52"/>
      <c r="D646" s="52"/>
      <c r="E646" s="52"/>
      <c r="F646" s="2"/>
      <c r="G646" s="2"/>
      <c r="H646" s="2"/>
      <c r="I646" s="2"/>
      <c r="J646" s="52"/>
      <c r="K646" s="2"/>
      <c r="L646" s="2"/>
      <c r="M646" s="2"/>
      <c r="N646" s="2"/>
      <c r="O646" s="52"/>
      <c r="P646" s="52"/>
      <c r="Q646" s="52"/>
      <c r="R646" s="52"/>
      <c r="S646" s="52"/>
      <c r="T646" s="52"/>
      <c r="U646" s="52"/>
      <c r="V646" s="52"/>
      <c r="W646" s="52"/>
      <c r="X646" s="52"/>
      <c r="Y646" s="52"/>
      <c r="Z646" s="52"/>
      <c r="AA646" s="52"/>
      <c r="AB646" s="52"/>
      <c r="AC646" s="52"/>
    </row>
    <row r="647" spans="1:29" ht="12.75">
      <c r="A647" s="197"/>
      <c r="B647" s="2"/>
      <c r="C647" s="52"/>
      <c r="D647" s="52"/>
      <c r="E647" s="52"/>
      <c r="F647" s="2"/>
      <c r="G647" s="2"/>
      <c r="H647" s="2"/>
      <c r="I647" s="2"/>
      <c r="J647" s="52"/>
      <c r="K647" s="2"/>
      <c r="L647" s="2"/>
      <c r="M647" s="2"/>
      <c r="N647" s="2"/>
      <c r="O647" s="52"/>
      <c r="P647" s="52"/>
      <c r="Q647" s="52"/>
      <c r="R647" s="52"/>
      <c r="S647" s="52"/>
      <c r="T647" s="52"/>
      <c r="U647" s="52"/>
      <c r="V647" s="52"/>
      <c r="W647" s="52"/>
      <c r="X647" s="52"/>
      <c r="Y647" s="52"/>
      <c r="Z647" s="52"/>
      <c r="AA647" s="52"/>
      <c r="AB647" s="52"/>
      <c r="AC647" s="52"/>
    </row>
    <row r="648" spans="1:29" ht="12.75">
      <c r="A648" s="197"/>
      <c r="B648" s="2"/>
      <c r="C648" s="52"/>
      <c r="D648" s="52"/>
      <c r="E648" s="52"/>
      <c r="F648" s="2"/>
      <c r="G648" s="2"/>
      <c r="H648" s="2"/>
      <c r="I648" s="2"/>
      <c r="J648" s="52"/>
      <c r="K648" s="2"/>
      <c r="L648" s="2"/>
      <c r="M648" s="2"/>
      <c r="N648" s="2"/>
      <c r="O648" s="52"/>
      <c r="P648" s="52"/>
      <c r="Q648" s="52"/>
      <c r="R648" s="52"/>
      <c r="S648" s="52"/>
      <c r="T648" s="52"/>
      <c r="U648" s="52"/>
      <c r="V648" s="52"/>
      <c r="W648" s="52"/>
      <c r="X648" s="52"/>
      <c r="Y648" s="52"/>
      <c r="Z648" s="52"/>
      <c r="AA648" s="52"/>
      <c r="AB648" s="52"/>
      <c r="AC648" s="52"/>
    </row>
    <row r="649" spans="1:29" ht="12.75">
      <c r="A649" s="197"/>
      <c r="B649" s="2"/>
      <c r="C649" s="52"/>
      <c r="D649" s="52"/>
      <c r="E649" s="52"/>
      <c r="F649" s="2"/>
      <c r="G649" s="2"/>
      <c r="H649" s="2"/>
      <c r="I649" s="2"/>
      <c r="J649" s="52"/>
      <c r="K649" s="2"/>
      <c r="L649" s="2"/>
      <c r="M649" s="2"/>
      <c r="N649" s="2"/>
      <c r="O649" s="52"/>
      <c r="P649" s="52"/>
      <c r="Q649" s="52"/>
      <c r="R649" s="52"/>
      <c r="S649" s="52"/>
      <c r="T649" s="52"/>
      <c r="U649" s="52"/>
      <c r="V649" s="52"/>
      <c r="W649" s="52"/>
      <c r="X649" s="52"/>
      <c r="Y649" s="52"/>
      <c r="Z649" s="52"/>
      <c r="AA649" s="52"/>
      <c r="AB649" s="52"/>
      <c r="AC649" s="52"/>
    </row>
    <row r="650" spans="1:29" ht="12.75">
      <c r="A650" s="197"/>
      <c r="B650" s="2"/>
      <c r="C650" s="52"/>
      <c r="D650" s="52"/>
      <c r="E650" s="52"/>
      <c r="F650" s="2"/>
      <c r="G650" s="2"/>
      <c r="H650" s="2"/>
      <c r="I650" s="2"/>
      <c r="J650" s="52"/>
      <c r="K650" s="2"/>
      <c r="L650" s="2"/>
      <c r="M650" s="2"/>
      <c r="N650" s="2"/>
      <c r="O650" s="52"/>
      <c r="P650" s="52"/>
      <c r="Q650" s="52"/>
      <c r="R650" s="52"/>
      <c r="S650" s="52"/>
      <c r="T650" s="52"/>
      <c r="U650" s="52"/>
      <c r="V650" s="52"/>
      <c r="W650" s="52"/>
      <c r="X650" s="52"/>
      <c r="Y650" s="52"/>
      <c r="Z650" s="52"/>
      <c r="AA650" s="52"/>
      <c r="AB650" s="52"/>
      <c r="AC650" s="52"/>
    </row>
    <row r="651" spans="1:29" ht="12.75">
      <c r="A651" s="197"/>
      <c r="B651" s="2"/>
      <c r="C651" s="52"/>
      <c r="D651" s="52"/>
      <c r="E651" s="52"/>
      <c r="F651" s="2"/>
      <c r="G651" s="2"/>
      <c r="H651" s="2"/>
      <c r="I651" s="2"/>
      <c r="J651" s="52"/>
      <c r="K651" s="2"/>
      <c r="L651" s="2"/>
      <c r="M651" s="2"/>
      <c r="N651" s="2"/>
      <c r="O651" s="52"/>
      <c r="P651" s="52"/>
      <c r="Q651" s="52"/>
      <c r="R651" s="52"/>
      <c r="S651" s="52"/>
      <c r="T651" s="52"/>
      <c r="U651" s="52"/>
      <c r="V651" s="52"/>
      <c r="W651" s="52"/>
      <c r="X651" s="52"/>
      <c r="Y651" s="52"/>
      <c r="Z651" s="52"/>
      <c r="AA651" s="52"/>
      <c r="AB651" s="52"/>
      <c r="AC651" s="52"/>
    </row>
    <row r="652" spans="1:29" ht="12.75">
      <c r="A652" s="197"/>
      <c r="B652" s="2"/>
      <c r="C652" s="52"/>
      <c r="D652" s="52"/>
      <c r="E652" s="52"/>
      <c r="F652" s="2"/>
      <c r="G652" s="2"/>
      <c r="H652" s="2"/>
      <c r="I652" s="2"/>
      <c r="J652" s="52"/>
      <c r="K652" s="2"/>
      <c r="L652" s="2"/>
      <c r="M652" s="2"/>
      <c r="N652" s="2"/>
      <c r="O652" s="52"/>
      <c r="P652" s="52"/>
      <c r="Q652" s="52"/>
      <c r="R652" s="52"/>
      <c r="S652" s="52"/>
      <c r="T652" s="52"/>
      <c r="U652" s="52"/>
      <c r="V652" s="52"/>
      <c r="W652" s="52"/>
      <c r="X652" s="52"/>
      <c r="Y652" s="52"/>
      <c r="Z652" s="52"/>
      <c r="AA652" s="52"/>
      <c r="AB652" s="52"/>
      <c r="AC652" s="52"/>
    </row>
    <row r="653" spans="1:29" ht="12.75">
      <c r="A653" s="197"/>
      <c r="B653" s="2"/>
      <c r="C653" s="52"/>
      <c r="D653" s="52"/>
      <c r="E653" s="52"/>
      <c r="F653" s="2"/>
      <c r="G653" s="2"/>
      <c r="H653" s="2"/>
      <c r="I653" s="2"/>
      <c r="J653" s="52"/>
      <c r="K653" s="2"/>
      <c r="L653" s="2"/>
      <c r="M653" s="2"/>
      <c r="N653" s="2"/>
      <c r="O653" s="52"/>
      <c r="P653" s="52"/>
      <c r="Q653" s="52"/>
      <c r="R653" s="52"/>
      <c r="S653" s="52"/>
      <c r="T653" s="52"/>
      <c r="U653" s="52"/>
      <c r="V653" s="52"/>
      <c r="W653" s="52"/>
      <c r="X653" s="52"/>
      <c r="Y653" s="52"/>
      <c r="Z653" s="52"/>
      <c r="AA653" s="52"/>
      <c r="AB653" s="52"/>
      <c r="AC653" s="52"/>
    </row>
    <row r="654" spans="1:29" ht="12.75">
      <c r="A654" s="197"/>
      <c r="B654" s="2"/>
      <c r="C654" s="52"/>
      <c r="D654" s="52"/>
      <c r="E654" s="52"/>
      <c r="F654" s="2"/>
      <c r="G654" s="2"/>
      <c r="H654" s="2"/>
      <c r="I654" s="2"/>
      <c r="J654" s="52"/>
      <c r="K654" s="2"/>
      <c r="L654" s="2"/>
      <c r="M654" s="2"/>
      <c r="N654" s="2"/>
      <c r="O654" s="52"/>
      <c r="P654" s="52"/>
      <c r="Q654" s="52"/>
      <c r="R654" s="52"/>
      <c r="S654" s="52"/>
      <c r="T654" s="52"/>
      <c r="U654" s="52"/>
      <c r="V654" s="52"/>
      <c r="W654" s="52"/>
      <c r="X654" s="52"/>
      <c r="Y654" s="52"/>
      <c r="Z654" s="52"/>
      <c r="AA654" s="52"/>
      <c r="AB654" s="52"/>
      <c r="AC654" s="52"/>
    </row>
    <row r="655" spans="1:29" ht="12.75">
      <c r="A655" s="197"/>
      <c r="B655" s="2"/>
      <c r="C655" s="52"/>
      <c r="D655" s="52"/>
      <c r="E655" s="52"/>
      <c r="F655" s="2"/>
      <c r="G655" s="2"/>
      <c r="H655" s="2"/>
      <c r="I655" s="2"/>
      <c r="J655" s="52"/>
      <c r="K655" s="2"/>
      <c r="L655" s="2"/>
      <c r="M655" s="2"/>
      <c r="N655" s="2"/>
      <c r="O655" s="52"/>
      <c r="P655" s="52"/>
      <c r="Q655" s="52"/>
      <c r="R655" s="52"/>
      <c r="S655" s="52"/>
      <c r="T655" s="52"/>
      <c r="U655" s="52"/>
      <c r="V655" s="52"/>
      <c r="W655" s="52"/>
      <c r="X655" s="52"/>
      <c r="Y655" s="52"/>
      <c r="Z655" s="52"/>
      <c r="AA655" s="52"/>
      <c r="AB655" s="52"/>
      <c r="AC655" s="52"/>
    </row>
    <row r="656" spans="1:29" ht="12.75">
      <c r="A656" s="197"/>
      <c r="B656" s="2"/>
      <c r="C656" s="52"/>
      <c r="D656" s="52"/>
      <c r="E656" s="52"/>
      <c r="F656" s="2"/>
      <c r="G656" s="2"/>
      <c r="H656" s="2"/>
      <c r="I656" s="2"/>
      <c r="J656" s="52"/>
      <c r="K656" s="2"/>
      <c r="L656" s="2"/>
      <c r="M656" s="2"/>
      <c r="N656" s="2"/>
      <c r="O656" s="52"/>
      <c r="P656" s="52"/>
      <c r="Q656" s="52"/>
      <c r="R656" s="52"/>
      <c r="S656" s="52"/>
      <c r="T656" s="52"/>
      <c r="U656" s="52"/>
      <c r="V656" s="52"/>
      <c r="W656" s="52"/>
      <c r="X656" s="52"/>
      <c r="Y656" s="52"/>
      <c r="Z656" s="52"/>
      <c r="AA656" s="52"/>
      <c r="AB656" s="52"/>
      <c r="AC656" s="52"/>
    </row>
    <row r="657" spans="1:29" ht="12.75">
      <c r="A657" s="197"/>
      <c r="B657" s="2"/>
      <c r="C657" s="52"/>
      <c r="D657" s="52"/>
      <c r="E657" s="52"/>
      <c r="F657" s="2"/>
      <c r="G657" s="2"/>
      <c r="H657" s="2"/>
      <c r="I657" s="2"/>
      <c r="J657" s="52"/>
      <c r="K657" s="2"/>
      <c r="L657" s="2"/>
      <c r="M657" s="2"/>
      <c r="N657" s="2"/>
      <c r="O657" s="52"/>
      <c r="P657" s="52"/>
      <c r="Q657" s="52"/>
      <c r="R657" s="52"/>
      <c r="S657" s="52"/>
      <c r="T657" s="52"/>
      <c r="U657" s="52"/>
      <c r="V657" s="52"/>
      <c r="W657" s="52"/>
      <c r="X657" s="52"/>
      <c r="Y657" s="52"/>
      <c r="Z657" s="52"/>
      <c r="AA657" s="52"/>
      <c r="AB657" s="52"/>
      <c r="AC657" s="52"/>
    </row>
    <row r="658" spans="1:29" ht="12.75">
      <c r="A658" s="197"/>
      <c r="B658" s="2"/>
      <c r="C658" s="52"/>
      <c r="D658" s="52"/>
      <c r="E658" s="52"/>
      <c r="F658" s="2"/>
      <c r="G658" s="2"/>
      <c r="H658" s="2"/>
      <c r="I658" s="2"/>
      <c r="J658" s="52"/>
      <c r="K658" s="2"/>
      <c r="L658" s="2"/>
      <c r="M658" s="2"/>
      <c r="N658" s="2"/>
      <c r="O658" s="52"/>
      <c r="P658" s="52"/>
      <c r="Q658" s="52"/>
      <c r="R658" s="52"/>
      <c r="S658" s="52"/>
      <c r="T658" s="52"/>
      <c r="U658" s="52"/>
      <c r="V658" s="52"/>
      <c r="W658" s="52"/>
      <c r="X658" s="52"/>
      <c r="Y658" s="52"/>
      <c r="Z658" s="52"/>
      <c r="AA658" s="52"/>
      <c r="AB658" s="52"/>
      <c r="AC658" s="52"/>
    </row>
    <row r="659" spans="1:29" ht="12.75">
      <c r="A659" s="197"/>
      <c r="B659" s="2"/>
      <c r="C659" s="52"/>
      <c r="D659" s="52"/>
      <c r="E659" s="52"/>
      <c r="F659" s="2"/>
      <c r="G659" s="2"/>
      <c r="H659" s="2"/>
      <c r="I659" s="2"/>
      <c r="J659" s="52"/>
      <c r="K659" s="2"/>
      <c r="L659" s="2"/>
      <c r="M659" s="2"/>
      <c r="N659" s="2"/>
      <c r="O659" s="52"/>
      <c r="P659" s="52"/>
      <c r="Q659" s="52"/>
      <c r="R659" s="52"/>
      <c r="S659" s="52"/>
      <c r="T659" s="52"/>
      <c r="U659" s="52"/>
      <c r="V659" s="52"/>
      <c r="W659" s="52"/>
      <c r="X659" s="52"/>
      <c r="Y659" s="52"/>
      <c r="Z659" s="52"/>
      <c r="AA659" s="52"/>
      <c r="AB659" s="52"/>
      <c r="AC659" s="52"/>
    </row>
    <row r="660" spans="1:29" ht="12.75">
      <c r="A660" s="197"/>
      <c r="B660" s="2"/>
      <c r="C660" s="52"/>
      <c r="D660" s="52"/>
      <c r="E660" s="52"/>
      <c r="F660" s="2"/>
      <c r="G660" s="2"/>
      <c r="H660" s="2"/>
      <c r="I660" s="2"/>
      <c r="J660" s="52"/>
      <c r="K660" s="2"/>
      <c r="L660" s="2"/>
      <c r="M660" s="2"/>
      <c r="N660" s="2"/>
      <c r="O660" s="52"/>
      <c r="P660" s="52"/>
      <c r="Q660" s="52"/>
      <c r="R660" s="52"/>
      <c r="S660" s="52"/>
      <c r="T660" s="52"/>
      <c r="U660" s="52"/>
      <c r="V660" s="52"/>
      <c r="W660" s="52"/>
      <c r="X660" s="52"/>
      <c r="Y660" s="52"/>
      <c r="Z660" s="52"/>
      <c r="AA660" s="52"/>
      <c r="AB660" s="52"/>
      <c r="AC660" s="52"/>
    </row>
    <row r="661" spans="1:29" ht="12.75">
      <c r="A661" s="197"/>
      <c r="B661" s="2"/>
      <c r="C661" s="52"/>
      <c r="D661" s="52"/>
      <c r="E661" s="52"/>
      <c r="F661" s="2"/>
      <c r="G661" s="2"/>
      <c r="H661" s="2"/>
      <c r="I661" s="2"/>
      <c r="J661" s="52"/>
      <c r="K661" s="2"/>
      <c r="L661" s="2"/>
      <c r="M661" s="2"/>
      <c r="N661" s="2"/>
      <c r="O661" s="52"/>
      <c r="P661" s="52"/>
      <c r="Q661" s="52"/>
      <c r="R661" s="52"/>
      <c r="S661" s="52"/>
      <c r="T661" s="52"/>
      <c r="U661" s="52"/>
      <c r="V661" s="52"/>
      <c r="W661" s="52"/>
      <c r="X661" s="52"/>
      <c r="Y661" s="52"/>
      <c r="Z661" s="52"/>
      <c r="AA661" s="52"/>
      <c r="AB661" s="52"/>
      <c r="AC661" s="52"/>
    </row>
    <row r="662" spans="1:29" ht="12.75">
      <c r="A662" s="197"/>
      <c r="B662" s="2"/>
      <c r="C662" s="52"/>
      <c r="D662" s="52"/>
      <c r="E662" s="52"/>
      <c r="F662" s="2"/>
      <c r="G662" s="2"/>
      <c r="H662" s="2"/>
      <c r="I662" s="2"/>
      <c r="J662" s="52"/>
      <c r="K662" s="2"/>
      <c r="L662" s="2"/>
      <c r="M662" s="2"/>
      <c r="N662" s="2"/>
      <c r="O662" s="52"/>
      <c r="P662" s="52"/>
      <c r="Q662" s="52"/>
      <c r="R662" s="52"/>
      <c r="S662" s="52"/>
      <c r="T662" s="52"/>
      <c r="U662" s="52"/>
      <c r="V662" s="52"/>
      <c r="W662" s="52"/>
      <c r="X662" s="52"/>
      <c r="Y662" s="52"/>
      <c r="Z662" s="52"/>
      <c r="AA662" s="52"/>
      <c r="AB662" s="52"/>
      <c r="AC662" s="52"/>
    </row>
    <row r="663" spans="1:29" ht="12.75">
      <c r="A663" s="197"/>
      <c r="B663" s="2"/>
      <c r="C663" s="52"/>
      <c r="D663" s="52"/>
      <c r="E663" s="52"/>
      <c r="F663" s="2"/>
      <c r="G663" s="2"/>
      <c r="H663" s="2"/>
      <c r="I663" s="2"/>
      <c r="J663" s="52"/>
      <c r="K663" s="2"/>
      <c r="L663" s="2"/>
      <c r="M663" s="2"/>
      <c r="N663" s="2"/>
      <c r="O663" s="52"/>
      <c r="P663" s="52"/>
      <c r="Q663" s="52"/>
      <c r="R663" s="52"/>
      <c r="S663" s="52"/>
      <c r="T663" s="52"/>
      <c r="U663" s="52"/>
      <c r="V663" s="52"/>
      <c r="W663" s="52"/>
      <c r="X663" s="52"/>
      <c r="Y663" s="52"/>
      <c r="Z663" s="52"/>
      <c r="AA663" s="52"/>
      <c r="AB663" s="52"/>
      <c r="AC663" s="52"/>
    </row>
    <row r="664" spans="1:29" ht="12.75">
      <c r="A664" s="197"/>
      <c r="B664" s="2"/>
      <c r="C664" s="52"/>
      <c r="D664" s="52"/>
      <c r="E664" s="52"/>
      <c r="F664" s="2"/>
      <c r="G664" s="2"/>
      <c r="H664" s="2"/>
      <c r="I664" s="2"/>
      <c r="J664" s="52"/>
      <c r="K664" s="2"/>
      <c r="L664" s="2"/>
      <c r="M664" s="2"/>
      <c r="N664" s="2"/>
      <c r="O664" s="52"/>
      <c r="P664" s="52"/>
      <c r="Q664" s="52"/>
      <c r="R664" s="52"/>
      <c r="S664" s="52"/>
      <c r="T664" s="52"/>
      <c r="U664" s="52"/>
      <c r="V664" s="52"/>
      <c r="W664" s="52"/>
      <c r="X664" s="52"/>
      <c r="Y664" s="52"/>
      <c r="Z664" s="52"/>
      <c r="AA664" s="52"/>
      <c r="AB664" s="52"/>
      <c r="AC664" s="52"/>
    </row>
    <row r="665" spans="1:29" ht="12.75">
      <c r="A665" s="197"/>
      <c r="B665" s="2"/>
      <c r="C665" s="52"/>
      <c r="D665" s="52"/>
      <c r="E665" s="52"/>
      <c r="F665" s="2"/>
      <c r="G665" s="2"/>
      <c r="H665" s="2"/>
      <c r="I665" s="2"/>
      <c r="J665" s="52"/>
      <c r="K665" s="2"/>
      <c r="L665" s="2"/>
      <c r="M665" s="2"/>
      <c r="N665" s="2"/>
      <c r="O665" s="52"/>
      <c r="P665" s="52"/>
      <c r="Q665" s="52"/>
      <c r="R665" s="52"/>
      <c r="S665" s="52"/>
      <c r="T665" s="52"/>
      <c r="U665" s="52"/>
      <c r="V665" s="52"/>
      <c r="W665" s="52"/>
      <c r="X665" s="52"/>
      <c r="Y665" s="52"/>
      <c r="Z665" s="52"/>
      <c r="AA665" s="52"/>
      <c r="AB665" s="52"/>
      <c r="AC665" s="52"/>
    </row>
    <row r="666" spans="1:29" ht="12.75">
      <c r="A666" s="197"/>
      <c r="B666" s="2"/>
      <c r="C666" s="52"/>
      <c r="D666" s="52"/>
      <c r="E666" s="52"/>
      <c r="F666" s="2"/>
      <c r="G666" s="2"/>
      <c r="H666" s="2"/>
      <c r="I666" s="2"/>
      <c r="J666" s="52"/>
      <c r="K666" s="2"/>
      <c r="L666" s="2"/>
      <c r="M666" s="2"/>
      <c r="N666" s="2"/>
      <c r="O666" s="52"/>
      <c r="P666" s="52"/>
      <c r="Q666" s="52"/>
      <c r="R666" s="52"/>
      <c r="S666" s="52"/>
      <c r="T666" s="52"/>
      <c r="U666" s="52"/>
      <c r="V666" s="52"/>
      <c r="W666" s="52"/>
      <c r="X666" s="52"/>
      <c r="Y666" s="52"/>
      <c r="Z666" s="52"/>
      <c r="AA666" s="52"/>
      <c r="AB666" s="52"/>
      <c r="AC666" s="52"/>
    </row>
    <row r="667" spans="1:29" ht="12.75">
      <c r="A667" s="197"/>
      <c r="B667" s="2"/>
      <c r="C667" s="52"/>
      <c r="D667" s="52"/>
      <c r="E667" s="52"/>
      <c r="F667" s="2"/>
      <c r="G667" s="2"/>
      <c r="H667" s="2"/>
      <c r="I667" s="2"/>
      <c r="J667" s="52"/>
      <c r="K667" s="2"/>
      <c r="L667" s="2"/>
      <c r="M667" s="2"/>
      <c r="N667" s="2"/>
      <c r="O667" s="52"/>
      <c r="P667" s="52"/>
      <c r="Q667" s="52"/>
      <c r="R667" s="52"/>
      <c r="S667" s="52"/>
      <c r="T667" s="52"/>
      <c r="U667" s="52"/>
      <c r="V667" s="52"/>
      <c r="W667" s="52"/>
      <c r="X667" s="52"/>
      <c r="Y667" s="52"/>
      <c r="Z667" s="52"/>
      <c r="AA667" s="52"/>
      <c r="AB667" s="52"/>
      <c r="AC667" s="52"/>
    </row>
    <row r="668" spans="1:29" ht="12.75">
      <c r="A668" s="197"/>
      <c r="B668" s="2"/>
      <c r="C668" s="52"/>
      <c r="D668" s="52"/>
      <c r="E668" s="52"/>
      <c r="F668" s="2"/>
      <c r="G668" s="2"/>
      <c r="H668" s="2"/>
      <c r="I668" s="2"/>
      <c r="J668" s="52"/>
      <c r="K668" s="2"/>
      <c r="L668" s="2"/>
      <c r="M668" s="2"/>
      <c r="N668" s="2"/>
      <c r="O668" s="52"/>
      <c r="P668" s="52"/>
      <c r="Q668" s="52"/>
      <c r="R668" s="52"/>
      <c r="S668" s="52"/>
      <c r="T668" s="52"/>
      <c r="U668" s="52"/>
      <c r="V668" s="52"/>
      <c r="W668" s="52"/>
      <c r="X668" s="52"/>
      <c r="Y668" s="52"/>
      <c r="Z668" s="52"/>
      <c r="AA668" s="52"/>
      <c r="AB668" s="52"/>
      <c r="AC668" s="52"/>
    </row>
    <row r="669" spans="1:29" ht="12.75">
      <c r="A669" s="197"/>
      <c r="B669" s="2"/>
      <c r="C669" s="52"/>
      <c r="D669" s="52"/>
      <c r="E669" s="52"/>
      <c r="F669" s="2"/>
      <c r="G669" s="2"/>
      <c r="H669" s="2"/>
      <c r="I669" s="2"/>
      <c r="J669" s="52"/>
      <c r="K669" s="2"/>
      <c r="L669" s="2"/>
      <c r="M669" s="2"/>
      <c r="N669" s="2"/>
      <c r="O669" s="52"/>
      <c r="P669" s="52"/>
      <c r="Q669" s="52"/>
      <c r="R669" s="52"/>
      <c r="S669" s="52"/>
      <c r="T669" s="52"/>
      <c r="U669" s="52"/>
      <c r="V669" s="52"/>
      <c r="W669" s="52"/>
      <c r="X669" s="52"/>
      <c r="Y669" s="52"/>
      <c r="Z669" s="52"/>
      <c r="AA669" s="52"/>
      <c r="AB669" s="52"/>
      <c r="AC669" s="52"/>
    </row>
    <row r="670" spans="1:29" ht="12.75">
      <c r="A670" s="197"/>
      <c r="B670" s="2"/>
      <c r="C670" s="52"/>
      <c r="D670" s="52"/>
      <c r="E670" s="52"/>
      <c r="F670" s="2"/>
      <c r="G670" s="2"/>
      <c r="H670" s="2"/>
      <c r="I670" s="2"/>
      <c r="J670" s="52"/>
      <c r="K670" s="2"/>
      <c r="L670" s="2"/>
      <c r="M670" s="2"/>
      <c r="N670" s="2"/>
      <c r="O670" s="52"/>
      <c r="P670" s="52"/>
      <c r="Q670" s="52"/>
      <c r="R670" s="52"/>
      <c r="S670" s="52"/>
      <c r="T670" s="52"/>
      <c r="U670" s="52"/>
      <c r="V670" s="52"/>
      <c r="W670" s="52"/>
      <c r="X670" s="52"/>
      <c r="Y670" s="52"/>
      <c r="Z670" s="52"/>
      <c r="AA670" s="52"/>
      <c r="AB670" s="52"/>
      <c r="AC670" s="52"/>
    </row>
    <row r="671" spans="1:29" ht="12.75">
      <c r="A671" s="197"/>
      <c r="B671" s="2"/>
      <c r="C671" s="52"/>
      <c r="D671" s="52"/>
      <c r="E671" s="52"/>
      <c r="F671" s="2"/>
      <c r="G671" s="2"/>
      <c r="H671" s="2"/>
      <c r="I671" s="2"/>
      <c r="J671" s="52"/>
      <c r="K671" s="2"/>
      <c r="L671" s="2"/>
      <c r="M671" s="2"/>
      <c r="N671" s="2"/>
      <c r="O671" s="52"/>
      <c r="P671" s="52"/>
      <c r="Q671" s="52"/>
      <c r="R671" s="52"/>
      <c r="S671" s="52"/>
      <c r="T671" s="52"/>
      <c r="U671" s="52"/>
      <c r="V671" s="52"/>
      <c r="W671" s="52"/>
      <c r="X671" s="52"/>
      <c r="Y671" s="52"/>
      <c r="Z671" s="52"/>
      <c r="AA671" s="52"/>
      <c r="AB671" s="52"/>
      <c r="AC671" s="52"/>
    </row>
    <row r="672" spans="1:29" ht="12.75">
      <c r="A672" s="197"/>
      <c r="B672" s="2"/>
      <c r="C672" s="52"/>
      <c r="D672" s="52"/>
      <c r="E672" s="52"/>
      <c r="F672" s="2"/>
      <c r="G672" s="2"/>
      <c r="H672" s="2"/>
      <c r="I672" s="2"/>
      <c r="J672" s="52"/>
      <c r="K672" s="2"/>
      <c r="L672" s="2"/>
      <c r="M672" s="2"/>
      <c r="N672" s="2"/>
      <c r="O672" s="52"/>
      <c r="P672" s="52"/>
      <c r="Q672" s="52"/>
      <c r="R672" s="52"/>
      <c r="S672" s="52"/>
      <c r="T672" s="52"/>
      <c r="U672" s="52"/>
      <c r="V672" s="52"/>
      <c r="W672" s="52"/>
      <c r="X672" s="52"/>
      <c r="Y672" s="52"/>
      <c r="Z672" s="52"/>
      <c r="AA672" s="52"/>
      <c r="AB672" s="52"/>
      <c r="AC672" s="52"/>
    </row>
    <row r="673" spans="1:29" ht="12.75">
      <c r="A673" s="197"/>
      <c r="B673" s="2"/>
      <c r="C673" s="52"/>
      <c r="D673" s="52"/>
      <c r="E673" s="52"/>
      <c r="F673" s="2"/>
      <c r="G673" s="2"/>
      <c r="H673" s="2"/>
      <c r="I673" s="2"/>
      <c r="J673" s="52"/>
      <c r="K673" s="2"/>
      <c r="L673" s="2"/>
      <c r="M673" s="2"/>
      <c r="N673" s="2"/>
      <c r="O673" s="52"/>
      <c r="P673" s="52"/>
      <c r="Q673" s="52"/>
      <c r="R673" s="52"/>
      <c r="S673" s="52"/>
      <c r="T673" s="52"/>
      <c r="U673" s="52"/>
      <c r="V673" s="52"/>
      <c r="W673" s="52"/>
      <c r="X673" s="52"/>
      <c r="Y673" s="52"/>
      <c r="Z673" s="52"/>
      <c r="AA673" s="52"/>
      <c r="AB673" s="52"/>
      <c r="AC673" s="52"/>
    </row>
    <row r="674" spans="1:29" ht="12.75">
      <c r="A674" s="197"/>
      <c r="B674" s="2"/>
      <c r="C674" s="52"/>
      <c r="D674" s="52"/>
      <c r="E674" s="52"/>
      <c r="F674" s="2"/>
      <c r="G674" s="2"/>
      <c r="H674" s="2"/>
      <c r="I674" s="2"/>
      <c r="J674" s="52"/>
      <c r="K674" s="2"/>
      <c r="L674" s="2"/>
      <c r="M674" s="2"/>
      <c r="N674" s="2"/>
      <c r="O674" s="52"/>
      <c r="P674" s="52"/>
      <c r="Q674" s="52"/>
      <c r="R674" s="52"/>
      <c r="S674" s="52"/>
      <c r="T674" s="52"/>
      <c r="U674" s="52"/>
      <c r="V674" s="52"/>
      <c r="W674" s="52"/>
      <c r="X674" s="52"/>
      <c r="Y674" s="52"/>
      <c r="Z674" s="52"/>
      <c r="AA674" s="52"/>
      <c r="AB674" s="52"/>
      <c r="AC674" s="52"/>
    </row>
    <row r="675" spans="1:29" ht="12.75">
      <c r="A675" s="197"/>
      <c r="B675" s="2"/>
      <c r="C675" s="52"/>
      <c r="D675" s="52"/>
      <c r="E675" s="52"/>
      <c r="F675" s="2"/>
      <c r="G675" s="2"/>
      <c r="H675" s="2"/>
      <c r="I675" s="2"/>
      <c r="J675" s="52"/>
      <c r="K675" s="2"/>
      <c r="L675" s="2"/>
      <c r="M675" s="2"/>
      <c r="N675" s="2"/>
      <c r="O675" s="52"/>
      <c r="P675" s="52"/>
      <c r="Q675" s="52"/>
      <c r="R675" s="52"/>
      <c r="S675" s="52"/>
      <c r="T675" s="52"/>
      <c r="U675" s="52"/>
      <c r="V675" s="52"/>
      <c r="W675" s="52"/>
      <c r="X675" s="52"/>
      <c r="Y675" s="52"/>
      <c r="Z675" s="52"/>
      <c r="AA675" s="52"/>
      <c r="AB675" s="52"/>
      <c r="AC675" s="52"/>
    </row>
    <row r="676" spans="1:29" ht="12.75">
      <c r="A676" s="197"/>
      <c r="B676" s="2"/>
      <c r="C676" s="52"/>
      <c r="D676" s="52"/>
      <c r="E676" s="52"/>
      <c r="F676" s="2"/>
      <c r="G676" s="2"/>
      <c r="H676" s="2"/>
      <c r="I676" s="2"/>
      <c r="J676" s="52"/>
      <c r="K676" s="2"/>
      <c r="L676" s="2"/>
      <c r="M676" s="2"/>
      <c r="N676" s="2"/>
      <c r="O676" s="52"/>
      <c r="P676" s="52"/>
      <c r="Q676" s="52"/>
      <c r="R676" s="52"/>
      <c r="S676" s="52"/>
      <c r="T676" s="52"/>
      <c r="U676" s="52"/>
      <c r="V676" s="52"/>
      <c r="W676" s="52"/>
      <c r="X676" s="52"/>
      <c r="Y676" s="52"/>
      <c r="Z676" s="52"/>
      <c r="AA676" s="52"/>
      <c r="AB676" s="52"/>
      <c r="AC676" s="52"/>
    </row>
    <row r="677" spans="1:29" ht="12.75">
      <c r="A677" s="197"/>
      <c r="B677" s="2"/>
      <c r="C677" s="52"/>
      <c r="D677" s="52"/>
      <c r="E677" s="52"/>
      <c r="F677" s="2"/>
      <c r="G677" s="2"/>
      <c r="H677" s="2"/>
      <c r="I677" s="2"/>
      <c r="J677" s="52"/>
      <c r="K677" s="2"/>
      <c r="L677" s="2"/>
      <c r="M677" s="2"/>
      <c r="N677" s="2"/>
      <c r="O677" s="52"/>
      <c r="P677" s="52"/>
      <c r="Q677" s="52"/>
      <c r="R677" s="52"/>
      <c r="S677" s="52"/>
      <c r="T677" s="52"/>
      <c r="U677" s="52"/>
      <c r="V677" s="52"/>
      <c r="W677" s="52"/>
      <c r="X677" s="52"/>
      <c r="Y677" s="52"/>
      <c r="Z677" s="52"/>
      <c r="AA677" s="52"/>
      <c r="AB677" s="52"/>
      <c r="AC677" s="52"/>
    </row>
    <row r="678" spans="1:29" ht="12.75">
      <c r="A678" s="197"/>
      <c r="B678" s="2"/>
      <c r="C678" s="52"/>
      <c r="D678" s="52"/>
      <c r="E678" s="52"/>
      <c r="F678" s="2"/>
      <c r="G678" s="2"/>
      <c r="H678" s="2"/>
      <c r="I678" s="2"/>
      <c r="J678" s="52"/>
      <c r="K678" s="2"/>
      <c r="L678" s="2"/>
      <c r="M678" s="2"/>
      <c r="N678" s="2"/>
      <c r="O678" s="52"/>
      <c r="P678" s="52"/>
      <c r="Q678" s="52"/>
      <c r="R678" s="52"/>
      <c r="S678" s="52"/>
      <c r="T678" s="52"/>
      <c r="U678" s="52"/>
      <c r="V678" s="52"/>
      <c r="W678" s="52"/>
      <c r="X678" s="52"/>
      <c r="Y678" s="52"/>
      <c r="Z678" s="52"/>
      <c r="AA678" s="52"/>
      <c r="AB678" s="52"/>
      <c r="AC678" s="52"/>
    </row>
    <row r="679" spans="1:29" ht="12.75">
      <c r="A679" s="197"/>
      <c r="B679" s="2"/>
      <c r="C679" s="52"/>
      <c r="D679" s="52"/>
      <c r="E679" s="52"/>
      <c r="F679" s="2"/>
      <c r="G679" s="2"/>
      <c r="H679" s="2"/>
      <c r="I679" s="2"/>
      <c r="J679" s="52"/>
      <c r="K679" s="2"/>
      <c r="L679" s="2"/>
      <c r="M679" s="2"/>
      <c r="N679" s="2"/>
      <c r="O679" s="52"/>
      <c r="P679" s="52"/>
      <c r="Q679" s="52"/>
      <c r="R679" s="52"/>
      <c r="S679" s="52"/>
      <c r="T679" s="52"/>
      <c r="U679" s="52"/>
      <c r="V679" s="52"/>
      <c r="W679" s="52"/>
      <c r="X679" s="52"/>
      <c r="Y679" s="52"/>
      <c r="Z679" s="52"/>
      <c r="AA679" s="52"/>
      <c r="AB679" s="52"/>
      <c r="AC679" s="52"/>
    </row>
    <row r="680" spans="1:29" ht="12.75">
      <c r="A680" s="197"/>
      <c r="B680" s="2"/>
      <c r="C680" s="52"/>
      <c r="D680" s="52"/>
      <c r="E680" s="52"/>
      <c r="F680" s="2"/>
      <c r="G680" s="2"/>
      <c r="H680" s="2"/>
      <c r="I680" s="2"/>
      <c r="J680" s="52"/>
      <c r="K680" s="2"/>
      <c r="L680" s="2"/>
      <c r="M680" s="2"/>
      <c r="N680" s="2"/>
      <c r="O680" s="52"/>
      <c r="P680" s="52"/>
      <c r="Q680" s="52"/>
      <c r="R680" s="52"/>
      <c r="S680" s="52"/>
      <c r="T680" s="52"/>
      <c r="U680" s="52"/>
      <c r="V680" s="52"/>
      <c r="W680" s="52"/>
      <c r="X680" s="52"/>
      <c r="Y680" s="52"/>
      <c r="Z680" s="52"/>
      <c r="AA680" s="52"/>
      <c r="AB680" s="52"/>
      <c r="AC680" s="52"/>
    </row>
    <row r="681" spans="1:29" ht="12.75">
      <c r="A681" s="197"/>
      <c r="B681" s="2"/>
      <c r="C681" s="52"/>
      <c r="D681" s="52"/>
      <c r="E681" s="52"/>
      <c r="F681" s="2"/>
      <c r="G681" s="2"/>
      <c r="H681" s="2"/>
      <c r="I681" s="2"/>
      <c r="J681" s="52"/>
      <c r="K681" s="2"/>
      <c r="L681" s="2"/>
      <c r="M681" s="2"/>
      <c r="N681" s="2"/>
      <c r="O681" s="52"/>
      <c r="P681" s="52"/>
      <c r="Q681" s="52"/>
      <c r="R681" s="52"/>
      <c r="S681" s="52"/>
      <c r="T681" s="52"/>
      <c r="U681" s="52"/>
      <c r="V681" s="52"/>
      <c r="W681" s="52"/>
      <c r="X681" s="52"/>
      <c r="Y681" s="52"/>
      <c r="Z681" s="52"/>
      <c r="AA681" s="52"/>
      <c r="AB681" s="52"/>
      <c r="AC681" s="52"/>
    </row>
    <row r="682" spans="1:29" ht="12.75">
      <c r="A682" s="197"/>
      <c r="B682" s="2"/>
      <c r="C682" s="52"/>
      <c r="D682" s="52"/>
      <c r="E682" s="52"/>
      <c r="F682" s="2"/>
      <c r="G682" s="2"/>
      <c r="H682" s="2"/>
      <c r="I682" s="2"/>
      <c r="J682" s="52"/>
      <c r="K682" s="2"/>
      <c r="L682" s="2"/>
      <c r="M682" s="2"/>
      <c r="N682" s="2"/>
      <c r="O682" s="52"/>
      <c r="P682" s="52"/>
      <c r="Q682" s="52"/>
      <c r="R682" s="52"/>
      <c r="S682" s="52"/>
      <c r="T682" s="52"/>
      <c r="U682" s="52"/>
      <c r="V682" s="52"/>
      <c r="W682" s="52"/>
      <c r="X682" s="52"/>
      <c r="Y682" s="52"/>
      <c r="Z682" s="52"/>
      <c r="AA682" s="52"/>
      <c r="AB682" s="52"/>
      <c r="AC682" s="52"/>
    </row>
    <row r="683" spans="1:29" ht="12.75">
      <c r="A683" s="197"/>
      <c r="B683" s="2"/>
      <c r="C683" s="52"/>
      <c r="D683" s="52"/>
      <c r="E683" s="52"/>
      <c r="F683" s="2"/>
      <c r="G683" s="2"/>
      <c r="H683" s="2"/>
      <c r="I683" s="2"/>
      <c r="J683" s="52"/>
      <c r="K683" s="2"/>
      <c r="L683" s="2"/>
      <c r="M683" s="2"/>
      <c r="N683" s="2"/>
      <c r="O683" s="52"/>
      <c r="P683" s="52"/>
      <c r="Q683" s="52"/>
      <c r="R683" s="52"/>
      <c r="S683" s="52"/>
      <c r="T683" s="52"/>
      <c r="U683" s="52"/>
      <c r="V683" s="52"/>
      <c r="W683" s="52"/>
      <c r="X683" s="52"/>
      <c r="Y683" s="52"/>
      <c r="Z683" s="52"/>
      <c r="AA683" s="52"/>
      <c r="AB683" s="52"/>
      <c r="AC683" s="52"/>
    </row>
    <row r="684" spans="1:29" ht="12.75">
      <c r="A684" s="197"/>
      <c r="B684" s="2"/>
      <c r="C684" s="52"/>
      <c r="D684" s="52"/>
      <c r="E684" s="52"/>
      <c r="F684" s="2"/>
      <c r="G684" s="2"/>
      <c r="H684" s="2"/>
      <c r="I684" s="2"/>
      <c r="J684" s="52"/>
      <c r="K684" s="2"/>
      <c r="L684" s="2"/>
      <c r="M684" s="2"/>
      <c r="N684" s="2"/>
      <c r="O684" s="52"/>
      <c r="P684" s="52"/>
      <c r="Q684" s="52"/>
      <c r="R684" s="52"/>
      <c r="S684" s="52"/>
      <c r="T684" s="52"/>
      <c r="U684" s="52"/>
      <c r="V684" s="52"/>
      <c r="W684" s="52"/>
      <c r="X684" s="52"/>
      <c r="Y684" s="52"/>
      <c r="Z684" s="52"/>
      <c r="AA684" s="52"/>
      <c r="AB684" s="52"/>
      <c r="AC684" s="52"/>
    </row>
    <row r="685" spans="1:29" ht="12.75">
      <c r="A685" s="197"/>
      <c r="B685" s="2"/>
      <c r="C685" s="52"/>
      <c r="D685" s="52"/>
      <c r="E685" s="52"/>
      <c r="F685" s="2"/>
      <c r="G685" s="2"/>
      <c r="H685" s="2"/>
      <c r="I685" s="2"/>
      <c r="J685" s="52"/>
      <c r="K685" s="2"/>
      <c r="L685" s="2"/>
      <c r="M685" s="2"/>
      <c r="N685" s="2"/>
      <c r="O685" s="52"/>
      <c r="P685" s="52"/>
      <c r="Q685" s="52"/>
      <c r="R685" s="52"/>
      <c r="S685" s="52"/>
      <c r="T685" s="52"/>
      <c r="U685" s="52"/>
      <c r="V685" s="52"/>
      <c r="W685" s="52"/>
      <c r="X685" s="52"/>
      <c r="Y685" s="52"/>
      <c r="Z685" s="52"/>
      <c r="AA685" s="52"/>
      <c r="AB685" s="52"/>
      <c r="AC685" s="52"/>
    </row>
    <row r="686" spans="1:29" ht="12.75">
      <c r="A686" s="197"/>
      <c r="B686" s="2"/>
      <c r="C686" s="52"/>
      <c r="D686" s="52"/>
      <c r="E686" s="52"/>
      <c r="F686" s="2"/>
      <c r="G686" s="2"/>
      <c r="H686" s="2"/>
      <c r="I686" s="2"/>
      <c r="J686" s="52"/>
      <c r="K686" s="2"/>
      <c r="L686" s="2"/>
      <c r="M686" s="2"/>
      <c r="N686" s="2"/>
      <c r="O686" s="52"/>
      <c r="P686" s="52"/>
      <c r="Q686" s="52"/>
      <c r="R686" s="52"/>
      <c r="S686" s="52"/>
      <c r="T686" s="52"/>
      <c r="U686" s="52"/>
      <c r="V686" s="52"/>
      <c r="W686" s="52"/>
      <c r="X686" s="52"/>
      <c r="Y686" s="52"/>
      <c r="Z686" s="52"/>
      <c r="AA686" s="52"/>
      <c r="AB686" s="52"/>
      <c r="AC686" s="52"/>
    </row>
    <row r="687" spans="1:29" ht="12.75">
      <c r="A687" s="197"/>
      <c r="B687" s="2"/>
      <c r="C687" s="52"/>
      <c r="D687" s="52"/>
      <c r="E687" s="52"/>
      <c r="F687" s="2"/>
      <c r="G687" s="2"/>
      <c r="H687" s="2"/>
      <c r="I687" s="2"/>
      <c r="J687" s="52"/>
      <c r="K687" s="2"/>
      <c r="L687" s="2"/>
      <c r="M687" s="2"/>
      <c r="N687" s="2"/>
      <c r="O687" s="52"/>
      <c r="P687" s="52"/>
      <c r="Q687" s="52"/>
      <c r="R687" s="52"/>
      <c r="S687" s="52"/>
      <c r="T687" s="52"/>
      <c r="U687" s="52"/>
      <c r="V687" s="52"/>
      <c r="W687" s="52"/>
      <c r="X687" s="52"/>
      <c r="Y687" s="52"/>
      <c r="Z687" s="52"/>
      <c r="AA687" s="52"/>
      <c r="AB687" s="52"/>
      <c r="AC687" s="52"/>
    </row>
    <row r="688" spans="1:29" ht="12.75">
      <c r="A688" s="197"/>
      <c r="B688" s="2"/>
      <c r="C688" s="52"/>
      <c r="D688" s="52"/>
      <c r="E688" s="52"/>
      <c r="F688" s="2"/>
      <c r="G688" s="2"/>
      <c r="H688" s="2"/>
      <c r="I688" s="2"/>
      <c r="J688" s="52"/>
      <c r="K688" s="2"/>
      <c r="L688" s="2"/>
      <c r="M688" s="2"/>
      <c r="N688" s="2"/>
      <c r="O688" s="52"/>
      <c r="P688" s="52"/>
      <c r="Q688" s="52"/>
      <c r="R688" s="52"/>
      <c r="S688" s="52"/>
      <c r="T688" s="52"/>
      <c r="U688" s="52"/>
      <c r="V688" s="52"/>
      <c r="W688" s="52"/>
      <c r="X688" s="52"/>
      <c r="Y688" s="52"/>
      <c r="Z688" s="52"/>
      <c r="AA688" s="52"/>
      <c r="AB688" s="52"/>
      <c r="AC688" s="52"/>
    </row>
    <row r="689" spans="1:29" ht="12.75">
      <c r="A689" s="197"/>
      <c r="B689" s="2"/>
      <c r="C689" s="52"/>
      <c r="D689" s="52"/>
      <c r="E689" s="52"/>
      <c r="F689" s="2"/>
      <c r="G689" s="2"/>
      <c r="H689" s="2"/>
      <c r="I689" s="2"/>
      <c r="J689" s="52"/>
      <c r="K689" s="2"/>
      <c r="L689" s="2"/>
      <c r="M689" s="2"/>
      <c r="N689" s="2"/>
      <c r="O689" s="52"/>
      <c r="P689" s="52"/>
      <c r="Q689" s="52"/>
      <c r="R689" s="52"/>
      <c r="S689" s="52"/>
      <c r="T689" s="52"/>
      <c r="U689" s="52"/>
      <c r="V689" s="52"/>
      <c r="W689" s="52"/>
      <c r="X689" s="52"/>
      <c r="Y689" s="52"/>
      <c r="Z689" s="52"/>
      <c r="AA689" s="52"/>
      <c r="AB689" s="52"/>
      <c r="AC689" s="52"/>
    </row>
    <row r="690" spans="1:29" ht="12.75">
      <c r="A690" s="197"/>
      <c r="B690" s="2"/>
      <c r="C690" s="52"/>
      <c r="D690" s="52"/>
      <c r="E690" s="52"/>
      <c r="F690" s="2"/>
      <c r="G690" s="2"/>
      <c r="H690" s="2"/>
      <c r="I690" s="2"/>
      <c r="J690" s="52"/>
      <c r="K690" s="2"/>
      <c r="L690" s="2"/>
      <c r="M690" s="2"/>
      <c r="N690" s="2"/>
      <c r="O690" s="52"/>
      <c r="P690" s="52"/>
      <c r="Q690" s="52"/>
      <c r="R690" s="52"/>
      <c r="S690" s="52"/>
      <c r="T690" s="52"/>
      <c r="U690" s="52"/>
      <c r="V690" s="52"/>
      <c r="W690" s="52"/>
      <c r="X690" s="52"/>
      <c r="Y690" s="52"/>
      <c r="Z690" s="52"/>
      <c r="AA690" s="52"/>
      <c r="AB690" s="52"/>
      <c r="AC690" s="52"/>
    </row>
    <row r="691" spans="1:29" ht="12.75">
      <c r="A691" s="197"/>
      <c r="B691" s="2"/>
      <c r="C691" s="52"/>
      <c r="D691" s="52"/>
      <c r="E691" s="52"/>
      <c r="F691" s="2"/>
      <c r="G691" s="2"/>
      <c r="H691" s="2"/>
      <c r="I691" s="2"/>
      <c r="J691" s="52"/>
      <c r="K691" s="2"/>
      <c r="L691" s="2"/>
      <c r="M691" s="2"/>
      <c r="N691" s="2"/>
      <c r="O691" s="52"/>
      <c r="P691" s="52"/>
      <c r="Q691" s="52"/>
      <c r="R691" s="52"/>
      <c r="S691" s="52"/>
      <c r="T691" s="52"/>
      <c r="U691" s="52"/>
      <c r="V691" s="52"/>
      <c r="W691" s="52"/>
      <c r="X691" s="52"/>
      <c r="Y691" s="52"/>
      <c r="Z691" s="52"/>
      <c r="AA691" s="52"/>
      <c r="AB691" s="52"/>
      <c r="AC691" s="52"/>
    </row>
    <row r="692" spans="1:29" ht="12.75">
      <c r="A692" s="197"/>
      <c r="B692" s="2"/>
      <c r="C692" s="52"/>
      <c r="D692" s="52"/>
      <c r="E692" s="52"/>
      <c r="F692" s="2"/>
      <c r="G692" s="2"/>
      <c r="H692" s="2"/>
      <c r="I692" s="2"/>
      <c r="J692" s="52"/>
      <c r="K692" s="2"/>
      <c r="L692" s="2"/>
      <c r="M692" s="2"/>
      <c r="N692" s="2"/>
      <c r="O692" s="52"/>
      <c r="P692" s="52"/>
      <c r="Q692" s="52"/>
      <c r="R692" s="52"/>
      <c r="S692" s="52"/>
      <c r="T692" s="52"/>
      <c r="U692" s="52"/>
      <c r="V692" s="52"/>
      <c r="W692" s="52"/>
      <c r="X692" s="52"/>
      <c r="Y692" s="52"/>
      <c r="Z692" s="52"/>
      <c r="AA692" s="52"/>
      <c r="AB692" s="52"/>
      <c r="AC692" s="52"/>
    </row>
    <row r="693" spans="1:29" ht="12.75">
      <c r="A693" s="197"/>
      <c r="B693" s="2"/>
      <c r="C693" s="52"/>
      <c r="D693" s="52"/>
      <c r="E693" s="52"/>
      <c r="F693" s="2"/>
      <c r="G693" s="2"/>
      <c r="H693" s="2"/>
      <c r="I693" s="2"/>
      <c r="J693" s="52"/>
      <c r="K693" s="2"/>
      <c r="L693" s="2"/>
      <c r="M693" s="2"/>
      <c r="N693" s="2"/>
      <c r="O693" s="52"/>
      <c r="P693" s="52"/>
      <c r="Q693" s="52"/>
      <c r="R693" s="52"/>
      <c r="S693" s="52"/>
      <c r="T693" s="52"/>
      <c r="U693" s="52"/>
      <c r="V693" s="52"/>
      <c r="W693" s="52"/>
      <c r="X693" s="52"/>
      <c r="Y693" s="52"/>
      <c r="Z693" s="52"/>
      <c r="AA693" s="52"/>
      <c r="AB693" s="52"/>
      <c r="AC693" s="52"/>
    </row>
    <row r="694" spans="1:29" ht="12.75">
      <c r="A694" s="197"/>
      <c r="B694" s="2"/>
      <c r="C694" s="52"/>
      <c r="D694" s="52"/>
      <c r="E694" s="52"/>
      <c r="F694" s="2"/>
      <c r="G694" s="2"/>
      <c r="H694" s="2"/>
      <c r="I694" s="2"/>
      <c r="J694" s="52"/>
      <c r="K694" s="2"/>
      <c r="L694" s="2"/>
      <c r="M694" s="2"/>
      <c r="N694" s="2"/>
      <c r="O694" s="52"/>
      <c r="P694" s="52"/>
      <c r="Q694" s="52"/>
      <c r="R694" s="52"/>
      <c r="S694" s="52"/>
      <c r="T694" s="52"/>
      <c r="U694" s="52"/>
      <c r="V694" s="52"/>
      <c r="W694" s="52"/>
      <c r="X694" s="52"/>
      <c r="Y694" s="52"/>
      <c r="Z694" s="52"/>
      <c r="AA694" s="52"/>
      <c r="AB694" s="52"/>
      <c r="AC694" s="52"/>
    </row>
    <row r="695" spans="1:29" ht="12.75">
      <c r="A695" s="197"/>
      <c r="B695" s="2"/>
      <c r="C695" s="52"/>
      <c r="D695" s="52"/>
      <c r="E695" s="52"/>
      <c r="F695" s="2"/>
      <c r="G695" s="2"/>
      <c r="H695" s="2"/>
      <c r="I695" s="2"/>
      <c r="J695" s="52"/>
      <c r="K695" s="2"/>
      <c r="L695" s="2"/>
      <c r="M695" s="2"/>
      <c r="N695" s="2"/>
      <c r="O695" s="52"/>
      <c r="P695" s="52"/>
      <c r="Q695" s="52"/>
      <c r="R695" s="52"/>
      <c r="S695" s="52"/>
      <c r="T695" s="52"/>
      <c r="U695" s="52"/>
      <c r="V695" s="52"/>
      <c r="W695" s="52"/>
      <c r="X695" s="52"/>
      <c r="Y695" s="52"/>
      <c r="Z695" s="52"/>
      <c r="AA695" s="52"/>
      <c r="AB695" s="52"/>
      <c r="AC695" s="52"/>
    </row>
    <row r="696" spans="1:29" ht="12.75">
      <c r="A696" s="197"/>
      <c r="B696" s="2"/>
      <c r="C696" s="52"/>
      <c r="D696" s="52"/>
      <c r="E696" s="52"/>
      <c r="F696" s="2"/>
      <c r="G696" s="2"/>
      <c r="H696" s="2"/>
      <c r="I696" s="2"/>
      <c r="J696" s="52"/>
      <c r="K696" s="2"/>
      <c r="L696" s="2"/>
      <c r="M696" s="2"/>
      <c r="N696" s="2"/>
      <c r="O696" s="52"/>
      <c r="P696" s="52"/>
      <c r="Q696" s="52"/>
      <c r="R696" s="52"/>
      <c r="S696" s="52"/>
      <c r="T696" s="52"/>
      <c r="U696" s="52"/>
      <c r="V696" s="52"/>
      <c r="W696" s="52"/>
      <c r="X696" s="52"/>
      <c r="Y696" s="52"/>
      <c r="Z696" s="52"/>
      <c r="AA696" s="52"/>
      <c r="AB696" s="52"/>
      <c r="AC696" s="52"/>
    </row>
    <row r="697" spans="1:29" ht="12.75">
      <c r="A697" s="197"/>
      <c r="B697" s="2"/>
      <c r="C697" s="52"/>
      <c r="D697" s="52"/>
      <c r="E697" s="52"/>
      <c r="F697" s="2"/>
      <c r="G697" s="2"/>
      <c r="H697" s="2"/>
      <c r="I697" s="2"/>
      <c r="J697" s="52"/>
      <c r="K697" s="2"/>
      <c r="L697" s="2"/>
      <c r="M697" s="2"/>
      <c r="N697" s="2"/>
      <c r="O697" s="52"/>
      <c r="P697" s="52"/>
      <c r="Q697" s="52"/>
      <c r="R697" s="52"/>
      <c r="S697" s="52"/>
      <c r="T697" s="52"/>
      <c r="U697" s="52"/>
      <c r="V697" s="52"/>
      <c r="W697" s="52"/>
      <c r="X697" s="52"/>
      <c r="Y697" s="52"/>
      <c r="Z697" s="52"/>
      <c r="AA697" s="52"/>
      <c r="AB697" s="52"/>
      <c r="AC697" s="52"/>
    </row>
    <row r="698" spans="1:29" ht="12.75">
      <c r="A698" s="197"/>
      <c r="B698" s="2"/>
      <c r="C698" s="52"/>
      <c r="D698" s="52"/>
      <c r="E698" s="52"/>
      <c r="F698" s="2"/>
      <c r="G698" s="2"/>
      <c r="H698" s="2"/>
      <c r="I698" s="2"/>
      <c r="J698" s="52"/>
      <c r="K698" s="2"/>
      <c r="L698" s="2"/>
      <c r="M698" s="2"/>
      <c r="N698" s="2"/>
      <c r="O698" s="52"/>
      <c r="P698" s="52"/>
      <c r="Q698" s="52"/>
      <c r="R698" s="52"/>
      <c r="S698" s="52"/>
      <c r="T698" s="52"/>
      <c r="U698" s="52"/>
      <c r="V698" s="52"/>
      <c r="W698" s="52"/>
      <c r="X698" s="52"/>
      <c r="Y698" s="52"/>
      <c r="Z698" s="52"/>
      <c r="AA698" s="52"/>
      <c r="AB698" s="52"/>
      <c r="AC698" s="52"/>
    </row>
    <row r="699" spans="1:29" ht="12.75">
      <c r="A699" s="197"/>
      <c r="B699" s="2"/>
      <c r="C699" s="52"/>
      <c r="D699" s="52"/>
      <c r="E699" s="52"/>
      <c r="F699" s="2"/>
      <c r="G699" s="2"/>
      <c r="H699" s="2"/>
      <c r="I699" s="2"/>
      <c r="J699" s="52"/>
      <c r="K699" s="2"/>
      <c r="L699" s="2"/>
      <c r="M699" s="2"/>
      <c r="N699" s="2"/>
      <c r="O699" s="52"/>
      <c r="P699" s="52"/>
      <c r="Q699" s="52"/>
      <c r="R699" s="52"/>
      <c r="S699" s="52"/>
      <c r="T699" s="52"/>
      <c r="U699" s="52"/>
      <c r="V699" s="52"/>
      <c r="W699" s="52"/>
      <c r="X699" s="52"/>
      <c r="Y699" s="52"/>
      <c r="Z699" s="52"/>
      <c r="AA699" s="52"/>
      <c r="AB699" s="52"/>
      <c r="AC699" s="52"/>
    </row>
    <row r="700" spans="1:29" ht="12.75">
      <c r="A700" s="197"/>
      <c r="B700" s="2"/>
      <c r="C700" s="52"/>
      <c r="D700" s="52"/>
      <c r="E700" s="52"/>
      <c r="F700" s="2"/>
      <c r="G700" s="2"/>
      <c r="H700" s="2"/>
      <c r="I700" s="2"/>
      <c r="J700" s="52"/>
      <c r="K700" s="2"/>
      <c r="L700" s="2"/>
      <c r="M700" s="2"/>
      <c r="N700" s="2"/>
      <c r="O700" s="52"/>
      <c r="P700" s="52"/>
      <c r="Q700" s="52"/>
      <c r="R700" s="52"/>
      <c r="S700" s="52"/>
      <c r="T700" s="52"/>
      <c r="U700" s="52"/>
      <c r="V700" s="52"/>
      <c r="W700" s="52"/>
      <c r="X700" s="52"/>
      <c r="Y700" s="52"/>
      <c r="Z700" s="52"/>
      <c r="AA700" s="52"/>
      <c r="AB700" s="52"/>
      <c r="AC700" s="52"/>
    </row>
    <row r="701" spans="1:29" ht="12.75">
      <c r="A701" s="197"/>
      <c r="B701" s="2"/>
      <c r="C701" s="52"/>
      <c r="D701" s="52"/>
      <c r="E701" s="52"/>
      <c r="F701" s="2"/>
      <c r="G701" s="2"/>
      <c r="H701" s="2"/>
      <c r="I701" s="2"/>
      <c r="J701" s="52"/>
      <c r="K701" s="2"/>
      <c r="L701" s="2"/>
      <c r="M701" s="2"/>
      <c r="N701" s="2"/>
      <c r="O701" s="52"/>
      <c r="P701" s="52"/>
      <c r="Q701" s="52"/>
      <c r="R701" s="52"/>
      <c r="S701" s="52"/>
      <c r="T701" s="52"/>
      <c r="U701" s="52"/>
      <c r="V701" s="52"/>
      <c r="W701" s="52"/>
      <c r="X701" s="52"/>
      <c r="Y701" s="52"/>
      <c r="Z701" s="52"/>
      <c r="AA701" s="52"/>
      <c r="AB701" s="52"/>
      <c r="AC701" s="52"/>
    </row>
    <row r="702" spans="1:29" ht="12.75">
      <c r="A702" s="197"/>
      <c r="B702" s="2"/>
      <c r="C702" s="52"/>
      <c r="D702" s="52"/>
      <c r="E702" s="52"/>
      <c r="F702" s="2"/>
      <c r="G702" s="2"/>
      <c r="H702" s="2"/>
      <c r="I702" s="2"/>
      <c r="J702" s="52"/>
      <c r="K702" s="2"/>
      <c r="L702" s="2"/>
      <c r="M702" s="2"/>
      <c r="N702" s="2"/>
      <c r="O702" s="52"/>
      <c r="P702" s="52"/>
      <c r="Q702" s="52"/>
      <c r="R702" s="52"/>
      <c r="S702" s="52"/>
      <c r="T702" s="52"/>
      <c r="U702" s="52"/>
      <c r="V702" s="52"/>
      <c r="W702" s="52"/>
      <c r="X702" s="52"/>
      <c r="Y702" s="52"/>
      <c r="Z702" s="52"/>
      <c r="AA702" s="52"/>
      <c r="AB702" s="52"/>
      <c r="AC702" s="52"/>
    </row>
    <row r="703" spans="1:29" ht="12.75">
      <c r="A703" s="197"/>
      <c r="B703" s="2"/>
      <c r="C703" s="52"/>
      <c r="D703" s="52"/>
      <c r="E703" s="52"/>
      <c r="F703" s="2"/>
      <c r="G703" s="2"/>
      <c r="H703" s="2"/>
      <c r="I703" s="2"/>
      <c r="J703" s="52"/>
      <c r="K703" s="2"/>
      <c r="L703" s="2"/>
      <c r="M703" s="2"/>
      <c r="N703" s="2"/>
      <c r="O703" s="52"/>
      <c r="P703" s="52"/>
      <c r="Q703" s="52"/>
      <c r="R703" s="52"/>
      <c r="S703" s="52"/>
      <c r="T703" s="52"/>
      <c r="U703" s="52"/>
      <c r="V703" s="52"/>
      <c r="W703" s="52"/>
      <c r="X703" s="52"/>
      <c r="Y703" s="52"/>
      <c r="Z703" s="52"/>
      <c r="AA703" s="52"/>
      <c r="AB703" s="52"/>
      <c r="AC703" s="52"/>
    </row>
    <row r="704" spans="1:29" ht="12.75">
      <c r="A704" s="197"/>
      <c r="B704" s="2"/>
      <c r="C704" s="52"/>
      <c r="D704" s="52"/>
      <c r="E704" s="52"/>
      <c r="F704" s="2"/>
      <c r="G704" s="2"/>
      <c r="H704" s="2"/>
      <c r="I704" s="2"/>
      <c r="J704" s="52"/>
      <c r="K704" s="2"/>
      <c r="L704" s="2"/>
      <c r="M704" s="2"/>
      <c r="N704" s="2"/>
      <c r="O704" s="52"/>
      <c r="P704" s="52"/>
      <c r="Q704" s="52"/>
      <c r="R704" s="52"/>
      <c r="S704" s="52"/>
      <c r="T704" s="52"/>
      <c r="U704" s="52"/>
      <c r="V704" s="52"/>
      <c r="W704" s="52"/>
      <c r="X704" s="52"/>
      <c r="Y704" s="52"/>
      <c r="Z704" s="52"/>
      <c r="AA704" s="52"/>
      <c r="AB704" s="52"/>
      <c r="AC704" s="52"/>
    </row>
    <row r="705" spans="1:29" ht="12.75">
      <c r="A705" s="197"/>
      <c r="B705" s="2"/>
      <c r="C705" s="52"/>
      <c r="D705" s="52"/>
      <c r="E705" s="52"/>
      <c r="F705" s="2"/>
      <c r="G705" s="2"/>
      <c r="H705" s="2"/>
      <c r="I705" s="2"/>
      <c r="J705" s="52"/>
      <c r="K705" s="2"/>
      <c r="L705" s="2"/>
      <c r="M705" s="2"/>
      <c r="N705" s="2"/>
      <c r="O705" s="52"/>
      <c r="P705" s="52"/>
      <c r="Q705" s="52"/>
      <c r="R705" s="52"/>
      <c r="S705" s="52"/>
      <c r="T705" s="52"/>
      <c r="U705" s="52"/>
      <c r="V705" s="52"/>
      <c r="W705" s="52"/>
      <c r="X705" s="52"/>
      <c r="Y705" s="52"/>
      <c r="Z705" s="52"/>
      <c r="AA705" s="52"/>
      <c r="AB705" s="52"/>
      <c r="AC705" s="52"/>
    </row>
    <row r="706" spans="1:29" ht="12.75">
      <c r="A706" s="197"/>
      <c r="B706" s="2"/>
      <c r="C706" s="52"/>
      <c r="D706" s="52"/>
      <c r="E706" s="52"/>
      <c r="F706" s="2"/>
      <c r="G706" s="2"/>
      <c r="H706" s="2"/>
      <c r="I706" s="2"/>
      <c r="J706" s="52"/>
      <c r="K706" s="2"/>
      <c r="L706" s="2"/>
      <c r="M706" s="2"/>
      <c r="N706" s="2"/>
      <c r="O706" s="52"/>
      <c r="P706" s="52"/>
      <c r="Q706" s="52"/>
      <c r="R706" s="52"/>
      <c r="S706" s="52"/>
      <c r="T706" s="52"/>
      <c r="U706" s="52"/>
      <c r="V706" s="52"/>
      <c r="W706" s="52"/>
      <c r="X706" s="52"/>
      <c r="Y706" s="52"/>
      <c r="Z706" s="52"/>
      <c r="AA706" s="52"/>
      <c r="AB706" s="52"/>
      <c r="AC706" s="52"/>
    </row>
    <row r="707" spans="1:29" ht="12.75">
      <c r="A707" s="197"/>
      <c r="B707" s="2"/>
      <c r="C707" s="52"/>
      <c r="D707" s="52"/>
      <c r="E707" s="52"/>
      <c r="F707" s="2"/>
      <c r="G707" s="2"/>
      <c r="H707" s="2"/>
      <c r="I707" s="2"/>
      <c r="J707" s="52"/>
      <c r="K707" s="2"/>
      <c r="L707" s="2"/>
      <c r="M707" s="2"/>
      <c r="N707" s="2"/>
      <c r="O707" s="52"/>
      <c r="P707" s="52"/>
      <c r="Q707" s="52"/>
      <c r="R707" s="52"/>
      <c r="S707" s="52"/>
      <c r="T707" s="52"/>
      <c r="U707" s="52"/>
      <c r="V707" s="52"/>
      <c r="W707" s="52"/>
      <c r="X707" s="52"/>
      <c r="Y707" s="52"/>
      <c r="Z707" s="52"/>
      <c r="AA707" s="52"/>
      <c r="AB707" s="52"/>
      <c r="AC707" s="52"/>
    </row>
    <row r="708" spans="1:29" ht="12.75">
      <c r="A708" s="197"/>
      <c r="B708" s="2"/>
      <c r="C708" s="52"/>
      <c r="D708" s="52"/>
      <c r="E708" s="52"/>
      <c r="F708" s="2"/>
      <c r="G708" s="2"/>
      <c r="H708" s="2"/>
      <c r="I708" s="2"/>
      <c r="J708" s="52"/>
      <c r="K708" s="2"/>
      <c r="L708" s="2"/>
      <c r="M708" s="2"/>
      <c r="N708" s="2"/>
      <c r="O708" s="52"/>
      <c r="P708" s="52"/>
      <c r="Q708" s="52"/>
      <c r="R708" s="52"/>
      <c r="S708" s="52"/>
      <c r="T708" s="52"/>
      <c r="U708" s="52"/>
      <c r="V708" s="52"/>
      <c r="W708" s="52"/>
      <c r="X708" s="52"/>
      <c r="Y708" s="52"/>
      <c r="Z708" s="52"/>
      <c r="AA708" s="52"/>
      <c r="AB708" s="52"/>
      <c r="AC708" s="52"/>
    </row>
    <row r="709" spans="1:29" ht="12.75">
      <c r="A709" s="197"/>
      <c r="B709" s="2"/>
      <c r="C709" s="52"/>
      <c r="D709" s="52"/>
      <c r="E709" s="52"/>
      <c r="F709" s="2"/>
      <c r="G709" s="2"/>
      <c r="H709" s="2"/>
      <c r="I709" s="2"/>
      <c r="J709" s="52"/>
      <c r="K709" s="2"/>
      <c r="L709" s="2"/>
      <c r="M709" s="2"/>
      <c r="N709" s="2"/>
      <c r="O709" s="52"/>
      <c r="P709" s="52"/>
      <c r="Q709" s="52"/>
      <c r="R709" s="52"/>
      <c r="S709" s="52"/>
      <c r="T709" s="52"/>
      <c r="U709" s="52"/>
      <c r="V709" s="52"/>
      <c r="W709" s="52"/>
      <c r="X709" s="52"/>
      <c r="Y709" s="52"/>
      <c r="Z709" s="52"/>
      <c r="AA709" s="52"/>
      <c r="AB709" s="52"/>
      <c r="AC709" s="52"/>
    </row>
    <row r="710" spans="1:29" ht="12.75">
      <c r="A710" s="197"/>
      <c r="B710" s="2"/>
      <c r="C710" s="52"/>
      <c r="D710" s="52"/>
      <c r="E710" s="52"/>
      <c r="F710" s="2"/>
      <c r="G710" s="2"/>
      <c r="H710" s="2"/>
      <c r="I710" s="2"/>
      <c r="J710" s="52"/>
      <c r="K710" s="2"/>
      <c r="L710" s="2"/>
      <c r="M710" s="2"/>
      <c r="N710" s="2"/>
      <c r="O710" s="52"/>
      <c r="P710" s="52"/>
      <c r="Q710" s="52"/>
      <c r="R710" s="52"/>
      <c r="S710" s="52"/>
      <c r="T710" s="52"/>
      <c r="U710" s="52"/>
      <c r="V710" s="52"/>
      <c r="W710" s="52"/>
      <c r="X710" s="52"/>
      <c r="Y710" s="52"/>
      <c r="Z710" s="52"/>
      <c r="AA710" s="52"/>
      <c r="AB710" s="52"/>
      <c r="AC710" s="52"/>
    </row>
    <row r="711" spans="1:29" ht="12.75">
      <c r="A711" s="197"/>
      <c r="B711" s="2"/>
      <c r="C711" s="52"/>
      <c r="D711" s="52"/>
      <c r="E711" s="52"/>
      <c r="F711" s="2"/>
      <c r="G711" s="2"/>
      <c r="H711" s="2"/>
      <c r="I711" s="2"/>
      <c r="J711" s="52"/>
      <c r="K711" s="2"/>
      <c r="L711" s="2"/>
      <c r="M711" s="2"/>
      <c r="N711" s="2"/>
      <c r="O711" s="52"/>
      <c r="P711" s="52"/>
      <c r="Q711" s="52"/>
      <c r="R711" s="52"/>
      <c r="S711" s="52"/>
      <c r="T711" s="52"/>
      <c r="U711" s="52"/>
      <c r="V711" s="52"/>
      <c r="W711" s="52"/>
      <c r="X711" s="52"/>
      <c r="Y711" s="52"/>
      <c r="Z711" s="52"/>
      <c r="AA711" s="52"/>
      <c r="AB711" s="52"/>
      <c r="AC711" s="52"/>
    </row>
    <row r="712" spans="1:29" ht="12.75">
      <c r="A712" s="197"/>
      <c r="B712" s="2"/>
      <c r="C712" s="52"/>
      <c r="D712" s="52"/>
      <c r="E712" s="52"/>
      <c r="F712" s="2"/>
      <c r="G712" s="2"/>
      <c r="H712" s="2"/>
      <c r="I712" s="2"/>
      <c r="J712" s="52"/>
      <c r="K712" s="2"/>
      <c r="L712" s="2"/>
      <c r="M712" s="2"/>
      <c r="N712" s="2"/>
      <c r="O712" s="52"/>
      <c r="P712" s="52"/>
      <c r="Q712" s="52"/>
      <c r="R712" s="52"/>
      <c r="S712" s="52"/>
      <c r="T712" s="52"/>
      <c r="U712" s="52"/>
      <c r="V712" s="52"/>
      <c r="W712" s="52"/>
      <c r="X712" s="52"/>
      <c r="Y712" s="52"/>
      <c r="Z712" s="52"/>
      <c r="AA712" s="52"/>
      <c r="AB712" s="52"/>
      <c r="AC712" s="52"/>
    </row>
    <row r="713" spans="1:29" ht="12.75">
      <c r="A713" s="197"/>
      <c r="B713" s="2"/>
      <c r="C713" s="52"/>
      <c r="D713" s="52"/>
      <c r="E713" s="52"/>
      <c r="F713" s="2"/>
      <c r="G713" s="2"/>
      <c r="H713" s="2"/>
      <c r="I713" s="2"/>
      <c r="J713" s="52"/>
      <c r="K713" s="2"/>
      <c r="L713" s="2"/>
      <c r="M713" s="2"/>
      <c r="N713" s="2"/>
      <c r="O713" s="52"/>
      <c r="P713" s="52"/>
      <c r="Q713" s="52"/>
      <c r="R713" s="52"/>
      <c r="S713" s="52"/>
      <c r="T713" s="52"/>
      <c r="U713" s="52"/>
      <c r="V713" s="52"/>
      <c r="W713" s="52"/>
      <c r="X713" s="52"/>
      <c r="Y713" s="52"/>
      <c r="Z713" s="52"/>
      <c r="AA713" s="52"/>
      <c r="AB713" s="52"/>
      <c r="AC713" s="52"/>
    </row>
    <row r="714" spans="1:29" ht="12.75">
      <c r="A714" s="197"/>
      <c r="B714" s="2"/>
      <c r="C714" s="52"/>
      <c r="D714" s="52"/>
      <c r="E714" s="52"/>
      <c r="F714" s="2"/>
      <c r="G714" s="2"/>
      <c r="H714" s="2"/>
      <c r="I714" s="2"/>
      <c r="J714" s="52"/>
      <c r="K714" s="2"/>
      <c r="L714" s="2"/>
      <c r="M714" s="2"/>
      <c r="N714" s="2"/>
      <c r="O714" s="52"/>
      <c r="P714" s="52"/>
      <c r="Q714" s="52"/>
      <c r="R714" s="52"/>
      <c r="S714" s="52"/>
      <c r="T714" s="52"/>
      <c r="U714" s="52"/>
      <c r="V714" s="52"/>
      <c r="W714" s="52"/>
      <c r="X714" s="52"/>
      <c r="Y714" s="52"/>
      <c r="Z714" s="52"/>
      <c r="AA714" s="52"/>
      <c r="AB714" s="52"/>
      <c r="AC714" s="52"/>
    </row>
    <row r="715" spans="1:29" ht="12.75">
      <c r="A715" s="197"/>
      <c r="B715" s="2"/>
      <c r="C715" s="52"/>
      <c r="D715" s="52"/>
      <c r="E715" s="52"/>
      <c r="F715" s="2"/>
      <c r="G715" s="2"/>
      <c r="H715" s="2"/>
      <c r="I715" s="2"/>
      <c r="J715" s="52"/>
      <c r="K715" s="2"/>
      <c r="L715" s="2"/>
      <c r="M715" s="2"/>
      <c r="N715" s="2"/>
      <c r="O715" s="52"/>
      <c r="P715" s="52"/>
      <c r="Q715" s="52"/>
      <c r="R715" s="52"/>
      <c r="S715" s="52"/>
      <c r="T715" s="52"/>
      <c r="U715" s="52"/>
      <c r="V715" s="52"/>
      <c r="W715" s="52"/>
      <c r="X715" s="52"/>
      <c r="Y715" s="52"/>
      <c r="Z715" s="52"/>
      <c r="AA715" s="52"/>
      <c r="AB715" s="52"/>
      <c r="AC715" s="52"/>
    </row>
    <row r="716" spans="1:29" ht="12.75">
      <c r="A716" s="197"/>
      <c r="B716" s="2"/>
      <c r="C716" s="52"/>
      <c r="D716" s="52"/>
      <c r="E716" s="52"/>
      <c r="F716" s="2"/>
      <c r="G716" s="2"/>
      <c r="H716" s="2"/>
      <c r="I716" s="2"/>
      <c r="J716" s="52"/>
      <c r="K716" s="2"/>
      <c r="L716" s="2"/>
      <c r="M716" s="2"/>
      <c r="N716" s="2"/>
      <c r="O716" s="52"/>
      <c r="P716" s="52"/>
      <c r="Q716" s="52"/>
      <c r="R716" s="52"/>
      <c r="S716" s="52"/>
      <c r="T716" s="52"/>
      <c r="U716" s="52"/>
      <c r="V716" s="52"/>
      <c r="W716" s="52"/>
      <c r="X716" s="52"/>
      <c r="Y716" s="52"/>
      <c r="Z716" s="52"/>
      <c r="AA716" s="52"/>
      <c r="AB716" s="52"/>
      <c r="AC716" s="52"/>
    </row>
    <row r="717" spans="1:29" ht="12.75">
      <c r="A717" s="197"/>
      <c r="B717" s="2"/>
      <c r="C717" s="52"/>
      <c r="D717" s="52"/>
      <c r="E717" s="52"/>
      <c r="F717" s="2"/>
      <c r="G717" s="2"/>
      <c r="H717" s="2"/>
      <c r="I717" s="2"/>
      <c r="J717" s="52"/>
      <c r="K717" s="2"/>
      <c r="L717" s="2"/>
      <c r="M717" s="2"/>
      <c r="N717" s="2"/>
      <c r="O717" s="52"/>
      <c r="P717" s="52"/>
      <c r="Q717" s="52"/>
      <c r="R717" s="52"/>
      <c r="S717" s="52"/>
      <c r="T717" s="52"/>
      <c r="U717" s="52"/>
      <c r="V717" s="52"/>
      <c r="W717" s="52"/>
      <c r="X717" s="52"/>
      <c r="Y717" s="52"/>
      <c r="Z717" s="52"/>
      <c r="AA717" s="52"/>
      <c r="AB717" s="52"/>
      <c r="AC717" s="52"/>
    </row>
    <row r="718" spans="1:29" ht="12.75">
      <c r="A718" s="197"/>
      <c r="B718" s="2"/>
      <c r="C718" s="52"/>
      <c r="D718" s="52"/>
      <c r="E718" s="52"/>
      <c r="F718" s="2"/>
      <c r="G718" s="2"/>
      <c r="H718" s="2"/>
      <c r="I718" s="2"/>
      <c r="J718" s="52"/>
      <c r="K718" s="2"/>
      <c r="L718" s="2"/>
      <c r="M718" s="2"/>
      <c r="N718" s="2"/>
      <c r="O718" s="52"/>
      <c r="P718" s="52"/>
      <c r="Q718" s="52"/>
      <c r="R718" s="52"/>
      <c r="S718" s="52"/>
      <c r="T718" s="52"/>
      <c r="U718" s="52"/>
      <c r="V718" s="52"/>
      <c r="W718" s="52"/>
      <c r="X718" s="52"/>
      <c r="Y718" s="52"/>
      <c r="Z718" s="52"/>
      <c r="AA718" s="52"/>
      <c r="AB718" s="52"/>
      <c r="AC718" s="52"/>
    </row>
    <row r="719" spans="1:29" ht="12.75">
      <c r="A719" s="197"/>
      <c r="B719" s="2"/>
      <c r="C719" s="52"/>
      <c r="D719" s="52"/>
      <c r="E719" s="52"/>
      <c r="F719" s="2"/>
      <c r="G719" s="2"/>
      <c r="H719" s="2"/>
      <c r="I719" s="2"/>
      <c r="J719" s="52"/>
      <c r="K719" s="2"/>
      <c r="L719" s="2"/>
      <c r="M719" s="2"/>
      <c r="N719" s="2"/>
      <c r="O719" s="52"/>
      <c r="P719" s="52"/>
      <c r="Q719" s="52"/>
      <c r="R719" s="52"/>
      <c r="S719" s="52"/>
      <c r="T719" s="52"/>
      <c r="U719" s="52"/>
      <c r="V719" s="52"/>
      <c r="W719" s="52"/>
      <c r="X719" s="52"/>
      <c r="Y719" s="52"/>
      <c r="Z719" s="52"/>
      <c r="AA719" s="52"/>
      <c r="AB719" s="52"/>
      <c r="AC719" s="52"/>
    </row>
    <row r="720" spans="1:29" ht="12.75">
      <c r="A720" s="197"/>
      <c r="B720" s="2"/>
      <c r="C720" s="52"/>
      <c r="D720" s="52"/>
      <c r="E720" s="52"/>
      <c r="F720" s="2"/>
      <c r="G720" s="2"/>
      <c r="H720" s="2"/>
      <c r="I720" s="2"/>
      <c r="J720" s="52"/>
      <c r="K720" s="2"/>
      <c r="L720" s="2"/>
      <c r="M720" s="2"/>
      <c r="N720" s="2"/>
      <c r="O720" s="52"/>
      <c r="P720" s="52"/>
      <c r="Q720" s="52"/>
      <c r="R720" s="52"/>
      <c r="S720" s="52"/>
      <c r="T720" s="52"/>
      <c r="U720" s="52"/>
      <c r="V720" s="52"/>
      <c r="W720" s="52"/>
      <c r="X720" s="52"/>
      <c r="Y720" s="52"/>
      <c r="Z720" s="52"/>
      <c r="AA720" s="52"/>
      <c r="AB720" s="52"/>
      <c r="AC720" s="52"/>
    </row>
    <row r="721" spans="1:29" ht="12.75">
      <c r="A721" s="197"/>
      <c r="B721" s="2"/>
      <c r="C721" s="52"/>
      <c r="D721" s="52"/>
      <c r="E721" s="52"/>
      <c r="F721" s="2"/>
      <c r="G721" s="2"/>
      <c r="H721" s="2"/>
      <c r="I721" s="2"/>
      <c r="J721" s="52"/>
      <c r="K721" s="2"/>
      <c r="L721" s="2"/>
      <c r="M721" s="2"/>
      <c r="N721" s="2"/>
      <c r="O721" s="52"/>
      <c r="P721" s="52"/>
      <c r="Q721" s="52"/>
      <c r="R721" s="52"/>
      <c r="S721" s="52"/>
      <c r="T721" s="52"/>
      <c r="U721" s="52"/>
      <c r="V721" s="52"/>
      <c r="W721" s="52"/>
      <c r="X721" s="52"/>
      <c r="Y721" s="52"/>
      <c r="Z721" s="52"/>
      <c r="AA721" s="52"/>
      <c r="AB721" s="52"/>
      <c r="AC721" s="52"/>
    </row>
    <row r="722" spans="1:29" ht="12.75">
      <c r="A722" s="197"/>
      <c r="B722" s="2"/>
      <c r="C722" s="52"/>
      <c r="D722" s="52"/>
      <c r="E722" s="52"/>
      <c r="F722" s="2"/>
      <c r="G722" s="2"/>
      <c r="H722" s="2"/>
      <c r="I722" s="2"/>
      <c r="J722" s="52"/>
      <c r="K722" s="2"/>
      <c r="L722" s="2"/>
      <c r="M722" s="2"/>
      <c r="N722" s="2"/>
      <c r="O722" s="52"/>
      <c r="P722" s="52"/>
      <c r="Q722" s="52"/>
      <c r="R722" s="52"/>
      <c r="S722" s="52"/>
      <c r="T722" s="52"/>
      <c r="U722" s="52"/>
      <c r="V722" s="52"/>
      <c r="W722" s="52"/>
      <c r="X722" s="52"/>
      <c r="Y722" s="52"/>
      <c r="Z722" s="52"/>
      <c r="AA722" s="52"/>
      <c r="AB722" s="52"/>
      <c r="AC722" s="52"/>
    </row>
    <row r="723" spans="1:29" ht="12.75">
      <c r="A723" s="197"/>
      <c r="B723" s="2"/>
      <c r="C723" s="52"/>
      <c r="D723" s="52"/>
      <c r="E723" s="52"/>
      <c r="F723" s="2"/>
      <c r="G723" s="2"/>
      <c r="H723" s="2"/>
      <c r="I723" s="2"/>
      <c r="J723" s="52"/>
      <c r="K723" s="2"/>
      <c r="L723" s="2"/>
      <c r="M723" s="2"/>
      <c r="N723" s="2"/>
      <c r="O723" s="52"/>
      <c r="P723" s="52"/>
      <c r="Q723" s="52"/>
      <c r="R723" s="52"/>
      <c r="S723" s="52"/>
      <c r="T723" s="52"/>
      <c r="U723" s="52"/>
      <c r="V723" s="52"/>
      <c r="W723" s="52"/>
      <c r="X723" s="52"/>
      <c r="Y723" s="52"/>
      <c r="Z723" s="52"/>
      <c r="AA723" s="52"/>
      <c r="AB723" s="52"/>
      <c r="AC723" s="52"/>
    </row>
    <row r="724" spans="1:29" ht="12.75">
      <c r="A724" s="197"/>
      <c r="B724" s="2"/>
      <c r="C724" s="52"/>
      <c r="D724" s="52"/>
      <c r="E724" s="52"/>
      <c r="F724" s="2"/>
      <c r="G724" s="2"/>
      <c r="H724" s="2"/>
      <c r="I724" s="2"/>
      <c r="J724" s="52"/>
      <c r="K724" s="2"/>
      <c r="L724" s="2"/>
      <c r="M724" s="2"/>
      <c r="N724" s="2"/>
      <c r="O724" s="52"/>
      <c r="P724" s="52"/>
      <c r="Q724" s="52"/>
      <c r="R724" s="52"/>
      <c r="S724" s="52"/>
      <c r="T724" s="52"/>
      <c r="U724" s="52"/>
      <c r="V724" s="52"/>
      <c r="W724" s="52"/>
      <c r="X724" s="52"/>
      <c r="Y724" s="52"/>
      <c r="Z724" s="52"/>
      <c r="AA724" s="52"/>
      <c r="AB724" s="52"/>
      <c r="AC724" s="52"/>
    </row>
    <row r="725" spans="1:29" ht="12.75">
      <c r="A725" s="197"/>
      <c r="B725" s="2"/>
      <c r="C725" s="52"/>
      <c r="D725" s="52"/>
      <c r="E725" s="52"/>
      <c r="F725" s="2"/>
      <c r="G725" s="2"/>
      <c r="H725" s="2"/>
      <c r="I725" s="2"/>
      <c r="J725" s="52"/>
      <c r="K725" s="2"/>
      <c r="L725" s="2"/>
      <c r="M725" s="2"/>
      <c r="N725" s="2"/>
      <c r="O725" s="52"/>
      <c r="P725" s="52"/>
      <c r="Q725" s="52"/>
      <c r="R725" s="52"/>
      <c r="S725" s="52"/>
      <c r="T725" s="52"/>
      <c r="U725" s="52"/>
      <c r="V725" s="52"/>
      <c r="W725" s="52"/>
      <c r="X725" s="52"/>
      <c r="Y725" s="52"/>
      <c r="Z725" s="52"/>
      <c r="AA725" s="52"/>
      <c r="AB725" s="52"/>
      <c r="AC725" s="52"/>
    </row>
    <row r="726" spans="1:29" ht="12.75">
      <c r="A726" s="197"/>
      <c r="B726" s="2"/>
      <c r="C726" s="52"/>
      <c r="D726" s="52"/>
      <c r="E726" s="52"/>
      <c r="F726" s="2"/>
      <c r="G726" s="2"/>
      <c r="H726" s="2"/>
      <c r="I726" s="2"/>
      <c r="J726" s="52"/>
      <c r="K726" s="2"/>
      <c r="L726" s="2"/>
      <c r="M726" s="2"/>
      <c r="N726" s="2"/>
      <c r="O726" s="52"/>
      <c r="P726" s="52"/>
      <c r="Q726" s="52"/>
      <c r="R726" s="52"/>
      <c r="S726" s="52"/>
      <c r="T726" s="52"/>
      <c r="U726" s="52"/>
      <c r="V726" s="52"/>
      <c r="W726" s="52"/>
      <c r="X726" s="52"/>
      <c r="Y726" s="52"/>
      <c r="Z726" s="52"/>
      <c r="AA726" s="52"/>
      <c r="AB726" s="52"/>
      <c r="AC726" s="52"/>
    </row>
    <row r="727" spans="1:29" ht="12.75">
      <c r="A727" s="197"/>
      <c r="B727" s="2"/>
      <c r="C727" s="52"/>
      <c r="D727" s="52"/>
      <c r="E727" s="52"/>
      <c r="F727" s="2"/>
      <c r="G727" s="2"/>
      <c r="H727" s="2"/>
      <c r="I727" s="2"/>
      <c r="J727" s="52"/>
      <c r="K727" s="2"/>
      <c r="L727" s="2"/>
      <c r="M727" s="2"/>
      <c r="N727" s="2"/>
      <c r="O727" s="52"/>
      <c r="P727" s="52"/>
      <c r="Q727" s="52"/>
      <c r="R727" s="52"/>
      <c r="S727" s="52"/>
      <c r="T727" s="52"/>
      <c r="U727" s="52"/>
      <c r="V727" s="52"/>
      <c r="W727" s="52"/>
      <c r="X727" s="52"/>
      <c r="Y727" s="52"/>
      <c r="Z727" s="52"/>
      <c r="AA727" s="52"/>
      <c r="AB727" s="52"/>
      <c r="AC727" s="52"/>
    </row>
    <row r="728" spans="1:29" ht="12.75">
      <c r="A728" s="197"/>
      <c r="B728" s="2"/>
      <c r="C728" s="52"/>
      <c r="D728" s="52"/>
      <c r="E728" s="52"/>
      <c r="F728" s="2"/>
      <c r="G728" s="2"/>
      <c r="H728" s="2"/>
      <c r="I728" s="2"/>
      <c r="J728" s="52"/>
      <c r="K728" s="2"/>
      <c r="L728" s="2"/>
      <c r="M728" s="2"/>
      <c r="N728" s="2"/>
      <c r="O728" s="52"/>
      <c r="P728" s="52"/>
      <c r="Q728" s="52"/>
      <c r="R728" s="52"/>
      <c r="S728" s="52"/>
      <c r="T728" s="52"/>
      <c r="U728" s="52"/>
      <c r="V728" s="52"/>
      <c r="W728" s="52"/>
      <c r="X728" s="52"/>
      <c r="Y728" s="52"/>
      <c r="Z728" s="52"/>
      <c r="AA728" s="52"/>
      <c r="AB728" s="52"/>
      <c r="AC728" s="52"/>
    </row>
    <row r="729" spans="1:29" ht="12.75">
      <c r="A729" s="197"/>
      <c r="B729" s="2"/>
      <c r="C729" s="52"/>
      <c r="D729" s="52"/>
      <c r="E729" s="52"/>
      <c r="F729" s="2"/>
      <c r="G729" s="2"/>
      <c r="H729" s="2"/>
      <c r="I729" s="2"/>
      <c r="J729" s="52"/>
      <c r="K729" s="2"/>
      <c r="L729" s="2"/>
      <c r="M729" s="2"/>
      <c r="N729" s="2"/>
      <c r="O729" s="52"/>
      <c r="P729" s="52"/>
      <c r="Q729" s="52"/>
      <c r="R729" s="52"/>
      <c r="S729" s="52"/>
      <c r="T729" s="52"/>
      <c r="U729" s="52"/>
      <c r="V729" s="52"/>
      <c r="W729" s="52"/>
      <c r="X729" s="52"/>
      <c r="Y729" s="52"/>
      <c r="Z729" s="52"/>
      <c r="AA729" s="52"/>
      <c r="AB729" s="52"/>
      <c r="AC729" s="52"/>
    </row>
    <row r="730" spans="1:29" ht="12.75">
      <c r="A730" s="197"/>
      <c r="B730" s="2"/>
      <c r="C730" s="52"/>
      <c r="D730" s="52"/>
      <c r="E730" s="52"/>
      <c r="F730" s="2"/>
      <c r="G730" s="2"/>
      <c r="H730" s="2"/>
      <c r="I730" s="2"/>
      <c r="J730" s="52"/>
      <c r="K730" s="2"/>
      <c r="L730" s="2"/>
      <c r="M730" s="2"/>
      <c r="N730" s="2"/>
      <c r="O730" s="52"/>
      <c r="P730" s="52"/>
      <c r="Q730" s="52"/>
      <c r="R730" s="52"/>
      <c r="S730" s="52"/>
      <c r="T730" s="52"/>
      <c r="U730" s="52"/>
      <c r="V730" s="52"/>
      <c r="W730" s="52"/>
      <c r="X730" s="52"/>
      <c r="Y730" s="52"/>
      <c r="Z730" s="52"/>
      <c r="AA730" s="52"/>
      <c r="AB730" s="52"/>
      <c r="AC730" s="52"/>
    </row>
    <row r="731" spans="1:29" ht="12.75">
      <c r="A731" s="197"/>
      <c r="B731" s="2"/>
      <c r="C731" s="52"/>
      <c r="D731" s="52"/>
      <c r="E731" s="52"/>
      <c r="F731" s="2"/>
      <c r="G731" s="2"/>
      <c r="H731" s="2"/>
      <c r="I731" s="2"/>
      <c r="J731" s="52"/>
      <c r="K731" s="2"/>
      <c r="L731" s="2"/>
      <c r="M731" s="2"/>
      <c r="N731" s="2"/>
      <c r="O731" s="52"/>
      <c r="P731" s="52"/>
      <c r="Q731" s="52"/>
      <c r="R731" s="52"/>
      <c r="S731" s="52"/>
      <c r="T731" s="52"/>
      <c r="U731" s="52"/>
      <c r="V731" s="52"/>
      <c r="W731" s="52"/>
      <c r="X731" s="52"/>
      <c r="Y731" s="52"/>
      <c r="Z731" s="52"/>
      <c r="AA731" s="52"/>
      <c r="AB731" s="52"/>
      <c r="AC731" s="52"/>
    </row>
    <row r="732" spans="1:29" ht="12.75">
      <c r="A732" s="197"/>
      <c r="B732" s="2"/>
      <c r="C732" s="52"/>
      <c r="D732" s="52"/>
      <c r="E732" s="52"/>
      <c r="F732" s="2"/>
      <c r="G732" s="2"/>
      <c r="H732" s="2"/>
      <c r="I732" s="2"/>
      <c r="J732" s="52"/>
      <c r="K732" s="2"/>
      <c r="L732" s="2"/>
      <c r="M732" s="2"/>
      <c r="N732" s="2"/>
      <c r="O732" s="52"/>
      <c r="P732" s="52"/>
      <c r="Q732" s="52"/>
      <c r="R732" s="52"/>
      <c r="S732" s="52"/>
      <c r="T732" s="52"/>
      <c r="U732" s="52"/>
      <c r="V732" s="52"/>
      <c r="W732" s="52"/>
      <c r="X732" s="52"/>
      <c r="Y732" s="52"/>
      <c r="Z732" s="52"/>
      <c r="AA732" s="52"/>
      <c r="AB732" s="52"/>
      <c r="AC732" s="52"/>
    </row>
    <row r="733" spans="1:29" ht="12.75">
      <c r="A733" s="197"/>
      <c r="B733" s="2"/>
      <c r="C733" s="52"/>
      <c r="D733" s="52"/>
      <c r="E733" s="52"/>
      <c r="F733" s="2"/>
      <c r="G733" s="2"/>
      <c r="H733" s="2"/>
      <c r="I733" s="2"/>
      <c r="J733" s="52"/>
      <c r="K733" s="2"/>
      <c r="L733" s="2"/>
      <c r="M733" s="2"/>
      <c r="N733" s="2"/>
      <c r="O733" s="52"/>
      <c r="P733" s="52"/>
      <c r="Q733" s="52"/>
      <c r="R733" s="52"/>
      <c r="S733" s="52"/>
      <c r="T733" s="52"/>
      <c r="U733" s="52"/>
      <c r="V733" s="52"/>
      <c r="W733" s="52"/>
      <c r="X733" s="52"/>
      <c r="Y733" s="52"/>
      <c r="Z733" s="52"/>
      <c r="AA733" s="52"/>
      <c r="AB733" s="52"/>
      <c r="AC733" s="52"/>
    </row>
    <row r="734" spans="1:29" ht="12.75">
      <c r="A734" s="197"/>
      <c r="B734" s="2"/>
      <c r="C734" s="52"/>
      <c r="D734" s="52"/>
      <c r="E734" s="52"/>
      <c r="F734" s="2"/>
      <c r="G734" s="2"/>
      <c r="H734" s="2"/>
      <c r="I734" s="2"/>
      <c r="J734" s="52"/>
      <c r="K734" s="2"/>
      <c r="L734" s="2"/>
      <c r="M734" s="2"/>
      <c r="N734" s="2"/>
      <c r="O734" s="52"/>
      <c r="P734" s="52"/>
      <c r="Q734" s="52"/>
      <c r="R734" s="52"/>
      <c r="S734" s="52"/>
      <c r="T734" s="52"/>
      <c r="U734" s="52"/>
      <c r="V734" s="52"/>
      <c r="W734" s="52"/>
      <c r="X734" s="52"/>
      <c r="Y734" s="52"/>
      <c r="Z734" s="52"/>
      <c r="AA734" s="52"/>
      <c r="AB734" s="52"/>
      <c r="AC734" s="52"/>
    </row>
    <row r="735" spans="1:29" ht="12.75">
      <c r="A735" s="197"/>
      <c r="B735" s="2"/>
      <c r="C735" s="52"/>
      <c r="D735" s="52"/>
      <c r="E735" s="52"/>
      <c r="F735" s="2"/>
      <c r="G735" s="2"/>
      <c r="H735" s="2"/>
      <c r="I735" s="2"/>
      <c r="J735" s="52"/>
      <c r="K735" s="2"/>
      <c r="L735" s="2"/>
      <c r="M735" s="2"/>
      <c r="N735" s="2"/>
      <c r="O735" s="52"/>
      <c r="P735" s="52"/>
      <c r="Q735" s="52"/>
      <c r="R735" s="52"/>
      <c r="S735" s="52"/>
      <c r="T735" s="52"/>
      <c r="U735" s="52"/>
      <c r="V735" s="52"/>
      <c r="W735" s="52"/>
      <c r="X735" s="52"/>
      <c r="Y735" s="52"/>
      <c r="Z735" s="52"/>
      <c r="AA735" s="52"/>
      <c r="AB735" s="52"/>
      <c r="AC735" s="52"/>
    </row>
    <row r="736" spans="1:29" ht="12.75">
      <c r="A736" s="197"/>
      <c r="B736" s="2"/>
      <c r="C736" s="52"/>
      <c r="D736" s="52"/>
      <c r="E736" s="52"/>
      <c r="F736" s="2"/>
      <c r="G736" s="2"/>
      <c r="H736" s="2"/>
      <c r="I736" s="2"/>
      <c r="J736" s="52"/>
      <c r="K736" s="2"/>
      <c r="L736" s="2"/>
      <c r="M736" s="2"/>
      <c r="N736" s="2"/>
      <c r="O736" s="52"/>
      <c r="P736" s="52"/>
      <c r="Q736" s="52"/>
      <c r="R736" s="52"/>
      <c r="S736" s="52"/>
      <c r="T736" s="52"/>
      <c r="U736" s="52"/>
      <c r="V736" s="52"/>
      <c r="W736" s="52"/>
      <c r="X736" s="52"/>
      <c r="Y736" s="52"/>
      <c r="Z736" s="52"/>
      <c r="AA736" s="52"/>
      <c r="AB736" s="52"/>
      <c r="AC736" s="52"/>
    </row>
    <row r="737" spans="1:29" ht="12.75">
      <c r="A737" s="197"/>
      <c r="B737" s="2"/>
      <c r="C737" s="52"/>
      <c r="D737" s="52"/>
      <c r="E737" s="52"/>
      <c r="F737" s="2"/>
      <c r="G737" s="2"/>
      <c r="H737" s="2"/>
      <c r="I737" s="2"/>
      <c r="J737" s="52"/>
      <c r="K737" s="2"/>
      <c r="L737" s="2"/>
      <c r="M737" s="2"/>
      <c r="N737" s="2"/>
      <c r="O737" s="52"/>
      <c r="P737" s="52"/>
      <c r="Q737" s="52"/>
      <c r="R737" s="52"/>
      <c r="S737" s="52"/>
      <c r="T737" s="52"/>
      <c r="U737" s="52"/>
      <c r="V737" s="52"/>
      <c r="W737" s="52"/>
      <c r="X737" s="52"/>
      <c r="Y737" s="52"/>
      <c r="Z737" s="52"/>
      <c r="AA737" s="52"/>
      <c r="AB737" s="52"/>
      <c r="AC737" s="52"/>
    </row>
    <row r="738" spans="1:29" ht="12.75">
      <c r="A738" s="197"/>
      <c r="B738" s="2"/>
      <c r="C738" s="52"/>
      <c r="D738" s="52"/>
      <c r="E738" s="52"/>
      <c r="F738" s="2"/>
      <c r="G738" s="2"/>
      <c r="H738" s="2"/>
      <c r="I738" s="2"/>
      <c r="J738" s="52"/>
      <c r="K738" s="2"/>
      <c r="L738" s="2"/>
      <c r="M738" s="2"/>
      <c r="N738" s="2"/>
      <c r="O738" s="52"/>
      <c r="P738" s="52"/>
      <c r="Q738" s="52"/>
      <c r="R738" s="52"/>
      <c r="S738" s="52"/>
      <c r="T738" s="52"/>
      <c r="U738" s="52"/>
      <c r="V738" s="52"/>
      <c r="W738" s="52"/>
      <c r="X738" s="52"/>
      <c r="Y738" s="52"/>
      <c r="Z738" s="52"/>
      <c r="AA738" s="52"/>
      <c r="AB738" s="52"/>
      <c r="AC738" s="52"/>
    </row>
    <row r="739" spans="1:29" ht="12.75">
      <c r="A739" s="197"/>
      <c r="B739" s="2"/>
      <c r="C739" s="52"/>
      <c r="D739" s="52"/>
      <c r="E739" s="52"/>
      <c r="F739" s="2"/>
      <c r="G739" s="2"/>
      <c r="H739" s="2"/>
      <c r="I739" s="2"/>
      <c r="J739" s="52"/>
      <c r="K739" s="2"/>
      <c r="L739" s="2"/>
      <c r="M739" s="2"/>
      <c r="N739" s="2"/>
      <c r="O739" s="52"/>
      <c r="P739" s="52"/>
      <c r="Q739" s="52"/>
      <c r="R739" s="52"/>
      <c r="S739" s="52"/>
      <c r="T739" s="52"/>
      <c r="U739" s="52"/>
      <c r="V739" s="52"/>
      <c r="W739" s="52"/>
      <c r="X739" s="52"/>
      <c r="Y739" s="52"/>
      <c r="Z739" s="52"/>
      <c r="AA739" s="52"/>
      <c r="AB739" s="52"/>
      <c r="AC739" s="52"/>
    </row>
    <row r="740" spans="1:29" ht="12.75">
      <c r="A740" s="197"/>
      <c r="B740" s="2"/>
      <c r="C740" s="52"/>
      <c r="D740" s="52"/>
      <c r="E740" s="52"/>
      <c r="F740" s="2"/>
      <c r="G740" s="2"/>
      <c r="H740" s="2"/>
      <c r="I740" s="2"/>
      <c r="J740" s="52"/>
      <c r="K740" s="2"/>
      <c r="L740" s="2"/>
      <c r="M740" s="2"/>
      <c r="N740" s="2"/>
      <c r="O740" s="52"/>
      <c r="P740" s="52"/>
      <c r="Q740" s="52"/>
      <c r="R740" s="52"/>
      <c r="S740" s="52"/>
      <c r="T740" s="52"/>
      <c r="U740" s="52"/>
      <c r="V740" s="52"/>
      <c r="W740" s="52"/>
      <c r="X740" s="52"/>
      <c r="Y740" s="52"/>
      <c r="Z740" s="52"/>
      <c r="AA740" s="52"/>
      <c r="AB740" s="52"/>
      <c r="AC740" s="52"/>
    </row>
    <row r="741" spans="1:29" ht="12.75">
      <c r="A741" s="197"/>
      <c r="B741" s="2"/>
      <c r="C741" s="52"/>
      <c r="D741" s="52"/>
      <c r="E741" s="52"/>
      <c r="F741" s="2"/>
      <c r="G741" s="2"/>
      <c r="H741" s="2"/>
      <c r="I741" s="2"/>
      <c r="J741" s="52"/>
      <c r="K741" s="2"/>
      <c r="L741" s="2"/>
      <c r="M741" s="2"/>
      <c r="N741" s="2"/>
      <c r="O741" s="52"/>
      <c r="P741" s="52"/>
      <c r="Q741" s="52"/>
      <c r="R741" s="52"/>
      <c r="S741" s="52"/>
      <c r="T741" s="52"/>
      <c r="U741" s="52"/>
      <c r="V741" s="52"/>
      <c r="W741" s="52"/>
      <c r="X741" s="52"/>
      <c r="Y741" s="52"/>
      <c r="Z741" s="52"/>
      <c r="AA741" s="52"/>
      <c r="AB741" s="52"/>
      <c r="AC741" s="52"/>
    </row>
    <row r="742" spans="1:29" ht="12.75">
      <c r="A742" s="197"/>
      <c r="B742" s="2"/>
      <c r="C742" s="52"/>
      <c r="D742" s="52"/>
      <c r="E742" s="52"/>
      <c r="F742" s="2"/>
      <c r="G742" s="2"/>
      <c r="H742" s="2"/>
      <c r="I742" s="2"/>
      <c r="J742" s="52"/>
      <c r="K742" s="2"/>
      <c r="L742" s="2"/>
      <c r="M742" s="2"/>
      <c r="N742" s="2"/>
      <c r="O742" s="52"/>
      <c r="P742" s="52"/>
      <c r="Q742" s="52"/>
      <c r="R742" s="52"/>
      <c r="S742" s="52"/>
      <c r="T742" s="52"/>
      <c r="U742" s="52"/>
      <c r="V742" s="52"/>
      <c r="W742" s="52"/>
      <c r="X742" s="52"/>
      <c r="Y742" s="52"/>
      <c r="Z742" s="52"/>
      <c r="AA742" s="52"/>
      <c r="AB742" s="52"/>
      <c r="AC742" s="52"/>
    </row>
    <row r="743" spans="1:29" ht="12.75">
      <c r="A743" s="197"/>
      <c r="B743" s="2"/>
      <c r="C743" s="52"/>
      <c r="D743" s="52"/>
      <c r="E743" s="52"/>
      <c r="F743" s="2"/>
      <c r="G743" s="2"/>
      <c r="H743" s="2"/>
      <c r="I743" s="2"/>
      <c r="J743" s="52"/>
      <c r="K743" s="2"/>
      <c r="L743" s="2"/>
      <c r="M743" s="2"/>
      <c r="N743" s="2"/>
      <c r="O743" s="52"/>
      <c r="P743" s="52"/>
      <c r="Q743" s="52"/>
      <c r="R743" s="52"/>
      <c r="S743" s="52"/>
      <c r="T743" s="52"/>
      <c r="U743" s="52"/>
      <c r="V743" s="52"/>
      <c r="W743" s="52"/>
      <c r="X743" s="52"/>
      <c r="Y743" s="52"/>
      <c r="Z743" s="52"/>
      <c r="AA743" s="52"/>
      <c r="AB743" s="52"/>
      <c r="AC743" s="52"/>
    </row>
    <row r="744" spans="1:29" ht="12.75">
      <c r="A744" s="197"/>
      <c r="B744" s="2"/>
      <c r="C744" s="52"/>
      <c r="D744" s="52"/>
      <c r="E744" s="52"/>
      <c r="F744" s="2"/>
      <c r="G744" s="2"/>
      <c r="H744" s="2"/>
      <c r="I744" s="2"/>
      <c r="J744" s="52"/>
      <c r="K744" s="2"/>
      <c r="L744" s="2"/>
      <c r="M744" s="2"/>
      <c r="N744" s="2"/>
      <c r="O744" s="52"/>
      <c r="P744" s="52"/>
      <c r="Q744" s="52"/>
      <c r="R744" s="52"/>
      <c r="S744" s="52"/>
      <c r="T744" s="52"/>
      <c r="U744" s="52"/>
      <c r="V744" s="52"/>
      <c r="W744" s="52"/>
      <c r="X744" s="52"/>
      <c r="Y744" s="52"/>
      <c r="Z744" s="52"/>
      <c r="AA744" s="52"/>
      <c r="AB744" s="52"/>
      <c r="AC744" s="52"/>
    </row>
    <row r="745" spans="1:29" ht="12.75">
      <c r="A745" s="197"/>
      <c r="B745" s="2"/>
      <c r="C745" s="52"/>
      <c r="D745" s="52"/>
      <c r="E745" s="52"/>
      <c r="F745" s="2"/>
      <c r="G745" s="2"/>
      <c r="H745" s="2"/>
      <c r="I745" s="2"/>
      <c r="J745" s="52"/>
      <c r="K745" s="2"/>
      <c r="L745" s="2"/>
      <c r="M745" s="2"/>
      <c r="N745" s="2"/>
      <c r="O745" s="52"/>
      <c r="P745" s="52"/>
      <c r="Q745" s="52"/>
      <c r="R745" s="52"/>
      <c r="S745" s="52"/>
      <c r="T745" s="52"/>
      <c r="U745" s="52"/>
      <c r="V745" s="52"/>
      <c r="W745" s="52"/>
      <c r="X745" s="52"/>
      <c r="Y745" s="52"/>
      <c r="Z745" s="52"/>
      <c r="AA745" s="52"/>
      <c r="AB745" s="52"/>
      <c r="AC745" s="52"/>
    </row>
    <row r="746" spans="1:29" ht="12.75">
      <c r="A746" s="197"/>
      <c r="B746" s="2"/>
      <c r="C746" s="52"/>
      <c r="D746" s="52"/>
      <c r="E746" s="52"/>
      <c r="F746" s="2"/>
      <c r="G746" s="2"/>
      <c r="H746" s="2"/>
      <c r="I746" s="2"/>
      <c r="J746" s="52"/>
      <c r="K746" s="2"/>
      <c r="L746" s="2"/>
      <c r="M746" s="2"/>
      <c r="N746" s="2"/>
      <c r="O746" s="52"/>
      <c r="P746" s="52"/>
      <c r="Q746" s="52"/>
      <c r="R746" s="52"/>
      <c r="S746" s="52"/>
      <c r="T746" s="52"/>
      <c r="U746" s="52"/>
      <c r="V746" s="52"/>
      <c r="W746" s="52"/>
      <c r="X746" s="52"/>
      <c r="Y746" s="52"/>
      <c r="Z746" s="52"/>
      <c r="AA746" s="52"/>
      <c r="AB746" s="52"/>
      <c r="AC746" s="52"/>
    </row>
    <row r="747" spans="1:29" ht="12.75">
      <c r="A747" s="197"/>
      <c r="B747" s="2"/>
      <c r="C747" s="52"/>
      <c r="D747" s="52"/>
      <c r="E747" s="52"/>
      <c r="F747" s="2"/>
      <c r="G747" s="2"/>
      <c r="H747" s="2"/>
      <c r="I747" s="2"/>
      <c r="J747" s="52"/>
      <c r="K747" s="2"/>
      <c r="L747" s="2"/>
      <c r="M747" s="2"/>
      <c r="N747" s="2"/>
      <c r="O747" s="52"/>
      <c r="P747" s="52"/>
      <c r="Q747" s="52"/>
      <c r="R747" s="52"/>
      <c r="S747" s="52"/>
      <c r="T747" s="52"/>
      <c r="U747" s="52"/>
      <c r="V747" s="52"/>
      <c r="W747" s="52"/>
      <c r="X747" s="52"/>
      <c r="Y747" s="52"/>
      <c r="Z747" s="52"/>
      <c r="AA747" s="52"/>
      <c r="AB747" s="52"/>
      <c r="AC747" s="52"/>
    </row>
    <row r="748" spans="1:29" ht="12.75">
      <c r="A748" s="197"/>
      <c r="B748" s="2"/>
      <c r="C748" s="52"/>
      <c r="D748" s="52"/>
      <c r="E748" s="52"/>
      <c r="F748" s="2"/>
      <c r="G748" s="2"/>
      <c r="H748" s="2"/>
      <c r="I748" s="2"/>
      <c r="J748" s="52"/>
      <c r="K748" s="2"/>
      <c r="L748" s="2"/>
      <c r="M748" s="2"/>
      <c r="N748" s="2"/>
      <c r="O748" s="52"/>
      <c r="P748" s="52"/>
      <c r="Q748" s="52"/>
      <c r="R748" s="52"/>
      <c r="S748" s="52"/>
      <c r="T748" s="52"/>
      <c r="U748" s="52"/>
      <c r="V748" s="52"/>
      <c r="W748" s="52"/>
      <c r="X748" s="52"/>
      <c r="Y748" s="52"/>
      <c r="Z748" s="52"/>
      <c r="AA748" s="52"/>
      <c r="AB748" s="52"/>
      <c r="AC748" s="52"/>
    </row>
    <row r="749" spans="1:29" ht="12.75">
      <c r="A749" s="197"/>
      <c r="B749" s="2"/>
      <c r="C749" s="52"/>
      <c r="D749" s="52"/>
      <c r="E749" s="52"/>
      <c r="F749" s="2"/>
      <c r="G749" s="2"/>
      <c r="H749" s="2"/>
      <c r="I749" s="2"/>
      <c r="J749" s="52"/>
      <c r="K749" s="2"/>
      <c r="L749" s="2"/>
      <c r="M749" s="2"/>
      <c r="N749" s="2"/>
      <c r="O749" s="52"/>
      <c r="P749" s="52"/>
      <c r="Q749" s="52"/>
      <c r="R749" s="52"/>
      <c r="S749" s="52"/>
      <c r="T749" s="52"/>
      <c r="U749" s="52"/>
      <c r="V749" s="52"/>
      <c r="W749" s="52"/>
      <c r="X749" s="52"/>
      <c r="Y749" s="52"/>
      <c r="Z749" s="52"/>
      <c r="AA749" s="52"/>
      <c r="AB749" s="52"/>
      <c r="AC749" s="52"/>
    </row>
    <row r="750" spans="1:29" ht="12.75">
      <c r="A750" s="197"/>
      <c r="B750" s="2"/>
      <c r="C750" s="52"/>
      <c r="D750" s="52"/>
      <c r="E750" s="52"/>
      <c r="F750" s="2"/>
      <c r="G750" s="2"/>
      <c r="H750" s="2"/>
      <c r="I750" s="2"/>
      <c r="J750" s="52"/>
      <c r="K750" s="2"/>
      <c r="L750" s="2"/>
      <c r="M750" s="2"/>
      <c r="N750" s="2"/>
      <c r="O750" s="52"/>
      <c r="P750" s="52"/>
      <c r="Q750" s="52"/>
      <c r="R750" s="52"/>
      <c r="S750" s="52"/>
      <c r="T750" s="52"/>
      <c r="U750" s="52"/>
      <c r="V750" s="52"/>
      <c r="W750" s="52"/>
      <c r="X750" s="52"/>
      <c r="Y750" s="52"/>
      <c r="Z750" s="52"/>
      <c r="AA750" s="52"/>
      <c r="AB750" s="52"/>
      <c r="AC750" s="52"/>
    </row>
    <row r="751" spans="1:29" ht="12.75">
      <c r="A751" s="197"/>
      <c r="B751" s="2"/>
      <c r="C751" s="52"/>
      <c r="D751" s="52"/>
      <c r="E751" s="52"/>
      <c r="F751" s="2"/>
      <c r="G751" s="2"/>
      <c r="H751" s="2"/>
      <c r="I751" s="2"/>
      <c r="J751" s="52"/>
      <c r="K751" s="2"/>
      <c r="L751" s="2"/>
      <c r="M751" s="2"/>
      <c r="N751" s="2"/>
      <c r="O751" s="52"/>
      <c r="P751" s="52"/>
      <c r="Q751" s="52"/>
      <c r="R751" s="52"/>
      <c r="S751" s="52"/>
      <c r="T751" s="52"/>
      <c r="U751" s="52"/>
      <c r="V751" s="52"/>
      <c r="W751" s="52"/>
      <c r="X751" s="52"/>
      <c r="Y751" s="52"/>
      <c r="Z751" s="52"/>
      <c r="AA751" s="52"/>
      <c r="AB751" s="52"/>
      <c r="AC751" s="52"/>
    </row>
    <row r="752" spans="1:29" ht="12.75">
      <c r="A752" s="197"/>
      <c r="B752" s="2"/>
      <c r="C752" s="52"/>
      <c r="D752" s="52"/>
      <c r="E752" s="52"/>
      <c r="F752" s="2"/>
      <c r="G752" s="2"/>
      <c r="H752" s="2"/>
      <c r="I752" s="2"/>
      <c r="J752" s="52"/>
      <c r="K752" s="2"/>
      <c r="L752" s="2"/>
      <c r="M752" s="2"/>
      <c r="N752" s="2"/>
      <c r="O752" s="52"/>
      <c r="P752" s="52"/>
      <c r="Q752" s="52"/>
      <c r="R752" s="52"/>
      <c r="S752" s="52"/>
      <c r="T752" s="52"/>
      <c r="U752" s="52"/>
      <c r="V752" s="52"/>
      <c r="W752" s="52"/>
      <c r="X752" s="52"/>
      <c r="Y752" s="52"/>
      <c r="Z752" s="52"/>
      <c r="AA752" s="52"/>
      <c r="AB752" s="52"/>
      <c r="AC752" s="52"/>
    </row>
    <row r="753" spans="1:29" ht="12.75">
      <c r="A753" s="197"/>
      <c r="B753" s="2"/>
      <c r="C753" s="52"/>
      <c r="D753" s="52"/>
      <c r="E753" s="52"/>
      <c r="F753" s="2"/>
      <c r="G753" s="2"/>
      <c r="H753" s="2"/>
      <c r="I753" s="2"/>
      <c r="J753" s="52"/>
      <c r="K753" s="2"/>
      <c r="L753" s="2"/>
      <c r="M753" s="2"/>
      <c r="N753" s="2"/>
      <c r="O753" s="52"/>
      <c r="P753" s="52"/>
      <c r="Q753" s="52"/>
      <c r="R753" s="52"/>
      <c r="S753" s="52"/>
      <c r="T753" s="52"/>
      <c r="U753" s="52"/>
      <c r="V753" s="52"/>
      <c r="W753" s="52"/>
      <c r="X753" s="52"/>
      <c r="Y753" s="52"/>
      <c r="Z753" s="52"/>
      <c r="AA753" s="52"/>
      <c r="AB753" s="52"/>
      <c r="AC753" s="52"/>
    </row>
    <row r="754" spans="1:29" ht="12.75">
      <c r="A754" s="197"/>
      <c r="B754" s="2"/>
      <c r="C754" s="52"/>
      <c r="D754" s="52"/>
      <c r="E754" s="52"/>
      <c r="F754" s="2"/>
      <c r="G754" s="2"/>
      <c r="H754" s="2"/>
      <c r="I754" s="2"/>
      <c r="J754" s="52"/>
      <c r="K754" s="2"/>
      <c r="L754" s="2"/>
      <c r="M754" s="2"/>
      <c r="N754" s="2"/>
      <c r="O754" s="52"/>
      <c r="P754" s="52"/>
      <c r="Q754" s="52"/>
      <c r="R754" s="52"/>
      <c r="S754" s="52"/>
      <c r="T754" s="52"/>
      <c r="U754" s="52"/>
      <c r="V754" s="52"/>
      <c r="W754" s="52"/>
      <c r="X754" s="52"/>
      <c r="Y754" s="52"/>
      <c r="Z754" s="52"/>
      <c r="AA754" s="52"/>
      <c r="AB754" s="52"/>
      <c r="AC754" s="52"/>
    </row>
    <row r="755" spans="1:29" ht="12.75">
      <c r="A755" s="197"/>
      <c r="B755" s="2"/>
      <c r="C755" s="52"/>
      <c r="D755" s="52"/>
      <c r="E755" s="52"/>
      <c r="F755" s="2"/>
      <c r="G755" s="2"/>
      <c r="H755" s="2"/>
      <c r="I755" s="2"/>
      <c r="J755" s="52"/>
      <c r="K755" s="2"/>
      <c r="L755" s="2"/>
      <c r="M755" s="2"/>
      <c r="N755" s="2"/>
      <c r="O755" s="52"/>
      <c r="P755" s="52"/>
      <c r="Q755" s="52"/>
      <c r="R755" s="52"/>
      <c r="S755" s="52"/>
      <c r="T755" s="52"/>
      <c r="U755" s="52"/>
      <c r="V755" s="52"/>
      <c r="W755" s="52"/>
      <c r="X755" s="52"/>
      <c r="Y755" s="52"/>
      <c r="Z755" s="52"/>
      <c r="AA755" s="52"/>
      <c r="AB755" s="52"/>
      <c r="AC755" s="52"/>
    </row>
    <row r="756" spans="1:29" ht="12.75">
      <c r="A756" s="197"/>
      <c r="B756" s="2"/>
      <c r="C756" s="52"/>
      <c r="D756" s="52"/>
      <c r="E756" s="52"/>
      <c r="F756" s="2"/>
      <c r="G756" s="2"/>
      <c r="H756" s="2"/>
      <c r="I756" s="2"/>
      <c r="J756" s="52"/>
      <c r="K756" s="2"/>
      <c r="L756" s="2"/>
      <c r="M756" s="2"/>
      <c r="N756" s="2"/>
      <c r="O756" s="52"/>
      <c r="P756" s="52"/>
      <c r="Q756" s="52"/>
      <c r="R756" s="52"/>
      <c r="S756" s="52"/>
      <c r="T756" s="52"/>
      <c r="U756" s="52"/>
      <c r="V756" s="52"/>
      <c r="W756" s="52"/>
      <c r="X756" s="52"/>
      <c r="Y756" s="52"/>
      <c r="Z756" s="52"/>
      <c r="AA756" s="52"/>
      <c r="AB756" s="52"/>
      <c r="AC756" s="52"/>
    </row>
    <row r="757" spans="1:29" ht="12.75">
      <c r="A757" s="197"/>
      <c r="B757" s="2"/>
      <c r="C757" s="52"/>
      <c r="D757" s="52"/>
      <c r="E757" s="52"/>
      <c r="F757" s="2"/>
      <c r="G757" s="2"/>
      <c r="H757" s="2"/>
      <c r="I757" s="2"/>
      <c r="J757" s="52"/>
      <c r="K757" s="2"/>
      <c r="L757" s="2"/>
      <c r="M757" s="2"/>
      <c r="N757" s="2"/>
      <c r="O757" s="52"/>
      <c r="P757" s="52"/>
      <c r="Q757" s="52"/>
      <c r="R757" s="52"/>
      <c r="S757" s="52"/>
      <c r="T757" s="52"/>
      <c r="U757" s="52"/>
      <c r="V757" s="52"/>
      <c r="W757" s="52"/>
      <c r="X757" s="52"/>
      <c r="Y757" s="52"/>
      <c r="Z757" s="52"/>
      <c r="AA757" s="52"/>
      <c r="AB757" s="52"/>
      <c r="AC757" s="52"/>
    </row>
    <row r="758" spans="1:29" ht="12.75">
      <c r="A758" s="197"/>
      <c r="B758" s="2"/>
      <c r="C758" s="52"/>
      <c r="D758" s="52"/>
      <c r="E758" s="52"/>
      <c r="F758" s="2"/>
      <c r="G758" s="2"/>
      <c r="H758" s="2"/>
      <c r="I758" s="2"/>
      <c r="J758" s="52"/>
      <c r="K758" s="2"/>
      <c r="L758" s="2"/>
      <c r="M758" s="2"/>
      <c r="N758" s="2"/>
      <c r="O758" s="52"/>
      <c r="P758" s="52"/>
      <c r="Q758" s="52"/>
      <c r="R758" s="52"/>
      <c r="S758" s="52"/>
      <c r="T758" s="52"/>
      <c r="U758" s="52"/>
      <c r="V758" s="52"/>
      <c r="W758" s="52"/>
      <c r="X758" s="52"/>
      <c r="Y758" s="52"/>
      <c r="Z758" s="52"/>
      <c r="AA758" s="52"/>
      <c r="AB758" s="52"/>
      <c r="AC758" s="52"/>
    </row>
    <row r="759" spans="1:29" ht="12.75">
      <c r="A759" s="197"/>
      <c r="B759" s="2"/>
      <c r="C759" s="52"/>
      <c r="D759" s="52"/>
      <c r="E759" s="52"/>
      <c r="F759" s="2"/>
      <c r="G759" s="2"/>
      <c r="H759" s="2"/>
      <c r="I759" s="2"/>
      <c r="J759" s="52"/>
      <c r="K759" s="2"/>
      <c r="L759" s="2"/>
      <c r="M759" s="2"/>
      <c r="N759" s="2"/>
      <c r="O759" s="52"/>
      <c r="P759" s="52"/>
      <c r="Q759" s="52"/>
      <c r="R759" s="52"/>
      <c r="S759" s="52"/>
      <c r="T759" s="52"/>
      <c r="U759" s="52"/>
      <c r="V759" s="52"/>
      <c r="W759" s="52"/>
      <c r="X759" s="52"/>
      <c r="Y759" s="52"/>
      <c r="Z759" s="52"/>
      <c r="AA759" s="52"/>
      <c r="AB759" s="52"/>
      <c r="AC759" s="52"/>
    </row>
    <row r="760" spans="1:29" ht="12.75">
      <c r="A760" s="197"/>
      <c r="B760" s="2"/>
      <c r="C760" s="52"/>
      <c r="D760" s="52"/>
      <c r="E760" s="52"/>
      <c r="F760" s="2"/>
      <c r="G760" s="2"/>
      <c r="H760" s="2"/>
      <c r="I760" s="2"/>
      <c r="J760" s="52"/>
      <c r="K760" s="2"/>
      <c r="L760" s="2"/>
      <c r="M760" s="2"/>
      <c r="N760" s="2"/>
      <c r="O760" s="52"/>
      <c r="P760" s="52"/>
      <c r="Q760" s="52"/>
      <c r="R760" s="52"/>
      <c r="S760" s="52"/>
      <c r="T760" s="52"/>
      <c r="U760" s="52"/>
      <c r="V760" s="52"/>
      <c r="W760" s="52"/>
      <c r="X760" s="52"/>
      <c r="Y760" s="52"/>
      <c r="Z760" s="52"/>
      <c r="AA760" s="52"/>
      <c r="AB760" s="52"/>
      <c r="AC760" s="52"/>
    </row>
    <row r="761" spans="1:29" ht="12.75">
      <c r="A761" s="197"/>
      <c r="B761" s="2"/>
      <c r="C761" s="52"/>
      <c r="D761" s="52"/>
      <c r="E761" s="52"/>
      <c r="F761" s="2"/>
      <c r="G761" s="2"/>
      <c r="H761" s="2"/>
      <c r="I761" s="2"/>
      <c r="J761" s="52"/>
      <c r="K761" s="2"/>
      <c r="L761" s="2"/>
      <c r="M761" s="2"/>
      <c r="N761" s="2"/>
      <c r="O761" s="52"/>
      <c r="P761" s="52"/>
      <c r="Q761" s="52"/>
      <c r="R761" s="52"/>
      <c r="S761" s="52"/>
      <c r="T761" s="52"/>
      <c r="U761" s="52"/>
      <c r="V761" s="52"/>
      <c r="W761" s="52"/>
      <c r="X761" s="52"/>
      <c r="Y761" s="52"/>
      <c r="Z761" s="52"/>
      <c r="AA761" s="52"/>
      <c r="AB761" s="52"/>
      <c r="AC761" s="52"/>
    </row>
    <row r="762" spans="1:29" ht="12.75">
      <c r="A762" s="197"/>
      <c r="B762" s="2"/>
      <c r="C762" s="52"/>
      <c r="D762" s="52"/>
      <c r="E762" s="52"/>
      <c r="F762" s="2"/>
      <c r="G762" s="2"/>
      <c r="H762" s="2"/>
      <c r="I762" s="2"/>
      <c r="J762" s="52"/>
      <c r="K762" s="2"/>
      <c r="L762" s="2"/>
      <c r="M762" s="2"/>
      <c r="N762" s="2"/>
      <c r="O762" s="52"/>
      <c r="P762" s="52"/>
      <c r="Q762" s="52"/>
      <c r="R762" s="52"/>
      <c r="S762" s="52"/>
      <c r="T762" s="52"/>
      <c r="U762" s="52"/>
      <c r="V762" s="52"/>
      <c r="W762" s="52"/>
      <c r="X762" s="52"/>
      <c r="Y762" s="52"/>
      <c r="Z762" s="52"/>
      <c r="AA762" s="52"/>
      <c r="AB762" s="52"/>
      <c r="AC762" s="52"/>
    </row>
    <row r="763" spans="1:29" ht="12.75">
      <c r="A763" s="197"/>
      <c r="B763" s="2"/>
      <c r="C763" s="52"/>
      <c r="D763" s="52"/>
      <c r="E763" s="52"/>
      <c r="F763" s="2"/>
      <c r="G763" s="2"/>
      <c r="H763" s="2"/>
      <c r="I763" s="2"/>
      <c r="J763" s="52"/>
      <c r="K763" s="2"/>
      <c r="L763" s="2"/>
      <c r="M763" s="2"/>
      <c r="N763" s="2"/>
      <c r="O763" s="52"/>
      <c r="P763" s="52"/>
      <c r="Q763" s="52"/>
      <c r="R763" s="52"/>
      <c r="S763" s="52"/>
      <c r="T763" s="52"/>
      <c r="U763" s="52"/>
      <c r="V763" s="52"/>
      <c r="W763" s="52"/>
      <c r="X763" s="52"/>
      <c r="Y763" s="52"/>
      <c r="Z763" s="52"/>
      <c r="AA763" s="52"/>
      <c r="AB763" s="52"/>
      <c r="AC763" s="52"/>
    </row>
    <row r="764" spans="1:29" ht="12.75">
      <c r="A764" s="197"/>
      <c r="B764" s="2"/>
      <c r="C764" s="52"/>
      <c r="D764" s="52"/>
      <c r="E764" s="52"/>
      <c r="F764" s="2"/>
      <c r="G764" s="2"/>
      <c r="H764" s="2"/>
      <c r="I764" s="2"/>
      <c r="J764" s="52"/>
      <c r="K764" s="2"/>
      <c r="L764" s="2"/>
      <c r="M764" s="2"/>
      <c r="N764" s="2"/>
      <c r="O764" s="52"/>
      <c r="P764" s="52"/>
      <c r="Q764" s="52"/>
      <c r="R764" s="52"/>
      <c r="S764" s="52"/>
      <c r="T764" s="52"/>
      <c r="U764" s="52"/>
      <c r="V764" s="52"/>
      <c r="W764" s="52"/>
      <c r="X764" s="52"/>
      <c r="Y764" s="52"/>
      <c r="Z764" s="52"/>
      <c r="AA764" s="52"/>
      <c r="AB764" s="52"/>
      <c r="AC764" s="52"/>
    </row>
    <row r="765" spans="1:29" ht="12.75">
      <c r="A765" s="197"/>
      <c r="B765" s="2"/>
      <c r="C765" s="52"/>
      <c r="D765" s="52"/>
      <c r="E765" s="52"/>
      <c r="F765" s="2"/>
      <c r="G765" s="2"/>
      <c r="H765" s="2"/>
      <c r="I765" s="2"/>
      <c r="J765" s="52"/>
      <c r="K765" s="2"/>
      <c r="L765" s="2"/>
      <c r="M765" s="2"/>
      <c r="N765" s="2"/>
      <c r="O765" s="52"/>
      <c r="P765" s="52"/>
      <c r="Q765" s="52"/>
      <c r="R765" s="52"/>
      <c r="S765" s="52"/>
      <c r="T765" s="52"/>
      <c r="U765" s="52"/>
      <c r="V765" s="52"/>
      <c r="W765" s="52"/>
      <c r="X765" s="52"/>
      <c r="Y765" s="52"/>
      <c r="Z765" s="52"/>
      <c r="AA765" s="52"/>
      <c r="AB765" s="52"/>
      <c r="AC765" s="52"/>
    </row>
    <row r="766" spans="1:29" ht="12.75">
      <c r="A766" s="197"/>
      <c r="B766" s="2"/>
      <c r="C766" s="52"/>
      <c r="D766" s="52"/>
      <c r="E766" s="52"/>
      <c r="F766" s="2"/>
      <c r="G766" s="2"/>
      <c r="H766" s="2"/>
      <c r="I766" s="2"/>
      <c r="J766" s="52"/>
      <c r="K766" s="2"/>
      <c r="L766" s="2"/>
      <c r="M766" s="2"/>
      <c r="N766" s="2"/>
      <c r="O766" s="52"/>
      <c r="P766" s="52"/>
      <c r="Q766" s="52"/>
      <c r="R766" s="52"/>
      <c r="S766" s="52"/>
      <c r="T766" s="52"/>
      <c r="U766" s="52"/>
      <c r="V766" s="52"/>
      <c r="W766" s="52"/>
      <c r="X766" s="52"/>
      <c r="Y766" s="52"/>
      <c r="Z766" s="52"/>
      <c r="AA766" s="52"/>
      <c r="AB766" s="52"/>
      <c r="AC766" s="52"/>
    </row>
    <row r="767" spans="1:29" ht="12.75">
      <c r="A767" s="197"/>
      <c r="B767" s="2"/>
      <c r="C767" s="52"/>
      <c r="D767" s="52"/>
      <c r="E767" s="52"/>
      <c r="F767" s="2"/>
      <c r="G767" s="2"/>
      <c r="H767" s="2"/>
      <c r="I767" s="2"/>
      <c r="J767" s="52"/>
      <c r="K767" s="2"/>
      <c r="L767" s="2"/>
      <c r="M767" s="2"/>
      <c r="N767" s="2"/>
      <c r="O767" s="52"/>
      <c r="P767" s="52"/>
      <c r="Q767" s="52"/>
      <c r="R767" s="52"/>
      <c r="S767" s="52"/>
      <c r="T767" s="52"/>
      <c r="U767" s="52"/>
      <c r="V767" s="52"/>
      <c r="W767" s="52"/>
      <c r="X767" s="52"/>
      <c r="Y767" s="52"/>
      <c r="Z767" s="52"/>
      <c r="AA767" s="52"/>
      <c r="AB767" s="52"/>
      <c r="AC767" s="52"/>
    </row>
    <row r="768" spans="1:29" ht="12.75">
      <c r="A768" s="197"/>
      <c r="B768" s="2"/>
      <c r="C768" s="52"/>
      <c r="D768" s="52"/>
      <c r="E768" s="52"/>
      <c r="F768" s="2"/>
      <c r="G768" s="2"/>
      <c r="H768" s="2"/>
      <c r="I768" s="2"/>
      <c r="J768" s="52"/>
      <c r="K768" s="2"/>
      <c r="L768" s="2"/>
      <c r="M768" s="2"/>
      <c r="N768" s="2"/>
      <c r="O768" s="52"/>
      <c r="P768" s="52"/>
      <c r="Q768" s="52"/>
      <c r="R768" s="52"/>
      <c r="S768" s="52"/>
      <c r="T768" s="52"/>
      <c r="U768" s="52"/>
      <c r="V768" s="52"/>
      <c r="W768" s="52"/>
      <c r="X768" s="52"/>
      <c r="Y768" s="52"/>
      <c r="Z768" s="52"/>
      <c r="AA768" s="52"/>
      <c r="AB768" s="52"/>
      <c r="AC768" s="52"/>
    </row>
    <row r="769" spans="1:29" ht="12.75">
      <c r="A769" s="197"/>
      <c r="B769" s="2"/>
      <c r="C769" s="52"/>
      <c r="D769" s="52"/>
      <c r="E769" s="52"/>
      <c r="F769" s="2"/>
      <c r="G769" s="2"/>
      <c r="H769" s="2"/>
      <c r="I769" s="2"/>
      <c r="J769" s="52"/>
      <c r="K769" s="2"/>
      <c r="L769" s="2"/>
      <c r="M769" s="2"/>
      <c r="N769" s="2"/>
      <c r="O769" s="52"/>
      <c r="P769" s="52"/>
      <c r="Q769" s="52"/>
      <c r="R769" s="52"/>
      <c r="S769" s="52"/>
      <c r="T769" s="52"/>
      <c r="U769" s="52"/>
      <c r="V769" s="52"/>
      <c r="W769" s="52"/>
      <c r="X769" s="52"/>
      <c r="Y769" s="52"/>
      <c r="Z769" s="52"/>
      <c r="AA769" s="52"/>
      <c r="AB769" s="52"/>
      <c r="AC769" s="52"/>
    </row>
    <row r="770" spans="1:29" ht="12.75">
      <c r="A770" s="197"/>
      <c r="B770" s="2"/>
      <c r="C770" s="52"/>
      <c r="D770" s="52"/>
      <c r="E770" s="52"/>
      <c r="F770" s="2"/>
      <c r="G770" s="2"/>
      <c r="H770" s="2"/>
      <c r="I770" s="2"/>
      <c r="J770" s="52"/>
      <c r="K770" s="2"/>
      <c r="L770" s="2"/>
      <c r="M770" s="2"/>
      <c r="N770" s="2"/>
      <c r="O770" s="52"/>
      <c r="P770" s="52"/>
      <c r="Q770" s="52"/>
      <c r="R770" s="52"/>
      <c r="S770" s="52"/>
      <c r="T770" s="52"/>
      <c r="U770" s="52"/>
      <c r="V770" s="52"/>
      <c r="W770" s="52"/>
      <c r="X770" s="52"/>
      <c r="Y770" s="52"/>
      <c r="Z770" s="52"/>
      <c r="AA770" s="52"/>
      <c r="AB770" s="52"/>
      <c r="AC770" s="52"/>
    </row>
    <row r="771" spans="1:29" ht="12.75">
      <c r="A771" s="197"/>
      <c r="B771" s="2"/>
      <c r="C771" s="52"/>
      <c r="D771" s="52"/>
      <c r="E771" s="52"/>
      <c r="F771" s="2"/>
      <c r="G771" s="2"/>
      <c r="H771" s="2"/>
      <c r="I771" s="2"/>
      <c r="J771" s="52"/>
      <c r="K771" s="2"/>
      <c r="L771" s="2"/>
      <c r="M771" s="2"/>
      <c r="N771" s="2"/>
      <c r="O771" s="52"/>
      <c r="P771" s="52"/>
      <c r="Q771" s="52"/>
      <c r="R771" s="52"/>
      <c r="S771" s="52"/>
      <c r="T771" s="52"/>
      <c r="U771" s="52"/>
      <c r="V771" s="52"/>
      <c r="W771" s="52"/>
      <c r="X771" s="52"/>
      <c r="Y771" s="52"/>
      <c r="Z771" s="52"/>
      <c r="AA771" s="52"/>
      <c r="AB771" s="52"/>
      <c r="AC771" s="52"/>
    </row>
    <row r="772" spans="1:29" ht="12.75">
      <c r="A772" s="197"/>
      <c r="B772" s="2"/>
      <c r="C772" s="52"/>
      <c r="D772" s="52"/>
      <c r="E772" s="52"/>
      <c r="F772" s="2"/>
      <c r="G772" s="2"/>
      <c r="H772" s="2"/>
      <c r="I772" s="2"/>
      <c r="J772" s="52"/>
      <c r="K772" s="2"/>
      <c r="L772" s="2"/>
      <c r="M772" s="2"/>
      <c r="N772" s="2"/>
      <c r="O772" s="52"/>
      <c r="P772" s="52"/>
      <c r="Q772" s="52"/>
      <c r="R772" s="52"/>
      <c r="S772" s="52"/>
      <c r="T772" s="52"/>
      <c r="U772" s="52"/>
      <c r="V772" s="52"/>
      <c r="W772" s="52"/>
      <c r="X772" s="52"/>
      <c r="Y772" s="52"/>
      <c r="Z772" s="52"/>
      <c r="AA772" s="52"/>
      <c r="AB772" s="52"/>
      <c r="AC772" s="52"/>
    </row>
    <row r="773" spans="1:29" ht="12.75">
      <c r="A773" s="197"/>
      <c r="B773" s="2"/>
      <c r="C773" s="52"/>
      <c r="D773" s="52"/>
      <c r="E773" s="52"/>
      <c r="F773" s="2"/>
      <c r="G773" s="2"/>
      <c r="H773" s="2"/>
      <c r="I773" s="2"/>
      <c r="J773" s="52"/>
      <c r="K773" s="2"/>
      <c r="L773" s="2"/>
      <c r="M773" s="2"/>
      <c r="N773" s="2"/>
      <c r="O773" s="52"/>
      <c r="P773" s="52"/>
      <c r="Q773" s="52"/>
      <c r="R773" s="52"/>
      <c r="S773" s="52"/>
      <c r="T773" s="52"/>
      <c r="U773" s="52"/>
      <c r="V773" s="52"/>
      <c r="W773" s="52"/>
      <c r="X773" s="52"/>
      <c r="Y773" s="52"/>
      <c r="Z773" s="52"/>
      <c r="AA773" s="52"/>
      <c r="AB773" s="52"/>
      <c r="AC773" s="52"/>
    </row>
    <row r="774" spans="1:29" ht="12.75">
      <c r="A774" s="197"/>
      <c r="B774" s="2"/>
      <c r="C774" s="52"/>
      <c r="D774" s="52"/>
      <c r="E774" s="52"/>
      <c r="F774" s="2"/>
      <c r="G774" s="2"/>
      <c r="H774" s="2"/>
      <c r="I774" s="2"/>
      <c r="J774" s="52"/>
      <c r="K774" s="2"/>
      <c r="L774" s="2"/>
      <c r="M774" s="2"/>
      <c r="N774" s="2"/>
      <c r="O774" s="52"/>
      <c r="P774" s="52"/>
      <c r="Q774" s="52"/>
      <c r="R774" s="52"/>
      <c r="S774" s="52"/>
      <c r="T774" s="52"/>
      <c r="U774" s="52"/>
      <c r="V774" s="52"/>
      <c r="W774" s="52"/>
      <c r="X774" s="52"/>
      <c r="Y774" s="52"/>
      <c r="Z774" s="52"/>
      <c r="AA774" s="52"/>
      <c r="AB774" s="52"/>
      <c r="AC774" s="52"/>
    </row>
    <row r="775" spans="1:29" ht="12.75">
      <c r="A775" s="197"/>
      <c r="B775" s="2"/>
      <c r="C775" s="52"/>
      <c r="D775" s="52"/>
      <c r="E775" s="52"/>
      <c r="F775" s="2"/>
      <c r="G775" s="2"/>
      <c r="H775" s="2"/>
      <c r="I775" s="2"/>
      <c r="J775" s="52"/>
      <c r="K775" s="2"/>
      <c r="L775" s="2"/>
      <c r="M775" s="2"/>
      <c r="N775" s="2"/>
      <c r="O775" s="52"/>
      <c r="P775" s="52"/>
      <c r="Q775" s="52"/>
      <c r="R775" s="52"/>
      <c r="S775" s="52"/>
      <c r="T775" s="52"/>
      <c r="U775" s="52"/>
      <c r="V775" s="52"/>
      <c r="W775" s="52"/>
      <c r="X775" s="52"/>
      <c r="Y775" s="52"/>
      <c r="Z775" s="52"/>
      <c r="AA775" s="52"/>
      <c r="AB775" s="52"/>
      <c r="AC775" s="52"/>
    </row>
    <row r="776" spans="1:29" ht="12.75">
      <c r="A776" s="197"/>
      <c r="B776" s="2"/>
      <c r="C776" s="52"/>
      <c r="D776" s="52"/>
      <c r="E776" s="52"/>
      <c r="F776" s="2"/>
      <c r="G776" s="2"/>
      <c r="H776" s="2"/>
      <c r="I776" s="2"/>
      <c r="J776" s="52"/>
      <c r="K776" s="2"/>
      <c r="L776" s="2"/>
      <c r="M776" s="2"/>
      <c r="N776" s="2"/>
      <c r="O776" s="52"/>
      <c r="P776" s="52"/>
      <c r="Q776" s="52"/>
      <c r="R776" s="52"/>
      <c r="S776" s="52"/>
      <c r="T776" s="52"/>
      <c r="U776" s="52"/>
      <c r="V776" s="52"/>
      <c r="W776" s="52"/>
      <c r="X776" s="52"/>
      <c r="Y776" s="52"/>
      <c r="Z776" s="52"/>
      <c r="AA776" s="52"/>
      <c r="AB776" s="52"/>
      <c r="AC776" s="52"/>
    </row>
    <row r="777" spans="1:29" ht="12.75">
      <c r="A777" s="197"/>
      <c r="B777" s="2"/>
      <c r="C777" s="52"/>
      <c r="D777" s="52"/>
      <c r="E777" s="52"/>
      <c r="F777" s="2"/>
      <c r="G777" s="2"/>
      <c r="H777" s="2"/>
      <c r="I777" s="2"/>
      <c r="J777" s="52"/>
      <c r="K777" s="2"/>
      <c r="L777" s="2"/>
      <c r="M777" s="2"/>
      <c r="N777" s="2"/>
      <c r="O777" s="52"/>
      <c r="P777" s="52"/>
      <c r="Q777" s="52"/>
      <c r="R777" s="52"/>
      <c r="S777" s="52"/>
      <c r="T777" s="52"/>
      <c r="U777" s="52"/>
      <c r="V777" s="52"/>
      <c r="W777" s="52"/>
      <c r="X777" s="52"/>
      <c r="Y777" s="52"/>
      <c r="Z777" s="52"/>
      <c r="AA777" s="52"/>
      <c r="AB777" s="52"/>
      <c r="AC777" s="52"/>
    </row>
    <row r="778" spans="1:29" ht="12.75">
      <c r="A778" s="197"/>
      <c r="B778" s="2"/>
      <c r="C778" s="52"/>
      <c r="D778" s="52"/>
      <c r="E778" s="52"/>
      <c r="F778" s="2"/>
      <c r="G778" s="2"/>
      <c r="H778" s="2"/>
      <c r="I778" s="2"/>
      <c r="J778" s="52"/>
      <c r="K778" s="2"/>
      <c r="L778" s="2"/>
      <c r="M778" s="2"/>
      <c r="N778" s="2"/>
      <c r="O778" s="52"/>
      <c r="P778" s="52"/>
      <c r="Q778" s="52"/>
      <c r="R778" s="52"/>
      <c r="S778" s="52"/>
      <c r="T778" s="52"/>
      <c r="U778" s="52"/>
      <c r="V778" s="52"/>
      <c r="W778" s="52"/>
      <c r="X778" s="52"/>
      <c r="Y778" s="52"/>
      <c r="Z778" s="52"/>
      <c r="AA778" s="52"/>
      <c r="AB778" s="52"/>
      <c r="AC778" s="52"/>
    </row>
    <row r="779" spans="1:29" ht="12.75">
      <c r="A779" s="197"/>
      <c r="B779" s="2"/>
      <c r="C779" s="52"/>
      <c r="D779" s="52"/>
      <c r="E779" s="52"/>
      <c r="F779" s="2"/>
      <c r="G779" s="2"/>
      <c r="H779" s="2"/>
      <c r="I779" s="2"/>
      <c r="J779" s="52"/>
      <c r="K779" s="2"/>
      <c r="L779" s="2"/>
      <c r="M779" s="2"/>
      <c r="N779" s="2"/>
      <c r="O779" s="52"/>
      <c r="P779" s="52"/>
      <c r="Q779" s="52"/>
      <c r="R779" s="52"/>
      <c r="S779" s="52"/>
      <c r="T779" s="52"/>
      <c r="U779" s="52"/>
      <c r="V779" s="52"/>
      <c r="W779" s="52"/>
      <c r="X779" s="52"/>
      <c r="Y779" s="52"/>
      <c r="Z779" s="52"/>
      <c r="AA779" s="52"/>
      <c r="AB779" s="52"/>
      <c r="AC779" s="52"/>
    </row>
    <row r="780" spans="1:29" ht="12.75">
      <c r="A780" s="197"/>
      <c r="B780" s="2"/>
      <c r="C780" s="52"/>
      <c r="D780" s="52"/>
      <c r="E780" s="52"/>
      <c r="F780" s="2"/>
      <c r="G780" s="2"/>
      <c r="H780" s="2"/>
      <c r="I780" s="2"/>
      <c r="J780" s="52"/>
      <c r="K780" s="2"/>
      <c r="L780" s="2"/>
      <c r="M780" s="2"/>
      <c r="N780" s="2"/>
      <c r="O780" s="52"/>
      <c r="P780" s="52"/>
      <c r="Q780" s="52"/>
      <c r="R780" s="52"/>
      <c r="S780" s="52"/>
      <c r="T780" s="52"/>
      <c r="U780" s="52"/>
      <c r="V780" s="52"/>
      <c r="W780" s="52"/>
      <c r="X780" s="52"/>
      <c r="Y780" s="52"/>
      <c r="Z780" s="52"/>
      <c r="AA780" s="52"/>
      <c r="AB780" s="52"/>
      <c r="AC780" s="52"/>
    </row>
    <row r="781" spans="1:29" ht="12.75">
      <c r="A781" s="197"/>
      <c r="B781" s="2"/>
      <c r="C781" s="52"/>
      <c r="D781" s="52"/>
      <c r="E781" s="52"/>
      <c r="F781" s="2"/>
      <c r="G781" s="2"/>
      <c r="H781" s="2"/>
      <c r="I781" s="2"/>
      <c r="J781" s="52"/>
      <c r="K781" s="2"/>
      <c r="L781" s="2"/>
      <c r="M781" s="2"/>
      <c r="N781" s="2"/>
      <c r="O781" s="52"/>
      <c r="P781" s="52"/>
      <c r="Q781" s="52"/>
      <c r="R781" s="52"/>
      <c r="S781" s="52"/>
      <c r="T781" s="52"/>
      <c r="U781" s="52"/>
      <c r="V781" s="52"/>
      <c r="W781" s="52"/>
      <c r="X781" s="52"/>
      <c r="Y781" s="52"/>
      <c r="Z781" s="52"/>
      <c r="AA781" s="52"/>
      <c r="AB781" s="52"/>
      <c r="AC781" s="52"/>
    </row>
    <row r="782" spans="1:29" ht="12.75">
      <c r="A782" s="197"/>
      <c r="B782" s="2"/>
      <c r="C782" s="52"/>
      <c r="D782" s="52"/>
      <c r="E782" s="52"/>
      <c r="F782" s="2"/>
      <c r="G782" s="2"/>
      <c r="H782" s="2"/>
      <c r="I782" s="2"/>
      <c r="J782" s="52"/>
      <c r="K782" s="2"/>
      <c r="L782" s="2"/>
      <c r="M782" s="2"/>
      <c r="N782" s="2"/>
      <c r="O782" s="52"/>
      <c r="P782" s="52"/>
      <c r="Q782" s="52"/>
      <c r="R782" s="52"/>
      <c r="S782" s="52"/>
      <c r="T782" s="52"/>
      <c r="U782" s="52"/>
      <c r="V782" s="52"/>
      <c r="W782" s="52"/>
      <c r="X782" s="52"/>
      <c r="Y782" s="52"/>
      <c r="Z782" s="52"/>
      <c r="AA782" s="52"/>
      <c r="AB782" s="52"/>
      <c r="AC782" s="52"/>
    </row>
    <row r="783" spans="1:29" ht="12.75">
      <c r="A783" s="197"/>
      <c r="B783" s="2"/>
      <c r="C783" s="52"/>
      <c r="D783" s="52"/>
      <c r="E783" s="52"/>
      <c r="F783" s="2"/>
      <c r="G783" s="2"/>
      <c r="H783" s="2"/>
      <c r="I783" s="2"/>
      <c r="J783" s="52"/>
      <c r="K783" s="2"/>
      <c r="L783" s="2"/>
      <c r="M783" s="2"/>
      <c r="N783" s="2"/>
      <c r="O783" s="52"/>
      <c r="P783" s="52"/>
      <c r="Q783" s="52"/>
      <c r="R783" s="52"/>
      <c r="S783" s="52"/>
      <c r="T783" s="52"/>
      <c r="U783" s="52"/>
      <c r="V783" s="52"/>
      <c r="W783" s="52"/>
      <c r="X783" s="52"/>
      <c r="Y783" s="52"/>
      <c r="Z783" s="52"/>
      <c r="AA783" s="52"/>
      <c r="AB783" s="52"/>
      <c r="AC783" s="52"/>
    </row>
    <row r="784" spans="1:29" ht="12.75">
      <c r="A784" s="197"/>
      <c r="B784" s="2"/>
      <c r="C784" s="52"/>
      <c r="D784" s="52"/>
      <c r="E784" s="52"/>
      <c r="F784" s="2"/>
      <c r="G784" s="2"/>
      <c r="H784" s="2"/>
      <c r="I784" s="2"/>
      <c r="J784" s="52"/>
      <c r="K784" s="2"/>
      <c r="L784" s="2"/>
      <c r="M784" s="2"/>
      <c r="N784" s="2"/>
      <c r="O784" s="52"/>
      <c r="P784" s="52"/>
      <c r="Q784" s="52"/>
      <c r="R784" s="52"/>
      <c r="S784" s="52"/>
      <c r="T784" s="52"/>
      <c r="U784" s="52"/>
      <c r="V784" s="52"/>
      <c r="W784" s="52"/>
      <c r="X784" s="52"/>
      <c r="Y784" s="52"/>
      <c r="Z784" s="52"/>
      <c r="AA784" s="52"/>
      <c r="AB784" s="52"/>
      <c r="AC784" s="52"/>
    </row>
    <row r="785" spans="1:29" ht="12.75">
      <c r="A785" s="197"/>
      <c r="B785" s="2"/>
      <c r="C785" s="52"/>
      <c r="D785" s="52"/>
      <c r="E785" s="52"/>
      <c r="F785" s="2"/>
      <c r="G785" s="2"/>
      <c r="H785" s="2"/>
      <c r="I785" s="2"/>
      <c r="J785" s="52"/>
      <c r="K785" s="2"/>
      <c r="L785" s="2"/>
      <c r="M785" s="2"/>
      <c r="N785" s="2"/>
      <c r="O785" s="52"/>
      <c r="P785" s="52"/>
      <c r="Q785" s="52"/>
      <c r="R785" s="52"/>
      <c r="S785" s="52"/>
      <c r="T785" s="52"/>
      <c r="U785" s="52"/>
      <c r="V785" s="52"/>
      <c r="W785" s="52"/>
      <c r="X785" s="52"/>
      <c r="Y785" s="52"/>
      <c r="Z785" s="52"/>
      <c r="AA785" s="52"/>
      <c r="AB785" s="52"/>
      <c r="AC785" s="52"/>
    </row>
    <row r="786" spans="1:29" ht="12.75">
      <c r="A786" s="197"/>
      <c r="B786" s="2"/>
      <c r="C786" s="52"/>
      <c r="D786" s="52"/>
      <c r="E786" s="52"/>
      <c r="F786" s="2"/>
      <c r="G786" s="2"/>
      <c r="H786" s="2"/>
      <c r="I786" s="2"/>
      <c r="J786" s="52"/>
      <c r="K786" s="2"/>
      <c r="L786" s="2"/>
      <c r="M786" s="2"/>
      <c r="N786" s="2"/>
      <c r="O786" s="52"/>
      <c r="P786" s="52"/>
      <c r="Q786" s="52"/>
      <c r="R786" s="52"/>
      <c r="S786" s="52"/>
      <c r="T786" s="52"/>
      <c r="U786" s="52"/>
      <c r="V786" s="52"/>
      <c r="W786" s="52"/>
      <c r="X786" s="52"/>
      <c r="Y786" s="52"/>
      <c r="Z786" s="52"/>
      <c r="AA786" s="52"/>
      <c r="AB786" s="52"/>
      <c r="AC786" s="52"/>
    </row>
    <row r="787" spans="1:29" ht="12.75">
      <c r="A787" s="197"/>
      <c r="B787" s="2"/>
      <c r="C787" s="52"/>
      <c r="D787" s="52"/>
      <c r="E787" s="52"/>
      <c r="F787" s="2"/>
      <c r="G787" s="2"/>
      <c r="H787" s="2"/>
      <c r="I787" s="2"/>
      <c r="J787" s="52"/>
      <c r="K787" s="2"/>
      <c r="L787" s="2"/>
      <c r="M787" s="2"/>
      <c r="N787" s="2"/>
      <c r="O787" s="52"/>
      <c r="P787" s="52"/>
      <c r="Q787" s="52"/>
      <c r="R787" s="52"/>
      <c r="S787" s="52"/>
      <c r="T787" s="52"/>
      <c r="U787" s="52"/>
      <c r="V787" s="52"/>
      <c r="W787" s="52"/>
      <c r="X787" s="52"/>
      <c r="Y787" s="52"/>
      <c r="Z787" s="52"/>
      <c r="AA787" s="52"/>
      <c r="AB787" s="52"/>
      <c r="AC787" s="52"/>
    </row>
    <row r="788" spans="1:29" ht="12.75">
      <c r="A788" s="197"/>
      <c r="B788" s="2"/>
      <c r="C788" s="52"/>
      <c r="D788" s="52"/>
      <c r="E788" s="52"/>
      <c r="F788" s="2"/>
      <c r="G788" s="2"/>
      <c r="H788" s="2"/>
      <c r="I788" s="2"/>
      <c r="J788" s="52"/>
      <c r="K788" s="2"/>
      <c r="L788" s="2"/>
      <c r="M788" s="2"/>
      <c r="N788" s="2"/>
      <c r="O788" s="52"/>
      <c r="P788" s="52"/>
      <c r="Q788" s="52"/>
      <c r="R788" s="52"/>
      <c r="S788" s="52"/>
      <c r="T788" s="52"/>
      <c r="U788" s="52"/>
      <c r="V788" s="52"/>
      <c r="W788" s="52"/>
      <c r="X788" s="52"/>
      <c r="Y788" s="52"/>
      <c r="Z788" s="52"/>
      <c r="AA788" s="52"/>
      <c r="AB788" s="52"/>
      <c r="AC788" s="52"/>
    </row>
    <row r="789" spans="1:29" ht="12.75">
      <c r="A789" s="197"/>
      <c r="B789" s="2"/>
      <c r="C789" s="52"/>
      <c r="D789" s="52"/>
      <c r="E789" s="52"/>
      <c r="F789" s="2"/>
      <c r="G789" s="2"/>
      <c r="H789" s="2"/>
      <c r="I789" s="2"/>
      <c r="J789" s="52"/>
      <c r="K789" s="2"/>
      <c r="L789" s="2"/>
      <c r="M789" s="2"/>
      <c r="N789" s="2"/>
      <c r="O789" s="52"/>
      <c r="P789" s="52"/>
      <c r="Q789" s="52"/>
      <c r="R789" s="52"/>
      <c r="S789" s="52"/>
      <c r="T789" s="52"/>
      <c r="U789" s="52"/>
      <c r="V789" s="52"/>
      <c r="W789" s="52"/>
      <c r="X789" s="52"/>
      <c r="Y789" s="52"/>
      <c r="Z789" s="52"/>
      <c r="AA789" s="52"/>
      <c r="AB789" s="52"/>
      <c r="AC789" s="52"/>
    </row>
    <row r="790" spans="1:29" ht="12.75">
      <c r="A790" s="197"/>
      <c r="B790" s="2"/>
      <c r="C790" s="52"/>
      <c r="D790" s="52"/>
      <c r="E790" s="52"/>
      <c r="F790" s="2"/>
      <c r="G790" s="2"/>
      <c r="H790" s="2"/>
      <c r="I790" s="2"/>
      <c r="J790" s="52"/>
      <c r="K790" s="2"/>
      <c r="L790" s="2"/>
      <c r="M790" s="2"/>
      <c r="N790" s="2"/>
      <c r="O790" s="52"/>
      <c r="P790" s="52"/>
      <c r="Q790" s="52"/>
      <c r="R790" s="52"/>
      <c r="S790" s="52"/>
      <c r="T790" s="52"/>
      <c r="U790" s="52"/>
      <c r="V790" s="52"/>
      <c r="W790" s="52"/>
      <c r="X790" s="52"/>
      <c r="Y790" s="52"/>
      <c r="Z790" s="52"/>
      <c r="AA790" s="52"/>
      <c r="AB790" s="52"/>
      <c r="AC790" s="52"/>
    </row>
    <row r="791" spans="1:29" ht="12.75">
      <c r="A791" s="197"/>
      <c r="B791" s="2"/>
      <c r="C791" s="52"/>
      <c r="D791" s="52"/>
      <c r="E791" s="52"/>
      <c r="F791" s="2"/>
      <c r="G791" s="2"/>
      <c r="H791" s="2"/>
      <c r="I791" s="2"/>
      <c r="J791" s="52"/>
      <c r="K791" s="2"/>
      <c r="L791" s="2"/>
      <c r="M791" s="2"/>
      <c r="N791" s="2"/>
      <c r="O791" s="52"/>
      <c r="P791" s="52"/>
      <c r="Q791" s="52"/>
      <c r="R791" s="52"/>
      <c r="S791" s="52"/>
      <c r="T791" s="52"/>
      <c r="U791" s="52"/>
      <c r="V791" s="52"/>
      <c r="W791" s="52"/>
      <c r="X791" s="52"/>
      <c r="Y791" s="52"/>
      <c r="Z791" s="52"/>
      <c r="AA791" s="52"/>
      <c r="AB791" s="52"/>
      <c r="AC791" s="52"/>
    </row>
    <row r="792" spans="1:29" ht="12.75">
      <c r="A792" s="197"/>
      <c r="B792" s="2"/>
      <c r="C792" s="52"/>
      <c r="D792" s="52"/>
      <c r="E792" s="52"/>
      <c r="F792" s="2"/>
      <c r="G792" s="2"/>
      <c r="H792" s="2"/>
      <c r="I792" s="2"/>
      <c r="J792" s="52"/>
      <c r="K792" s="2"/>
      <c r="L792" s="2"/>
      <c r="M792" s="2"/>
      <c r="N792" s="2"/>
      <c r="O792" s="52"/>
      <c r="P792" s="52"/>
      <c r="Q792" s="52"/>
      <c r="R792" s="52"/>
      <c r="S792" s="52"/>
      <c r="T792" s="52"/>
      <c r="U792" s="52"/>
      <c r="V792" s="52"/>
      <c r="W792" s="52"/>
      <c r="X792" s="52"/>
      <c r="Y792" s="52"/>
      <c r="Z792" s="52"/>
      <c r="AA792" s="52"/>
      <c r="AB792" s="52"/>
      <c r="AC792" s="52"/>
    </row>
    <row r="793" spans="1:29" ht="12.75">
      <c r="A793" s="197"/>
      <c r="B793" s="2"/>
      <c r="C793" s="52"/>
      <c r="D793" s="52"/>
      <c r="E793" s="52"/>
      <c r="F793" s="2"/>
      <c r="G793" s="2"/>
      <c r="H793" s="2"/>
      <c r="I793" s="2"/>
      <c r="J793" s="52"/>
      <c r="K793" s="2"/>
      <c r="L793" s="2"/>
      <c r="M793" s="2"/>
      <c r="N793" s="2"/>
      <c r="O793" s="52"/>
      <c r="P793" s="52"/>
      <c r="Q793" s="52"/>
      <c r="R793" s="52"/>
      <c r="S793" s="52"/>
      <c r="T793" s="52"/>
      <c r="U793" s="52"/>
      <c r="V793" s="52"/>
      <c r="W793" s="52"/>
      <c r="X793" s="52"/>
      <c r="Y793" s="52"/>
      <c r="Z793" s="52"/>
      <c r="AA793" s="52"/>
      <c r="AB793" s="52"/>
      <c r="AC793" s="52"/>
    </row>
    <row r="794" spans="1:29" ht="12.75">
      <c r="A794" s="197"/>
      <c r="B794" s="2"/>
      <c r="C794" s="52"/>
      <c r="D794" s="52"/>
      <c r="E794" s="52"/>
      <c r="F794" s="2"/>
      <c r="G794" s="2"/>
      <c r="H794" s="2"/>
      <c r="I794" s="2"/>
      <c r="J794" s="52"/>
      <c r="K794" s="2"/>
      <c r="L794" s="2"/>
      <c r="M794" s="2"/>
      <c r="N794" s="2"/>
      <c r="O794" s="52"/>
      <c r="P794" s="52"/>
      <c r="Q794" s="52"/>
      <c r="R794" s="52"/>
      <c r="S794" s="52"/>
      <c r="T794" s="52"/>
      <c r="U794" s="52"/>
      <c r="V794" s="52"/>
      <c r="W794" s="52"/>
      <c r="X794" s="52"/>
      <c r="Y794" s="52"/>
      <c r="Z794" s="52"/>
      <c r="AA794" s="52"/>
      <c r="AB794" s="52"/>
      <c r="AC794" s="52"/>
    </row>
    <row r="795" spans="1:29" ht="12.75">
      <c r="A795" s="197"/>
      <c r="B795" s="2"/>
      <c r="C795" s="52"/>
      <c r="D795" s="52"/>
      <c r="E795" s="52"/>
      <c r="F795" s="2"/>
      <c r="G795" s="2"/>
      <c r="H795" s="2"/>
      <c r="I795" s="2"/>
      <c r="J795" s="52"/>
      <c r="K795" s="2"/>
      <c r="L795" s="2"/>
      <c r="M795" s="2"/>
      <c r="N795" s="2"/>
      <c r="O795" s="52"/>
      <c r="P795" s="52"/>
      <c r="Q795" s="52"/>
      <c r="R795" s="52"/>
      <c r="S795" s="52"/>
      <c r="T795" s="52"/>
      <c r="U795" s="52"/>
      <c r="V795" s="52"/>
      <c r="W795" s="52"/>
      <c r="X795" s="52"/>
      <c r="Y795" s="52"/>
      <c r="Z795" s="52"/>
      <c r="AA795" s="52"/>
      <c r="AB795" s="52"/>
      <c r="AC795" s="52"/>
    </row>
    <row r="796" spans="1:29" ht="12.75">
      <c r="A796" s="197"/>
      <c r="B796" s="2"/>
      <c r="C796" s="52"/>
      <c r="D796" s="52"/>
      <c r="E796" s="52"/>
      <c r="F796" s="2"/>
      <c r="G796" s="2"/>
      <c r="H796" s="2"/>
      <c r="I796" s="2"/>
      <c r="J796" s="52"/>
      <c r="K796" s="2"/>
      <c r="L796" s="2"/>
      <c r="M796" s="2"/>
      <c r="N796" s="2"/>
      <c r="O796" s="52"/>
      <c r="P796" s="52"/>
      <c r="Q796" s="52"/>
      <c r="R796" s="52"/>
      <c r="S796" s="52"/>
      <c r="T796" s="52"/>
      <c r="U796" s="52"/>
      <c r="V796" s="52"/>
      <c r="W796" s="52"/>
      <c r="X796" s="52"/>
      <c r="Y796" s="52"/>
      <c r="Z796" s="52"/>
      <c r="AA796" s="52"/>
      <c r="AB796" s="52"/>
      <c r="AC796" s="52"/>
    </row>
    <row r="797" spans="1:29" ht="12.75">
      <c r="A797" s="197"/>
      <c r="B797" s="2"/>
      <c r="C797" s="52"/>
      <c r="D797" s="52"/>
      <c r="E797" s="52"/>
      <c r="F797" s="2"/>
      <c r="G797" s="2"/>
      <c r="H797" s="2"/>
      <c r="I797" s="2"/>
      <c r="J797" s="52"/>
      <c r="K797" s="2"/>
      <c r="L797" s="2"/>
      <c r="M797" s="2"/>
      <c r="N797" s="2"/>
      <c r="O797" s="52"/>
      <c r="P797" s="52"/>
      <c r="Q797" s="52"/>
      <c r="R797" s="52"/>
      <c r="S797" s="52"/>
      <c r="T797" s="52"/>
      <c r="U797" s="52"/>
      <c r="V797" s="52"/>
      <c r="W797" s="52"/>
      <c r="X797" s="52"/>
      <c r="Y797" s="52"/>
      <c r="Z797" s="52"/>
      <c r="AA797" s="52"/>
      <c r="AB797" s="52"/>
      <c r="AC797" s="52"/>
    </row>
    <row r="798" spans="1:29" ht="12.75">
      <c r="A798" s="197"/>
      <c r="B798" s="2"/>
      <c r="C798" s="52"/>
      <c r="D798" s="52"/>
      <c r="E798" s="52"/>
      <c r="F798" s="2"/>
      <c r="G798" s="2"/>
      <c r="H798" s="2"/>
      <c r="I798" s="2"/>
      <c r="J798" s="52"/>
      <c r="K798" s="2"/>
      <c r="L798" s="2"/>
      <c r="M798" s="2"/>
      <c r="N798" s="2"/>
      <c r="O798" s="52"/>
      <c r="P798" s="52"/>
      <c r="Q798" s="52"/>
      <c r="R798" s="52"/>
      <c r="S798" s="52"/>
      <c r="T798" s="52"/>
      <c r="U798" s="52"/>
      <c r="V798" s="52"/>
      <c r="W798" s="52"/>
      <c r="X798" s="52"/>
      <c r="Y798" s="52"/>
      <c r="Z798" s="52"/>
      <c r="AA798" s="52"/>
      <c r="AB798" s="52"/>
      <c r="AC798" s="52"/>
    </row>
    <row r="799" spans="1:29" ht="12.75">
      <c r="A799" s="197"/>
      <c r="B799" s="2"/>
      <c r="C799" s="52"/>
      <c r="D799" s="52"/>
      <c r="E799" s="52"/>
      <c r="F799" s="2"/>
      <c r="G799" s="2"/>
      <c r="H799" s="2"/>
      <c r="I799" s="2"/>
      <c r="J799" s="52"/>
      <c r="K799" s="2"/>
      <c r="L799" s="2"/>
      <c r="M799" s="2"/>
      <c r="N799" s="2"/>
      <c r="O799" s="52"/>
      <c r="P799" s="52"/>
      <c r="Q799" s="52"/>
      <c r="R799" s="52"/>
      <c r="S799" s="52"/>
      <c r="T799" s="52"/>
      <c r="U799" s="52"/>
      <c r="V799" s="52"/>
      <c r="W799" s="52"/>
      <c r="X799" s="52"/>
      <c r="Y799" s="52"/>
      <c r="Z799" s="52"/>
      <c r="AA799" s="52"/>
      <c r="AB799" s="52"/>
      <c r="AC799" s="52"/>
    </row>
    <row r="800" spans="1:29" ht="12.75">
      <c r="A800" s="197"/>
      <c r="B800" s="2"/>
      <c r="C800" s="52"/>
      <c r="D800" s="52"/>
      <c r="E800" s="52"/>
      <c r="F800" s="2"/>
      <c r="G800" s="2"/>
      <c r="H800" s="2"/>
      <c r="I800" s="2"/>
      <c r="J800" s="52"/>
      <c r="K800" s="2"/>
      <c r="L800" s="2"/>
      <c r="M800" s="2"/>
      <c r="N800" s="2"/>
      <c r="O800" s="52"/>
      <c r="P800" s="52"/>
      <c r="Q800" s="52"/>
      <c r="R800" s="52"/>
      <c r="S800" s="52"/>
      <c r="T800" s="52"/>
      <c r="U800" s="52"/>
      <c r="V800" s="52"/>
      <c r="W800" s="52"/>
      <c r="X800" s="52"/>
      <c r="Y800" s="52"/>
      <c r="Z800" s="52"/>
      <c r="AA800" s="52"/>
      <c r="AB800" s="52"/>
      <c r="AC800" s="52"/>
    </row>
    <row r="801" spans="1:29" ht="12.75">
      <c r="A801" s="197"/>
      <c r="B801" s="2"/>
      <c r="C801" s="52"/>
      <c r="D801" s="52"/>
      <c r="E801" s="52"/>
      <c r="F801" s="2"/>
      <c r="G801" s="2"/>
      <c r="H801" s="2"/>
      <c r="I801" s="2"/>
      <c r="J801" s="52"/>
      <c r="K801" s="2"/>
      <c r="L801" s="2"/>
      <c r="M801" s="2"/>
      <c r="N801" s="2"/>
      <c r="O801" s="52"/>
      <c r="P801" s="52"/>
      <c r="Q801" s="52"/>
      <c r="R801" s="52"/>
      <c r="S801" s="52"/>
      <c r="T801" s="52"/>
      <c r="U801" s="52"/>
      <c r="V801" s="52"/>
      <c r="W801" s="52"/>
      <c r="X801" s="52"/>
      <c r="Y801" s="52"/>
      <c r="Z801" s="52"/>
      <c r="AA801" s="52"/>
      <c r="AB801" s="52"/>
      <c r="AC801" s="52"/>
    </row>
    <row r="802" spans="1:29" ht="12.75">
      <c r="A802" s="197"/>
      <c r="B802" s="2"/>
      <c r="C802" s="52"/>
      <c r="D802" s="52"/>
      <c r="E802" s="52"/>
      <c r="F802" s="2"/>
      <c r="G802" s="2"/>
      <c r="H802" s="2"/>
      <c r="I802" s="2"/>
      <c r="J802" s="52"/>
      <c r="K802" s="2"/>
      <c r="L802" s="2"/>
      <c r="M802" s="2"/>
      <c r="N802" s="2"/>
      <c r="O802" s="52"/>
      <c r="P802" s="52"/>
      <c r="Q802" s="52"/>
      <c r="R802" s="52"/>
      <c r="S802" s="52"/>
      <c r="T802" s="52"/>
      <c r="U802" s="52"/>
      <c r="V802" s="52"/>
      <c r="W802" s="52"/>
      <c r="X802" s="52"/>
      <c r="Y802" s="52"/>
      <c r="Z802" s="52"/>
      <c r="AA802" s="52"/>
      <c r="AB802" s="52"/>
      <c r="AC802" s="52"/>
    </row>
    <row r="803" spans="1:29" ht="12.75">
      <c r="A803" s="197"/>
      <c r="B803" s="2"/>
      <c r="C803" s="52"/>
      <c r="D803" s="52"/>
      <c r="E803" s="52"/>
      <c r="F803" s="2"/>
      <c r="G803" s="2"/>
      <c r="H803" s="2"/>
      <c r="I803" s="2"/>
      <c r="J803" s="52"/>
      <c r="K803" s="2"/>
      <c r="L803" s="2"/>
      <c r="M803" s="2"/>
      <c r="N803" s="2"/>
      <c r="O803" s="52"/>
      <c r="P803" s="52"/>
      <c r="Q803" s="52"/>
      <c r="R803" s="52"/>
      <c r="S803" s="52"/>
      <c r="T803" s="52"/>
      <c r="U803" s="52"/>
      <c r="V803" s="52"/>
      <c r="W803" s="52"/>
      <c r="X803" s="52"/>
      <c r="Y803" s="52"/>
      <c r="Z803" s="52"/>
      <c r="AA803" s="52"/>
      <c r="AB803" s="52"/>
      <c r="AC803" s="52"/>
    </row>
    <row r="804" spans="1:29" ht="12.75">
      <c r="A804" s="197"/>
      <c r="B804" s="2"/>
      <c r="C804" s="52"/>
      <c r="D804" s="52"/>
      <c r="E804" s="52"/>
      <c r="F804" s="2"/>
      <c r="G804" s="2"/>
      <c r="H804" s="2"/>
      <c r="I804" s="2"/>
      <c r="J804" s="52"/>
      <c r="K804" s="2"/>
      <c r="L804" s="2"/>
      <c r="M804" s="2"/>
      <c r="N804" s="2"/>
      <c r="O804" s="52"/>
      <c r="P804" s="52"/>
      <c r="Q804" s="52"/>
      <c r="R804" s="52"/>
      <c r="S804" s="52"/>
      <c r="T804" s="52"/>
      <c r="U804" s="52"/>
      <c r="V804" s="52"/>
      <c r="W804" s="52"/>
      <c r="X804" s="52"/>
      <c r="Y804" s="52"/>
      <c r="Z804" s="52"/>
      <c r="AA804" s="52"/>
      <c r="AB804" s="52"/>
      <c r="AC804" s="52"/>
    </row>
    <row r="805" spans="1:29" ht="12.75">
      <c r="A805" s="197"/>
      <c r="B805" s="2"/>
      <c r="C805" s="52"/>
      <c r="D805" s="52"/>
      <c r="E805" s="52"/>
      <c r="F805" s="2"/>
      <c r="G805" s="2"/>
      <c r="H805" s="2"/>
      <c r="I805" s="2"/>
      <c r="J805" s="52"/>
      <c r="K805" s="2"/>
      <c r="L805" s="2"/>
      <c r="M805" s="2"/>
      <c r="N805" s="2"/>
      <c r="O805" s="52"/>
      <c r="P805" s="52"/>
      <c r="Q805" s="52"/>
      <c r="R805" s="52"/>
      <c r="S805" s="52"/>
      <c r="T805" s="52"/>
      <c r="U805" s="52"/>
      <c r="V805" s="52"/>
      <c r="W805" s="52"/>
      <c r="X805" s="52"/>
      <c r="Y805" s="52"/>
      <c r="Z805" s="52"/>
      <c r="AA805" s="52"/>
      <c r="AB805" s="52"/>
      <c r="AC805" s="52"/>
    </row>
    <row r="806" spans="1:29" ht="12.75">
      <c r="A806" s="197"/>
      <c r="B806" s="2"/>
      <c r="C806" s="52"/>
      <c r="D806" s="52"/>
      <c r="E806" s="52"/>
      <c r="F806" s="2"/>
      <c r="G806" s="2"/>
      <c r="H806" s="2"/>
      <c r="I806" s="2"/>
      <c r="J806" s="52"/>
      <c r="K806" s="2"/>
      <c r="L806" s="2"/>
      <c r="M806" s="2"/>
      <c r="N806" s="2"/>
      <c r="O806" s="52"/>
      <c r="P806" s="52"/>
      <c r="Q806" s="52"/>
      <c r="R806" s="52"/>
      <c r="S806" s="52"/>
      <c r="T806" s="52"/>
      <c r="U806" s="52"/>
      <c r="V806" s="52"/>
      <c r="W806" s="52"/>
      <c r="X806" s="52"/>
      <c r="Y806" s="52"/>
      <c r="Z806" s="52"/>
      <c r="AA806" s="52"/>
      <c r="AB806" s="52"/>
      <c r="AC806" s="52"/>
    </row>
    <row r="807" spans="1:29" ht="12.75">
      <c r="A807" s="197"/>
      <c r="B807" s="2"/>
      <c r="C807" s="52"/>
      <c r="D807" s="52"/>
      <c r="E807" s="52"/>
      <c r="F807" s="2"/>
      <c r="G807" s="2"/>
      <c r="H807" s="2"/>
      <c r="I807" s="2"/>
      <c r="J807" s="52"/>
      <c r="K807" s="2"/>
      <c r="L807" s="2"/>
      <c r="M807" s="2"/>
      <c r="N807" s="2"/>
      <c r="O807" s="52"/>
      <c r="P807" s="52"/>
      <c r="Q807" s="52"/>
      <c r="R807" s="52"/>
      <c r="S807" s="52"/>
      <c r="T807" s="52"/>
      <c r="U807" s="52"/>
      <c r="V807" s="52"/>
      <c r="W807" s="52"/>
      <c r="X807" s="52"/>
      <c r="Y807" s="52"/>
      <c r="Z807" s="52"/>
      <c r="AA807" s="52"/>
      <c r="AB807" s="52"/>
      <c r="AC807" s="52"/>
    </row>
    <row r="808" spans="1:29" ht="12.75">
      <c r="A808" s="197"/>
      <c r="B808" s="2"/>
      <c r="C808" s="52"/>
      <c r="D808" s="52"/>
      <c r="E808" s="52"/>
      <c r="F808" s="2"/>
      <c r="G808" s="2"/>
      <c r="H808" s="2"/>
      <c r="I808" s="2"/>
      <c r="J808" s="52"/>
      <c r="K808" s="2"/>
      <c r="L808" s="2"/>
      <c r="M808" s="2"/>
      <c r="N808" s="2"/>
      <c r="O808" s="52"/>
      <c r="P808" s="52"/>
      <c r="Q808" s="52"/>
      <c r="R808" s="52"/>
      <c r="S808" s="52"/>
      <c r="T808" s="52"/>
      <c r="U808" s="52"/>
      <c r="V808" s="52"/>
      <c r="W808" s="52"/>
      <c r="X808" s="52"/>
      <c r="Y808" s="52"/>
      <c r="Z808" s="52"/>
      <c r="AA808" s="52"/>
      <c r="AB808" s="52"/>
      <c r="AC808" s="52"/>
    </row>
    <row r="809" spans="1:29" ht="12.75">
      <c r="A809" s="197"/>
      <c r="B809" s="2"/>
      <c r="C809" s="52"/>
      <c r="D809" s="52"/>
      <c r="E809" s="52"/>
      <c r="F809" s="2"/>
      <c r="G809" s="2"/>
      <c r="H809" s="2"/>
      <c r="I809" s="2"/>
      <c r="J809" s="52"/>
      <c r="K809" s="2"/>
      <c r="L809" s="2"/>
      <c r="M809" s="2"/>
      <c r="N809" s="2"/>
      <c r="O809" s="52"/>
      <c r="P809" s="52"/>
      <c r="Q809" s="52"/>
      <c r="R809" s="52"/>
      <c r="S809" s="52"/>
      <c r="T809" s="52"/>
      <c r="U809" s="52"/>
      <c r="V809" s="52"/>
      <c r="W809" s="52"/>
      <c r="X809" s="52"/>
      <c r="Y809" s="52"/>
      <c r="Z809" s="52"/>
      <c r="AA809" s="52"/>
      <c r="AB809" s="52"/>
      <c r="AC809" s="52"/>
    </row>
    <row r="810" spans="1:29" ht="12.75">
      <c r="A810" s="197"/>
      <c r="B810" s="2"/>
      <c r="C810" s="52"/>
      <c r="D810" s="52"/>
      <c r="E810" s="52"/>
      <c r="F810" s="2"/>
      <c r="G810" s="2"/>
      <c r="H810" s="2"/>
      <c r="I810" s="2"/>
      <c r="J810" s="52"/>
      <c r="K810" s="2"/>
      <c r="L810" s="2"/>
      <c r="M810" s="2"/>
      <c r="N810" s="2"/>
      <c r="O810" s="52"/>
      <c r="P810" s="52"/>
      <c r="Q810" s="52"/>
      <c r="R810" s="52"/>
      <c r="S810" s="52"/>
      <c r="T810" s="52"/>
      <c r="U810" s="52"/>
      <c r="V810" s="52"/>
      <c r="W810" s="52"/>
      <c r="X810" s="52"/>
      <c r="Y810" s="52"/>
      <c r="Z810" s="52"/>
      <c r="AA810" s="52"/>
      <c r="AB810" s="52"/>
      <c r="AC810" s="52"/>
    </row>
    <row r="811" spans="1:29" ht="12.75">
      <c r="A811" s="197"/>
      <c r="B811" s="2"/>
      <c r="C811" s="52"/>
      <c r="D811" s="52"/>
      <c r="E811" s="52"/>
      <c r="F811" s="2"/>
      <c r="G811" s="2"/>
      <c r="H811" s="2"/>
      <c r="I811" s="2"/>
      <c r="J811" s="52"/>
      <c r="K811" s="2"/>
      <c r="L811" s="2"/>
      <c r="M811" s="2"/>
      <c r="N811" s="2"/>
      <c r="O811" s="52"/>
      <c r="P811" s="52"/>
      <c r="Q811" s="52"/>
      <c r="R811" s="52"/>
      <c r="S811" s="52"/>
      <c r="T811" s="52"/>
      <c r="U811" s="52"/>
      <c r="V811" s="52"/>
      <c r="W811" s="52"/>
      <c r="X811" s="52"/>
      <c r="Y811" s="52"/>
      <c r="Z811" s="52"/>
      <c r="AA811" s="52"/>
      <c r="AB811" s="52"/>
      <c r="AC811" s="52"/>
    </row>
    <row r="812" spans="1:29" ht="12.75">
      <c r="A812" s="197"/>
      <c r="B812" s="2"/>
      <c r="C812" s="52"/>
      <c r="D812" s="52"/>
      <c r="E812" s="52"/>
      <c r="F812" s="2"/>
      <c r="G812" s="2"/>
      <c r="H812" s="2"/>
      <c r="I812" s="2"/>
      <c r="J812" s="52"/>
      <c r="K812" s="2"/>
      <c r="L812" s="2"/>
      <c r="M812" s="2"/>
      <c r="N812" s="2"/>
      <c r="O812" s="52"/>
      <c r="P812" s="52"/>
      <c r="Q812" s="52"/>
      <c r="R812" s="52"/>
      <c r="S812" s="52"/>
      <c r="T812" s="52"/>
      <c r="U812" s="52"/>
      <c r="V812" s="52"/>
      <c r="W812" s="52"/>
      <c r="X812" s="52"/>
      <c r="Y812" s="52"/>
      <c r="Z812" s="52"/>
      <c r="AA812" s="52"/>
      <c r="AB812" s="52"/>
      <c r="AC812" s="52"/>
    </row>
    <row r="813" spans="1:29" ht="12.75">
      <c r="A813" s="197"/>
      <c r="B813" s="2"/>
      <c r="C813" s="52"/>
      <c r="D813" s="52"/>
      <c r="E813" s="52"/>
      <c r="F813" s="2"/>
      <c r="G813" s="2"/>
      <c r="H813" s="2"/>
      <c r="I813" s="2"/>
      <c r="J813" s="52"/>
      <c r="K813" s="2"/>
      <c r="L813" s="2"/>
      <c r="M813" s="2"/>
      <c r="N813" s="2"/>
      <c r="O813" s="52"/>
      <c r="P813" s="52"/>
      <c r="Q813" s="52"/>
      <c r="R813" s="52"/>
      <c r="S813" s="52"/>
      <c r="T813" s="52"/>
      <c r="U813" s="52"/>
      <c r="V813" s="52"/>
      <c r="W813" s="52"/>
      <c r="X813" s="52"/>
      <c r="Y813" s="52"/>
      <c r="Z813" s="52"/>
      <c r="AA813" s="52"/>
      <c r="AB813" s="52"/>
      <c r="AC813" s="52"/>
    </row>
    <row r="814" spans="1:29" ht="12.75">
      <c r="A814" s="197"/>
      <c r="B814" s="2"/>
      <c r="C814" s="52"/>
      <c r="D814" s="52"/>
      <c r="E814" s="52"/>
      <c r="F814" s="2"/>
      <c r="G814" s="2"/>
      <c r="H814" s="2"/>
      <c r="I814" s="2"/>
      <c r="J814" s="52"/>
      <c r="K814" s="2"/>
      <c r="L814" s="2"/>
      <c r="M814" s="2"/>
      <c r="N814" s="2"/>
      <c r="O814" s="52"/>
      <c r="P814" s="52"/>
      <c r="Q814" s="52"/>
      <c r="R814" s="52"/>
      <c r="S814" s="52"/>
      <c r="T814" s="52"/>
      <c r="U814" s="52"/>
      <c r="V814" s="52"/>
      <c r="W814" s="52"/>
      <c r="X814" s="52"/>
      <c r="Y814" s="52"/>
      <c r="Z814" s="52"/>
      <c r="AA814" s="52"/>
      <c r="AB814" s="52"/>
      <c r="AC814" s="52"/>
    </row>
    <row r="815" spans="1:29" ht="12.75">
      <c r="A815" s="197"/>
      <c r="B815" s="2"/>
      <c r="C815" s="52"/>
      <c r="D815" s="52"/>
      <c r="E815" s="52"/>
      <c r="F815" s="2"/>
      <c r="G815" s="2"/>
      <c r="H815" s="2"/>
      <c r="I815" s="2"/>
      <c r="J815" s="52"/>
      <c r="K815" s="2"/>
      <c r="L815" s="2"/>
      <c r="M815" s="2"/>
      <c r="N815" s="2"/>
      <c r="O815" s="52"/>
      <c r="P815" s="52"/>
      <c r="Q815" s="52"/>
      <c r="R815" s="52"/>
      <c r="S815" s="52"/>
      <c r="T815" s="52"/>
      <c r="U815" s="52"/>
      <c r="V815" s="52"/>
      <c r="W815" s="52"/>
      <c r="X815" s="52"/>
      <c r="Y815" s="52"/>
      <c r="Z815" s="52"/>
      <c r="AA815" s="52"/>
      <c r="AB815" s="52"/>
      <c r="AC815" s="52"/>
    </row>
    <row r="816" spans="1:29" ht="12.75">
      <c r="A816" s="197"/>
      <c r="B816" s="2"/>
      <c r="C816" s="52"/>
      <c r="D816" s="52"/>
      <c r="E816" s="52"/>
      <c r="F816" s="2"/>
      <c r="G816" s="2"/>
      <c r="H816" s="2"/>
      <c r="I816" s="2"/>
      <c r="J816" s="52"/>
      <c r="K816" s="2"/>
      <c r="L816" s="2"/>
      <c r="M816" s="2"/>
      <c r="N816" s="2"/>
      <c r="O816" s="52"/>
      <c r="P816" s="52"/>
      <c r="Q816" s="52"/>
      <c r="R816" s="52"/>
      <c r="S816" s="52"/>
      <c r="T816" s="52"/>
      <c r="U816" s="52"/>
      <c r="V816" s="52"/>
      <c r="W816" s="52"/>
      <c r="X816" s="52"/>
      <c r="Y816" s="52"/>
      <c r="Z816" s="52"/>
      <c r="AA816" s="52"/>
      <c r="AB816" s="52"/>
      <c r="AC816" s="52"/>
    </row>
    <row r="817" spans="1:29" ht="12.75">
      <c r="A817" s="197"/>
      <c r="B817" s="2"/>
      <c r="C817" s="52"/>
      <c r="D817" s="52"/>
      <c r="E817" s="52"/>
      <c r="F817" s="2"/>
      <c r="G817" s="2"/>
      <c r="H817" s="2"/>
      <c r="I817" s="2"/>
      <c r="J817" s="52"/>
      <c r="K817" s="2"/>
      <c r="L817" s="2"/>
      <c r="M817" s="2"/>
      <c r="N817" s="2"/>
      <c r="O817" s="52"/>
      <c r="P817" s="52"/>
      <c r="Q817" s="52"/>
      <c r="R817" s="52"/>
      <c r="S817" s="52"/>
      <c r="T817" s="52"/>
      <c r="U817" s="52"/>
      <c r="V817" s="52"/>
      <c r="W817" s="52"/>
      <c r="X817" s="52"/>
      <c r="Y817" s="52"/>
      <c r="Z817" s="52"/>
      <c r="AA817" s="52"/>
      <c r="AB817" s="52"/>
      <c r="AC817" s="52"/>
    </row>
    <row r="818" spans="1:29" ht="12.75">
      <c r="A818" s="197"/>
      <c r="B818" s="2"/>
      <c r="C818" s="52"/>
      <c r="D818" s="52"/>
      <c r="E818" s="52"/>
      <c r="F818" s="2"/>
      <c r="G818" s="2"/>
      <c r="H818" s="2"/>
      <c r="I818" s="2"/>
      <c r="J818" s="52"/>
      <c r="K818" s="2"/>
      <c r="L818" s="2"/>
      <c r="M818" s="2"/>
      <c r="N818" s="2"/>
      <c r="O818" s="52"/>
      <c r="P818" s="52"/>
      <c r="Q818" s="52"/>
      <c r="R818" s="52"/>
      <c r="S818" s="52"/>
      <c r="T818" s="52"/>
      <c r="U818" s="52"/>
      <c r="V818" s="52"/>
      <c r="W818" s="52"/>
      <c r="X818" s="52"/>
      <c r="Y818" s="52"/>
      <c r="Z818" s="52"/>
      <c r="AA818" s="52"/>
      <c r="AB818" s="52"/>
      <c r="AC818" s="52"/>
    </row>
    <row r="819" spans="1:29" ht="12.75">
      <c r="A819" s="197"/>
      <c r="B819" s="2"/>
      <c r="C819" s="52"/>
      <c r="D819" s="52"/>
      <c r="E819" s="52"/>
      <c r="F819" s="2"/>
      <c r="G819" s="2"/>
      <c r="H819" s="2"/>
      <c r="I819" s="2"/>
      <c r="J819" s="52"/>
      <c r="K819" s="2"/>
      <c r="L819" s="2"/>
      <c r="M819" s="2"/>
      <c r="N819" s="2"/>
      <c r="O819" s="52"/>
      <c r="P819" s="52"/>
      <c r="Q819" s="52"/>
      <c r="R819" s="52"/>
      <c r="S819" s="52"/>
      <c r="T819" s="52"/>
      <c r="U819" s="52"/>
      <c r="V819" s="52"/>
      <c r="W819" s="52"/>
      <c r="X819" s="52"/>
      <c r="Y819" s="52"/>
      <c r="Z819" s="52"/>
      <c r="AA819" s="52"/>
      <c r="AB819" s="52"/>
      <c r="AC819" s="52"/>
    </row>
    <row r="820" spans="1:29" ht="12.75">
      <c r="A820" s="197"/>
      <c r="B820" s="2"/>
      <c r="C820" s="52"/>
      <c r="D820" s="52"/>
      <c r="E820" s="52"/>
      <c r="F820" s="2"/>
      <c r="G820" s="2"/>
      <c r="H820" s="2"/>
      <c r="I820" s="2"/>
      <c r="J820" s="52"/>
      <c r="K820" s="2"/>
      <c r="L820" s="2"/>
      <c r="M820" s="2"/>
      <c r="N820" s="2"/>
      <c r="O820" s="52"/>
      <c r="P820" s="52"/>
      <c r="Q820" s="52"/>
      <c r="R820" s="52"/>
      <c r="S820" s="52"/>
      <c r="T820" s="52"/>
      <c r="U820" s="52"/>
      <c r="V820" s="52"/>
      <c r="W820" s="52"/>
      <c r="X820" s="52"/>
      <c r="Y820" s="52"/>
      <c r="Z820" s="52"/>
      <c r="AA820" s="52"/>
      <c r="AB820" s="52"/>
      <c r="AC820" s="52"/>
    </row>
    <row r="821" spans="1:29" ht="12.75">
      <c r="A821" s="197"/>
      <c r="B821" s="2"/>
      <c r="C821" s="52"/>
      <c r="D821" s="52"/>
      <c r="E821" s="52"/>
      <c r="F821" s="2"/>
      <c r="G821" s="2"/>
      <c r="H821" s="2"/>
      <c r="I821" s="2"/>
      <c r="J821" s="52"/>
      <c r="K821" s="2"/>
      <c r="L821" s="2"/>
      <c r="M821" s="2"/>
      <c r="N821" s="2"/>
      <c r="O821" s="52"/>
      <c r="P821" s="52"/>
      <c r="Q821" s="52"/>
      <c r="R821" s="52"/>
      <c r="S821" s="52"/>
      <c r="T821" s="52"/>
      <c r="U821" s="52"/>
      <c r="V821" s="52"/>
      <c r="W821" s="52"/>
      <c r="X821" s="52"/>
      <c r="Y821" s="52"/>
      <c r="Z821" s="52"/>
      <c r="AA821" s="52"/>
      <c r="AB821" s="52"/>
      <c r="AC821" s="52"/>
    </row>
    <row r="822" spans="1:29" ht="12.75">
      <c r="A822" s="197"/>
      <c r="B822" s="2"/>
      <c r="C822" s="52"/>
      <c r="D822" s="52"/>
      <c r="E822" s="52"/>
      <c r="F822" s="2"/>
      <c r="G822" s="2"/>
      <c r="H822" s="2"/>
      <c r="I822" s="2"/>
      <c r="J822" s="52"/>
      <c r="K822" s="2"/>
      <c r="L822" s="2"/>
      <c r="M822" s="2"/>
      <c r="N822" s="2"/>
      <c r="O822" s="52"/>
      <c r="P822" s="52"/>
      <c r="Q822" s="52"/>
      <c r="R822" s="52"/>
      <c r="S822" s="52"/>
      <c r="T822" s="52"/>
      <c r="U822" s="52"/>
      <c r="V822" s="52"/>
      <c r="W822" s="52"/>
      <c r="X822" s="52"/>
      <c r="Y822" s="52"/>
      <c r="Z822" s="52"/>
      <c r="AA822" s="52"/>
      <c r="AB822" s="52"/>
      <c r="AC822" s="52"/>
    </row>
    <row r="823" spans="1:29" ht="12.75">
      <c r="A823" s="197"/>
      <c r="B823" s="2"/>
      <c r="C823" s="52"/>
      <c r="D823" s="52"/>
      <c r="E823" s="52"/>
      <c r="F823" s="2"/>
      <c r="G823" s="2"/>
      <c r="H823" s="2"/>
      <c r="I823" s="2"/>
      <c r="J823" s="52"/>
      <c r="K823" s="2"/>
      <c r="L823" s="2"/>
      <c r="M823" s="2"/>
      <c r="N823" s="2"/>
      <c r="O823" s="52"/>
      <c r="P823" s="52"/>
      <c r="Q823" s="52"/>
      <c r="R823" s="52"/>
      <c r="S823" s="52"/>
      <c r="T823" s="52"/>
      <c r="U823" s="52"/>
      <c r="V823" s="52"/>
      <c r="W823" s="52"/>
      <c r="X823" s="52"/>
      <c r="Y823" s="52"/>
      <c r="Z823" s="52"/>
      <c r="AA823" s="52"/>
      <c r="AB823" s="52"/>
      <c r="AC823" s="52"/>
    </row>
    <row r="824" spans="1:29" ht="12.75">
      <c r="A824" s="197"/>
      <c r="B824" s="2"/>
      <c r="C824" s="52"/>
      <c r="D824" s="52"/>
      <c r="E824" s="52"/>
      <c r="F824" s="2"/>
      <c r="G824" s="2"/>
      <c r="H824" s="2"/>
      <c r="I824" s="2"/>
      <c r="J824" s="52"/>
      <c r="K824" s="2"/>
      <c r="L824" s="2"/>
      <c r="M824" s="2"/>
      <c r="N824" s="2"/>
      <c r="O824" s="52"/>
      <c r="P824" s="52"/>
      <c r="Q824" s="52"/>
      <c r="R824" s="52"/>
      <c r="S824" s="52"/>
      <c r="T824" s="52"/>
      <c r="U824" s="52"/>
      <c r="V824" s="52"/>
      <c r="W824" s="52"/>
      <c r="X824" s="52"/>
      <c r="Y824" s="52"/>
      <c r="Z824" s="52"/>
      <c r="AA824" s="52"/>
      <c r="AB824" s="52"/>
      <c r="AC824" s="52"/>
    </row>
    <row r="825" spans="1:29" ht="12.75">
      <c r="A825" s="197"/>
      <c r="B825" s="2"/>
      <c r="C825" s="52"/>
      <c r="D825" s="52"/>
      <c r="E825" s="52"/>
      <c r="F825" s="2"/>
      <c r="G825" s="2"/>
      <c r="H825" s="2"/>
      <c r="I825" s="2"/>
      <c r="J825" s="52"/>
      <c r="K825" s="2"/>
      <c r="L825" s="2"/>
      <c r="M825" s="2"/>
      <c r="N825" s="2"/>
      <c r="O825" s="52"/>
      <c r="P825" s="52"/>
      <c r="Q825" s="52"/>
      <c r="R825" s="52"/>
      <c r="S825" s="52"/>
      <c r="T825" s="52"/>
      <c r="U825" s="52"/>
      <c r="V825" s="52"/>
      <c r="W825" s="52"/>
      <c r="X825" s="52"/>
      <c r="Y825" s="52"/>
      <c r="Z825" s="52"/>
      <c r="AA825" s="52"/>
      <c r="AB825" s="52"/>
      <c r="AC825" s="52"/>
    </row>
    <row r="826" spans="1:29" ht="12.75">
      <c r="A826" s="197"/>
      <c r="B826" s="2"/>
      <c r="C826" s="52"/>
      <c r="D826" s="52"/>
      <c r="E826" s="52"/>
      <c r="F826" s="2"/>
      <c r="G826" s="2"/>
      <c r="H826" s="2"/>
      <c r="I826" s="2"/>
      <c r="J826" s="52"/>
      <c r="K826" s="2"/>
      <c r="L826" s="2"/>
      <c r="M826" s="2"/>
      <c r="N826" s="2"/>
      <c r="O826" s="52"/>
      <c r="P826" s="52"/>
      <c r="Q826" s="52"/>
      <c r="R826" s="52"/>
      <c r="S826" s="52"/>
      <c r="T826" s="52"/>
      <c r="U826" s="52"/>
      <c r="V826" s="52"/>
      <c r="W826" s="52"/>
      <c r="X826" s="52"/>
      <c r="Y826" s="52"/>
      <c r="Z826" s="52"/>
      <c r="AA826" s="52"/>
      <c r="AB826" s="52"/>
      <c r="AC826" s="52"/>
    </row>
    <row r="827" spans="1:29" ht="12.75">
      <c r="A827" s="197"/>
      <c r="B827" s="2"/>
      <c r="C827" s="52"/>
      <c r="D827" s="52"/>
      <c r="E827" s="52"/>
      <c r="F827" s="2"/>
      <c r="G827" s="2"/>
      <c r="H827" s="2"/>
      <c r="I827" s="2"/>
      <c r="J827" s="52"/>
      <c r="K827" s="2"/>
      <c r="L827" s="2"/>
      <c r="M827" s="2"/>
      <c r="N827" s="2"/>
      <c r="O827" s="52"/>
      <c r="P827" s="52"/>
      <c r="Q827" s="52"/>
      <c r="R827" s="52"/>
      <c r="S827" s="52"/>
      <c r="T827" s="52"/>
      <c r="U827" s="52"/>
      <c r="V827" s="52"/>
      <c r="W827" s="52"/>
      <c r="X827" s="52"/>
      <c r="Y827" s="52"/>
      <c r="Z827" s="52"/>
      <c r="AA827" s="52"/>
      <c r="AB827" s="52"/>
      <c r="AC827" s="52"/>
    </row>
    <row r="828" spans="1:29" ht="12.75">
      <c r="A828" s="197"/>
      <c r="B828" s="2"/>
      <c r="C828" s="52"/>
      <c r="D828" s="52"/>
      <c r="E828" s="52"/>
      <c r="F828" s="2"/>
      <c r="G828" s="2"/>
      <c r="H828" s="2"/>
      <c r="I828" s="2"/>
      <c r="J828" s="52"/>
      <c r="K828" s="2"/>
      <c r="L828" s="2"/>
      <c r="M828" s="2"/>
      <c r="N828" s="2"/>
      <c r="O828" s="52"/>
      <c r="P828" s="52"/>
      <c r="Q828" s="52"/>
      <c r="R828" s="52"/>
      <c r="S828" s="52"/>
      <c r="T828" s="52"/>
      <c r="U828" s="52"/>
      <c r="V828" s="52"/>
      <c r="W828" s="52"/>
      <c r="X828" s="52"/>
      <c r="Y828" s="52"/>
      <c r="Z828" s="52"/>
      <c r="AA828" s="52"/>
      <c r="AB828" s="52"/>
      <c r="AC828" s="52"/>
    </row>
    <row r="829" spans="1:29" ht="12.75">
      <c r="A829" s="197"/>
      <c r="B829" s="2"/>
      <c r="C829" s="52"/>
      <c r="D829" s="52"/>
      <c r="E829" s="52"/>
      <c r="F829" s="2"/>
      <c r="G829" s="2"/>
      <c r="H829" s="2"/>
      <c r="I829" s="2"/>
      <c r="J829" s="52"/>
      <c r="K829" s="2"/>
      <c r="L829" s="2"/>
      <c r="M829" s="2"/>
      <c r="N829" s="2"/>
      <c r="O829" s="52"/>
      <c r="P829" s="52"/>
      <c r="Q829" s="52"/>
      <c r="R829" s="52"/>
      <c r="S829" s="52"/>
      <c r="T829" s="52"/>
      <c r="U829" s="52"/>
      <c r="V829" s="52"/>
      <c r="W829" s="52"/>
      <c r="X829" s="52"/>
      <c r="Y829" s="52"/>
      <c r="Z829" s="52"/>
      <c r="AA829" s="52"/>
      <c r="AB829" s="52"/>
      <c r="AC829" s="52"/>
    </row>
    <row r="830" spans="1:29" ht="12.75">
      <c r="A830" s="197"/>
      <c r="B830" s="2"/>
      <c r="C830" s="52"/>
      <c r="D830" s="52"/>
      <c r="E830" s="52"/>
      <c r="F830" s="2"/>
      <c r="G830" s="2"/>
      <c r="H830" s="2"/>
      <c r="I830" s="2"/>
      <c r="J830" s="52"/>
      <c r="K830" s="2"/>
      <c r="L830" s="2"/>
      <c r="M830" s="2"/>
      <c r="N830" s="2"/>
      <c r="O830" s="52"/>
      <c r="P830" s="52"/>
      <c r="Q830" s="52"/>
      <c r="R830" s="52"/>
      <c r="S830" s="52"/>
      <c r="T830" s="52"/>
      <c r="U830" s="52"/>
      <c r="V830" s="52"/>
      <c r="W830" s="52"/>
      <c r="X830" s="52"/>
      <c r="Y830" s="52"/>
      <c r="Z830" s="52"/>
      <c r="AA830" s="52"/>
      <c r="AB830" s="52"/>
      <c r="AC830" s="52"/>
    </row>
    <row r="831" spans="1:29" ht="12.75">
      <c r="A831" s="197"/>
      <c r="B831" s="2"/>
      <c r="C831" s="52"/>
      <c r="D831" s="52"/>
      <c r="E831" s="52"/>
      <c r="F831" s="2"/>
      <c r="G831" s="2"/>
      <c r="H831" s="2"/>
      <c r="I831" s="2"/>
      <c r="J831" s="52"/>
      <c r="K831" s="2"/>
      <c r="L831" s="2"/>
      <c r="M831" s="2"/>
      <c r="N831" s="2"/>
      <c r="O831" s="52"/>
      <c r="P831" s="52"/>
      <c r="Q831" s="52"/>
      <c r="R831" s="52"/>
      <c r="S831" s="52"/>
      <c r="T831" s="52"/>
      <c r="U831" s="52"/>
      <c r="V831" s="52"/>
      <c r="W831" s="52"/>
      <c r="X831" s="52"/>
      <c r="Y831" s="52"/>
      <c r="Z831" s="52"/>
      <c r="AA831" s="52"/>
      <c r="AB831" s="52"/>
      <c r="AC831" s="52"/>
    </row>
    <row r="832" spans="1:29" ht="12.75">
      <c r="A832" s="197"/>
      <c r="B832" s="2"/>
      <c r="C832" s="52"/>
      <c r="D832" s="52"/>
      <c r="E832" s="52"/>
      <c r="F832" s="2"/>
      <c r="G832" s="2"/>
      <c r="H832" s="2"/>
      <c r="I832" s="2"/>
      <c r="J832" s="52"/>
      <c r="K832" s="2"/>
      <c r="L832" s="2"/>
      <c r="M832" s="2"/>
      <c r="N832" s="2"/>
      <c r="O832" s="52"/>
      <c r="P832" s="52"/>
      <c r="Q832" s="52"/>
      <c r="R832" s="52"/>
      <c r="S832" s="52"/>
      <c r="T832" s="52"/>
      <c r="U832" s="52"/>
      <c r="V832" s="52"/>
      <c r="W832" s="52"/>
      <c r="X832" s="52"/>
      <c r="Y832" s="52"/>
      <c r="Z832" s="52"/>
      <c r="AA832" s="52"/>
      <c r="AB832" s="52"/>
      <c r="AC832" s="52"/>
    </row>
    <row r="833" spans="1:29" ht="12.75">
      <c r="A833" s="197"/>
      <c r="B833" s="2"/>
      <c r="C833" s="52"/>
      <c r="D833" s="52"/>
      <c r="E833" s="52"/>
      <c r="F833" s="2"/>
      <c r="G833" s="2"/>
      <c r="H833" s="2"/>
      <c r="I833" s="2"/>
      <c r="J833" s="52"/>
      <c r="K833" s="2"/>
      <c r="L833" s="2"/>
      <c r="M833" s="2"/>
      <c r="N833" s="2"/>
      <c r="O833" s="52"/>
      <c r="P833" s="52"/>
      <c r="Q833" s="52"/>
      <c r="R833" s="52"/>
      <c r="S833" s="52"/>
      <c r="T833" s="52"/>
      <c r="U833" s="52"/>
      <c r="V833" s="52"/>
      <c r="W833" s="52"/>
      <c r="X833" s="52"/>
      <c r="Y833" s="52"/>
      <c r="Z833" s="52"/>
      <c r="AA833" s="52"/>
      <c r="AB833" s="52"/>
      <c r="AC833" s="52"/>
    </row>
    <row r="834" spans="1:29" ht="12.75">
      <c r="A834" s="197"/>
      <c r="B834" s="2"/>
      <c r="C834" s="52"/>
      <c r="D834" s="52"/>
      <c r="E834" s="52"/>
      <c r="F834" s="2"/>
      <c r="G834" s="2"/>
      <c r="H834" s="2"/>
      <c r="I834" s="2"/>
      <c r="J834" s="52"/>
      <c r="K834" s="2"/>
      <c r="L834" s="2"/>
      <c r="M834" s="2"/>
      <c r="N834" s="2"/>
      <c r="O834" s="52"/>
      <c r="P834" s="52"/>
      <c r="Q834" s="52"/>
      <c r="R834" s="52"/>
      <c r="S834" s="52"/>
      <c r="T834" s="52"/>
      <c r="U834" s="52"/>
      <c r="V834" s="52"/>
      <c r="W834" s="52"/>
      <c r="X834" s="52"/>
      <c r="Y834" s="52"/>
      <c r="Z834" s="52"/>
      <c r="AA834" s="52"/>
      <c r="AB834" s="52"/>
      <c r="AC834" s="52"/>
    </row>
    <row r="835" spans="1:29" ht="12.75">
      <c r="A835" s="197"/>
      <c r="B835" s="2"/>
      <c r="C835" s="52"/>
      <c r="D835" s="52"/>
      <c r="E835" s="52"/>
      <c r="F835" s="2"/>
      <c r="G835" s="2"/>
      <c r="H835" s="2"/>
      <c r="I835" s="2"/>
      <c r="J835" s="52"/>
      <c r="K835" s="2"/>
      <c r="L835" s="2"/>
      <c r="M835" s="2"/>
      <c r="N835" s="2"/>
      <c r="O835" s="52"/>
      <c r="P835" s="52"/>
      <c r="Q835" s="52"/>
      <c r="R835" s="52"/>
      <c r="S835" s="52"/>
      <c r="T835" s="52"/>
      <c r="U835" s="52"/>
      <c r="V835" s="52"/>
      <c r="W835" s="52"/>
      <c r="X835" s="52"/>
      <c r="Y835" s="52"/>
      <c r="Z835" s="52"/>
      <c r="AA835" s="52"/>
      <c r="AB835" s="52"/>
      <c r="AC835" s="52"/>
    </row>
    <row r="836" spans="1:29" ht="12.75">
      <c r="A836" s="197"/>
      <c r="B836" s="2"/>
      <c r="C836" s="52"/>
      <c r="D836" s="52"/>
      <c r="E836" s="52"/>
      <c r="F836" s="2"/>
      <c r="G836" s="2"/>
      <c r="H836" s="2"/>
      <c r="I836" s="2"/>
      <c r="J836" s="52"/>
      <c r="K836" s="2"/>
      <c r="L836" s="2"/>
      <c r="M836" s="2"/>
      <c r="N836" s="2"/>
      <c r="O836" s="52"/>
      <c r="P836" s="52"/>
      <c r="Q836" s="52"/>
      <c r="R836" s="52"/>
      <c r="S836" s="52"/>
      <c r="T836" s="52"/>
      <c r="U836" s="52"/>
      <c r="V836" s="52"/>
      <c r="W836" s="52"/>
      <c r="X836" s="52"/>
      <c r="Y836" s="52"/>
      <c r="Z836" s="52"/>
      <c r="AA836" s="52"/>
      <c r="AB836" s="52"/>
      <c r="AC836" s="52"/>
    </row>
    <row r="837" spans="1:29" ht="12.75">
      <c r="A837" s="197"/>
      <c r="B837" s="2"/>
      <c r="C837" s="52"/>
      <c r="D837" s="52"/>
      <c r="E837" s="52"/>
      <c r="F837" s="2"/>
      <c r="G837" s="2"/>
      <c r="H837" s="2"/>
      <c r="I837" s="2"/>
      <c r="J837" s="52"/>
      <c r="K837" s="2"/>
      <c r="L837" s="2"/>
      <c r="M837" s="2"/>
      <c r="N837" s="2"/>
      <c r="O837" s="52"/>
      <c r="P837" s="52"/>
      <c r="Q837" s="52"/>
      <c r="R837" s="52"/>
      <c r="S837" s="52"/>
      <c r="T837" s="52"/>
      <c r="U837" s="52"/>
      <c r="V837" s="52"/>
      <c r="W837" s="52"/>
      <c r="X837" s="52"/>
      <c r="Y837" s="52"/>
      <c r="Z837" s="52"/>
      <c r="AA837" s="52"/>
      <c r="AB837" s="52"/>
      <c r="AC837" s="52"/>
    </row>
    <row r="838" spans="1:29" ht="12.75">
      <c r="A838" s="197"/>
      <c r="B838" s="2"/>
      <c r="C838" s="52"/>
      <c r="D838" s="52"/>
      <c r="E838" s="52"/>
      <c r="F838" s="2"/>
      <c r="G838" s="2"/>
      <c r="H838" s="2"/>
      <c r="I838" s="2"/>
      <c r="J838" s="52"/>
      <c r="K838" s="2"/>
      <c r="L838" s="2"/>
      <c r="M838" s="2"/>
      <c r="N838" s="2"/>
      <c r="O838" s="52"/>
      <c r="P838" s="52"/>
      <c r="Q838" s="52"/>
      <c r="R838" s="52"/>
      <c r="S838" s="52"/>
      <c r="T838" s="52"/>
      <c r="U838" s="52"/>
      <c r="V838" s="52"/>
      <c r="W838" s="52"/>
      <c r="X838" s="52"/>
      <c r="Y838" s="52"/>
      <c r="Z838" s="52"/>
      <c r="AA838" s="52"/>
      <c r="AB838" s="52"/>
      <c r="AC838" s="52"/>
    </row>
    <row r="839" spans="1:29" ht="12.75">
      <c r="A839" s="197"/>
      <c r="B839" s="2"/>
      <c r="C839" s="52"/>
      <c r="D839" s="52"/>
      <c r="E839" s="52"/>
      <c r="F839" s="2"/>
      <c r="G839" s="2"/>
      <c r="H839" s="2"/>
      <c r="I839" s="2"/>
      <c r="J839" s="52"/>
      <c r="K839" s="2"/>
      <c r="L839" s="2"/>
      <c r="M839" s="2"/>
      <c r="N839" s="2"/>
      <c r="O839" s="52"/>
      <c r="P839" s="52"/>
      <c r="Q839" s="52"/>
      <c r="R839" s="52"/>
      <c r="S839" s="52"/>
      <c r="T839" s="52"/>
      <c r="U839" s="52"/>
      <c r="V839" s="52"/>
      <c r="W839" s="52"/>
      <c r="X839" s="52"/>
      <c r="Y839" s="52"/>
      <c r="Z839" s="52"/>
      <c r="AA839" s="52"/>
      <c r="AB839" s="52"/>
      <c r="AC839" s="52"/>
    </row>
    <row r="840" spans="1:29" ht="12.75">
      <c r="A840" s="197"/>
      <c r="B840" s="2"/>
      <c r="C840" s="52"/>
      <c r="D840" s="52"/>
      <c r="E840" s="52"/>
      <c r="F840" s="2"/>
      <c r="G840" s="2"/>
      <c r="H840" s="2"/>
      <c r="I840" s="2"/>
      <c r="J840" s="52"/>
      <c r="K840" s="2"/>
      <c r="L840" s="2"/>
      <c r="M840" s="2"/>
      <c r="N840" s="2"/>
      <c r="O840" s="52"/>
      <c r="P840" s="52"/>
      <c r="Q840" s="52"/>
      <c r="R840" s="52"/>
      <c r="S840" s="52"/>
      <c r="T840" s="52"/>
      <c r="U840" s="52"/>
      <c r="V840" s="52"/>
      <c r="W840" s="52"/>
      <c r="X840" s="52"/>
      <c r="Y840" s="52"/>
      <c r="Z840" s="52"/>
      <c r="AA840" s="52"/>
      <c r="AB840" s="52"/>
      <c r="AC840" s="52"/>
    </row>
    <row r="841" spans="1:29" ht="12.75">
      <c r="A841" s="197"/>
      <c r="B841" s="2"/>
      <c r="C841" s="52"/>
      <c r="D841" s="52"/>
      <c r="E841" s="52"/>
      <c r="F841" s="2"/>
      <c r="G841" s="2"/>
      <c r="H841" s="2"/>
      <c r="I841" s="2"/>
      <c r="J841" s="52"/>
      <c r="K841" s="2"/>
      <c r="L841" s="2"/>
      <c r="M841" s="2"/>
      <c r="N841" s="2"/>
      <c r="O841" s="52"/>
      <c r="P841" s="52"/>
      <c r="Q841" s="52"/>
      <c r="R841" s="52"/>
      <c r="S841" s="52"/>
      <c r="T841" s="52"/>
      <c r="U841" s="52"/>
      <c r="V841" s="52"/>
      <c r="W841" s="52"/>
      <c r="X841" s="52"/>
      <c r="Y841" s="52"/>
      <c r="Z841" s="52"/>
      <c r="AA841" s="52"/>
      <c r="AB841" s="52"/>
      <c r="AC841" s="52"/>
    </row>
    <row r="842" spans="1:29" ht="12.75">
      <c r="A842" s="197"/>
      <c r="B842" s="2"/>
      <c r="C842" s="52"/>
      <c r="D842" s="52"/>
      <c r="E842" s="52"/>
      <c r="F842" s="2"/>
      <c r="G842" s="2"/>
      <c r="H842" s="2"/>
      <c r="I842" s="2"/>
      <c r="J842" s="52"/>
      <c r="K842" s="2"/>
      <c r="L842" s="2"/>
      <c r="M842" s="2"/>
      <c r="N842" s="2"/>
      <c r="O842" s="52"/>
      <c r="P842" s="52"/>
      <c r="Q842" s="52"/>
      <c r="R842" s="52"/>
      <c r="S842" s="52"/>
      <c r="T842" s="52"/>
      <c r="U842" s="52"/>
      <c r="V842" s="52"/>
      <c r="W842" s="52"/>
      <c r="X842" s="52"/>
      <c r="Y842" s="52"/>
      <c r="Z842" s="52"/>
      <c r="AA842" s="52"/>
      <c r="AB842" s="52"/>
      <c r="AC842" s="52"/>
    </row>
    <row r="843" spans="1:29" ht="12.75">
      <c r="A843" s="197"/>
      <c r="B843" s="2"/>
      <c r="C843" s="52"/>
      <c r="D843" s="52"/>
      <c r="E843" s="52"/>
      <c r="F843" s="2"/>
      <c r="G843" s="2"/>
      <c r="H843" s="2"/>
      <c r="I843" s="2"/>
      <c r="J843" s="52"/>
      <c r="K843" s="2"/>
      <c r="L843" s="2"/>
      <c r="M843" s="2"/>
      <c r="N843" s="2"/>
      <c r="O843" s="52"/>
      <c r="P843" s="52"/>
      <c r="Q843" s="52"/>
      <c r="R843" s="52"/>
      <c r="S843" s="52"/>
      <c r="T843" s="52"/>
      <c r="U843" s="52"/>
      <c r="V843" s="52"/>
      <c r="W843" s="52"/>
      <c r="X843" s="52"/>
      <c r="Y843" s="52"/>
      <c r="Z843" s="52"/>
      <c r="AA843" s="52"/>
      <c r="AB843" s="52"/>
      <c r="AC843" s="52"/>
    </row>
    <row r="844" spans="1:29" ht="12.75">
      <c r="A844" s="197"/>
      <c r="B844" s="2"/>
      <c r="C844" s="52"/>
      <c r="D844" s="52"/>
      <c r="E844" s="52"/>
      <c r="F844" s="2"/>
      <c r="G844" s="2"/>
      <c r="H844" s="2"/>
      <c r="I844" s="2"/>
      <c r="J844" s="52"/>
      <c r="K844" s="2"/>
      <c r="L844" s="2"/>
      <c r="M844" s="2"/>
      <c r="N844" s="2"/>
      <c r="O844" s="52"/>
      <c r="P844" s="52"/>
      <c r="Q844" s="52"/>
      <c r="R844" s="52"/>
      <c r="S844" s="52"/>
      <c r="T844" s="52"/>
      <c r="U844" s="52"/>
      <c r="V844" s="52"/>
      <c r="W844" s="52"/>
      <c r="X844" s="52"/>
      <c r="Y844" s="52"/>
      <c r="Z844" s="52"/>
      <c r="AA844" s="52"/>
      <c r="AB844" s="52"/>
      <c r="AC844" s="52"/>
    </row>
    <row r="845" spans="1:29" ht="12.75">
      <c r="A845" s="197"/>
      <c r="B845" s="2"/>
      <c r="C845" s="52"/>
      <c r="D845" s="52"/>
      <c r="E845" s="52"/>
      <c r="F845" s="2"/>
      <c r="G845" s="2"/>
      <c r="H845" s="2"/>
      <c r="I845" s="2"/>
      <c r="J845" s="52"/>
      <c r="K845" s="2"/>
      <c r="L845" s="2"/>
      <c r="M845" s="2"/>
      <c r="N845" s="2"/>
      <c r="O845" s="52"/>
      <c r="P845" s="52"/>
      <c r="Q845" s="52"/>
      <c r="R845" s="52"/>
      <c r="S845" s="52"/>
      <c r="T845" s="52"/>
      <c r="U845" s="52"/>
      <c r="V845" s="52"/>
      <c r="W845" s="52"/>
      <c r="X845" s="52"/>
      <c r="Y845" s="52"/>
      <c r="Z845" s="52"/>
      <c r="AA845" s="52"/>
      <c r="AB845" s="52"/>
      <c r="AC845" s="52"/>
    </row>
    <row r="846" spans="1:29" ht="12.75">
      <c r="A846" s="197"/>
      <c r="B846" s="2"/>
      <c r="C846" s="52"/>
      <c r="D846" s="52"/>
      <c r="E846" s="52"/>
      <c r="F846" s="2"/>
      <c r="G846" s="2"/>
      <c r="H846" s="2"/>
      <c r="I846" s="2"/>
      <c r="J846" s="52"/>
      <c r="K846" s="2"/>
      <c r="L846" s="2"/>
      <c r="M846" s="2"/>
      <c r="N846" s="2"/>
      <c r="O846" s="52"/>
      <c r="P846" s="52"/>
      <c r="Q846" s="52"/>
      <c r="R846" s="52"/>
      <c r="S846" s="52"/>
      <c r="T846" s="52"/>
      <c r="U846" s="52"/>
      <c r="V846" s="52"/>
      <c r="W846" s="52"/>
      <c r="X846" s="52"/>
      <c r="Y846" s="52"/>
      <c r="Z846" s="52"/>
      <c r="AA846" s="52"/>
      <c r="AB846" s="52"/>
      <c r="AC846" s="52"/>
    </row>
    <row r="847" spans="1:29" ht="12.75">
      <c r="A847" s="197"/>
      <c r="B847" s="2"/>
      <c r="C847" s="52"/>
      <c r="D847" s="52"/>
      <c r="E847" s="52"/>
      <c r="F847" s="2"/>
      <c r="G847" s="2"/>
      <c r="H847" s="2"/>
      <c r="I847" s="2"/>
      <c r="J847" s="52"/>
      <c r="K847" s="2"/>
      <c r="L847" s="2"/>
      <c r="M847" s="2"/>
      <c r="N847" s="2"/>
      <c r="O847" s="52"/>
      <c r="P847" s="52"/>
      <c r="Q847" s="52"/>
      <c r="R847" s="52"/>
      <c r="S847" s="52"/>
      <c r="T847" s="52"/>
      <c r="U847" s="52"/>
      <c r="V847" s="52"/>
      <c r="W847" s="52"/>
      <c r="X847" s="52"/>
      <c r="Y847" s="52"/>
      <c r="Z847" s="52"/>
      <c r="AA847" s="52"/>
      <c r="AB847" s="52"/>
      <c r="AC847" s="52"/>
    </row>
    <row r="848" spans="1:29" ht="12.75">
      <c r="A848" s="197"/>
      <c r="B848" s="2"/>
      <c r="C848" s="52"/>
      <c r="D848" s="52"/>
      <c r="E848" s="52"/>
      <c r="F848" s="2"/>
      <c r="G848" s="2"/>
      <c r="H848" s="2"/>
      <c r="I848" s="2"/>
      <c r="J848" s="52"/>
      <c r="K848" s="2"/>
      <c r="L848" s="2"/>
      <c r="M848" s="2"/>
      <c r="N848" s="2"/>
      <c r="O848" s="52"/>
      <c r="P848" s="52"/>
      <c r="Q848" s="52"/>
      <c r="R848" s="52"/>
      <c r="S848" s="52"/>
      <c r="T848" s="52"/>
      <c r="U848" s="52"/>
      <c r="V848" s="52"/>
      <c r="W848" s="52"/>
      <c r="X848" s="52"/>
      <c r="Y848" s="52"/>
      <c r="Z848" s="52"/>
      <c r="AA848" s="52"/>
      <c r="AB848" s="52"/>
      <c r="AC848" s="52"/>
    </row>
    <row r="849" spans="1:29" ht="12.75">
      <c r="A849" s="197"/>
      <c r="B849" s="2"/>
      <c r="C849" s="52"/>
      <c r="D849" s="52"/>
      <c r="E849" s="52"/>
      <c r="F849" s="2"/>
      <c r="G849" s="2"/>
      <c r="H849" s="2"/>
      <c r="I849" s="2"/>
      <c r="J849" s="52"/>
      <c r="K849" s="2"/>
      <c r="L849" s="2"/>
      <c r="M849" s="2"/>
      <c r="N849" s="2"/>
      <c r="O849" s="52"/>
      <c r="P849" s="52"/>
      <c r="Q849" s="52"/>
      <c r="R849" s="52"/>
      <c r="S849" s="52"/>
      <c r="T849" s="52"/>
      <c r="U849" s="52"/>
      <c r="V849" s="52"/>
      <c r="W849" s="52"/>
      <c r="X849" s="52"/>
      <c r="Y849" s="52"/>
      <c r="Z849" s="52"/>
      <c r="AA849" s="52"/>
      <c r="AB849" s="52"/>
      <c r="AC849" s="52"/>
    </row>
    <row r="850" spans="1:29" ht="12.75">
      <c r="A850" s="197"/>
      <c r="B850" s="2"/>
      <c r="C850" s="52"/>
      <c r="D850" s="52"/>
      <c r="E850" s="52"/>
      <c r="F850" s="2"/>
      <c r="G850" s="2"/>
      <c r="H850" s="2"/>
      <c r="I850" s="2"/>
      <c r="J850" s="52"/>
      <c r="K850" s="2"/>
      <c r="L850" s="2"/>
      <c r="M850" s="2"/>
      <c r="N850" s="2"/>
      <c r="O850" s="52"/>
      <c r="P850" s="52"/>
      <c r="Q850" s="52"/>
      <c r="R850" s="52"/>
      <c r="S850" s="52"/>
      <c r="T850" s="52"/>
      <c r="U850" s="52"/>
      <c r="V850" s="52"/>
      <c r="W850" s="52"/>
      <c r="X850" s="52"/>
      <c r="Y850" s="52"/>
      <c r="Z850" s="52"/>
      <c r="AA850" s="52"/>
      <c r="AB850" s="52"/>
      <c r="AC850" s="52"/>
    </row>
    <row r="851" spans="1:29" ht="12.75">
      <c r="A851" s="197"/>
      <c r="B851" s="2"/>
      <c r="C851" s="52"/>
      <c r="D851" s="52"/>
      <c r="E851" s="52"/>
      <c r="F851" s="2"/>
      <c r="G851" s="2"/>
      <c r="H851" s="2"/>
      <c r="I851" s="2"/>
      <c r="J851" s="52"/>
      <c r="K851" s="2"/>
      <c r="L851" s="2"/>
      <c r="M851" s="2"/>
      <c r="N851" s="2"/>
      <c r="O851" s="52"/>
      <c r="P851" s="52"/>
      <c r="Q851" s="52"/>
      <c r="R851" s="52"/>
      <c r="S851" s="52"/>
      <c r="T851" s="52"/>
      <c r="U851" s="52"/>
      <c r="V851" s="52"/>
      <c r="W851" s="52"/>
      <c r="X851" s="52"/>
      <c r="Y851" s="52"/>
      <c r="Z851" s="52"/>
      <c r="AA851" s="52"/>
      <c r="AB851" s="52"/>
      <c r="AC851" s="52"/>
    </row>
    <row r="852" spans="1:29" ht="12.75">
      <c r="A852" s="197"/>
      <c r="B852" s="2"/>
      <c r="C852" s="52"/>
      <c r="D852" s="52"/>
      <c r="E852" s="52"/>
      <c r="F852" s="2"/>
      <c r="G852" s="2"/>
      <c r="H852" s="2"/>
      <c r="I852" s="2"/>
      <c r="J852" s="52"/>
      <c r="K852" s="2"/>
      <c r="L852" s="2"/>
      <c r="M852" s="2"/>
      <c r="N852" s="2"/>
      <c r="O852" s="52"/>
      <c r="P852" s="52"/>
      <c r="Q852" s="52"/>
      <c r="R852" s="52"/>
      <c r="S852" s="52"/>
      <c r="T852" s="52"/>
      <c r="U852" s="52"/>
      <c r="V852" s="52"/>
      <c r="W852" s="52"/>
      <c r="X852" s="52"/>
      <c r="Y852" s="52"/>
      <c r="Z852" s="52"/>
      <c r="AA852" s="52"/>
      <c r="AB852" s="52"/>
      <c r="AC852" s="52"/>
    </row>
    <row r="853" spans="1:29" ht="12.75">
      <c r="A853" s="197"/>
      <c r="B853" s="2"/>
      <c r="C853" s="52"/>
      <c r="D853" s="52"/>
      <c r="E853" s="52"/>
      <c r="F853" s="2"/>
      <c r="G853" s="2"/>
      <c r="H853" s="2"/>
      <c r="I853" s="2"/>
      <c r="J853" s="52"/>
      <c r="K853" s="2"/>
      <c r="L853" s="2"/>
      <c r="M853" s="2"/>
      <c r="N853" s="2"/>
      <c r="O853" s="52"/>
      <c r="P853" s="52"/>
      <c r="Q853" s="52"/>
      <c r="R853" s="52"/>
      <c r="S853" s="52"/>
      <c r="T853" s="52"/>
      <c r="U853" s="52"/>
      <c r="V853" s="52"/>
      <c r="W853" s="52"/>
      <c r="X853" s="52"/>
      <c r="Y853" s="52"/>
      <c r="Z853" s="52"/>
      <c r="AA853" s="52"/>
      <c r="AB853" s="52"/>
      <c r="AC853" s="52"/>
    </row>
    <row r="854" spans="1:29" ht="12.75">
      <c r="A854" s="197"/>
      <c r="B854" s="2"/>
      <c r="C854" s="52"/>
      <c r="D854" s="52"/>
      <c r="E854" s="52"/>
      <c r="F854" s="2"/>
      <c r="G854" s="2"/>
      <c r="H854" s="2"/>
      <c r="I854" s="2"/>
      <c r="J854" s="52"/>
      <c r="K854" s="2"/>
      <c r="L854" s="2"/>
      <c r="M854" s="2"/>
      <c r="N854" s="2"/>
      <c r="O854" s="52"/>
      <c r="P854" s="52"/>
      <c r="Q854" s="52"/>
      <c r="R854" s="52"/>
      <c r="S854" s="52"/>
      <c r="T854" s="52"/>
      <c r="U854" s="52"/>
      <c r="V854" s="52"/>
      <c r="W854" s="52"/>
      <c r="X854" s="52"/>
      <c r="Y854" s="52"/>
      <c r="Z854" s="52"/>
      <c r="AA854" s="52"/>
      <c r="AB854" s="52"/>
      <c r="AC854" s="52"/>
    </row>
    <row r="855" spans="1:29" ht="12.75">
      <c r="A855" s="197"/>
      <c r="B855" s="2"/>
      <c r="C855" s="52"/>
      <c r="D855" s="52"/>
      <c r="E855" s="52"/>
      <c r="F855" s="2"/>
      <c r="G855" s="2"/>
      <c r="H855" s="2"/>
      <c r="I855" s="2"/>
      <c r="J855" s="52"/>
      <c r="K855" s="2"/>
      <c r="L855" s="2"/>
      <c r="M855" s="2"/>
      <c r="N855" s="2"/>
      <c r="O855" s="52"/>
      <c r="P855" s="52"/>
      <c r="Q855" s="52"/>
      <c r="R855" s="52"/>
      <c r="S855" s="52"/>
      <c r="T855" s="52"/>
      <c r="U855" s="52"/>
      <c r="V855" s="52"/>
      <c r="W855" s="52"/>
      <c r="X855" s="52"/>
      <c r="Y855" s="52"/>
      <c r="Z855" s="52"/>
      <c r="AA855" s="52"/>
      <c r="AB855" s="52"/>
      <c r="AC855" s="52"/>
    </row>
    <row r="856" spans="1:29" ht="12.75">
      <c r="A856" s="197"/>
      <c r="B856" s="2"/>
      <c r="C856" s="52"/>
      <c r="D856" s="52"/>
      <c r="E856" s="52"/>
      <c r="F856" s="2"/>
      <c r="G856" s="2"/>
      <c r="H856" s="2"/>
      <c r="I856" s="2"/>
      <c r="J856" s="52"/>
      <c r="K856" s="2"/>
      <c r="L856" s="2"/>
      <c r="M856" s="2"/>
      <c r="N856" s="2"/>
      <c r="O856" s="52"/>
      <c r="P856" s="52"/>
      <c r="Q856" s="52"/>
      <c r="R856" s="52"/>
      <c r="S856" s="52"/>
      <c r="T856" s="52"/>
      <c r="U856" s="52"/>
      <c r="V856" s="52"/>
      <c r="W856" s="52"/>
      <c r="X856" s="52"/>
      <c r="Y856" s="52"/>
      <c r="Z856" s="52"/>
      <c r="AA856" s="52"/>
      <c r="AB856" s="52"/>
      <c r="AC856" s="52"/>
    </row>
    <row r="857" spans="1:29" ht="12.75">
      <c r="A857" s="197"/>
      <c r="B857" s="2"/>
      <c r="C857" s="52"/>
      <c r="D857" s="52"/>
      <c r="E857" s="52"/>
      <c r="F857" s="2"/>
      <c r="G857" s="2"/>
      <c r="H857" s="2"/>
      <c r="I857" s="2"/>
      <c r="J857" s="52"/>
      <c r="K857" s="2"/>
      <c r="L857" s="2"/>
      <c r="M857" s="2"/>
      <c r="N857" s="2"/>
      <c r="O857" s="52"/>
      <c r="P857" s="52"/>
      <c r="Q857" s="52"/>
      <c r="R857" s="52"/>
      <c r="S857" s="52"/>
      <c r="T857" s="52"/>
      <c r="U857" s="52"/>
      <c r="V857" s="52"/>
      <c r="W857" s="52"/>
      <c r="X857" s="52"/>
      <c r="Y857" s="52"/>
      <c r="Z857" s="52"/>
      <c r="AA857" s="52"/>
      <c r="AB857" s="52"/>
      <c r="AC857" s="52"/>
    </row>
    <row r="858" spans="1:29" ht="12.75">
      <c r="A858" s="197"/>
      <c r="B858" s="2"/>
      <c r="C858" s="52"/>
      <c r="D858" s="52"/>
      <c r="E858" s="52"/>
      <c r="F858" s="2"/>
      <c r="G858" s="2"/>
      <c r="H858" s="2"/>
      <c r="I858" s="2"/>
      <c r="J858" s="52"/>
      <c r="K858" s="2"/>
      <c r="L858" s="2"/>
      <c r="M858" s="2"/>
      <c r="N858" s="2"/>
      <c r="O858" s="52"/>
      <c r="P858" s="52"/>
      <c r="Q858" s="52"/>
      <c r="R858" s="52"/>
      <c r="S858" s="52"/>
      <c r="T858" s="52"/>
      <c r="U858" s="52"/>
      <c r="V858" s="52"/>
      <c r="W858" s="52"/>
      <c r="X858" s="52"/>
      <c r="Y858" s="52"/>
      <c r="Z858" s="52"/>
      <c r="AA858" s="52"/>
      <c r="AB858" s="52"/>
      <c r="AC858" s="52"/>
    </row>
    <row r="859" spans="1:29" ht="12.75">
      <c r="A859" s="197"/>
      <c r="B859" s="2"/>
      <c r="C859" s="52"/>
      <c r="D859" s="52"/>
      <c r="E859" s="52"/>
      <c r="F859" s="2"/>
      <c r="G859" s="2"/>
      <c r="H859" s="2"/>
      <c r="I859" s="2"/>
      <c r="J859" s="52"/>
      <c r="K859" s="2"/>
      <c r="L859" s="2"/>
      <c r="M859" s="2"/>
      <c r="N859" s="2"/>
      <c r="O859" s="52"/>
      <c r="P859" s="52"/>
      <c r="Q859" s="52"/>
      <c r="R859" s="52"/>
      <c r="S859" s="52"/>
      <c r="T859" s="52"/>
      <c r="U859" s="52"/>
      <c r="V859" s="52"/>
      <c r="W859" s="52"/>
      <c r="X859" s="52"/>
      <c r="Y859" s="52"/>
      <c r="Z859" s="52"/>
      <c r="AA859" s="52"/>
      <c r="AB859" s="52"/>
      <c r="AC859" s="52"/>
    </row>
    <row r="860" spans="1:29" ht="12.75">
      <c r="A860" s="197"/>
      <c r="B860" s="2"/>
      <c r="C860" s="52"/>
      <c r="D860" s="52"/>
      <c r="E860" s="52"/>
      <c r="F860" s="2"/>
      <c r="G860" s="2"/>
      <c r="H860" s="2"/>
      <c r="I860" s="2"/>
      <c r="J860" s="52"/>
      <c r="K860" s="2"/>
      <c r="L860" s="2"/>
      <c r="M860" s="2"/>
      <c r="N860" s="2"/>
      <c r="O860" s="52"/>
      <c r="P860" s="52"/>
      <c r="Q860" s="52"/>
      <c r="R860" s="52"/>
      <c r="S860" s="52"/>
      <c r="T860" s="52"/>
      <c r="U860" s="52"/>
      <c r="V860" s="52"/>
      <c r="W860" s="52"/>
      <c r="X860" s="52"/>
      <c r="Y860" s="52"/>
      <c r="Z860" s="52"/>
      <c r="AA860" s="52"/>
      <c r="AB860" s="52"/>
      <c r="AC860" s="52"/>
    </row>
    <row r="861" spans="1:29" ht="12.75">
      <c r="A861" s="197"/>
      <c r="B861" s="2"/>
      <c r="C861" s="52"/>
      <c r="D861" s="52"/>
      <c r="E861" s="52"/>
      <c r="F861" s="2"/>
      <c r="G861" s="2"/>
      <c r="H861" s="2"/>
      <c r="I861" s="2"/>
      <c r="J861" s="52"/>
      <c r="K861" s="2"/>
      <c r="L861" s="2"/>
      <c r="M861" s="2"/>
      <c r="N861" s="2"/>
      <c r="O861" s="52"/>
      <c r="P861" s="52"/>
      <c r="Q861" s="52"/>
      <c r="R861" s="52"/>
      <c r="S861" s="52"/>
      <c r="T861" s="52"/>
      <c r="U861" s="52"/>
      <c r="V861" s="52"/>
      <c r="W861" s="52"/>
      <c r="X861" s="52"/>
      <c r="Y861" s="52"/>
      <c r="Z861" s="52"/>
      <c r="AA861" s="52"/>
      <c r="AB861" s="52"/>
      <c r="AC861" s="52"/>
    </row>
    <row r="862" spans="1:29" ht="12.75">
      <c r="A862" s="197"/>
      <c r="B862" s="2"/>
      <c r="C862" s="52"/>
      <c r="D862" s="52"/>
      <c r="E862" s="52"/>
      <c r="F862" s="2"/>
      <c r="G862" s="2"/>
      <c r="H862" s="2"/>
      <c r="I862" s="2"/>
      <c r="J862" s="52"/>
      <c r="K862" s="2"/>
      <c r="L862" s="2"/>
      <c r="M862" s="2"/>
      <c r="N862" s="2"/>
      <c r="O862" s="52"/>
      <c r="P862" s="52"/>
      <c r="Q862" s="52"/>
      <c r="R862" s="52"/>
      <c r="S862" s="52"/>
      <c r="T862" s="52"/>
      <c r="U862" s="52"/>
      <c r="V862" s="52"/>
      <c r="W862" s="52"/>
      <c r="X862" s="52"/>
      <c r="Y862" s="52"/>
      <c r="Z862" s="52"/>
      <c r="AA862" s="52"/>
      <c r="AB862" s="52"/>
      <c r="AC862" s="52"/>
    </row>
    <row r="863" spans="1:29" ht="12.75">
      <c r="A863" s="197"/>
      <c r="B863" s="2"/>
      <c r="C863" s="52"/>
      <c r="D863" s="52"/>
      <c r="E863" s="52"/>
      <c r="F863" s="2"/>
      <c r="G863" s="2"/>
      <c r="H863" s="2"/>
      <c r="I863" s="2"/>
      <c r="J863" s="52"/>
      <c r="K863" s="2"/>
      <c r="L863" s="2"/>
      <c r="M863" s="2"/>
      <c r="N863" s="2"/>
      <c r="O863" s="52"/>
      <c r="P863" s="52"/>
      <c r="Q863" s="52"/>
      <c r="R863" s="52"/>
      <c r="S863" s="52"/>
      <c r="T863" s="52"/>
      <c r="U863" s="52"/>
      <c r="V863" s="52"/>
      <c r="W863" s="52"/>
      <c r="X863" s="52"/>
      <c r="Y863" s="52"/>
      <c r="Z863" s="52"/>
      <c r="AA863" s="52"/>
      <c r="AB863" s="52"/>
      <c r="AC863" s="52"/>
    </row>
    <row r="864" spans="1:29" ht="12.75">
      <c r="A864" s="197"/>
      <c r="B864" s="2"/>
      <c r="C864" s="52"/>
      <c r="D864" s="52"/>
      <c r="E864" s="52"/>
      <c r="F864" s="2"/>
      <c r="G864" s="2"/>
      <c r="H864" s="2"/>
      <c r="I864" s="2"/>
      <c r="J864" s="52"/>
      <c r="K864" s="2"/>
      <c r="L864" s="2"/>
      <c r="M864" s="2"/>
      <c r="N864" s="2"/>
      <c r="O864" s="52"/>
      <c r="P864" s="52"/>
      <c r="Q864" s="52"/>
      <c r="R864" s="52"/>
      <c r="S864" s="52"/>
      <c r="T864" s="52"/>
      <c r="U864" s="52"/>
      <c r="V864" s="52"/>
      <c r="W864" s="52"/>
      <c r="X864" s="52"/>
      <c r="Y864" s="52"/>
      <c r="Z864" s="52"/>
      <c r="AA864" s="52"/>
      <c r="AB864" s="52"/>
      <c r="AC864" s="52"/>
    </row>
    <row r="865" spans="1:29" ht="12.75">
      <c r="A865" s="197"/>
      <c r="B865" s="2"/>
      <c r="C865" s="52"/>
      <c r="D865" s="52"/>
      <c r="E865" s="52"/>
      <c r="F865" s="2"/>
      <c r="G865" s="2"/>
      <c r="H865" s="2"/>
      <c r="I865" s="2"/>
      <c r="J865" s="52"/>
      <c r="K865" s="2"/>
      <c r="L865" s="2"/>
      <c r="M865" s="2"/>
      <c r="N865" s="2"/>
      <c r="O865" s="52"/>
      <c r="P865" s="52"/>
      <c r="Q865" s="52"/>
      <c r="R865" s="52"/>
      <c r="S865" s="52"/>
      <c r="T865" s="52"/>
      <c r="U865" s="52"/>
      <c r="V865" s="52"/>
      <c r="W865" s="52"/>
      <c r="X865" s="52"/>
      <c r="Y865" s="52"/>
      <c r="Z865" s="52"/>
      <c r="AA865" s="52"/>
      <c r="AB865" s="52"/>
      <c r="AC865" s="52"/>
    </row>
    <row r="866" spans="1:29" ht="12.75">
      <c r="A866" s="197"/>
      <c r="B866" s="2"/>
      <c r="C866" s="52"/>
      <c r="D866" s="52"/>
      <c r="E866" s="52"/>
      <c r="F866" s="2"/>
      <c r="G866" s="2"/>
      <c r="H866" s="2"/>
      <c r="I866" s="2"/>
      <c r="J866" s="52"/>
      <c r="K866" s="2"/>
      <c r="L866" s="2"/>
      <c r="M866" s="2"/>
      <c r="N866" s="2"/>
      <c r="O866" s="52"/>
      <c r="P866" s="52"/>
      <c r="Q866" s="52"/>
      <c r="R866" s="52"/>
      <c r="S866" s="52"/>
      <c r="T866" s="52"/>
      <c r="U866" s="52"/>
      <c r="V866" s="52"/>
      <c r="W866" s="52"/>
      <c r="X866" s="52"/>
      <c r="Y866" s="52"/>
      <c r="Z866" s="52"/>
      <c r="AA866" s="52"/>
      <c r="AB866" s="52"/>
      <c r="AC866" s="52"/>
    </row>
    <row r="867" spans="1:29" ht="12.75">
      <c r="A867" s="197"/>
      <c r="B867" s="2"/>
      <c r="C867" s="52"/>
      <c r="D867" s="52"/>
      <c r="E867" s="52"/>
      <c r="F867" s="2"/>
      <c r="G867" s="2"/>
      <c r="H867" s="2"/>
      <c r="I867" s="2"/>
      <c r="J867" s="52"/>
      <c r="K867" s="2"/>
      <c r="L867" s="2"/>
      <c r="M867" s="2"/>
      <c r="N867" s="2"/>
      <c r="O867" s="52"/>
      <c r="P867" s="52"/>
      <c r="Q867" s="52"/>
      <c r="R867" s="52"/>
      <c r="S867" s="52"/>
      <c r="T867" s="52"/>
      <c r="U867" s="52"/>
      <c r="V867" s="52"/>
      <c r="W867" s="52"/>
      <c r="X867" s="52"/>
      <c r="Y867" s="52"/>
      <c r="Z867" s="52"/>
      <c r="AA867" s="52"/>
      <c r="AB867" s="52"/>
      <c r="AC867" s="52"/>
    </row>
    <row r="868" spans="1:29" ht="12.75">
      <c r="A868" s="197"/>
      <c r="B868" s="2"/>
      <c r="C868" s="52"/>
      <c r="D868" s="52"/>
      <c r="E868" s="52"/>
      <c r="F868" s="2"/>
      <c r="G868" s="2"/>
      <c r="H868" s="2"/>
      <c r="I868" s="2"/>
      <c r="J868" s="52"/>
      <c r="K868" s="2"/>
      <c r="L868" s="2"/>
      <c r="M868" s="2"/>
      <c r="N868" s="2"/>
      <c r="O868" s="52"/>
      <c r="P868" s="52"/>
      <c r="Q868" s="52"/>
      <c r="R868" s="52"/>
      <c r="S868" s="52"/>
      <c r="T868" s="52"/>
      <c r="U868" s="52"/>
      <c r="V868" s="52"/>
      <c r="W868" s="52"/>
      <c r="X868" s="52"/>
      <c r="Y868" s="52"/>
      <c r="Z868" s="52"/>
      <c r="AA868" s="52"/>
      <c r="AB868" s="52"/>
      <c r="AC868" s="52"/>
    </row>
    <row r="869" spans="1:29" ht="12.75">
      <c r="A869" s="197"/>
      <c r="B869" s="2"/>
      <c r="C869" s="52"/>
      <c r="D869" s="52"/>
      <c r="E869" s="52"/>
      <c r="F869" s="2"/>
      <c r="G869" s="2"/>
      <c r="H869" s="2"/>
      <c r="I869" s="2"/>
      <c r="J869" s="52"/>
      <c r="K869" s="2"/>
      <c r="L869" s="2"/>
      <c r="M869" s="2"/>
      <c r="N869" s="2"/>
      <c r="O869" s="52"/>
      <c r="P869" s="52"/>
      <c r="Q869" s="52"/>
      <c r="R869" s="52"/>
      <c r="S869" s="52"/>
      <c r="T869" s="52"/>
      <c r="U869" s="52"/>
      <c r="V869" s="52"/>
      <c r="W869" s="52"/>
      <c r="X869" s="52"/>
      <c r="Y869" s="52"/>
      <c r="Z869" s="52"/>
      <c r="AA869" s="52"/>
      <c r="AB869" s="52"/>
      <c r="AC869" s="52"/>
    </row>
    <row r="870" spans="1:29" ht="12.75">
      <c r="A870" s="197"/>
      <c r="B870" s="2"/>
      <c r="C870" s="52"/>
      <c r="D870" s="52"/>
      <c r="E870" s="52"/>
      <c r="F870" s="2"/>
      <c r="G870" s="2"/>
      <c r="H870" s="2"/>
      <c r="I870" s="2"/>
      <c r="J870" s="52"/>
      <c r="K870" s="2"/>
      <c r="L870" s="2"/>
      <c r="M870" s="2"/>
      <c r="N870" s="2"/>
      <c r="O870" s="52"/>
      <c r="P870" s="52"/>
      <c r="Q870" s="52"/>
      <c r="R870" s="52"/>
      <c r="S870" s="52"/>
      <c r="T870" s="52"/>
      <c r="U870" s="52"/>
      <c r="V870" s="52"/>
      <c r="W870" s="52"/>
      <c r="X870" s="52"/>
      <c r="Y870" s="52"/>
      <c r="Z870" s="52"/>
      <c r="AA870" s="52"/>
      <c r="AB870" s="52"/>
      <c r="AC870" s="52"/>
    </row>
    <row r="871" spans="1:29" ht="12.75">
      <c r="A871" s="197"/>
      <c r="B871" s="2"/>
      <c r="C871" s="52"/>
      <c r="D871" s="52"/>
      <c r="E871" s="52"/>
      <c r="F871" s="2"/>
      <c r="G871" s="2"/>
      <c r="H871" s="2"/>
      <c r="I871" s="2"/>
      <c r="J871" s="52"/>
      <c r="K871" s="2"/>
      <c r="L871" s="2"/>
      <c r="M871" s="2"/>
      <c r="N871" s="2"/>
      <c r="O871" s="52"/>
      <c r="P871" s="52"/>
      <c r="Q871" s="52"/>
      <c r="R871" s="52"/>
      <c r="S871" s="52"/>
      <c r="T871" s="52"/>
      <c r="U871" s="52"/>
      <c r="V871" s="52"/>
      <c r="W871" s="52"/>
      <c r="X871" s="52"/>
      <c r="Y871" s="52"/>
      <c r="Z871" s="52"/>
      <c r="AA871" s="52"/>
      <c r="AB871" s="52"/>
      <c r="AC871" s="52"/>
    </row>
    <row r="872" spans="1:29" ht="12.75">
      <c r="A872" s="197"/>
      <c r="B872" s="2"/>
      <c r="C872" s="52"/>
      <c r="D872" s="52"/>
      <c r="E872" s="52"/>
      <c r="F872" s="2"/>
      <c r="G872" s="2"/>
      <c r="H872" s="2"/>
      <c r="I872" s="2"/>
      <c r="J872" s="52"/>
      <c r="K872" s="2"/>
      <c r="L872" s="2"/>
      <c r="M872" s="2"/>
      <c r="N872" s="2"/>
      <c r="O872" s="52"/>
      <c r="P872" s="52"/>
      <c r="Q872" s="52"/>
      <c r="R872" s="52"/>
      <c r="S872" s="52"/>
      <c r="T872" s="52"/>
      <c r="U872" s="52"/>
      <c r="V872" s="52"/>
      <c r="W872" s="52"/>
      <c r="X872" s="52"/>
      <c r="Y872" s="52"/>
      <c r="Z872" s="52"/>
      <c r="AA872" s="52"/>
      <c r="AB872" s="52"/>
      <c r="AC872" s="52"/>
    </row>
    <row r="873" spans="1:29" ht="12.75">
      <c r="A873" s="197"/>
      <c r="B873" s="2"/>
      <c r="C873" s="52"/>
      <c r="D873" s="52"/>
      <c r="E873" s="52"/>
      <c r="F873" s="2"/>
      <c r="G873" s="2"/>
      <c r="H873" s="2"/>
      <c r="I873" s="2"/>
      <c r="J873" s="52"/>
      <c r="K873" s="2"/>
      <c r="L873" s="2"/>
      <c r="M873" s="2"/>
      <c r="N873" s="2"/>
      <c r="O873" s="52"/>
      <c r="P873" s="52"/>
      <c r="Q873" s="52"/>
      <c r="R873" s="52"/>
      <c r="S873" s="52"/>
      <c r="T873" s="52"/>
      <c r="U873" s="52"/>
      <c r="V873" s="52"/>
      <c r="W873" s="52"/>
      <c r="X873" s="52"/>
      <c r="Y873" s="52"/>
      <c r="Z873" s="52"/>
      <c r="AA873" s="52"/>
      <c r="AB873" s="52"/>
      <c r="AC873" s="52"/>
    </row>
    <row r="874" spans="1:29" ht="12.75">
      <c r="A874" s="197"/>
      <c r="B874" s="2"/>
      <c r="C874" s="52"/>
      <c r="D874" s="52"/>
      <c r="E874" s="52"/>
      <c r="F874" s="2"/>
      <c r="G874" s="2"/>
      <c r="H874" s="2"/>
      <c r="I874" s="2"/>
      <c r="J874" s="52"/>
      <c r="K874" s="2"/>
      <c r="L874" s="2"/>
      <c r="M874" s="2"/>
      <c r="N874" s="2"/>
      <c r="O874" s="52"/>
      <c r="P874" s="52"/>
      <c r="Q874" s="52"/>
      <c r="R874" s="52"/>
      <c r="S874" s="52"/>
      <c r="T874" s="52"/>
      <c r="U874" s="52"/>
      <c r="V874" s="52"/>
      <c r="W874" s="52"/>
      <c r="X874" s="52"/>
      <c r="Y874" s="52"/>
      <c r="Z874" s="52"/>
      <c r="AA874" s="52"/>
      <c r="AB874" s="52"/>
      <c r="AC874" s="52"/>
    </row>
    <row r="875" spans="1:29" ht="12.75">
      <c r="A875" s="197"/>
      <c r="B875" s="2"/>
      <c r="C875" s="52"/>
      <c r="D875" s="52"/>
      <c r="E875" s="52"/>
      <c r="F875" s="2"/>
      <c r="G875" s="2"/>
      <c r="H875" s="2"/>
      <c r="I875" s="2"/>
      <c r="J875" s="52"/>
      <c r="K875" s="2"/>
      <c r="L875" s="2"/>
      <c r="M875" s="2"/>
      <c r="N875" s="2"/>
      <c r="O875" s="52"/>
      <c r="P875" s="52"/>
      <c r="Q875" s="52"/>
      <c r="R875" s="52"/>
      <c r="S875" s="52"/>
      <c r="T875" s="52"/>
      <c r="U875" s="52"/>
      <c r="V875" s="52"/>
      <c r="W875" s="52"/>
      <c r="X875" s="52"/>
      <c r="Y875" s="52"/>
      <c r="Z875" s="52"/>
      <c r="AA875" s="52"/>
      <c r="AB875" s="52"/>
      <c r="AC875" s="52"/>
    </row>
    <row r="876" spans="1:29" ht="12.75">
      <c r="A876" s="197"/>
      <c r="B876" s="2"/>
      <c r="C876" s="52"/>
      <c r="D876" s="52"/>
      <c r="E876" s="52"/>
      <c r="F876" s="2"/>
      <c r="G876" s="2"/>
      <c r="H876" s="2"/>
      <c r="I876" s="2"/>
      <c r="J876" s="52"/>
      <c r="K876" s="2"/>
      <c r="L876" s="2"/>
      <c r="M876" s="2"/>
      <c r="N876" s="2"/>
      <c r="O876" s="52"/>
      <c r="P876" s="52"/>
      <c r="Q876" s="52"/>
      <c r="R876" s="52"/>
      <c r="S876" s="52"/>
      <c r="T876" s="52"/>
      <c r="U876" s="52"/>
      <c r="V876" s="52"/>
      <c r="W876" s="52"/>
      <c r="X876" s="52"/>
      <c r="Y876" s="52"/>
      <c r="Z876" s="52"/>
      <c r="AA876" s="52"/>
      <c r="AB876" s="52"/>
      <c r="AC876" s="52"/>
    </row>
    <row r="877" spans="1:29" ht="12.75">
      <c r="A877" s="197"/>
      <c r="B877" s="2"/>
      <c r="C877" s="52"/>
      <c r="D877" s="52"/>
      <c r="E877" s="52"/>
      <c r="F877" s="2"/>
      <c r="G877" s="2"/>
      <c r="H877" s="2"/>
      <c r="I877" s="2"/>
      <c r="J877" s="52"/>
      <c r="K877" s="2"/>
      <c r="L877" s="2"/>
      <c r="M877" s="2"/>
      <c r="N877" s="2"/>
      <c r="O877" s="52"/>
      <c r="P877" s="52"/>
      <c r="Q877" s="52"/>
      <c r="R877" s="52"/>
      <c r="S877" s="52"/>
      <c r="T877" s="52"/>
      <c r="U877" s="52"/>
      <c r="V877" s="52"/>
      <c r="W877" s="52"/>
      <c r="X877" s="52"/>
      <c r="Y877" s="52"/>
      <c r="Z877" s="52"/>
      <c r="AA877" s="52"/>
      <c r="AB877" s="52"/>
      <c r="AC877" s="52"/>
    </row>
    <row r="878" spans="1:29" ht="12.75">
      <c r="A878" s="197"/>
      <c r="B878" s="2"/>
      <c r="C878" s="52"/>
      <c r="D878" s="52"/>
      <c r="E878" s="52"/>
      <c r="F878" s="2"/>
      <c r="G878" s="2"/>
      <c r="H878" s="2"/>
      <c r="I878" s="2"/>
      <c r="J878" s="52"/>
      <c r="K878" s="2"/>
      <c r="L878" s="2"/>
      <c r="M878" s="2"/>
      <c r="N878" s="2"/>
      <c r="O878" s="52"/>
      <c r="P878" s="52"/>
      <c r="Q878" s="52"/>
      <c r="R878" s="52"/>
      <c r="S878" s="52"/>
      <c r="T878" s="52"/>
      <c r="U878" s="52"/>
      <c r="V878" s="52"/>
      <c r="W878" s="52"/>
      <c r="X878" s="52"/>
      <c r="Y878" s="52"/>
      <c r="Z878" s="52"/>
      <c r="AA878" s="52"/>
      <c r="AB878" s="52"/>
      <c r="AC878" s="52"/>
    </row>
    <row r="879" spans="1:29" ht="12.75">
      <c r="A879" s="197"/>
      <c r="B879" s="2"/>
      <c r="C879" s="52"/>
      <c r="D879" s="52"/>
      <c r="E879" s="52"/>
      <c r="F879" s="2"/>
      <c r="G879" s="2"/>
      <c r="H879" s="2"/>
      <c r="I879" s="2"/>
      <c r="J879" s="52"/>
      <c r="K879" s="2"/>
      <c r="L879" s="2"/>
      <c r="M879" s="2"/>
      <c r="N879" s="2"/>
      <c r="O879" s="52"/>
      <c r="P879" s="52"/>
      <c r="Q879" s="52"/>
      <c r="R879" s="52"/>
      <c r="S879" s="52"/>
      <c r="T879" s="52"/>
      <c r="U879" s="52"/>
      <c r="V879" s="52"/>
      <c r="W879" s="52"/>
      <c r="X879" s="52"/>
      <c r="Y879" s="52"/>
      <c r="Z879" s="52"/>
      <c r="AA879" s="52"/>
      <c r="AB879" s="52"/>
      <c r="AC879" s="52"/>
    </row>
    <row r="880" spans="1:29" ht="12.75">
      <c r="A880" s="197"/>
      <c r="B880" s="2"/>
      <c r="C880" s="52"/>
      <c r="D880" s="52"/>
      <c r="E880" s="52"/>
      <c r="F880" s="2"/>
      <c r="G880" s="2"/>
      <c r="H880" s="2"/>
      <c r="I880" s="2"/>
      <c r="J880" s="52"/>
      <c r="K880" s="2"/>
      <c r="L880" s="2"/>
      <c r="M880" s="2"/>
      <c r="N880" s="2"/>
      <c r="O880" s="52"/>
      <c r="P880" s="52"/>
      <c r="Q880" s="52"/>
      <c r="R880" s="52"/>
      <c r="S880" s="52"/>
      <c r="T880" s="52"/>
      <c r="U880" s="52"/>
      <c r="V880" s="52"/>
      <c r="W880" s="52"/>
      <c r="X880" s="52"/>
      <c r="Y880" s="52"/>
      <c r="Z880" s="52"/>
      <c r="AA880" s="52"/>
      <c r="AB880" s="52"/>
      <c r="AC880" s="52"/>
    </row>
    <row r="881" spans="1:29" ht="12.75">
      <c r="A881" s="197"/>
      <c r="B881" s="2"/>
      <c r="C881" s="52"/>
      <c r="D881" s="52"/>
      <c r="E881" s="52"/>
      <c r="F881" s="2"/>
      <c r="G881" s="2"/>
      <c r="H881" s="2"/>
      <c r="I881" s="2"/>
      <c r="J881" s="52"/>
      <c r="K881" s="2"/>
      <c r="L881" s="2"/>
      <c r="M881" s="2"/>
      <c r="N881" s="2"/>
      <c r="O881" s="52"/>
      <c r="P881" s="52"/>
      <c r="Q881" s="52"/>
      <c r="R881" s="52"/>
      <c r="S881" s="52"/>
      <c r="T881" s="52"/>
      <c r="U881" s="52"/>
      <c r="V881" s="52"/>
      <c r="W881" s="52"/>
      <c r="X881" s="52"/>
      <c r="Y881" s="52"/>
      <c r="Z881" s="52"/>
      <c r="AA881" s="52"/>
      <c r="AB881" s="52"/>
      <c r="AC881" s="52"/>
    </row>
    <row r="882" spans="1:29" ht="12.75">
      <c r="A882" s="197"/>
      <c r="B882" s="2"/>
      <c r="C882" s="52"/>
      <c r="D882" s="52"/>
      <c r="E882" s="52"/>
      <c r="F882" s="2"/>
      <c r="G882" s="2"/>
      <c r="H882" s="2"/>
      <c r="I882" s="2"/>
      <c r="J882" s="52"/>
      <c r="K882" s="2"/>
      <c r="L882" s="2"/>
      <c r="M882" s="2"/>
      <c r="N882" s="2"/>
      <c r="O882" s="52"/>
      <c r="P882" s="52"/>
      <c r="Q882" s="52"/>
      <c r="R882" s="52"/>
      <c r="S882" s="52"/>
      <c r="T882" s="52"/>
      <c r="U882" s="52"/>
      <c r="V882" s="52"/>
      <c r="W882" s="52"/>
      <c r="X882" s="52"/>
      <c r="Y882" s="52"/>
      <c r="Z882" s="52"/>
      <c r="AA882" s="52"/>
      <c r="AB882" s="52"/>
      <c r="AC882" s="52"/>
    </row>
    <row r="883" spans="1:29" ht="12.75">
      <c r="A883" s="197"/>
      <c r="B883" s="2"/>
      <c r="C883" s="52"/>
      <c r="D883" s="52"/>
      <c r="E883" s="52"/>
      <c r="F883" s="2"/>
      <c r="G883" s="2"/>
      <c r="H883" s="2"/>
      <c r="I883" s="2"/>
      <c r="J883" s="52"/>
      <c r="K883" s="2"/>
      <c r="L883" s="2"/>
      <c r="M883" s="2"/>
      <c r="N883" s="2"/>
      <c r="O883" s="52"/>
      <c r="P883" s="52"/>
      <c r="Q883" s="52"/>
      <c r="R883" s="52"/>
      <c r="S883" s="52"/>
      <c r="T883" s="52"/>
      <c r="U883" s="52"/>
      <c r="V883" s="52"/>
      <c r="W883" s="52"/>
      <c r="X883" s="52"/>
      <c r="Y883" s="52"/>
      <c r="Z883" s="52"/>
      <c r="AA883" s="52"/>
      <c r="AB883" s="52"/>
      <c r="AC883" s="52"/>
    </row>
    <row r="884" spans="1:29" ht="12.75">
      <c r="A884" s="197"/>
      <c r="B884" s="2"/>
      <c r="C884" s="52"/>
      <c r="D884" s="52"/>
      <c r="E884" s="52"/>
      <c r="F884" s="2"/>
      <c r="G884" s="2"/>
      <c r="H884" s="2"/>
      <c r="I884" s="2"/>
      <c r="J884" s="52"/>
      <c r="K884" s="2"/>
      <c r="L884" s="2"/>
      <c r="M884" s="2"/>
      <c r="N884" s="2"/>
      <c r="O884" s="52"/>
      <c r="P884" s="52"/>
      <c r="Q884" s="52"/>
      <c r="R884" s="52"/>
      <c r="S884" s="52"/>
      <c r="T884" s="52"/>
      <c r="U884" s="52"/>
      <c r="V884" s="52"/>
      <c r="W884" s="52"/>
      <c r="X884" s="52"/>
      <c r="Y884" s="52"/>
      <c r="Z884" s="52"/>
      <c r="AA884" s="52"/>
      <c r="AB884" s="52"/>
      <c r="AC884" s="52"/>
    </row>
    <row r="885" spans="1:29" ht="12.75">
      <c r="A885" s="197"/>
      <c r="B885" s="2"/>
      <c r="C885" s="52"/>
      <c r="D885" s="52"/>
      <c r="E885" s="52"/>
      <c r="F885" s="2"/>
      <c r="G885" s="2"/>
      <c r="H885" s="2"/>
      <c r="I885" s="2"/>
      <c r="J885" s="52"/>
      <c r="K885" s="2"/>
      <c r="L885" s="2"/>
      <c r="M885" s="2"/>
      <c r="N885" s="2"/>
      <c r="O885" s="52"/>
      <c r="P885" s="52"/>
      <c r="Q885" s="52"/>
      <c r="R885" s="52"/>
      <c r="S885" s="52"/>
      <c r="T885" s="52"/>
      <c r="U885" s="52"/>
      <c r="V885" s="52"/>
      <c r="W885" s="52"/>
      <c r="X885" s="52"/>
      <c r="Y885" s="52"/>
      <c r="Z885" s="52"/>
      <c r="AA885" s="52"/>
      <c r="AB885" s="52"/>
      <c r="AC885" s="52"/>
    </row>
    <row r="886" spans="1:29" ht="12.75">
      <c r="A886" s="197"/>
      <c r="B886" s="2"/>
      <c r="C886" s="52"/>
      <c r="D886" s="52"/>
      <c r="E886" s="52"/>
      <c r="F886" s="2"/>
      <c r="G886" s="2"/>
      <c r="H886" s="2"/>
      <c r="I886" s="2"/>
      <c r="J886" s="52"/>
      <c r="K886" s="2"/>
      <c r="L886" s="2"/>
      <c r="M886" s="2"/>
      <c r="N886" s="2"/>
      <c r="O886" s="52"/>
      <c r="P886" s="52"/>
      <c r="Q886" s="52"/>
      <c r="R886" s="52"/>
      <c r="S886" s="52"/>
      <c r="T886" s="52"/>
      <c r="U886" s="52"/>
      <c r="V886" s="52"/>
      <c r="W886" s="52"/>
      <c r="X886" s="52"/>
      <c r="Y886" s="52"/>
      <c r="Z886" s="52"/>
      <c r="AA886" s="52"/>
      <c r="AB886" s="52"/>
      <c r="AC886" s="52"/>
    </row>
    <row r="887" spans="1:29" ht="12.75">
      <c r="A887" s="197"/>
      <c r="B887" s="2"/>
      <c r="C887" s="52"/>
      <c r="D887" s="52"/>
      <c r="E887" s="52"/>
      <c r="F887" s="2"/>
      <c r="G887" s="2"/>
      <c r="H887" s="2"/>
      <c r="I887" s="2"/>
      <c r="J887" s="52"/>
      <c r="K887" s="2"/>
      <c r="L887" s="2"/>
      <c r="M887" s="2"/>
      <c r="N887" s="2"/>
      <c r="O887" s="52"/>
      <c r="P887" s="52"/>
      <c r="Q887" s="52"/>
      <c r="R887" s="52"/>
      <c r="S887" s="52"/>
      <c r="T887" s="52"/>
      <c r="U887" s="52"/>
      <c r="V887" s="52"/>
      <c r="W887" s="52"/>
      <c r="X887" s="52"/>
      <c r="Y887" s="52"/>
      <c r="Z887" s="52"/>
      <c r="AA887" s="52"/>
      <c r="AB887" s="52"/>
      <c r="AC887" s="52"/>
    </row>
    <row r="888" spans="1:29" ht="12.75">
      <c r="A888" s="197"/>
      <c r="B888" s="2"/>
      <c r="C888" s="52"/>
      <c r="D888" s="52"/>
      <c r="E888" s="52"/>
      <c r="F888" s="2"/>
      <c r="G888" s="2"/>
      <c r="H888" s="2"/>
      <c r="I888" s="2"/>
      <c r="J888" s="52"/>
      <c r="K888" s="2"/>
      <c r="L888" s="2"/>
      <c r="M888" s="2"/>
      <c r="N888" s="2"/>
      <c r="O888" s="52"/>
      <c r="P888" s="52"/>
      <c r="Q888" s="52"/>
      <c r="R888" s="52"/>
      <c r="S888" s="52"/>
      <c r="T888" s="52"/>
      <c r="U888" s="52"/>
      <c r="V888" s="52"/>
      <c r="W888" s="52"/>
      <c r="X888" s="52"/>
      <c r="Y888" s="52"/>
      <c r="Z888" s="52"/>
      <c r="AA888" s="52"/>
      <c r="AB888" s="52"/>
      <c r="AC888" s="52"/>
    </row>
    <row r="889" spans="1:29" ht="12.75">
      <c r="A889" s="197"/>
      <c r="B889" s="2"/>
      <c r="C889" s="52"/>
      <c r="D889" s="52"/>
      <c r="E889" s="52"/>
      <c r="F889" s="2"/>
      <c r="G889" s="2"/>
      <c r="H889" s="2"/>
      <c r="I889" s="2"/>
      <c r="J889" s="52"/>
      <c r="K889" s="2"/>
      <c r="L889" s="2"/>
      <c r="M889" s="2"/>
      <c r="N889" s="2"/>
      <c r="O889" s="52"/>
      <c r="P889" s="52"/>
      <c r="Q889" s="52"/>
      <c r="R889" s="52"/>
      <c r="S889" s="52"/>
      <c r="T889" s="52"/>
      <c r="U889" s="52"/>
      <c r="V889" s="52"/>
      <c r="W889" s="52"/>
      <c r="X889" s="52"/>
      <c r="Y889" s="52"/>
      <c r="Z889" s="52"/>
      <c r="AA889" s="52"/>
      <c r="AB889" s="52"/>
      <c r="AC889" s="52"/>
    </row>
    <row r="890" spans="1:29" ht="12.75">
      <c r="A890" s="197"/>
      <c r="B890" s="2"/>
      <c r="C890" s="52"/>
      <c r="D890" s="52"/>
      <c r="E890" s="52"/>
      <c r="F890" s="2"/>
      <c r="G890" s="2"/>
      <c r="H890" s="2"/>
      <c r="I890" s="2"/>
      <c r="J890" s="52"/>
      <c r="K890" s="2"/>
      <c r="L890" s="2"/>
      <c r="M890" s="2"/>
      <c r="N890" s="2"/>
      <c r="O890" s="52"/>
      <c r="P890" s="52"/>
      <c r="Q890" s="52"/>
      <c r="R890" s="52"/>
      <c r="S890" s="52"/>
      <c r="T890" s="52"/>
      <c r="U890" s="52"/>
      <c r="V890" s="52"/>
      <c r="W890" s="52"/>
      <c r="X890" s="52"/>
      <c r="Y890" s="52"/>
      <c r="Z890" s="52"/>
      <c r="AA890" s="52"/>
      <c r="AB890" s="52"/>
      <c r="AC890" s="52"/>
    </row>
    <row r="891" spans="1:29" ht="12.75">
      <c r="A891" s="197"/>
      <c r="B891" s="2"/>
      <c r="C891" s="52"/>
      <c r="D891" s="52"/>
      <c r="E891" s="52"/>
      <c r="F891" s="2"/>
      <c r="G891" s="2"/>
      <c r="H891" s="2"/>
      <c r="I891" s="2"/>
      <c r="J891" s="52"/>
      <c r="K891" s="2"/>
      <c r="L891" s="2"/>
      <c r="M891" s="2"/>
      <c r="N891" s="2"/>
      <c r="O891" s="52"/>
      <c r="P891" s="52"/>
      <c r="Q891" s="52"/>
      <c r="R891" s="52"/>
      <c r="S891" s="52"/>
      <c r="T891" s="52"/>
      <c r="U891" s="52"/>
      <c r="V891" s="52"/>
      <c r="W891" s="52"/>
      <c r="X891" s="52"/>
      <c r="Y891" s="52"/>
      <c r="Z891" s="52"/>
      <c r="AA891" s="52"/>
      <c r="AB891" s="52"/>
      <c r="AC891" s="52"/>
    </row>
    <row r="892" spans="1:29" ht="12.75">
      <c r="A892" s="197"/>
      <c r="B892" s="2"/>
      <c r="C892" s="52"/>
      <c r="D892" s="52"/>
      <c r="E892" s="52"/>
      <c r="F892" s="2"/>
      <c r="G892" s="2"/>
      <c r="H892" s="2"/>
      <c r="I892" s="2"/>
      <c r="J892" s="52"/>
      <c r="K892" s="2"/>
      <c r="L892" s="2"/>
      <c r="M892" s="2"/>
      <c r="N892" s="2"/>
      <c r="O892" s="52"/>
      <c r="P892" s="52"/>
      <c r="Q892" s="52"/>
      <c r="R892" s="52"/>
      <c r="S892" s="52"/>
      <c r="T892" s="52"/>
      <c r="U892" s="52"/>
      <c r="V892" s="52"/>
      <c r="W892" s="52"/>
      <c r="X892" s="52"/>
      <c r="Y892" s="52"/>
      <c r="Z892" s="52"/>
      <c r="AA892" s="52"/>
      <c r="AB892" s="52"/>
      <c r="AC892" s="52"/>
    </row>
    <row r="893" spans="1:29" ht="12.75">
      <c r="A893" s="197"/>
      <c r="B893" s="2"/>
      <c r="C893" s="52"/>
      <c r="D893" s="52"/>
      <c r="E893" s="52"/>
      <c r="F893" s="2"/>
      <c r="G893" s="2"/>
      <c r="H893" s="2"/>
      <c r="I893" s="2"/>
      <c r="J893" s="52"/>
      <c r="K893" s="2"/>
      <c r="L893" s="2"/>
      <c r="M893" s="2"/>
      <c r="N893" s="2"/>
      <c r="O893" s="52"/>
      <c r="P893" s="52"/>
      <c r="Q893" s="52"/>
      <c r="R893" s="52"/>
      <c r="S893" s="52"/>
      <c r="T893" s="52"/>
      <c r="U893" s="52"/>
      <c r="V893" s="52"/>
      <c r="W893" s="52"/>
      <c r="X893" s="52"/>
      <c r="Y893" s="52"/>
      <c r="Z893" s="52"/>
      <c r="AA893" s="52"/>
      <c r="AB893" s="52"/>
      <c r="AC893" s="52"/>
    </row>
    <row r="894" spans="1:29" ht="12.75">
      <c r="A894" s="197"/>
      <c r="B894" s="2"/>
      <c r="C894" s="52"/>
      <c r="D894" s="52"/>
      <c r="E894" s="52"/>
      <c r="F894" s="2"/>
      <c r="G894" s="2"/>
      <c r="H894" s="2"/>
      <c r="I894" s="2"/>
      <c r="J894" s="52"/>
      <c r="K894" s="2"/>
      <c r="L894" s="2"/>
      <c r="M894" s="2"/>
      <c r="N894" s="2"/>
      <c r="O894" s="52"/>
      <c r="P894" s="52"/>
      <c r="Q894" s="52"/>
      <c r="R894" s="52"/>
      <c r="S894" s="52"/>
      <c r="T894" s="52"/>
      <c r="U894" s="52"/>
      <c r="V894" s="52"/>
      <c r="W894" s="52"/>
      <c r="X894" s="52"/>
      <c r="Y894" s="52"/>
      <c r="Z894" s="52"/>
      <c r="AA894" s="52"/>
      <c r="AB894" s="52"/>
      <c r="AC894" s="52"/>
    </row>
    <row r="895" spans="1:29" ht="12.75">
      <c r="A895" s="197"/>
      <c r="B895" s="2"/>
      <c r="C895" s="52"/>
      <c r="D895" s="52"/>
      <c r="E895" s="52"/>
      <c r="F895" s="2"/>
      <c r="G895" s="2"/>
      <c r="H895" s="2"/>
      <c r="I895" s="2"/>
      <c r="J895" s="52"/>
      <c r="K895" s="2"/>
      <c r="L895" s="2"/>
      <c r="M895" s="2"/>
      <c r="N895" s="2"/>
      <c r="O895" s="52"/>
      <c r="P895" s="52"/>
      <c r="Q895" s="52"/>
      <c r="R895" s="52"/>
      <c r="S895" s="52"/>
      <c r="T895" s="52"/>
      <c r="U895" s="52"/>
      <c r="V895" s="52"/>
      <c r="W895" s="52"/>
      <c r="X895" s="52"/>
      <c r="Y895" s="52"/>
      <c r="Z895" s="52"/>
      <c r="AA895" s="52"/>
      <c r="AB895" s="52"/>
      <c r="AC895" s="52"/>
    </row>
    <row r="896" spans="1:29" ht="12.75">
      <c r="A896" s="197"/>
      <c r="B896" s="2"/>
      <c r="C896" s="52"/>
      <c r="D896" s="52"/>
      <c r="E896" s="52"/>
      <c r="F896" s="2"/>
      <c r="G896" s="2"/>
      <c r="H896" s="2"/>
      <c r="I896" s="2"/>
      <c r="J896" s="52"/>
      <c r="K896" s="2"/>
      <c r="L896" s="2"/>
      <c r="M896" s="2"/>
      <c r="N896" s="2"/>
      <c r="O896" s="52"/>
      <c r="P896" s="52"/>
      <c r="Q896" s="52"/>
      <c r="R896" s="52"/>
      <c r="S896" s="52"/>
      <c r="T896" s="52"/>
      <c r="U896" s="52"/>
      <c r="V896" s="52"/>
      <c r="W896" s="52"/>
      <c r="X896" s="52"/>
      <c r="Y896" s="52"/>
      <c r="Z896" s="52"/>
      <c r="AA896" s="52"/>
      <c r="AB896" s="52"/>
      <c r="AC896" s="52"/>
    </row>
    <row r="897" spans="1:29" ht="12.75">
      <c r="A897" s="197"/>
      <c r="B897" s="2"/>
      <c r="C897" s="52"/>
      <c r="D897" s="52"/>
      <c r="E897" s="52"/>
      <c r="F897" s="2"/>
      <c r="G897" s="2"/>
      <c r="H897" s="2"/>
      <c r="I897" s="2"/>
      <c r="J897" s="52"/>
      <c r="K897" s="2"/>
      <c r="L897" s="2"/>
      <c r="M897" s="2"/>
      <c r="N897" s="2"/>
      <c r="O897" s="52"/>
      <c r="P897" s="52"/>
      <c r="Q897" s="52"/>
      <c r="R897" s="52"/>
      <c r="S897" s="52"/>
      <c r="T897" s="52"/>
      <c r="U897" s="52"/>
      <c r="V897" s="52"/>
      <c r="W897" s="52"/>
      <c r="X897" s="52"/>
      <c r="Y897" s="52"/>
      <c r="Z897" s="52"/>
      <c r="AA897" s="52"/>
      <c r="AB897" s="52"/>
      <c r="AC897" s="52"/>
    </row>
    <row r="898" spans="1:29" ht="12.75">
      <c r="A898" s="197"/>
      <c r="B898" s="2"/>
      <c r="C898" s="52"/>
      <c r="D898" s="52"/>
      <c r="E898" s="52"/>
      <c r="F898" s="2"/>
      <c r="G898" s="2"/>
      <c r="H898" s="2"/>
      <c r="I898" s="2"/>
      <c r="J898" s="52"/>
      <c r="K898" s="2"/>
      <c r="L898" s="2"/>
      <c r="M898" s="2"/>
      <c r="N898" s="2"/>
      <c r="O898" s="52"/>
      <c r="P898" s="52"/>
      <c r="Q898" s="52"/>
      <c r="R898" s="52"/>
      <c r="S898" s="52"/>
      <c r="T898" s="52"/>
      <c r="U898" s="52"/>
      <c r="V898" s="52"/>
      <c r="W898" s="52"/>
      <c r="X898" s="52"/>
      <c r="Y898" s="52"/>
      <c r="Z898" s="52"/>
      <c r="AA898" s="52"/>
      <c r="AB898" s="52"/>
      <c r="AC898" s="52"/>
    </row>
    <row r="899" spans="1:29" ht="12.75">
      <c r="A899" s="197"/>
      <c r="B899" s="2"/>
      <c r="C899" s="52"/>
      <c r="D899" s="52"/>
      <c r="E899" s="52"/>
      <c r="F899" s="2"/>
      <c r="G899" s="2"/>
      <c r="H899" s="2"/>
      <c r="I899" s="2"/>
      <c r="J899" s="52"/>
      <c r="K899" s="2"/>
      <c r="L899" s="2"/>
      <c r="M899" s="2"/>
      <c r="N899" s="2"/>
      <c r="O899" s="52"/>
      <c r="P899" s="52"/>
      <c r="Q899" s="52"/>
      <c r="R899" s="52"/>
      <c r="S899" s="52"/>
      <c r="T899" s="52"/>
      <c r="U899" s="52"/>
      <c r="V899" s="52"/>
      <c r="W899" s="52"/>
      <c r="X899" s="52"/>
      <c r="Y899" s="52"/>
      <c r="Z899" s="52"/>
      <c r="AA899" s="52"/>
      <c r="AB899" s="52"/>
      <c r="AC899" s="52"/>
    </row>
    <row r="900" spans="1:29" ht="12.75">
      <c r="A900" s="197"/>
      <c r="B900" s="2"/>
      <c r="C900" s="52"/>
      <c r="D900" s="52"/>
      <c r="E900" s="52"/>
      <c r="F900" s="2"/>
      <c r="G900" s="2"/>
      <c r="H900" s="2"/>
      <c r="I900" s="2"/>
      <c r="J900" s="52"/>
      <c r="K900" s="2"/>
      <c r="L900" s="2"/>
      <c r="M900" s="2"/>
      <c r="N900" s="2"/>
      <c r="O900" s="52"/>
      <c r="P900" s="52"/>
      <c r="Q900" s="52"/>
      <c r="R900" s="52"/>
      <c r="S900" s="52"/>
      <c r="T900" s="52"/>
      <c r="U900" s="52"/>
      <c r="V900" s="52"/>
      <c r="W900" s="52"/>
      <c r="X900" s="52"/>
      <c r="Y900" s="52"/>
      <c r="Z900" s="52"/>
      <c r="AA900" s="52"/>
      <c r="AB900" s="52"/>
      <c r="AC900" s="52"/>
    </row>
    <row r="901" spans="1:29" ht="12.75">
      <c r="A901" s="197"/>
      <c r="B901" s="2"/>
      <c r="C901" s="52"/>
      <c r="D901" s="52"/>
      <c r="E901" s="52"/>
      <c r="F901" s="2"/>
      <c r="G901" s="2"/>
      <c r="H901" s="2"/>
      <c r="I901" s="2"/>
      <c r="J901" s="52"/>
      <c r="K901" s="2"/>
      <c r="L901" s="2"/>
      <c r="M901" s="2"/>
      <c r="N901" s="2"/>
      <c r="O901" s="52"/>
      <c r="P901" s="52"/>
      <c r="Q901" s="52"/>
      <c r="R901" s="52"/>
      <c r="S901" s="52"/>
      <c r="T901" s="52"/>
      <c r="U901" s="52"/>
      <c r="V901" s="52"/>
      <c r="W901" s="52"/>
      <c r="X901" s="52"/>
      <c r="Y901" s="52"/>
      <c r="Z901" s="52"/>
      <c r="AA901" s="52"/>
      <c r="AB901" s="52"/>
      <c r="AC901" s="52"/>
    </row>
    <row r="902" spans="1:29" ht="12.75">
      <c r="A902" s="197"/>
      <c r="B902" s="2"/>
      <c r="C902" s="52"/>
      <c r="D902" s="52"/>
      <c r="E902" s="52"/>
      <c r="F902" s="2"/>
      <c r="G902" s="2"/>
      <c r="H902" s="2"/>
      <c r="I902" s="2"/>
      <c r="J902" s="52"/>
      <c r="K902" s="2"/>
      <c r="L902" s="2"/>
      <c r="M902" s="2"/>
      <c r="N902" s="2"/>
      <c r="O902" s="52"/>
      <c r="P902" s="52"/>
      <c r="Q902" s="52"/>
      <c r="R902" s="52"/>
      <c r="S902" s="52"/>
      <c r="T902" s="52"/>
      <c r="U902" s="52"/>
      <c r="V902" s="52"/>
      <c r="W902" s="52"/>
      <c r="X902" s="52"/>
      <c r="Y902" s="52"/>
      <c r="Z902" s="52"/>
      <c r="AA902" s="52"/>
      <c r="AB902" s="52"/>
      <c r="AC902" s="52"/>
    </row>
    <row r="903" spans="1:29" ht="12.75">
      <c r="A903" s="197"/>
      <c r="B903" s="2"/>
      <c r="C903" s="52"/>
      <c r="D903" s="52"/>
      <c r="E903" s="52"/>
      <c r="F903" s="2"/>
      <c r="G903" s="2"/>
      <c r="H903" s="2"/>
      <c r="I903" s="2"/>
      <c r="J903" s="52"/>
      <c r="K903" s="2"/>
      <c r="L903" s="2"/>
      <c r="M903" s="2"/>
      <c r="N903" s="2"/>
      <c r="O903" s="52"/>
      <c r="P903" s="52"/>
      <c r="Q903" s="52"/>
      <c r="R903" s="52"/>
      <c r="S903" s="52"/>
      <c r="T903" s="52"/>
      <c r="U903" s="52"/>
      <c r="V903" s="52"/>
      <c r="W903" s="52"/>
      <c r="X903" s="52"/>
      <c r="Y903" s="52"/>
      <c r="Z903" s="52"/>
      <c r="AA903" s="52"/>
      <c r="AB903" s="52"/>
      <c r="AC903" s="52"/>
    </row>
    <row r="904" spans="1:29" ht="12.75">
      <c r="A904" s="197"/>
      <c r="B904" s="2"/>
      <c r="C904" s="52"/>
      <c r="D904" s="52"/>
      <c r="E904" s="52"/>
      <c r="F904" s="2"/>
      <c r="G904" s="2"/>
      <c r="H904" s="2"/>
      <c r="I904" s="2"/>
      <c r="J904" s="52"/>
      <c r="K904" s="2"/>
      <c r="L904" s="2"/>
      <c r="M904" s="2"/>
      <c r="N904" s="2"/>
      <c r="O904" s="52"/>
      <c r="P904" s="52"/>
      <c r="Q904" s="52"/>
      <c r="R904" s="52"/>
      <c r="S904" s="52"/>
      <c r="T904" s="52"/>
      <c r="U904" s="52"/>
      <c r="V904" s="52"/>
      <c r="W904" s="52"/>
      <c r="X904" s="52"/>
      <c r="Y904" s="52"/>
      <c r="Z904" s="52"/>
      <c r="AA904" s="52"/>
      <c r="AB904" s="52"/>
      <c r="AC904" s="52"/>
    </row>
    <row r="905" spans="1:29" ht="12.75">
      <c r="A905" s="197"/>
      <c r="B905" s="2"/>
      <c r="C905" s="52"/>
      <c r="D905" s="52"/>
      <c r="E905" s="52"/>
      <c r="F905" s="2"/>
      <c r="G905" s="2"/>
      <c r="H905" s="2"/>
      <c r="I905" s="2"/>
      <c r="J905" s="52"/>
      <c r="K905" s="2"/>
      <c r="L905" s="2"/>
      <c r="M905" s="2"/>
      <c r="N905" s="2"/>
      <c r="O905" s="52"/>
      <c r="P905" s="52"/>
      <c r="Q905" s="52"/>
      <c r="R905" s="52"/>
      <c r="S905" s="52"/>
      <c r="T905" s="52"/>
      <c r="U905" s="52"/>
      <c r="V905" s="52"/>
      <c r="W905" s="52"/>
      <c r="X905" s="52"/>
      <c r="Y905" s="52"/>
      <c r="Z905" s="52"/>
      <c r="AA905" s="52"/>
      <c r="AB905" s="52"/>
      <c r="AC905" s="52"/>
    </row>
    <row r="906" spans="1:29" ht="12.75">
      <c r="A906" s="197"/>
      <c r="B906" s="2"/>
      <c r="C906" s="52"/>
      <c r="D906" s="52"/>
      <c r="E906" s="52"/>
      <c r="F906" s="2"/>
      <c r="G906" s="2"/>
      <c r="H906" s="2"/>
      <c r="I906" s="2"/>
      <c r="J906" s="52"/>
      <c r="K906" s="2"/>
      <c r="L906" s="2"/>
      <c r="M906" s="2"/>
      <c r="N906" s="2"/>
      <c r="O906" s="52"/>
      <c r="P906" s="52"/>
      <c r="Q906" s="52"/>
      <c r="R906" s="52"/>
      <c r="S906" s="52"/>
      <c r="T906" s="52"/>
      <c r="U906" s="52"/>
      <c r="V906" s="52"/>
      <c r="W906" s="52"/>
      <c r="X906" s="52"/>
      <c r="Y906" s="52"/>
      <c r="Z906" s="52"/>
      <c r="AA906" s="52"/>
      <c r="AB906" s="52"/>
      <c r="AC906" s="52"/>
    </row>
    <row r="907" spans="1:29" ht="12.75">
      <c r="A907" s="197"/>
      <c r="B907" s="2"/>
      <c r="C907" s="52"/>
      <c r="D907" s="52"/>
      <c r="E907" s="52"/>
      <c r="F907" s="2"/>
      <c r="G907" s="2"/>
      <c r="H907" s="2"/>
      <c r="I907" s="2"/>
      <c r="J907" s="52"/>
      <c r="K907" s="2"/>
      <c r="L907" s="2"/>
      <c r="M907" s="2"/>
      <c r="N907" s="2"/>
      <c r="O907" s="52"/>
      <c r="P907" s="52"/>
      <c r="Q907" s="52"/>
      <c r="R907" s="52"/>
      <c r="S907" s="52"/>
      <c r="T907" s="52"/>
      <c r="U907" s="52"/>
      <c r="V907" s="52"/>
      <c r="W907" s="52"/>
      <c r="X907" s="52"/>
      <c r="Y907" s="52"/>
      <c r="Z907" s="52"/>
      <c r="AA907" s="52"/>
      <c r="AB907" s="52"/>
      <c r="AC907" s="52"/>
    </row>
    <row r="908" spans="1:29" ht="12.75">
      <c r="A908" s="197"/>
      <c r="B908" s="2"/>
      <c r="C908" s="52"/>
      <c r="D908" s="52"/>
      <c r="E908" s="52"/>
      <c r="F908" s="2"/>
      <c r="G908" s="2"/>
      <c r="H908" s="2"/>
      <c r="I908" s="2"/>
      <c r="J908" s="52"/>
      <c r="K908" s="2"/>
      <c r="L908" s="2"/>
      <c r="M908" s="2"/>
      <c r="N908" s="2"/>
      <c r="O908" s="52"/>
      <c r="P908" s="52"/>
      <c r="Q908" s="52"/>
      <c r="R908" s="52"/>
      <c r="S908" s="52"/>
      <c r="T908" s="52"/>
      <c r="U908" s="52"/>
      <c r="V908" s="52"/>
      <c r="W908" s="52"/>
      <c r="X908" s="52"/>
      <c r="Y908" s="52"/>
      <c r="Z908" s="52"/>
      <c r="AA908" s="52"/>
      <c r="AB908" s="52"/>
      <c r="AC908" s="52"/>
    </row>
    <row r="909" spans="1:29" ht="12.75">
      <c r="A909" s="197"/>
      <c r="B909" s="2"/>
      <c r="C909" s="52"/>
      <c r="D909" s="52"/>
      <c r="E909" s="52"/>
      <c r="F909" s="2"/>
      <c r="G909" s="2"/>
      <c r="H909" s="2"/>
      <c r="I909" s="2"/>
      <c r="J909" s="52"/>
      <c r="K909" s="2"/>
      <c r="L909" s="2"/>
      <c r="M909" s="2"/>
      <c r="N909" s="2"/>
      <c r="O909" s="52"/>
      <c r="P909" s="52"/>
      <c r="Q909" s="52"/>
      <c r="R909" s="52"/>
      <c r="S909" s="52"/>
      <c r="T909" s="52"/>
      <c r="U909" s="52"/>
      <c r="V909" s="52"/>
      <c r="W909" s="52"/>
      <c r="X909" s="52"/>
      <c r="Y909" s="52"/>
      <c r="Z909" s="52"/>
      <c r="AA909" s="52"/>
      <c r="AB909" s="52"/>
      <c r="AC909" s="52"/>
    </row>
    <row r="910" spans="1:29" ht="12.75">
      <c r="A910" s="197"/>
      <c r="B910" s="2"/>
      <c r="C910" s="52"/>
      <c r="D910" s="52"/>
      <c r="E910" s="52"/>
      <c r="F910" s="2"/>
      <c r="G910" s="2"/>
      <c r="H910" s="2"/>
      <c r="I910" s="2"/>
      <c r="J910" s="52"/>
      <c r="K910" s="2"/>
      <c r="L910" s="2"/>
      <c r="M910" s="2"/>
      <c r="N910" s="2"/>
      <c r="O910" s="52"/>
      <c r="P910" s="52"/>
      <c r="Q910" s="52"/>
      <c r="R910" s="52"/>
      <c r="S910" s="52"/>
      <c r="T910" s="52"/>
      <c r="U910" s="52"/>
      <c r="V910" s="52"/>
      <c r="W910" s="52"/>
      <c r="X910" s="52"/>
      <c r="Y910" s="52"/>
      <c r="Z910" s="52"/>
      <c r="AA910" s="52"/>
      <c r="AB910" s="52"/>
      <c r="AC910" s="52"/>
    </row>
    <row r="911" spans="1:29" ht="12.75">
      <c r="A911" s="197"/>
      <c r="B911" s="2"/>
      <c r="C911" s="52"/>
      <c r="D911" s="52"/>
      <c r="E911" s="52"/>
      <c r="F911" s="2"/>
      <c r="G911" s="2"/>
      <c r="H911" s="2"/>
      <c r="I911" s="2"/>
      <c r="J911" s="52"/>
      <c r="K911" s="2"/>
      <c r="L911" s="2"/>
      <c r="M911" s="2"/>
      <c r="N911" s="2"/>
      <c r="O911" s="52"/>
      <c r="P911" s="52"/>
      <c r="Q911" s="52"/>
      <c r="R911" s="52"/>
      <c r="S911" s="52"/>
      <c r="T911" s="52"/>
      <c r="U911" s="52"/>
      <c r="V911" s="52"/>
      <c r="W911" s="52"/>
      <c r="X911" s="52"/>
      <c r="Y911" s="52"/>
      <c r="Z911" s="52"/>
      <c r="AA911" s="52"/>
      <c r="AB911" s="52"/>
      <c r="AC911" s="52"/>
    </row>
    <row r="912" spans="1:29" ht="12.75">
      <c r="A912" s="197"/>
      <c r="B912" s="2"/>
      <c r="C912" s="52"/>
      <c r="D912" s="52"/>
      <c r="E912" s="52"/>
      <c r="F912" s="2"/>
      <c r="G912" s="2"/>
      <c r="H912" s="2"/>
      <c r="I912" s="2"/>
      <c r="J912" s="52"/>
      <c r="K912" s="2"/>
      <c r="L912" s="2"/>
      <c r="M912" s="2"/>
      <c r="N912" s="2"/>
      <c r="O912" s="52"/>
      <c r="P912" s="52"/>
      <c r="Q912" s="52"/>
      <c r="R912" s="52"/>
      <c r="S912" s="52"/>
      <c r="T912" s="52"/>
      <c r="U912" s="52"/>
      <c r="V912" s="52"/>
      <c r="W912" s="52"/>
      <c r="X912" s="52"/>
      <c r="Y912" s="52"/>
      <c r="Z912" s="52"/>
      <c r="AA912" s="52"/>
      <c r="AB912" s="52"/>
      <c r="AC912" s="52"/>
    </row>
    <row r="913" spans="1:29" ht="12.75">
      <c r="A913" s="197"/>
      <c r="B913" s="2"/>
      <c r="C913" s="52"/>
      <c r="D913" s="52"/>
      <c r="E913" s="52"/>
      <c r="F913" s="2"/>
      <c r="G913" s="2"/>
      <c r="H913" s="2"/>
      <c r="I913" s="2"/>
      <c r="J913" s="52"/>
      <c r="K913" s="2"/>
      <c r="L913" s="2"/>
      <c r="M913" s="2"/>
      <c r="N913" s="2"/>
      <c r="O913" s="52"/>
      <c r="P913" s="52"/>
      <c r="Q913" s="52"/>
      <c r="R913" s="52"/>
      <c r="S913" s="52"/>
      <c r="T913" s="52"/>
      <c r="U913" s="52"/>
      <c r="V913" s="52"/>
      <c r="W913" s="52"/>
      <c r="X913" s="52"/>
      <c r="Y913" s="52"/>
      <c r="Z913" s="52"/>
      <c r="AA913" s="52"/>
      <c r="AB913" s="52"/>
      <c r="AC913" s="52"/>
    </row>
    <row r="914" spans="1:29" ht="12.75">
      <c r="A914" s="197"/>
      <c r="B914" s="2"/>
      <c r="C914" s="52"/>
      <c r="D914" s="52"/>
      <c r="E914" s="52"/>
      <c r="F914" s="2"/>
      <c r="G914" s="2"/>
      <c r="H914" s="2"/>
      <c r="I914" s="2"/>
      <c r="J914" s="52"/>
      <c r="K914" s="2"/>
      <c r="L914" s="2"/>
      <c r="M914" s="2"/>
      <c r="N914" s="2"/>
      <c r="O914" s="52"/>
      <c r="P914" s="52"/>
      <c r="Q914" s="52"/>
      <c r="R914" s="52"/>
      <c r="S914" s="52"/>
      <c r="T914" s="52"/>
      <c r="U914" s="52"/>
      <c r="V914" s="52"/>
      <c r="W914" s="52"/>
      <c r="X914" s="52"/>
      <c r="Y914" s="52"/>
      <c r="Z914" s="52"/>
      <c r="AA914" s="52"/>
      <c r="AB914" s="52"/>
      <c r="AC914" s="52"/>
    </row>
    <row r="915" spans="1:29" ht="12.75">
      <c r="A915" s="197"/>
      <c r="B915" s="2"/>
      <c r="C915" s="52"/>
      <c r="D915" s="52"/>
      <c r="E915" s="52"/>
      <c r="F915" s="2"/>
      <c r="G915" s="2"/>
      <c r="H915" s="2"/>
      <c r="I915" s="2"/>
      <c r="J915" s="52"/>
      <c r="K915" s="2"/>
      <c r="L915" s="2"/>
      <c r="M915" s="2"/>
      <c r="N915" s="2"/>
      <c r="O915" s="52"/>
      <c r="P915" s="52"/>
      <c r="Q915" s="52"/>
      <c r="R915" s="52"/>
      <c r="S915" s="52"/>
      <c r="T915" s="52"/>
      <c r="U915" s="52"/>
      <c r="V915" s="52"/>
      <c r="W915" s="52"/>
      <c r="X915" s="52"/>
      <c r="Y915" s="52"/>
      <c r="Z915" s="52"/>
      <c r="AA915" s="52"/>
      <c r="AB915" s="52"/>
      <c r="AC915" s="52"/>
    </row>
    <row r="916" spans="1:29" ht="12.75">
      <c r="A916" s="197"/>
      <c r="B916" s="2"/>
      <c r="C916" s="52"/>
      <c r="D916" s="52"/>
      <c r="E916" s="52"/>
      <c r="F916" s="2"/>
      <c r="G916" s="2"/>
      <c r="H916" s="2"/>
      <c r="I916" s="2"/>
      <c r="J916" s="52"/>
      <c r="K916" s="2"/>
      <c r="L916" s="2"/>
      <c r="M916" s="2"/>
      <c r="N916" s="2"/>
      <c r="O916" s="52"/>
      <c r="P916" s="52"/>
      <c r="Q916" s="52"/>
      <c r="R916" s="52"/>
      <c r="S916" s="52"/>
      <c r="T916" s="52"/>
      <c r="U916" s="52"/>
      <c r="V916" s="52"/>
      <c r="W916" s="52"/>
      <c r="X916" s="52"/>
      <c r="Y916" s="52"/>
      <c r="Z916" s="52"/>
      <c r="AA916" s="52"/>
      <c r="AB916" s="52"/>
      <c r="AC916" s="52"/>
    </row>
    <row r="917" spans="1:29" ht="12.75">
      <c r="A917" s="197"/>
      <c r="B917" s="2"/>
      <c r="C917" s="52"/>
      <c r="D917" s="52"/>
      <c r="E917" s="52"/>
      <c r="F917" s="2"/>
      <c r="G917" s="2"/>
      <c r="H917" s="2"/>
      <c r="I917" s="2"/>
      <c r="J917" s="52"/>
      <c r="K917" s="2"/>
      <c r="L917" s="2"/>
      <c r="M917" s="2"/>
      <c r="N917" s="2"/>
      <c r="O917" s="52"/>
      <c r="P917" s="52"/>
      <c r="Q917" s="52"/>
      <c r="R917" s="52"/>
      <c r="S917" s="52"/>
      <c r="T917" s="52"/>
      <c r="U917" s="52"/>
      <c r="V917" s="52"/>
      <c r="W917" s="52"/>
      <c r="X917" s="52"/>
      <c r="Y917" s="52"/>
      <c r="Z917" s="52"/>
      <c r="AA917" s="52"/>
      <c r="AB917" s="52"/>
      <c r="AC917" s="52"/>
    </row>
    <row r="918" spans="1:29" ht="12.75">
      <c r="A918" s="197"/>
      <c r="B918" s="2"/>
      <c r="C918" s="52"/>
      <c r="D918" s="52"/>
      <c r="E918" s="52"/>
      <c r="F918" s="2"/>
      <c r="G918" s="2"/>
      <c r="H918" s="2"/>
      <c r="I918" s="2"/>
      <c r="J918" s="52"/>
      <c r="K918" s="2"/>
      <c r="L918" s="2"/>
      <c r="M918" s="2"/>
      <c r="N918" s="2"/>
      <c r="O918" s="52"/>
      <c r="P918" s="52"/>
      <c r="Q918" s="52"/>
      <c r="R918" s="52"/>
      <c r="S918" s="52"/>
      <c r="T918" s="52"/>
      <c r="U918" s="52"/>
      <c r="V918" s="52"/>
      <c r="W918" s="52"/>
      <c r="X918" s="52"/>
      <c r="Y918" s="52"/>
      <c r="Z918" s="52"/>
      <c r="AA918" s="52"/>
      <c r="AB918" s="52"/>
      <c r="AC918" s="52"/>
    </row>
    <row r="919" spans="1:29" ht="12.75">
      <c r="A919" s="197"/>
      <c r="B919" s="2"/>
      <c r="C919" s="52"/>
      <c r="D919" s="52"/>
      <c r="E919" s="52"/>
      <c r="F919" s="2"/>
      <c r="G919" s="2"/>
      <c r="H919" s="2"/>
      <c r="I919" s="2"/>
      <c r="J919" s="52"/>
      <c r="K919" s="2"/>
      <c r="L919" s="2"/>
      <c r="M919" s="2"/>
      <c r="N919" s="2"/>
      <c r="O919" s="52"/>
      <c r="P919" s="52"/>
      <c r="Q919" s="52"/>
      <c r="R919" s="52"/>
      <c r="S919" s="52"/>
      <c r="T919" s="52"/>
      <c r="U919" s="52"/>
      <c r="V919" s="52"/>
      <c r="W919" s="52"/>
      <c r="X919" s="52"/>
      <c r="Y919" s="52"/>
      <c r="Z919" s="52"/>
      <c r="AA919" s="52"/>
      <c r="AB919" s="52"/>
      <c r="AC919" s="52"/>
    </row>
    <row r="920" spans="1:29" ht="12.75">
      <c r="A920" s="197"/>
      <c r="B920" s="2"/>
      <c r="C920" s="52"/>
      <c r="D920" s="52"/>
      <c r="E920" s="52"/>
      <c r="F920" s="2"/>
      <c r="G920" s="2"/>
      <c r="H920" s="2"/>
      <c r="I920" s="2"/>
      <c r="J920" s="52"/>
      <c r="K920" s="2"/>
      <c r="L920" s="2"/>
      <c r="M920" s="2"/>
      <c r="N920" s="2"/>
      <c r="O920" s="52"/>
      <c r="P920" s="52"/>
      <c r="Q920" s="52"/>
      <c r="R920" s="52"/>
      <c r="S920" s="52"/>
      <c r="T920" s="52"/>
      <c r="U920" s="52"/>
      <c r="V920" s="52"/>
      <c r="W920" s="52"/>
      <c r="X920" s="52"/>
      <c r="Y920" s="52"/>
      <c r="Z920" s="52"/>
      <c r="AA920" s="52"/>
      <c r="AB920" s="52"/>
      <c r="AC920" s="52"/>
    </row>
    <row r="921" spans="1:29" ht="12.75">
      <c r="A921" s="197"/>
      <c r="B921" s="2"/>
      <c r="C921" s="52"/>
      <c r="D921" s="52"/>
      <c r="E921" s="52"/>
      <c r="F921" s="2"/>
      <c r="G921" s="2"/>
      <c r="H921" s="2"/>
      <c r="I921" s="2"/>
      <c r="J921" s="52"/>
      <c r="K921" s="2"/>
      <c r="L921" s="2"/>
      <c r="M921" s="2"/>
      <c r="N921" s="2"/>
      <c r="O921" s="52"/>
      <c r="P921" s="52"/>
      <c r="Q921" s="52"/>
      <c r="R921" s="52"/>
      <c r="S921" s="52"/>
      <c r="T921" s="52"/>
      <c r="U921" s="52"/>
      <c r="V921" s="52"/>
      <c r="W921" s="52"/>
      <c r="X921" s="52"/>
      <c r="Y921" s="52"/>
      <c r="Z921" s="52"/>
      <c r="AA921" s="52"/>
      <c r="AB921" s="52"/>
      <c r="AC921" s="52"/>
    </row>
    <row r="922" spans="1:29" ht="12.75">
      <c r="A922" s="197"/>
      <c r="B922" s="2"/>
      <c r="C922" s="52"/>
      <c r="D922" s="52"/>
      <c r="E922" s="52"/>
      <c r="F922" s="2"/>
      <c r="G922" s="2"/>
      <c r="H922" s="2"/>
      <c r="I922" s="2"/>
      <c r="J922" s="52"/>
      <c r="K922" s="2"/>
      <c r="L922" s="2"/>
      <c r="M922" s="2"/>
      <c r="N922" s="2"/>
      <c r="O922" s="52"/>
      <c r="P922" s="52"/>
      <c r="Q922" s="52"/>
      <c r="R922" s="52"/>
      <c r="S922" s="52"/>
      <c r="T922" s="52"/>
      <c r="U922" s="52"/>
      <c r="V922" s="52"/>
      <c r="W922" s="52"/>
      <c r="X922" s="52"/>
      <c r="Y922" s="52"/>
      <c r="Z922" s="52"/>
      <c r="AA922" s="52"/>
      <c r="AB922" s="52"/>
      <c r="AC922" s="52"/>
    </row>
    <row r="923" spans="1:29" ht="12.75">
      <c r="A923" s="197"/>
      <c r="B923" s="2"/>
      <c r="C923" s="52"/>
      <c r="D923" s="52"/>
      <c r="E923" s="52"/>
      <c r="F923" s="2"/>
      <c r="G923" s="2"/>
      <c r="H923" s="2"/>
      <c r="I923" s="2"/>
      <c r="J923" s="52"/>
      <c r="K923" s="2"/>
      <c r="L923" s="2"/>
      <c r="M923" s="2"/>
      <c r="N923" s="2"/>
      <c r="O923" s="52"/>
      <c r="P923" s="52"/>
      <c r="Q923" s="52"/>
      <c r="R923" s="52"/>
      <c r="S923" s="52"/>
      <c r="T923" s="52"/>
      <c r="U923" s="52"/>
      <c r="V923" s="52"/>
      <c r="W923" s="52"/>
      <c r="X923" s="52"/>
      <c r="Y923" s="52"/>
      <c r="Z923" s="52"/>
      <c r="AA923" s="52"/>
      <c r="AB923" s="52"/>
      <c r="AC923" s="52"/>
    </row>
    <row r="924" spans="1:29" ht="12.75">
      <c r="A924" s="197"/>
      <c r="B924" s="2"/>
      <c r="C924" s="52"/>
      <c r="D924" s="52"/>
      <c r="E924" s="52"/>
      <c r="F924" s="2"/>
      <c r="G924" s="2"/>
      <c r="H924" s="2"/>
      <c r="I924" s="2"/>
      <c r="J924" s="52"/>
      <c r="K924" s="2"/>
      <c r="L924" s="2"/>
      <c r="M924" s="2"/>
      <c r="N924" s="2"/>
      <c r="O924" s="52"/>
      <c r="P924" s="52"/>
      <c r="Q924" s="52"/>
      <c r="R924" s="52"/>
      <c r="S924" s="52"/>
      <c r="T924" s="52"/>
      <c r="U924" s="52"/>
      <c r="V924" s="52"/>
      <c r="W924" s="52"/>
      <c r="X924" s="52"/>
      <c r="Y924" s="52"/>
      <c r="Z924" s="52"/>
      <c r="AA924" s="52"/>
      <c r="AB924" s="52"/>
      <c r="AC924" s="52"/>
    </row>
    <row r="925" spans="1:29" ht="12.75">
      <c r="A925" s="197"/>
      <c r="B925" s="2"/>
      <c r="C925" s="52"/>
      <c r="D925" s="52"/>
      <c r="E925" s="52"/>
      <c r="F925" s="2"/>
      <c r="G925" s="2"/>
      <c r="H925" s="2"/>
      <c r="I925" s="2"/>
      <c r="J925" s="52"/>
      <c r="K925" s="2"/>
      <c r="L925" s="2"/>
      <c r="M925" s="2"/>
      <c r="N925" s="2"/>
      <c r="O925" s="52"/>
      <c r="P925" s="52"/>
      <c r="Q925" s="52"/>
      <c r="R925" s="52"/>
      <c r="S925" s="52"/>
      <c r="T925" s="52"/>
      <c r="U925" s="52"/>
      <c r="V925" s="52"/>
      <c r="W925" s="52"/>
      <c r="X925" s="52"/>
      <c r="Y925" s="52"/>
      <c r="Z925" s="52"/>
      <c r="AA925" s="52"/>
      <c r="AB925" s="52"/>
      <c r="AC925" s="52"/>
    </row>
    <row r="926" spans="1:29" ht="12.75">
      <c r="A926" s="197"/>
      <c r="B926" s="2"/>
      <c r="C926" s="52"/>
      <c r="D926" s="52"/>
      <c r="E926" s="52"/>
      <c r="F926" s="2"/>
      <c r="G926" s="2"/>
      <c r="H926" s="2"/>
      <c r="I926" s="2"/>
      <c r="J926" s="52"/>
      <c r="K926" s="2"/>
      <c r="L926" s="2"/>
      <c r="M926" s="2"/>
      <c r="N926" s="2"/>
      <c r="O926" s="52"/>
      <c r="P926" s="52"/>
      <c r="Q926" s="52"/>
      <c r="R926" s="52"/>
      <c r="S926" s="52"/>
      <c r="T926" s="52"/>
      <c r="U926" s="52"/>
      <c r="V926" s="52"/>
      <c r="W926" s="52"/>
      <c r="X926" s="52"/>
      <c r="Y926" s="52"/>
      <c r="Z926" s="52"/>
      <c r="AA926" s="52"/>
      <c r="AB926" s="52"/>
      <c r="AC926" s="52"/>
    </row>
    <row r="927" spans="1:29" ht="12.75">
      <c r="A927" s="197"/>
      <c r="B927" s="2"/>
      <c r="C927" s="52"/>
      <c r="D927" s="52"/>
      <c r="E927" s="52"/>
      <c r="F927" s="2"/>
      <c r="G927" s="2"/>
      <c r="H927" s="2"/>
      <c r="I927" s="2"/>
      <c r="J927" s="52"/>
      <c r="K927" s="2"/>
      <c r="L927" s="2"/>
      <c r="M927" s="2"/>
      <c r="N927" s="2"/>
      <c r="O927" s="52"/>
      <c r="P927" s="52"/>
      <c r="Q927" s="52"/>
      <c r="R927" s="52"/>
      <c r="S927" s="52"/>
      <c r="T927" s="52"/>
      <c r="U927" s="52"/>
      <c r="V927" s="52"/>
      <c r="W927" s="52"/>
      <c r="X927" s="52"/>
      <c r="Y927" s="52"/>
      <c r="Z927" s="52"/>
      <c r="AA927" s="52"/>
      <c r="AB927" s="52"/>
      <c r="AC927" s="52"/>
    </row>
    <row r="928" spans="1:29" ht="12.75">
      <c r="A928" s="197"/>
      <c r="B928" s="2"/>
      <c r="C928" s="52"/>
      <c r="D928" s="52"/>
      <c r="E928" s="52"/>
      <c r="F928" s="2"/>
      <c r="G928" s="2"/>
      <c r="H928" s="2"/>
      <c r="I928" s="2"/>
      <c r="J928" s="52"/>
      <c r="K928" s="2"/>
      <c r="L928" s="2"/>
      <c r="M928" s="2"/>
      <c r="N928" s="2"/>
      <c r="O928" s="52"/>
      <c r="P928" s="52"/>
      <c r="Q928" s="52"/>
      <c r="R928" s="52"/>
      <c r="S928" s="52"/>
      <c r="T928" s="52"/>
      <c r="U928" s="52"/>
      <c r="V928" s="52"/>
      <c r="W928" s="52"/>
      <c r="X928" s="52"/>
      <c r="Y928" s="52"/>
      <c r="Z928" s="52"/>
      <c r="AA928" s="52"/>
      <c r="AB928" s="52"/>
      <c r="AC928" s="52"/>
    </row>
    <row r="929" spans="1:29" ht="12.75">
      <c r="A929" s="197"/>
      <c r="B929" s="2"/>
      <c r="C929" s="52"/>
      <c r="D929" s="52"/>
      <c r="E929" s="52"/>
      <c r="F929" s="2"/>
      <c r="G929" s="2"/>
      <c r="H929" s="2"/>
      <c r="I929" s="2"/>
      <c r="J929" s="52"/>
      <c r="K929" s="2"/>
      <c r="L929" s="2"/>
      <c r="M929" s="2"/>
      <c r="N929" s="2"/>
      <c r="O929" s="52"/>
      <c r="P929" s="52"/>
      <c r="Q929" s="52"/>
      <c r="R929" s="52"/>
      <c r="S929" s="52"/>
      <c r="T929" s="52"/>
      <c r="U929" s="52"/>
      <c r="V929" s="52"/>
      <c r="W929" s="52"/>
      <c r="X929" s="52"/>
      <c r="Y929" s="52"/>
      <c r="Z929" s="52"/>
      <c r="AA929" s="52"/>
      <c r="AB929" s="52"/>
      <c r="AC929" s="52"/>
    </row>
    <row r="930" spans="1:29" ht="12.75">
      <c r="A930" s="197"/>
      <c r="B930" s="2"/>
      <c r="C930" s="52"/>
      <c r="D930" s="52"/>
      <c r="E930" s="52"/>
      <c r="F930" s="2"/>
      <c r="G930" s="2"/>
      <c r="H930" s="2"/>
      <c r="I930" s="2"/>
      <c r="J930" s="52"/>
      <c r="K930" s="2"/>
      <c r="L930" s="2"/>
      <c r="M930" s="2"/>
      <c r="N930" s="2"/>
      <c r="O930" s="52"/>
      <c r="P930" s="52"/>
      <c r="Q930" s="52"/>
      <c r="R930" s="52"/>
      <c r="S930" s="52"/>
      <c r="T930" s="52"/>
      <c r="U930" s="52"/>
      <c r="V930" s="52"/>
      <c r="W930" s="52"/>
      <c r="X930" s="52"/>
      <c r="Y930" s="52"/>
      <c r="Z930" s="52"/>
      <c r="AA930" s="52"/>
      <c r="AB930" s="52"/>
      <c r="AC930" s="52"/>
    </row>
    <row r="931" spans="1:29" ht="12.75">
      <c r="A931" s="197"/>
      <c r="B931" s="2"/>
      <c r="C931" s="52"/>
      <c r="D931" s="52"/>
      <c r="E931" s="52"/>
      <c r="F931" s="2"/>
      <c r="G931" s="2"/>
      <c r="H931" s="2"/>
      <c r="I931" s="2"/>
      <c r="J931" s="52"/>
      <c r="K931" s="2"/>
      <c r="L931" s="2"/>
      <c r="M931" s="2"/>
      <c r="N931" s="2"/>
      <c r="O931" s="52"/>
      <c r="P931" s="52"/>
      <c r="Q931" s="52"/>
      <c r="R931" s="52"/>
      <c r="S931" s="52"/>
      <c r="T931" s="52"/>
      <c r="U931" s="52"/>
      <c r="V931" s="52"/>
      <c r="W931" s="52"/>
      <c r="X931" s="52"/>
      <c r="Y931" s="52"/>
      <c r="Z931" s="52"/>
      <c r="AA931" s="52"/>
      <c r="AB931" s="52"/>
      <c r="AC931" s="52"/>
    </row>
    <row r="932" spans="1:29" ht="12.75">
      <c r="A932" s="197"/>
      <c r="B932" s="2"/>
      <c r="C932" s="52"/>
      <c r="D932" s="52"/>
      <c r="E932" s="52"/>
      <c r="F932" s="2"/>
      <c r="G932" s="2"/>
      <c r="H932" s="2"/>
      <c r="I932" s="2"/>
      <c r="J932" s="52"/>
      <c r="K932" s="2"/>
      <c r="L932" s="2"/>
      <c r="M932" s="2"/>
      <c r="N932" s="2"/>
      <c r="O932" s="52"/>
      <c r="P932" s="52"/>
      <c r="Q932" s="52"/>
      <c r="R932" s="52"/>
      <c r="S932" s="52"/>
      <c r="T932" s="52"/>
      <c r="U932" s="52"/>
      <c r="V932" s="52"/>
      <c r="W932" s="52"/>
      <c r="X932" s="52"/>
      <c r="Y932" s="52"/>
      <c r="Z932" s="52"/>
      <c r="AA932" s="52"/>
      <c r="AB932" s="52"/>
      <c r="AC932" s="52"/>
    </row>
    <row r="933" spans="1:29" ht="12.75">
      <c r="A933" s="197"/>
      <c r="B933" s="2"/>
      <c r="C933" s="52"/>
      <c r="D933" s="52"/>
      <c r="E933" s="52"/>
      <c r="F933" s="2"/>
      <c r="G933" s="2"/>
      <c r="H933" s="2"/>
      <c r="I933" s="2"/>
      <c r="J933" s="52"/>
      <c r="K933" s="2"/>
      <c r="L933" s="2"/>
      <c r="M933" s="2"/>
      <c r="N933" s="2"/>
      <c r="O933" s="52"/>
      <c r="P933" s="52"/>
      <c r="Q933" s="52"/>
      <c r="R933" s="52"/>
      <c r="S933" s="52"/>
      <c r="T933" s="52"/>
      <c r="U933" s="52"/>
      <c r="V933" s="52"/>
      <c r="W933" s="52"/>
      <c r="X933" s="52"/>
      <c r="Y933" s="52"/>
      <c r="Z933" s="52"/>
      <c r="AA933" s="52"/>
      <c r="AB933" s="52"/>
      <c r="AC933" s="52"/>
    </row>
    <row r="934" spans="1:29" ht="12.75">
      <c r="A934" s="197"/>
      <c r="B934" s="2"/>
      <c r="C934" s="52"/>
      <c r="D934" s="52"/>
      <c r="E934" s="52"/>
      <c r="F934" s="2"/>
      <c r="G934" s="2"/>
      <c r="H934" s="2"/>
      <c r="I934" s="2"/>
      <c r="J934" s="52"/>
      <c r="K934" s="2"/>
      <c r="L934" s="2"/>
      <c r="M934" s="2"/>
      <c r="N934" s="2"/>
      <c r="O934" s="52"/>
      <c r="P934" s="52"/>
      <c r="Q934" s="52"/>
      <c r="R934" s="52"/>
      <c r="S934" s="52"/>
      <c r="T934" s="52"/>
      <c r="U934" s="52"/>
      <c r="V934" s="52"/>
      <c r="W934" s="52"/>
      <c r="X934" s="52"/>
      <c r="Y934" s="52"/>
      <c r="Z934" s="52"/>
      <c r="AA934" s="52"/>
      <c r="AB934" s="52"/>
      <c r="AC934" s="52"/>
    </row>
    <row r="935" spans="1:29" ht="12.75">
      <c r="A935" s="197"/>
      <c r="B935" s="2"/>
      <c r="C935" s="52"/>
      <c r="D935" s="52"/>
      <c r="E935" s="52"/>
      <c r="F935" s="2"/>
      <c r="G935" s="2"/>
      <c r="H935" s="2"/>
      <c r="I935" s="2"/>
      <c r="J935" s="52"/>
      <c r="K935" s="2"/>
      <c r="L935" s="2"/>
      <c r="M935" s="2"/>
      <c r="N935" s="2"/>
      <c r="O935" s="52"/>
      <c r="P935" s="52"/>
      <c r="Q935" s="52"/>
      <c r="R935" s="52"/>
      <c r="S935" s="52"/>
      <c r="T935" s="52"/>
      <c r="U935" s="52"/>
      <c r="V935" s="52"/>
      <c r="W935" s="52"/>
      <c r="X935" s="52"/>
      <c r="Y935" s="52"/>
      <c r="Z935" s="52"/>
      <c r="AA935" s="52"/>
      <c r="AB935" s="52"/>
      <c r="AC935" s="52"/>
    </row>
    <row r="936" spans="1:29" ht="12.75">
      <c r="A936" s="197"/>
      <c r="B936" s="2"/>
      <c r="C936" s="52"/>
      <c r="D936" s="52"/>
      <c r="E936" s="52"/>
      <c r="F936" s="2"/>
      <c r="G936" s="2"/>
      <c r="H936" s="2"/>
      <c r="I936" s="2"/>
      <c r="J936" s="52"/>
      <c r="K936" s="2"/>
      <c r="L936" s="2"/>
      <c r="M936" s="2"/>
      <c r="N936" s="2"/>
      <c r="O936" s="52"/>
      <c r="P936" s="52"/>
      <c r="Q936" s="52"/>
      <c r="R936" s="52"/>
      <c r="S936" s="52"/>
      <c r="T936" s="52"/>
      <c r="U936" s="52"/>
      <c r="V936" s="52"/>
      <c r="W936" s="52"/>
      <c r="X936" s="52"/>
      <c r="Y936" s="52"/>
      <c r="Z936" s="52"/>
      <c r="AA936" s="52"/>
      <c r="AB936" s="52"/>
      <c r="AC936" s="52"/>
    </row>
    <row r="937" spans="1:29" ht="12.75">
      <c r="A937" s="197"/>
      <c r="B937" s="2"/>
      <c r="C937" s="52"/>
      <c r="D937" s="52"/>
      <c r="E937" s="52"/>
      <c r="F937" s="2"/>
      <c r="G937" s="2"/>
      <c r="H937" s="2"/>
      <c r="I937" s="2"/>
      <c r="J937" s="52"/>
      <c r="K937" s="2"/>
      <c r="L937" s="2"/>
      <c r="M937" s="2"/>
      <c r="N937" s="2"/>
      <c r="O937" s="52"/>
      <c r="P937" s="52"/>
      <c r="Q937" s="52"/>
      <c r="R937" s="52"/>
      <c r="S937" s="52"/>
      <c r="T937" s="52"/>
      <c r="U937" s="52"/>
      <c r="V937" s="52"/>
      <c r="W937" s="52"/>
      <c r="X937" s="52"/>
      <c r="Y937" s="52"/>
      <c r="Z937" s="52"/>
      <c r="AA937" s="52"/>
      <c r="AB937" s="52"/>
      <c r="AC937" s="52"/>
    </row>
    <row r="938" spans="1:29" ht="12.75">
      <c r="A938" s="197"/>
      <c r="B938" s="2"/>
      <c r="C938" s="52"/>
      <c r="D938" s="52"/>
      <c r="E938" s="52"/>
      <c r="F938" s="2"/>
      <c r="G938" s="2"/>
      <c r="H938" s="2"/>
      <c r="I938" s="2"/>
      <c r="J938" s="52"/>
      <c r="K938" s="2"/>
      <c r="L938" s="2"/>
      <c r="M938" s="2"/>
      <c r="N938" s="2"/>
      <c r="O938" s="52"/>
      <c r="P938" s="52"/>
      <c r="Q938" s="52"/>
      <c r="R938" s="52"/>
      <c r="S938" s="52"/>
      <c r="T938" s="52"/>
      <c r="U938" s="52"/>
      <c r="V938" s="52"/>
      <c r="W938" s="52"/>
      <c r="X938" s="52"/>
      <c r="Y938" s="52"/>
      <c r="Z938" s="52"/>
      <c r="AA938" s="52"/>
      <c r="AB938" s="52"/>
      <c r="AC938" s="52"/>
    </row>
    <row r="939" spans="1:29" ht="12.75">
      <c r="A939" s="197"/>
      <c r="B939" s="2"/>
      <c r="C939" s="52"/>
      <c r="D939" s="52"/>
      <c r="E939" s="52"/>
      <c r="F939" s="2"/>
      <c r="G939" s="2"/>
      <c r="H939" s="2"/>
      <c r="I939" s="2"/>
      <c r="J939" s="52"/>
      <c r="K939" s="2"/>
      <c r="L939" s="2"/>
      <c r="M939" s="2"/>
      <c r="N939" s="2"/>
      <c r="O939" s="52"/>
      <c r="P939" s="52"/>
      <c r="Q939" s="52"/>
      <c r="R939" s="52"/>
      <c r="S939" s="52"/>
      <c r="T939" s="52"/>
      <c r="U939" s="52"/>
      <c r="V939" s="52"/>
      <c r="W939" s="52"/>
      <c r="X939" s="52"/>
      <c r="Y939" s="52"/>
      <c r="Z939" s="52"/>
      <c r="AA939" s="52"/>
      <c r="AB939" s="52"/>
      <c r="AC939" s="52"/>
    </row>
    <row r="940" spans="1:29" ht="12.75">
      <c r="A940" s="197"/>
      <c r="B940" s="2"/>
      <c r="C940" s="52"/>
      <c r="D940" s="52"/>
      <c r="E940" s="52"/>
      <c r="F940" s="2"/>
      <c r="G940" s="2"/>
      <c r="H940" s="2"/>
      <c r="I940" s="2"/>
      <c r="J940" s="52"/>
      <c r="K940" s="2"/>
      <c r="L940" s="2"/>
      <c r="M940" s="2"/>
      <c r="N940" s="2"/>
      <c r="O940" s="52"/>
      <c r="P940" s="52"/>
      <c r="Q940" s="52"/>
      <c r="R940" s="52"/>
      <c r="S940" s="52"/>
      <c r="T940" s="52"/>
      <c r="U940" s="52"/>
      <c r="V940" s="52"/>
      <c r="W940" s="52"/>
      <c r="X940" s="52"/>
      <c r="Y940" s="52"/>
      <c r="Z940" s="52"/>
      <c r="AA940" s="52"/>
      <c r="AB940" s="52"/>
      <c r="AC940" s="52"/>
    </row>
    <row r="941" spans="1:29" ht="12.75">
      <c r="A941" s="197"/>
      <c r="B941" s="2"/>
      <c r="C941" s="52"/>
      <c r="D941" s="52"/>
      <c r="E941" s="52"/>
      <c r="F941" s="2"/>
      <c r="G941" s="2"/>
      <c r="H941" s="2"/>
      <c r="I941" s="2"/>
      <c r="J941" s="52"/>
      <c r="K941" s="2"/>
      <c r="L941" s="2"/>
      <c r="M941" s="2"/>
      <c r="N941" s="2"/>
      <c r="O941" s="52"/>
      <c r="P941" s="52"/>
      <c r="Q941" s="52"/>
      <c r="R941" s="52"/>
      <c r="S941" s="52"/>
      <c r="T941" s="52"/>
      <c r="U941" s="52"/>
      <c r="V941" s="52"/>
      <c r="W941" s="52"/>
      <c r="X941" s="52"/>
      <c r="Y941" s="52"/>
      <c r="Z941" s="52"/>
      <c r="AA941" s="52"/>
      <c r="AB941" s="52"/>
      <c r="AC941" s="52"/>
    </row>
    <row r="942" spans="1:29" ht="12.75">
      <c r="A942" s="197"/>
      <c r="B942" s="2"/>
      <c r="C942" s="52"/>
      <c r="D942" s="52"/>
      <c r="E942" s="52"/>
      <c r="F942" s="2"/>
      <c r="G942" s="2"/>
      <c r="H942" s="2"/>
      <c r="I942" s="2"/>
      <c r="J942" s="52"/>
      <c r="K942" s="2"/>
      <c r="L942" s="2"/>
      <c r="M942" s="2"/>
      <c r="N942" s="2"/>
      <c r="O942" s="52"/>
      <c r="P942" s="52"/>
      <c r="Q942" s="52"/>
      <c r="R942" s="52"/>
      <c r="S942" s="52"/>
      <c r="T942" s="52"/>
      <c r="U942" s="52"/>
      <c r="V942" s="52"/>
      <c r="W942" s="52"/>
      <c r="X942" s="52"/>
      <c r="Y942" s="52"/>
      <c r="Z942" s="52"/>
      <c r="AA942" s="52"/>
      <c r="AB942" s="52"/>
      <c r="AC942" s="52"/>
    </row>
    <row r="943" spans="1:29" ht="12.75">
      <c r="A943" s="197"/>
      <c r="B943" s="2"/>
      <c r="C943" s="52"/>
      <c r="D943" s="52"/>
      <c r="E943" s="52"/>
      <c r="F943" s="2"/>
      <c r="G943" s="2"/>
      <c r="H943" s="2"/>
      <c r="I943" s="2"/>
      <c r="J943" s="52"/>
      <c r="K943" s="2"/>
      <c r="L943" s="2"/>
      <c r="M943" s="2"/>
      <c r="N943" s="2"/>
      <c r="O943" s="52"/>
      <c r="P943" s="52"/>
      <c r="Q943" s="52"/>
      <c r="R943" s="52"/>
      <c r="S943" s="52"/>
      <c r="T943" s="52"/>
      <c r="U943" s="52"/>
      <c r="V943" s="52"/>
      <c r="W943" s="52"/>
      <c r="X943" s="52"/>
      <c r="Y943" s="52"/>
      <c r="Z943" s="52"/>
      <c r="AA943" s="52"/>
      <c r="AB943" s="52"/>
      <c r="AC943" s="52"/>
    </row>
    <row r="944" spans="1:29" ht="12.75">
      <c r="A944" s="197"/>
      <c r="B944" s="2"/>
      <c r="C944" s="52"/>
      <c r="D944" s="52"/>
      <c r="E944" s="52"/>
      <c r="F944" s="2"/>
      <c r="G944" s="2"/>
      <c r="H944" s="2"/>
      <c r="I944" s="2"/>
      <c r="J944" s="52"/>
      <c r="K944" s="2"/>
      <c r="L944" s="2"/>
      <c r="M944" s="2"/>
      <c r="N944" s="2"/>
      <c r="O944" s="52"/>
      <c r="P944" s="52"/>
      <c r="Q944" s="52"/>
      <c r="R944" s="52"/>
      <c r="S944" s="52"/>
      <c r="T944" s="52"/>
      <c r="U944" s="52"/>
      <c r="V944" s="52"/>
      <c r="W944" s="52"/>
      <c r="X944" s="52"/>
      <c r="Y944" s="52"/>
      <c r="Z944" s="52"/>
      <c r="AA944" s="52"/>
      <c r="AB944" s="52"/>
      <c r="AC944" s="52"/>
    </row>
    <row r="945" spans="1:29" ht="12.75">
      <c r="A945" s="197"/>
      <c r="B945" s="2"/>
      <c r="C945" s="52"/>
      <c r="D945" s="52"/>
      <c r="E945" s="52"/>
      <c r="F945" s="2"/>
      <c r="G945" s="2"/>
      <c r="H945" s="2"/>
      <c r="I945" s="2"/>
      <c r="J945" s="52"/>
      <c r="K945" s="2"/>
      <c r="L945" s="2"/>
      <c r="M945" s="2"/>
      <c r="N945" s="2"/>
      <c r="O945" s="52"/>
      <c r="P945" s="52"/>
      <c r="Q945" s="52"/>
      <c r="R945" s="52"/>
      <c r="S945" s="52"/>
      <c r="T945" s="52"/>
      <c r="U945" s="52"/>
      <c r="V945" s="52"/>
      <c r="W945" s="52"/>
      <c r="X945" s="52"/>
      <c r="Y945" s="52"/>
      <c r="Z945" s="52"/>
      <c r="AA945" s="52"/>
      <c r="AB945" s="52"/>
      <c r="AC945" s="52"/>
    </row>
    <row r="946" spans="1:29" ht="12.75">
      <c r="A946" s="197"/>
      <c r="B946" s="2"/>
      <c r="C946" s="52"/>
      <c r="D946" s="52"/>
      <c r="E946" s="52"/>
      <c r="F946" s="2"/>
      <c r="G946" s="2"/>
      <c r="H946" s="2"/>
      <c r="I946" s="2"/>
      <c r="J946" s="52"/>
      <c r="K946" s="2"/>
      <c r="L946" s="2"/>
      <c r="M946" s="2"/>
      <c r="N946" s="2"/>
      <c r="O946" s="52"/>
      <c r="P946" s="52"/>
      <c r="Q946" s="52"/>
      <c r="R946" s="52"/>
      <c r="S946" s="52"/>
      <c r="T946" s="52"/>
      <c r="U946" s="52"/>
      <c r="V946" s="52"/>
      <c r="W946" s="52"/>
      <c r="X946" s="52"/>
      <c r="Y946" s="52"/>
      <c r="Z946" s="52"/>
      <c r="AA946" s="52"/>
      <c r="AB946" s="52"/>
      <c r="AC946" s="52"/>
    </row>
    <row r="947" spans="1:29" ht="12.75">
      <c r="A947" s="197"/>
      <c r="B947" s="2"/>
      <c r="C947" s="52"/>
      <c r="D947" s="52"/>
      <c r="E947" s="52"/>
      <c r="F947" s="2"/>
      <c r="G947" s="2"/>
      <c r="H947" s="2"/>
      <c r="I947" s="2"/>
      <c r="J947" s="52"/>
      <c r="K947" s="2"/>
      <c r="L947" s="2"/>
      <c r="M947" s="2"/>
      <c r="N947" s="2"/>
      <c r="O947" s="52"/>
      <c r="P947" s="52"/>
      <c r="Q947" s="52"/>
      <c r="R947" s="52"/>
      <c r="S947" s="52"/>
      <c r="T947" s="52"/>
      <c r="U947" s="52"/>
      <c r="V947" s="52"/>
      <c r="W947" s="52"/>
      <c r="X947" s="52"/>
      <c r="Y947" s="52"/>
      <c r="Z947" s="52"/>
      <c r="AA947" s="52"/>
      <c r="AB947" s="52"/>
      <c r="AC947" s="52"/>
    </row>
    <row r="948" spans="1:29" ht="12.75">
      <c r="A948" s="197"/>
      <c r="B948" s="2"/>
      <c r="C948" s="52"/>
      <c r="D948" s="52"/>
      <c r="E948" s="52"/>
      <c r="F948" s="2"/>
      <c r="G948" s="2"/>
      <c r="H948" s="2"/>
      <c r="I948" s="2"/>
      <c r="J948" s="52"/>
      <c r="K948" s="2"/>
      <c r="L948" s="2"/>
      <c r="M948" s="2"/>
      <c r="N948" s="2"/>
      <c r="O948" s="52"/>
      <c r="P948" s="52"/>
      <c r="Q948" s="52"/>
      <c r="R948" s="52"/>
      <c r="S948" s="52"/>
      <c r="T948" s="52"/>
      <c r="U948" s="52"/>
      <c r="V948" s="52"/>
      <c r="W948" s="52"/>
      <c r="X948" s="52"/>
      <c r="Y948" s="52"/>
      <c r="Z948" s="52"/>
      <c r="AA948" s="52"/>
      <c r="AB948" s="52"/>
      <c r="AC948" s="52"/>
    </row>
    <row r="949" spans="1:29" ht="12.75">
      <c r="A949" s="197"/>
      <c r="B949" s="2"/>
      <c r="C949" s="52"/>
      <c r="D949" s="52"/>
      <c r="E949" s="52"/>
      <c r="F949" s="2"/>
      <c r="G949" s="2"/>
      <c r="H949" s="2"/>
      <c r="I949" s="2"/>
      <c r="J949" s="52"/>
      <c r="K949" s="2"/>
      <c r="L949" s="2"/>
      <c r="M949" s="2"/>
      <c r="N949" s="2"/>
      <c r="O949" s="52"/>
      <c r="P949" s="52"/>
      <c r="Q949" s="52"/>
      <c r="R949" s="52"/>
      <c r="S949" s="52"/>
      <c r="T949" s="52"/>
      <c r="U949" s="52"/>
      <c r="V949" s="52"/>
      <c r="W949" s="52"/>
      <c r="X949" s="52"/>
      <c r="Y949" s="52"/>
      <c r="Z949" s="52"/>
      <c r="AA949" s="52"/>
      <c r="AB949" s="52"/>
      <c r="AC949" s="52"/>
    </row>
    <row r="950" spans="1:29" ht="12.75">
      <c r="A950" s="197"/>
      <c r="B950" s="2"/>
      <c r="C950" s="52"/>
      <c r="D950" s="52"/>
      <c r="E950" s="52"/>
      <c r="F950" s="2"/>
      <c r="G950" s="2"/>
      <c r="H950" s="2"/>
      <c r="I950" s="2"/>
      <c r="J950" s="52"/>
      <c r="K950" s="2"/>
      <c r="L950" s="2"/>
      <c r="M950" s="2"/>
      <c r="N950" s="2"/>
      <c r="O950" s="52"/>
      <c r="P950" s="52"/>
      <c r="Q950" s="52"/>
      <c r="R950" s="52"/>
      <c r="S950" s="52"/>
      <c r="T950" s="52"/>
      <c r="U950" s="52"/>
      <c r="V950" s="52"/>
      <c r="W950" s="52"/>
      <c r="X950" s="52"/>
      <c r="Y950" s="52"/>
      <c r="Z950" s="52"/>
      <c r="AA950" s="52"/>
      <c r="AB950" s="52"/>
      <c r="AC950" s="52"/>
    </row>
    <row r="951" spans="1:29" ht="12.75">
      <c r="A951" s="197"/>
      <c r="B951" s="2"/>
      <c r="C951" s="52"/>
      <c r="D951" s="52"/>
      <c r="E951" s="52"/>
      <c r="F951" s="2"/>
      <c r="G951" s="2"/>
      <c r="H951" s="2"/>
      <c r="I951" s="2"/>
      <c r="J951" s="52"/>
      <c r="K951" s="2"/>
      <c r="L951" s="2"/>
      <c r="M951" s="2"/>
      <c r="N951" s="2"/>
      <c r="O951" s="52"/>
      <c r="P951" s="52"/>
      <c r="Q951" s="52"/>
      <c r="R951" s="52"/>
      <c r="S951" s="52"/>
      <c r="T951" s="52"/>
      <c r="U951" s="52"/>
      <c r="V951" s="52"/>
      <c r="W951" s="52"/>
      <c r="X951" s="52"/>
      <c r="Y951" s="52"/>
      <c r="Z951" s="52"/>
      <c r="AA951" s="52"/>
      <c r="AB951" s="52"/>
      <c r="AC951" s="52"/>
    </row>
    <row r="952" spans="1:29" ht="12.75">
      <c r="A952" s="197"/>
      <c r="B952" s="2"/>
      <c r="C952" s="52"/>
      <c r="D952" s="52"/>
      <c r="E952" s="52"/>
      <c r="F952" s="2"/>
      <c r="G952" s="2"/>
      <c r="H952" s="2"/>
      <c r="I952" s="2"/>
      <c r="J952" s="52"/>
      <c r="K952" s="2"/>
      <c r="L952" s="2"/>
      <c r="M952" s="2"/>
      <c r="N952" s="2"/>
      <c r="O952" s="52"/>
      <c r="P952" s="52"/>
      <c r="Q952" s="52"/>
      <c r="R952" s="52"/>
      <c r="S952" s="52"/>
      <c r="T952" s="52"/>
      <c r="U952" s="52"/>
      <c r="V952" s="52"/>
      <c r="W952" s="52"/>
      <c r="X952" s="52"/>
      <c r="Y952" s="52"/>
      <c r="Z952" s="52"/>
      <c r="AA952" s="52"/>
      <c r="AB952" s="52"/>
      <c r="AC952" s="52"/>
    </row>
    <row r="953" spans="1:29" ht="12.75">
      <c r="A953" s="197"/>
      <c r="B953" s="2"/>
      <c r="C953" s="52"/>
      <c r="D953" s="52"/>
      <c r="E953" s="52"/>
      <c r="F953" s="2"/>
      <c r="G953" s="2"/>
      <c r="H953" s="2"/>
      <c r="I953" s="2"/>
      <c r="J953" s="52"/>
      <c r="K953" s="2"/>
      <c r="L953" s="2"/>
      <c r="M953" s="2"/>
      <c r="N953" s="2"/>
      <c r="O953" s="52"/>
      <c r="P953" s="52"/>
      <c r="Q953" s="52"/>
      <c r="R953" s="52"/>
      <c r="S953" s="52"/>
      <c r="T953" s="52"/>
      <c r="U953" s="52"/>
      <c r="V953" s="52"/>
      <c r="W953" s="52"/>
      <c r="X953" s="52"/>
      <c r="Y953" s="52"/>
      <c r="Z953" s="52"/>
      <c r="AA953" s="52"/>
      <c r="AB953" s="52"/>
      <c r="AC953" s="52"/>
    </row>
    <row r="954" spans="1:29" ht="12.75">
      <c r="A954" s="197"/>
      <c r="B954" s="2"/>
      <c r="C954" s="52"/>
      <c r="D954" s="52"/>
      <c r="E954" s="52"/>
      <c r="F954" s="2"/>
      <c r="G954" s="2"/>
      <c r="H954" s="2"/>
      <c r="I954" s="2"/>
      <c r="J954" s="52"/>
      <c r="K954" s="2"/>
      <c r="L954" s="2"/>
      <c r="M954" s="2"/>
      <c r="N954" s="2"/>
      <c r="O954" s="52"/>
      <c r="P954" s="52"/>
      <c r="Q954" s="52"/>
      <c r="R954" s="52"/>
      <c r="S954" s="52"/>
      <c r="T954" s="52"/>
      <c r="U954" s="52"/>
      <c r="V954" s="52"/>
      <c r="W954" s="52"/>
      <c r="X954" s="52"/>
      <c r="Y954" s="52"/>
      <c r="Z954" s="52"/>
      <c r="AA954" s="52"/>
      <c r="AB954" s="52"/>
      <c r="AC954" s="52"/>
    </row>
    <row r="955" spans="1:29" ht="12.75">
      <c r="A955" s="197"/>
      <c r="B955" s="2"/>
      <c r="C955" s="52"/>
      <c r="D955" s="52"/>
      <c r="E955" s="52"/>
      <c r="F955" s="2"/>
      <c r="G955" s="2"/>
      <c r="H955" s="2"/>
      <c r="I955" s="2"/>
      <c r="J955" s="52"/>
      <c r="K955" s="2"/>
      <c r="L955" s="2"/>
      <c r="M955" s="2"/>
      <c r="N955" s="2"/>
      <c r="O955" s="52"/>
      <c r="P955" s="52"/>
      <c r="Q955" s="52"/>
      <c r="R955" s="52"/>
      <c r="S955" s="52"/>
      <c r="T955" s="52"/>
      <c r="U955" s="52"/>
      <c r="V955" s="52"/>
      <c r="W955" s="52"/>
      <c r="X955" s="52"/>
      <c r="Y955" s="52"/>
      <c r="Z955" s="52"/>
      <c r="AA955" s="52"/>
      <c r="AB955" s="52"/>
      <c r="AC955" s="52"/>
    </row>
    <row r="956" spans="1:29" ht="12.75">
      <c r="A956" s="197"/>
      <c r="B956" s="2"/>
      <c r="C956" s="52"/>
      <c r="D956" s="52"/>
      <c r="E956" s="52"/>
      <c r="F956" s="2"/>
      <c r="G956" s="2"/>
      <c r="H956" s="2"/>
      <c r="I956" s="2"/>
      <c r="J956" s="52"/>
      <c r="K956" s="2"/>
      <c r="L956" s="2"/>
      <c r="M956" s="2"/>
      <c r="N956" s="2"/>
      <c r="O956" s="52"/>
      <c r="P956" s="52"/>
      <c r="Q956" s="52"/>
      <c r="R956" s="52"/>
      <c r="S956" s="52"/>
      <c r="T956" s="52"/>
      <c r="U956" s="52"/>
      <c r="V956" s="52"/>
      <c r="W956" s="52"/>
      <c r="X956" s="52"/>
      <c r="Y956" s="52"/>
      <c r="Z956" s="52"/>
      <c r="AA956" s="52"/>
      <c r="AB956" s="52"/>
      <c r="AC956" s="52"/>
    </row>
    <row r="957" spans="1:29" ht="12.75">
      <c r="A957" s="197"/>
      <c r="B957" s="2"/>
      <c r="C957" s="52"/>
      <c r="D957" s="52"/>
      <c r="E957" s="52"/>
      <c r="F957" s="2"/>
      <c r="G957" s="2"/>
      <c r="H957" s="2"/>
      <c r="I957" s="2"/>
      <c r="J957" s="52"/>
      <c r="K957" s="2"/>
      <c r="L957" s="2"/>
      <c r="M957" s="2"/>
      <c r="N957" s="2"/>
      <c r="O957" s="52"/>
      <c r="P957" s="52"/>
      <c r="Q957" s="52"/>
      <c r="R957" s="52"/>
      <c r="S957" s="52"/>
      <c r="T957" s="52"/>
      <c r="U957" s="52"/>
      <c r="V957" s="52"/>
      <c r="W957" s="52"/>
      <c r="X957" s="52"/>
      <c r="Y957" s="52"/>
      <c r="Z957" s="52"/>
      <c r="AA957" s="52"/>
      <c r="AB957" s="52"/>
      <c r="AC957" s="52"/>
    </row>
    <row r="958" spans="1:29" ht="12.75">
      <c r="A958" s="197"/>
      <c r="B958" s="2"/>
      <c r="C958" s="52"/>
      <c r="D958" s="52"/>
      <c r="E958" s="52"/>
      <c r="F958" s="2"/>
      <c r="G958" s="2"/>
      <c r="H958" s="2"/>
      <c r="I958" s="2"/>
      <c r="J958" s="52"/>
      <c r="K958" s="2"/>
      <c r="L958" s="2"/>
      <c r="M958" s="2"/>
      <c r="N958" s="2"/>
      <c r="O958" s="52"/>
      <c r="P958" s="52"/>
      <c r="Q958" s="52"/>
      <c r="R958" s="52"/>
      <c r="S958" s="52"/>
      <c r="T958" s="52"/>
      <c r="U958" s="52"/>
      <c r="V958" s="52"/>
      <c r="W958" s="52"/>
      <c r="X958" s="52"/>
      <c r="Y958" s="52"/>
      <c r="Z958" s="52"/>
      <c r="AA958" s="52"/>
      <c r="AB958" s="52"/>
      <c r="AC958" s="52"/>
    </row>
    <row r="959" spans="1:29" ht="12.75">
      <c r="A959" s="197"/>
      <c r="B959" s="2"/>
      <c r="C959" s="52"/>
      <c r="D959" s="52"/>
      <c r="E959" s="52"/>
      <c r="F959" s="2"/>
      <c r="G959" s="2"/>
      <c r="H959" s="2"/>
      <c r="I959" s="2"/>
      <c r="J959" s="52"/>
      <c r="K959" s="2"/>
      <c r="L959" s="2"/>
      <c r="M959" s="2"/>
      <c r="N959" s="2"/>
      <c r="O959" s="52"/>
      <c r="P959" s="52"/>
      <c r="Q959" s="52"/>
      <c r="R959" s="52"/>
      <c r="S959" s="52"/>
      <c r="T959" s="52"/>
      <c r="U959" s="52"/>
      <c r="V959" s="52"/>
      <c r="W959" s="52"/>
      <c r="X959" s="52"/>
      <c r="Y959" s="52"/>
      <c r="Z959" s="52"/>
      <c r="AA959" s="52"/>
      <c r="AB959" s="52"/>
      <c r="AC959" s="52"/>
    </row>
    <row r="960" spans="1:29" ht="12.75">
      <c r="A960" s="197"/>
      <c r="B960" s="2"/>
      <c r="C960" s="52"/>
      <c r="D960" s="52"/>
      <c r="E960" s="52"/>
      <c r="F960" s="2"/>
      <c r="G960" s="2"/>
      <c r="H960" s="2"/>
      <c r="I960" s="2"/>
      <c r="J960" s="52"/>
      <c r="K960" s="2"/>
      <c r="L960" s="2"/>
      <c r="M960" s="2"/>
      <c r="N960" s="2"/>
      <c r="O960" s="52"/>
      <c r="P960" s="52"/>
      <c r="Q960" s="52"/>
      <c r="R960" s="52"/>
      <c r="S960" s="52"/>
      <c r="T960" s="52"/>
      <c r="U960" s="52"/>
      <c r="V960" s="52"/>
      <c r="W960" s="52"/>
      <c r="X960" s="52"/>
      <c r="Y960" s="52"/>
      <c r="Z960" s="52"/>
      <c r="AA960" s="52"/>
      <c r="AB960" s="52"/>
      <c r="AC960" s="52"/>
    </row>
    <row r="961" spans="1:29" ht="12.75">
      <c r="A961" s="197"/>
      <c r="B961" s="2"/>
      <c r="C961" s="52"/>
      <c r="D961" s="52"/>
      <c r="E961" s="52"/>
      <c r="F961" s="2"/>
      <c r="G961" s="2"/>
      <c r="H961" s="2"/>
      <c r="I961" s="2"/>
      <c r="J961" s="52"/>
      <c r="K961" s="2"/>
      <c r="L961" s="2"/>
      <c r="M961" s="2"/>
      <c r="N961" s="2"/>
      <c r="O961" s="52"/>
      <c r="P961" s="52"/>
      <c r="Q961" s="52"/>
      <c r="R961" s="52"/>
      <c r="S961" s="52"/>
      <c r="T961" s="52"/>
      <c r="U961" s="52"/>
      <c r="V961" s="52"/>
      <c r="W961" s="52"/>
      <c r="X961" s="52"/>
      <c r="Y961" s="52"/>
      <c r="Z961" s="52"/>
      <c r="AA961" s="52"/>
      <c r="AB961" s="52"/>
      <c r="AC961" s="52"/>
    </row>
    <row r="962" spans="1:29" ht="12.75">
      <c r="A962" s="197"/>
      <c r="B962" s="2"/>
      <c r="C962" s="52"/>
      <c r="D962" s="52"/>
      <c r="E962" s="52"/>
      <c r="F962" s="2"/>
      <c r="G962" s="2"/>
      <c r="H962" s="2"/>
      <c r="I962" s="2"/>
      <c r="J962" s="52"/>
      <c r="K962" s="2"/>
      <c r="L962" s="2"/>
      <c r="M962" s="2"/>
      <c r="N962" s="2"/>
      <c r="O962" s="52"/>
      <c r="P962" s="52"/>
      <c r="Q962" s="52"/>
      <c r="R962" s="52"/>
      <c r="S962" s="52"/>
      <c r="T962" s="52"/>
      <c r="U962" s="52"/>
      <c r="V962" s="52"/>
      <c r="W962" s="52"/>
      <c r="X962" s="52"/>
      <c r="Y962" s="52"/>
      <c r="Z962" s="52"/>
      <c r="AA962" s="52"/>
      <c r="AB962" s="52"/>
      <c r="AC962" s="52"/>
    </row>
    <row r="963" spans="1:29" ht="12.75">
      <c r="A963" s="197"/>
      <c r="B963" s="2"/>
      <c r="C963" s="52"/>
      <c r="D963" s="52"/>
      <c r="E963" s="52"/>
      <c r="F963" s="2"/>
      <c r="G963" s="2"/>
      <c r="H963" s="2"/>
      <c r="I963" s="2"/>
      <c r="J963" s="52"/>
      <c r="K963" s="2"/>
      <c r="L963" s="2"/>
      <c r="M963" s="2"/>
      <c r="N963" s="2"/>
      <c r="O963" s="52"/>
      <c r="P963" s="52"/>
      <c r="Q963" s="52"/>
      <c r="R963" s="52"/>
      <c r="S963" s="52"/>
      <c r="T963" s="52"/>
      <c r="U963" s="52"/>
      <c r="V963" s="52"/>
      <c r="W963" s="52"/>
      <c r="X963" s="52"/>
      <c r="Y963" s="52"/>
      <c r="Z963" s="52"/>
      <c r="AA963" s="52"/>
      <c r="AB963" s="52"/>
      <c r="AC963" s="52"/>
    </row>
    <row r="964" spans="1:29" ht="12.75">
      <c r="A964" s="197"/>
      <c r="B964" s="2"/>
      <c r="C964" s="52"/>
      <c r="D964" s="52"/>
      <c r="E964" s="52"/>
      <c r="F964" s="2"/>
      <c r="G964" s="2"/>
      <c r="H964" s="2"/>
      <c r="I964" s="2"/>
      <c r="J964" s="52"/>
      <c r="K964" s="2"/>
      <c r="L964" s="2"/>
      <c r="M964" s="2"/>
      <c r="N964" s="2"/>
      <c r="O964" s="52"/>
      <c r="P964" s="52"/>
      <c r="Q964" s="52"/>
      <c r="R964" s="52"/>
      <c r="S964" s="52"/>
      <c r="T964" s="52"/>
      <c r="U964" s="52"/>
      <c r="V964" s="52"/>
      <c r="W964" s="52"/>
      <c r="X964" s="52"/>
      <c r="Y964" s="52"/>
      <c r="Z964" s="52"/>
      <c r="AA964" s="52"/>
      <c r="AB964" s="52"/>
      <c r="AC964" s="52"/>
    </row>
    <row r="965" spans="1:29" ht="12.75">
      <c r="A965" s="197"/>
      <c r="B965" s="2"/>
      <c r="C965" s="52"/>
      <c r="D965" s="52"/>
      <c r="E965" s="52"/>
      <c r="F965" s="2"/>
      <c r="G965" s="2"/>
      <c r="H965" s="2"/>
      <c r="I965" s="2"/>
      <c r="J965" s="52"/>
      <c r="K965" s="2"/>
      <c r="L965" s="2"/>
      <c r="M965" s="2"/>
      <c r="N965" s="2"/>
      <c r="O965" s="52"/>
      <c r="P965" s="52"/>
      <c r="Q965" s="52"/>
      <c r="R965" s="52"/>
      <c r="S965" s="52"/>
      <c r="T965" s="52"/>
      <c r="U965" s="52"/>
      <c r="V965" s="52"/>
      <c r="W965" s="52"/>
      <c r="X965" s="52"/>
      <c r="Y965" s="52"/>
      <c r="Z965" s="52"/>
      <c r="AA965" s="52"/>
      <c r="AB965" s="52"/>
      <c r="AC965" s="52"/>
    </row>
    <row r="966" spans="1:29" ht="12.75">
      <c r="A966" s="197"/>
      <c r="B966" s="2"/>
      <c r="C966" s="52"/>
      <c r="D966" s="52"/>
      <c r="E966" s="52"/>
      <c r="F966" s="2"/>
      <c r="G966" s="2"/>
      <c r="H966" s="2"/>
      <c r="I966" s="2"/>
      <c r="J966" s="52"/>
      <c r="K966" s="2"/>
      <c r="L966" s="2"/>
      <c r="M966" s="2"/>
      <c r="N966" s="2"/>
      <c r="O966" s="52"/>
      <c r="P966" s="52"/>
      <c r="Q966" s="52"/>
      <c r="R966" s="52"/>
      <c r="S966" s="52"/>
      <c r="T966" s="52"/>
      <c r="U966" s="52"/>
      <c r="V966" s="52"/>
      <c r="W966" s="52"/>
      <c r="X966" s="52"/>
      <c r="Y966" s="52"/>
      <c r="Z966" s="52"/>
      <c r="AA966" s="52"/>
      <c r="AB966" s="52"/>
      <c r="AC966" s="52"/>
    </row>
    <row r="967" spans="1:29" ht="12.75">
      <c r="A967" s="197"/>
      <c r="B967" s="2"/>
      <c r="C967" s="52"/>
      <c r="D967" s="52"/>
      <c r="E967" s="52"/>
      <c r="F967" s="2"/>
      <c r="G967" s="2"/>
      <c r="H967" s="2"/>
      <c r="I967" s="2"/>
      <c r="J967" s="52"/>
      <c r="K967" s="2"/>
      <c r="L967" s="2"/>
      <c r="M967" s="2"/>
      <c r="N967" s="2"/>
      <c r="O967" s="52"/>
      <c r="P967" s="52"/>
      <c r="Q967" s="52"/>
      <c r="R967" s="52"/>
      <c r="S967" s="52"/>
      <c r="T967" s="52"/>
      <c r="U967" s="52"/>
      <c r="V967" s="52"/>
      <c r="W967" s="52"/>
      <c r="X967" s="52"/>
      <c r="Y967" s="52"/>
      <c r="Z967" s="52"/>
      <c r="AA967" s="52"/>
      <c r="AB967" s="52"/>
      <c r="AC967" s="52"/>
    </row>
    <row r="968" spans="1:29" ht="12.75">
      <c r="A968" s="197"/>
      <c r="B968" s="2"/>
      <c r="C968" s="52"/>
      <c r="D968" s="52"/>
      <c r="E968" s="52"/>
      <c r="F968" s="2"/>
      <c r="G968" s="2"/>
      <c r="H968" s="2"/>
      <c r="I968" s="2"/>
      <c r="J968" s="52"/>
      <c r="K968" s="2"/>
      <c r="L968" s="2"/>
      <c r="M968" s="2"/>
      <c r="N968" s="2"/>
      <c r="O968" s="52"/>
      <c r="P968" s="52"/>
      <c r="Q968" s="52"/>
      <c r="R968" s="52"/>
      <c r="S968" s="52"/>
      <c r="T968" s="52"/>
      <c r="U968" s="52"/>
      <c r="V968" s="52"/>
      <c r="W968" s="52"/>
      <c r="X968" s="52"/>
      <c r="Y968" s="52"/>
      <c r="Z968" s="52"/>
      <c r="AA968" s="52"/>
      <c r="AB968" s="52"/>
      <c r="AC968" s="52"/>
    </row>
    <row r="969" spans="1:29" ht="12.75">
      <c r="A969" s="197"/>
      <c r="B969" s="2"/>
      <c r="C969" s="52"/>
      <c r="D969" s="52"/>
      <c r="E969" s="52"/>
      <c r="F969" s="2"/>
      <c r="G969" s="2"/>
      <c r="H969" s="2"/>
      <c r="I969" s="2"/>
      <c r="J969" s="52"/>
      <c r="K969" s="2"/>
      <c r="L969" s="2"/>
      <c r="M969" s="2"/>
      <c r="N969" s="2"/>
      <c r="O969" s="52"/>
      <c r="P969" s="52"/>
      <c r="Q969" s="52"/>
      <c r="R969" s="52"/>
      <c r="S969" s="52"/>
      <c r="T969" s="52"/>
      <c r="U969" s="52"/>
      <c r="V969" s="52"/>
      <c r="W969" s="52"/>
      <c r="X969" s="52"/>
      <c r="Y969" s="52"/>
      <c r="Z969" s="52"/>
      <c r="AA969" s="52"/>
      <c r="AB969" s="52"/>
      <c r="AC969" s="52"/>
    </row>
    <row r="970" spans="1:29" ht="12.75">
      <c r="A970" s="197"/>
      <c r="B970" s="2"/>
      <c r="C970" s="52"/>
      <c r="D970" s="52"/>
      <c r="E970" s="52"/>
      <c r="F970" s="2"/>
      <c r="G970" s="2"/>
      <c r="H970" s="2"/>
      <c r="I970" s="2"/>
      <c r="J970" s="52"/>
      <c r="K970" s="2"/>
      <c r="L970" s="2"/>
      <c r="M970" s="2"/>
      <c r="N970" s="2"/>
      <c r="O970" s="52"/>
      <c r="P970" s="52"/>
      <c r="Q970" s="52"/>
      <c r="R970" s="52"/>
      <c r="S970" s="52"/>
      <c r="T970" s="52"/>
      <c r="U970" s="52"/>
      <c r="V970" s="52"/>
      <c r="W970" s="52"/>
      <c r="X970" s="52"/>
      <c r="Y970" s="52"/>
      <c r="Z970" s="52"/>
      <c r="AA970" s="52"/>
      <c r="AB970" s="52"/>
      <c r="AC970" s="52"/>
    </row>
    <row r="971" spans="1:29" ht="12.75">
      <c r="A971" s="197"/>
      <c r="B971" s="2"/>
      <c r="C971" s="52"/>
      <c r="D971" s="52"/>
      <c r="E971" s="52"/>
      <c r="F971" s="2"/>
      <c r="G971" s="2"/>
      <c r="H971" s="2"/>
      <c r="I971" s="2"/>
      <c r="J971" s="52"/>
      <c r="K971" s="2"/>
      <c r="L971" s="2"/>
      <c r="M971" s="2"/>
      <c r="N971" s="2"/>
      <c r="O971" s="52"/>
      <c r="P971" s="52"/>
      <c r="Q971" s="52"/>
      <c r="R971" s="52"/>
      <c r="S971" s="52"/>
      <c r="T971" s="52"/>
      <c r="U971" s="52"/>
      <c r="V971" s="52"/>
      <c r="W971" s="52"/>
      <c r="X971" s="52"/>
      <c r="Y971" s="52"/>
      <c r="Z971" s="52"/>
      <c r="AA971" s="52"/>
      <c r="AB971" s="52"/>
      <c r="AC971" s="52"/>
    </row>
    <row r="972" spans="1:29" ht="12.75">
      <c r="A972" s="197"/>
      <c r="B972" s="2"/>
      <c r="C972" s="52"/>
      <c r="D972" s="52"/>
      <c r="E972" s="52"/>
      <c r="F972" s="2"/>
      <c r="G972" s="2"/>
      <c r="H972" s="2"/>
      <c r="I972" s="2"/>
      <c r="J972" s="52"/>
      <c r="K972" s="2"/>
      <c r="L972" s="2"/>
      <c r="M972" s="2"/>
      <c r="N972" s="2"/>
      <c r="O972" s="52"/>
      <c r="P972" s="52"/>
      <c r="Q972" s="52"/>
      <c r="R972" s="52"/>
      <c r="S972" s="52"/>
      <c r="T972" s="52"/>
      <c r="U972" s="52"/>
      <c r="V972" s="52"/>
      <c r="W972" s="52"/>
      <c r="X972" s="52"/>
      <c r="Y972" s="52"/>
      <c r="Z972" s="52"/>
      <c r="AA972" s="52"/>
      <c r="AB972" s="52"/>
      <c r="AC972" s="52"/>
    </row>
    <row r="973" spans="1:29" ht="12.75">
      <c r="A973" s="197"/>
      <c r="B973" s="2"/>
      <c r="C973" s="52"/>
      <c r="D973" s="52"/>
      <c r="E973" s="52"/>
      <c r="F973" s="2"/>
      <c r="G973" s="2"/>
      <c r="H973" s="2"/>
      <c r="I973" s="2"/>
      <c r="J973" s="52"/>
      <c r="K973" s="2"/>
      <c r="L973" s="2"/>
      <c r="M973" s="2"/>
      <c r="N973" s="2"/>
      <c r="O973" s="52"/>
      <c r="P973" s="52"/>
      <c r="Q973" s="52"/>
      <c r="R973" s="52"/>
      <c r="S973" s="52"/>
      <c r="T973" s="52"/>
      <c r="U973" s="52"/>
      <c r="V973" s="52"/>
      <c r="W973" s="52"/>
      <c r="X973" s="52"/>
      <c r="Y973" s="52"/>
      <c r="Z973" s="52"/>
      <c r="AA973" s="52"/>
      <c r="AB973" s="52"/>
      <c r="AC973" s="52"/>
    </row>
    <row r="974" spans="1:29" ht="12.75">
      <c r="A974" s="197"/>
      <c r="B974" s="2"/>
      <c r="C974" s="52"/>
      <c r="D974" s="52"/>
      <c r="E974" s="52"/>
      <c r="F974" s="2"/>
      <c r="G974" s="2"/>
      <c r="H974" s="2"/>
      <c r="I974" s="2"/>
      <c r="J974" s="52"/>
      <c r="K974" s="2"/>
      <c r="L974" s="2"/>
      <c r="M974" s="2"/>
      <c r="N974" s="2"/>
      <c r="O974" s="52"/>
      <c r="P974" s="52"/>
      <c r="Q974" s="52"/>
      <c r="R974" s="52"/>
      <c r="S974" s="52"/>
      <c r="T974" s="52"/>
      <c r="U974" s="52"/>
      <c r="V974" s="52"/>
      <c r="W974" s="52"/>
      <c r="X974" s="52"/>
      <c r="Y974" s="52"/>
      <c r="Z974" s="52"/>
      <c r="AA974" s="52"/>
      <c r="AB974" s="52"/>
      <c r="AC974" s="52"/>
    </row>
    <row r="975" spans="1:29" ht="12.75">
      <c r="A975" s="197"/>
      <c r="B975" s="2"/>
      <c r="C975" s="52"/>
      <c r="D975" s="52"/>
      <c r="E975" s="52"/>
      <c r="F975" s="2"/>
      <c r="G975" s="2"/>
      <c r="H975" s="2"/>
      <c r="I975" s="2"/>
      <c r="J975" s="52"/>
      <c r="K975" s="2"/>
      <c r="L975" s="2"/>
      <c r="M975" s="2"/>
      <c r="N975" s="2"/>
      <c r="O975" s="52"/>
      <c r="P975" s="52"/>
      <c r="Q975" s="52"/>
      <c r="R975" s="52"/>
      <c r="S975" s="52"/>
      <c r="T975" s="52"/>
      <c r="U975" s="52"/>
      <c r="V975" s="52"/>
      <c r="W975" s="52"/>
      <c r="X975" s="52"/>
      <c r="Y975" s="52"/>
      <c r="Z975" s="52"/>
      <c r="AA975" s="52"/>
      <c r="AB975" s="52"/>
      <c r="AC975" s="52"/>
    </row>
    <row r="976" spans="1:29" ht="12.75">
      <c r="A976" s="197"/>
      <c r="B976" s="2"/>
      <c r="C976" s="52"/>
      <c r="D976" s="52"/>
      <c r="E976" s="52"/>
      <c r="F976" s="2"/>
      <c r="G976" s="2"/>
      <c r="H976" s="2"/>
      <c r="I976" s="2"/>
      <c r="J976" s="52"/>
      <c r="K976" s="2"/>
      <c r="L976" s="2"/>
      <c r="M976" s="2"/>
      <c r="N976" s="2"/>
      <c r="O976" s="52"/>
      <c r="P976" s="52"/>
      <c r="Q976" s="52"/>
      <c r="R976" s="52"/>
      <c r="S976" s="52"/>
      <c r="T976" s="52"/>
      <c r="U976" s="52"/>
      <c r="V976" s="52"/>
      <c r="W976" s="52"/>
      <c r="X976" s="52"/>
      <c r="Y976" s="52"/>
      <c r="Z976" s="52"/>
      <c r="AA976" s="52"/>
      <c r="AB976" s="52"/>
      <c r="AC976" s="52"/>
    </row>
    <row r="977" spans="1:29" ht="12.75">
      <c r="A977" s="197"/>
      <c r="B977" s="2"/>
      <c r="C977" s="52"/>
      <c r="D977" s="52"/>
      <c r="E977" s="52"/>
      <c r="F977" s="2"/>
      <c r="G977" s="2"/>
      <c r="H977" s="2"/>
      <c r="I977" s="2"/>
      <c r="J977" s="52"/>
      <c r="K977" s="2"/>
      <c r="L977" s="2"/>
      <c r="M977" s="2"/>
      <c r="N977" s="2"/>
      <c r="O977" s="52"/>
      <c r="P977" s="52"/>
      <c r="Q977" s="52"/>
      <c r="R977" s="52"/>
      <c r="S977" s="52"/>
      <c r="T977" s="52"/>
      <c r="U977" s="52"/>
      <c r="V977" s="52"/>
      <c r="W977" s="52"/>
      <c r="X977" s="52"/>
      <c r="Y977" s="52"/>
      <c r="Z977" s="52"/>
      <c r="AA977" s="52"/>
      <c r="AB977" s="52"/>
      <c r="AC977" s="52"/>
    </row>
    <row r="978" spans="1:29" ht="12.75">
      <c r="A978" s="197"/>
      <c r="B978" s="2"/>
      <c r="C978" s="52"/>
      <c r="D978" s="52"/>
      <c r="E978" s="52"/>
      <c r="F978" s="2"/>
      <c r="G978" s="2"/>
      <c r="H978" s="2"/>
      <c r="I978" s="2"/>
      <c r="J978" s="52"/>
      <c r="K978" s="2"/>
      <c r="L978" s="2"/>
      <c r="M978" s="2"/>
      <c r="N978" s="2"/>
      <c r="O978" s="52"/>
      <c r="P978" s="52"/>
      <c r="Q978" s="52"/>
      <c r="R978" s="52"/>
      <c r="S978" s="52"/>
      <c r="T978" s="52"/>
      <c r="U978" s="52"/>
      <c r="V978" s="52"/>
      <c r="W978" s="52"/>
      <c r="X978" s="52"/>
      <c r="Y978" s="52"/>
      <c r="Z978" s="52"/>
      <c r="AA978" s="52"/>
      <c r="AB978" s="52"/>
      <c r="AC978" s="52"/>
    </row>
    <row r="979" spans="1:29" ht="12.75">
      <c r="A979" s="197"/>
      <c r="B979" s="2"/>
      <c r="C979" s="52"/>
      <c r="D979" s="52"/>
      <c r="E979" s="52"/>
      <c r="F979" s="2"/>
      <c r="G979" s="2"/>
      <c r="H979" s="2"/>
      <c r="I979" s="2"/>
      <c r="J979" s="52"/>
      <c r="K979" s="2"/>
      <c r="L979" s="2"/>
      <c r="M979" s="2"/>
      <c r="N979" s="2"/>
      <c r="O979" s="52"/>
      <c r="P979" s="52"/>
      <c r="Q979" s="52"/>
      <c r="R979" s="52"/>
      <c r="S979" s="52"/>
      <c r="T979" s="52"/>
      <c r="U979" s="52"/>
      <c r="V979" s="52"/>
      <c r="W979" s="52"/>
      <c r="X979" s="52"/>
      <c r="Y979" s="52"/>
      <c r="Z979" s="52"/>
      <c r="AA979" s="52"/>
      <c r="AB979" s="52"/>
      <c r="AC979" s="52"/>
    </row>
    <row r="980" spans="1:29" ht="12.75">
      <c r="A980" s="197"/>
      <c r="B980" s="2"/>
      <c r="C980" s="52"/>
      <c r="D980" s="52"/>
      <c r="E980" s="52"/>
      <c r="F980" s="2"/>
      <c r="G980" s="2"/>
      <c r="H980" s="2"/>
      <c r="I980" s="2"/>
      <c r="J980" s="52"/>
      <c r="K980" s="2"/>
      <c r="L980" s="2"/>
      <c r="M980" s="2"/>
      <c r="N980" s="2"/>
      <c r="O980" s="52"/>
      <c r="P980" s="52"/>
      <c r="Q980" s="52"/>
      <c r="R980" s="52"/>
      <c r="S980" s="52"/>
      <c r="T980" s="52"/>
      <c r="U980" s="52"/>
      <c r="V980" s="52"/>
      <c r="W980" s="52"/>
      <c r="X980" s="52"/>
      <c r="Y980" s="52"/>
      <c r="Z980" s="52"/>
      <c r="AA980" s="52"/>
      <c r="AB980" s="52"/>
      <c r="AC980" s="52"/>
    </row>
    <row r="981" spans="1:29" ht="12.75">
      <c r="A981" s="197"/>
      <c r="B981" s="2"/>
      <c r="C981" s="52"/>
      <c r="D981" s="52"/>
      <c r="E981" s="52"/>
      <c r="F981" s="2"/>
      <c r="G981" s="2"/>
      <c r="H981" s="2"/>
      <c r="I981" s="2"/>
      <c r="J981" s="52"/>
      <c r="K981" s="2"/>
      <c r="L981" s="2"/>
      <c r="M981" s="2"/>
      <c r="N981" s="2"/>
      <c r="O981" s="52"/>
      <c r="P981" s="52"/>
      <c r="Q981" s="52"/>
      <c r="R981" s="52"/>
      <c r="S981" s="52"/>
      <c r="T981" s="52"/>
      <c r="U981" s="52"/>
      <c r="V981" s="52"/>
      <c r="W981" s="52"/>
      <c r="X981" s="52"/>
      <c r="Y981" s="52"/>
      <c r="Z981" s="52"/>
      <c r="AA981" s="52"/>
      <c r="AB981" s="52"/>
      <c r="AC981" s="52"/>
    </row>
    <row r="982" spans="1:29" ht="12.75">
      <c r="A982" s="197"/>
      <c r="B982" s="2"/>
      <c r="C982" s="52"/>
      <c r="D982" s="52"/>
      <c r="E982" s="52"/>
      <c r="F982" s="2"/>
      <c r="G982" s="2"/>
      <c r="H982" s="2"/>
      <c r="I982" s="2"/>
      <c r="J982" s="52"/>
      <c r="K982" s="2"/>
      <c r="L982" s="2"/>
      <c r="M982" s="2"/>
      <c r="N982" s="2"/>
      <c r="O982" s="52"/>
      <c r="P982" s="52"/>
      <c r="Q982" s="52"/>
      <c r="R982" s="52"/>
      <c r="S982" s="52"/>
      <c r="T982" s="52"/>
      <c r="U982" s="52"/>
      <c r="V982" s="52"/>
      <c r="W982" s="52"/>
      <c r="X982" s="52"/>
      <c r="Y982" s="52"/>
      <c r="Z982" s="52"/>
      <c r="AA982" s="52"/>
      <c r="AB982" s="52"/>
      <c r="AC982" s="52"/>
    </row>
    <row r="983" spans="1:29" ht="12.75">
      <c r="A983" s="197"/>
      <c r="B983" s="2"/>
      <c r="C983" s="52"/>
      <c r="D983" s="52"/>
      <c r="E983" s="52"/>
      <c r="F983" s="2"/>
      <c r="G983" s="2"/>
      <c r="H983" s="2"/>
      <c r="I983" s="2"/>
      <c r="J983" s="52"/>
      <c r="K983" s="2"/>
      <c r="L983" s="2"/>
      <c r="M983" s="2"/>
      <c r="N983" s="2"/>
      <c r="O983" s="52"/>
      <c r="P983" s="52"/>
      <c r="Q983" s="52"/>
      <c r="R983" s="52"/>
      <c r="S983" s="52"/>
      <c r="T983" s="52"/>
      <c r="U983" s="52"/>
      <c r="V983" s="52"/>
      <c r="W983" s="52"/>
      <c r="X983" s="52"/>
      <c r="Y983" s="52"/>
      <c r="Z983" s="52"/>
      <c r="AA983" s="52"/>
      <c r="AB983" s="52"/>
      <c r="AC983" s="52"/>
    </row>
    <row r="984" spans="1:29" ht="12.75">
      <c r="A984" s="197"/>
      <c r="B984" s="2"/>
      <c r="C984" s="52"/>
      <c r="D984" s="52"/>
      <c r="E984" s="52"/>
      <c r="F984" s="2"/>
      <c r="G984" s="2"/>
      <c r="H984" s="2"/>
      <c r="I984" s="2"/>
      <c r="J984" s="52"/>
      <c r="K984" s="2"/>
      <c r="L984" s="2"/>
      <c r="M984" s="2"/>
      <c r="N984" s="2"/>
      <c r="O984" s="52"/>
      <c r="P984" s="52"/>
      <c r="Q984" s="52"/>
      <c r="R984" s="52"/>
      <c r="S984" s="52"/>
      <c r="T984" s="52"/>
      <c r="U984" s="52"/>
      <c r="V984" s="52"/>
      <c r="W984" s="52"/>
      <c r="X984" s="52"/>
      <c r="Y984" s="52"/>
      <c r="Z984" s="52"/>
      <c r="AA984" s="52"/>
      <c r="AB984" s="52"/>
      <c r="AC984" s="52"/>
    </row>
    <row r="985" spans="1:29" ht="12.75">
      <c r="A985" s="197"/>
      <c r="B985" s="2"/>
      <c r="C985" s="52"/>
      <c r="D985" s="52"/>
      <c r="E985" s="52"/>
      <c r="F985" s="2"/>
      <c r="G985" s="2"/>
      <c r="H985" s="2"/>
      <c r="I985" s="2"/>
      <c r="J985" s="52"/>
      <c r="K985" s="2"/>
      <c r="L985" s="2"/>
      <c r="M985" s="2"/>
      <c r="N985" s="2"/>
      <c r="O985" s="52"/>
      <c r="P985" s="52"/>
      <c r="Q985" s="52"/>
      <c r="R985" s="52"/>
      <c r="S985" s="52"/>
      <c r="T985" s="52"/>
      <c r="U985" s="52"/>
      <c r="V985" s="52"/>
      <c r="W985" s="52"/>
      <c r="X985" s="52"/>
      <c r="Y985" s="52"/>
      <c r="Z985" s="52"/>
      <c r="AA985" s="52"/>
      <c r="AB985" s="52"/>
      <c r="AC985" s="52"/>
    </row>
    <row r="986" spans="1:29" ht="12.75">
      <c r="A986" s="197"/>
      <c r="B986" s="2"/>
      <c r="C986" s="52"/>
      <c r="D986" s="52"/>
      <c r="E986" s="52"/>
      <c r="F986" s="2"/>
      <c r="G986" s="2"/>
      <c r="H986" s="2"/>
      <c r="I986" s="2"/>
      <c r="J986" s="52"/>
      <c r="K986" s="2"/>
      <c r="L986" s="2"/>
      <c r="M986" s="2"/>
      <c r="N986" s="2"/>
      <c r="O986" s="52"/>
      <c r="P986" s="52"/>
      <c r="Q986" s="52"/>
      <c r="R986" s="52"/>
      <c r="S986" s="52"/>
      <c r="T986" s="52"/>
      <c r="U986" s="52"/>
      <c r="V986" s="52"/>
      <c r="W986" s="52"/>
      <c r="X986" s="52"/>
      <c r="Y986" s="52"/>
      <c r="Z986" s="52"/>
      <c r="AA986" s="52"/>
      <c r="AB986" s="52"/>
      <c r="AC986" s="52"/>
    </row>
    <row r="987" spans="1:29" ht="12.75">
      <c r="A987" s="197"/>
      <c r="B987" s="2"/>
      <c r="C987" s="52"/>
      <c r="D987" s="52"/>
      <c r="E987" s="52"/>
      <c r="F987" s="2"/>
      <c r="G987" s="2"/>
      <c r="H987" s="2"/>
      <c r="I987" s="2"/>
      <c r="J987" s="52"/>
      <c r="K987" s="2"/>
      <c r="L987" s="2"/>
      <c r="M987" s="2"/>
      <c r="N987" s="2"/>
      <c r="O987" s="52"/>
      <c r="P987" s="52"/>
      <c r="Q987" s="52"/>
      <c r="R987" s="52"/>
      <c r="S987" s="52"/>
      <c r="T987" s="52"/>
      <c r="U987" s="52"/>
      <c r="V987" s="52"/>
      <c r="W987" s="52"/>
      <c r="X987" s="52"/>
      <c r="Y987" s="52"/>
      <c r="Z987" s="52"/>
      <c r="AA987" s="52"/>
      <c r="AB987" s="52"/>
      <c r="AC987" s="52"/>
    </row>
    <row r="988" spans="1:29" ht="12.75">
      <c r="A988" s="197"/>
      <c r="B988" s="2"/>
      <c r="C988" s="52"/>
      <c r="D988" s="52"/>
      <c r="E988" s="52"/>
      <c r="F988" s="2"/>
      <c r="G988" s="2"/>
      <c r="H988" s="2"/>
      <c r="I988" s="2"/>
      <c r="J988" s="52"/>
      <c r="K988" s="2"/>
      <c r="L988" s="2"/>
      <c r="M988" s="2"/>
      <c r="N988" s="2"/>
      <c r="O988" s="52"/>
      <c r="P988" s="52"/>
      <c r="Q988" s="52"/>
      <c r="R988" s="52"/>
      <c r="S988" s="52"/>
      <c r="T988" s="52"/>
      <c r="U988" s="52"/>
      <c r="V988" s="52"/>
      <c r="W988" s="52"/>
      <c r="X988" s="52"/>
      <c r="Y988" s="52"/>
      <c r="Z988" s="52"/>
      <c r="AA988" s="52"/>
      <c r="AB988" s="52"/>
      <c r="AC988" s="52"/>
    </row>
    <row r="989" spans="1:29" ht="12.75">
      <c r="A989" s="197"/>
      <c r="B989" s="2"/>
      <c r="C989" s="52"/>
      <c r="D989" s="52"/>
      <c r="E989" s="52"/>
      <c r="F989" s="2"/>
      <c r="G989" s="2"/>
      <c r="H989" s="2"/>
      <c r="I989" s="2"/>
      <c r="J989" s="52"/>
      <c r="K989" s="2"/>
      <c r="L989" s="2"/>
      <c r="M989" s="2"/>
      <c r="N989" s="2"/>
      <c r="O989" s="52"/>
      <c r="P989" s="52"/>
      <c r="Q989" s="52"/>
      <c r="R989" s="52"/>
      <c r="S989" s="52"/>
      <c r="T989" s="52"/>
      <c r="U989" s="52"/>
      <c r="V989" s="52"/>
      <c r="W989" s="52"/>
      <c r="X989" s="52"/>
      <c r="Y989" s="52"/>
      <c r="Z989" s="52"/>
      <c r="AA989" s="52"/>
      <c r="AB989" s="52"/>
      <c r="AC989" s="52"/>
    </row>
    <row r="990" spans="1:29" ht="12.75">
      <c r="A990" s="197"/>
      <c r="B990" s="2"/>
      <c r="C990" s="52"/>
      <c r="D990" s="52"/>
      <c r="E990" s="52"/>
      <c r="F990" s="2"/>
      <c r="G990" s="2"/>
      <c r="H990" s="2"/>
      <c r="I990" s="2"/>
      <c r="J990" s="52"/>
      <c r="K990" s="2"/>
      <c r="L990" s="2"/>
      <c r="M990" s="2"/>
      <c r="N990" s="2"/>
      <c r="O990" s="52"/>
      <c r="P990" s="52"/>
      <c r="Q990" s="52"/>
      <c r="R990" s="52"/>
      <c r="S990" s="52"/>
      <c r="T990" s="52"/>
      <c r="U990" s="52"/>
      <c r="V990" s="52"/>
      <c r="W990" s="52"/>
      <c r="X990" s="52"/>
      <c r="Y990" s="52"/>
      <c r="Z990" s="52"/>
      <c r="AA990" s="52"/>
      <c r="AB990" s="52"/>
      <c r="AC990" s="52"/>
    </row>
    <row r="991" spans="1:29" ht="12.75">
      <c r="A991" s="197"/>
      <c r="B991" s="2"/>
      <c r="C991" s="52"/>
      <c r="D991" s="52"/>
      <c r="E991" s="52"/>
      <c r="F991" s="2"/>
      <c r="G991" s="2"/>
      <c r="H991" s="2"/>
      <c r="I991" s="2"/>
      <c r="J991" s="52"/>
      <c r="K991" s="2"/>
      <c r="L991" s="2"/>
      <c r="M991" s="2"/>
      <c r="N991" s="2"/>
      <c r="O991" s="52"/>
      <c r="P991" s="52"/>
      <c r="Q991" s="52"/>
      <c r="R991" s="52"/>
      <c r="S991" s="52"/>
      <c r="T991" s="52"/>
      <c r="U991" s="52"/>
      <c r="V991" s="52"/>
      <c r="W991" s="52"/>
      <c r="X991" s="52"/>
      <c r="Y991" s="52"/>
      <c r="Z991" s="52"/>
      <c r="AA991" s="52"/>
      <c r="AB991" s="52"/>
      <c r="AC991" s="52"/>
    </row>
    <row r="992" spans="1:29" ht="12.75">
      <c r="A992" s="197"/>
      <c r="B992" s="2"/>
      <c r="C992" s="52"/>
      <c r="D992" s="52"/>
      <c r="E992" s="52"/>
      <c r="F992" s="2"/>
      <c r="G992" s="2"/>
      <c r="H992" s="2"/>
      <c r="I992" s="2"/>
      <c r="J992" s="52"/>
      <c r="K992" s="2"/>
      <c r="L992" s="2"/>
      <c r="M992" s="2"/>
      <c r="N992" s="2"/>
      <c r="O992" s="52"/>
      <c r="P992" s="52"/>
      <c r="Q992" s="52"/>
      <c r="R992" s="52"/>
      <c r="S992" s="52"/>
      <c r="T992" s="52"/>
      <c r="U992" s="52"/>
      <c r="V992" s="52"/>
      <c r="W992" s="52"/>
      <c r="X992" s="52"/>
      <c r="Y992" s="52"/>
      <c r="Z992" s="52"/>
      <c r="AA992" s="52"/>
      <c r="AB992" s="52"/>
      <c r="AC992" s="52"/>
    </row>
    <row r="993" spans="1:29" ht="12.75">
      <c r="A993" s="197"/>
      <c r="B993" s="2"/>
      <c r="C993" s="52"/>
      <c r="D993" s="52"/>
      <c r="E993" s="52"/>
      <c r="F993" s="2"/>
      <c r="G993" s="2"/>
      <c r="H993" s="2"/>
      <c r="I993" s="2"/>
      <c r="J993" s="52"/>
      <c r="K993" s="2"/>
      <c r="L993" s="2"/>
      <c r="M993" s="2"/>
      <c r="N993" s="2"/>
      <c r="O993" s="52"/>
      <c r="P993" s="52"/>
      <c r="Q993" s="52"/>
      <c r="R993" s="52"/>
      <c r="S993" s="52"/>
      <c r="T993" s="52"/>
      <c r="U993" s="52"/>
      <c r="V993" s="52"/>
      <c r="W993" s="52"/>
      <c r="X993" s="52"/>
      <c r="Y993" s="52"/>
      <c r="Z993" s="52"/>
      <c r="AA993" s="52"/>
      <c r="AB993" s="52"/>
      <c r="AC993" s="52"/>
    </row>
    <row r="994" spans="1:29" ht="12.75">
      <c r="A994" s="197"/>
      <c r="B994" s="2"/>
      <c r="C994" s="52"/>
      <c r="D994" s="52"/>
      <c r="E994" s="52"/>
      <c r="F994" s="2"/>
      <c r="G994" s="2"/>
      <c r="H994" s="2"/>
      <c r="I994" s="2"/>
      <c r="J994" s="52"/>
      <c r="K994" s="2"/>
      <c r="L994" s="2"/>
      <c r="M994" s="2"/>
      <c r="N994" s="2"/>
      <c r="O994" s="52"/>
      <c r="P994" s="52"/>
      <c r="Q994" s="52"/>
      <c r="R994" s="52"/>
      <c r="S994" s="52"/>
      <c r="T994" s="52"/>
      <c r="U994" s="52"/>
      <c r="V994" s="52"/>
      <c r="W994" s="52"/>
      <c r="X994" s="52"/>
      <c r="Y994" s="52"/>
      <c r="Z994" s="52"/>
      <c r="AA994" s="52"/>
      <c r="AB994" s="52"/>
      <c r="AC994" s="52"/>
    </row>
    <row r="995" spans="1:29" ht="12.75">
      <c r="A995" s="197"/>
      <c r="B995" s="2"/>
      <c r="C995" s="52"/>
      <c r="D995" s="52"/>
      <c r="E995" s="52"/>
      <c r="F995" s="2"/>
      <c r="G995" s="2"/>
      <c r="H995" s="2"/>
      <c r="I995" s="2"/>
      <c r="J995" s="52"/>
      <c r="K995" s="2"/>
      <c r="L995" s="2"/>
      <c r="M995" s="2"/>
      <c r="N995" s="2"/>
      <c r="O995" s="52"/>
      <c r="P995" s="52"/>
      <c r="Q995" s="52"/>
      <c r="R995" s="52"/>
      <c r="S995" s="52"/>
      <c r="T995" s="52"/>
      <c r="U995" s="52"/>
      <c r="V995" s="52"/>
      <c r="W995" s="52"/>
      <c r="X995" s="52"/>
      <c r="Y995" s="52"/>
      <c r="Z995" s="52"/>
      <c r="AA995" s="52"/>
      <c r="AB995" s="52"/>
      <c r="AC995" s="52"/>
    </row>
    <row r="996" spans="1:29" ht="12.75">
      <c r="A996" s="197"/>
      <c r="B996" s="2"/>
      <c r="C996" s="52"/>
      <c r="D996" s="52"/>
      <c r="E996" s="52"/>
      <c r="F996" s="2"/>
      <c r="G996" s="2"/>
      <c r="H996" s="2"/>
      <c r="I996" s="2"/>
      <c r="J996" s="52"/>
      <c r="K996" s="2"/>
      <c r="L996" s="2"/>
      <c r="M996" s="2"/>
      <c r="N996" s="2"/>
      <c r="O996" s="52"/>
      <c r="P996" s="52"/>
      <c r="Q996" s="52"/>
      <c r="R996" s="52"/>
      <c r="S996" s="52"/>
      <c r="T996" s="52"/>
      <c r="U996" s="52"/>
      <c r="V996" s="52"/>
      <c r="W996" s="52"/>
      <c r="X996" s="52"/>
      <c r="Y996" s="52"/>
      <c r="Z996" s="52"/>
      <c r="AA996" s="52"/>
      <c r="AB996" s="52"/>
      <c r="AC996" s="52"/>
    </row>
    <row r="997" spans="1:29" ht="12.75">
      <c r="A997" s="197"/>
      <c r="B997" s="2"/>
      <c r="C997" s="52"/>
      <c r="D997" s="52"/>
      <c r="E997" s="52"/>
      <c r="F997" s="2"/>
      <c r="G997" s="2"/>
      <c r="H997" s="2"/>
      <c r="I997" s="2"/>
      <c r="J997" s="52"/>
      <c r="K997" s="2"/>
      <c r="L997" s="2"/>
      <c r="M997" s="2"/>
      <c r="N997" s="2"/>
      <c r="O997" s="52"/>
      <c r="P997" s="52"/>
      <c r="Q997" s="52"/>
      <c r="R997" s="52"/>
      <c r="S997" s="52"/>
      <c r="T997" s="52"/>
      <c r="U997" s="52"/>
      <c r="V997" s="52"/>
      <c r="W997" s="52"/>
      <c r="X997" s="52"/>
      <c r="Y997" s="52"/>
      <c r="Z997" s="52"/>
      <c r="AA997" s="52"/>
      <c r="AB997" s="52"/>
      <c r="AC997" s="52"/>
    </row>
    <row r="998" spans="1:29" ht="12.75">
      <c r="A998" s="197"/>
      <c r="B998" s="2"/>
      <c r="C998" s="52"/>
      <c r="D998" s="52"/>
      <c r="E998" s="52"/>
      <c r="F998" s="2"/>
      <c r="G998" s="2"/>
      <c r="H998" s="2"/>
      <c r="I998" s="2"/>
      <c r="J998" s="52"/>
      <c r="K998" s="2"/>
      <c r="L998" s="2"/>
      <c r="M998" s="2"/>
      <c r="N998" s="2"/>
      <c r="O998" s="52"/>
      <c r="P998" s="52"/>
      <c r="Q998" s="52"/>
      <c r="R998" s="52"/>
      <c r="S998" s="52"/>
      <c r="T998" s="52"/>
      <c r="U998" s="52"/>
      <c r="V998" s="52"/>
      <c r="W998" s="52"/>
      <c r="X998" s="52"/>
      <c r="Y998" s="52"/>
      <c r="Z998" s="52"/>
      <c r="AA998" s="52"/>
      <c r="AB998" s="52"/>
      <c r="AC998" s="52"/>
    </row>
    <row r="999" spans="1:29" ht="12.75">
      <c r="A999" s="197"/>
      <c r="B999" s="2"/>
      <c r="C999" s="52"/>
      <c r="D999" s="52"/>
      <c r="E999" s="52"/>
      <c r="F999" s="2"/>
      <c r="G999" s="2"/>
      <c r="H999" s="2"/>
      <c r="I999" s="2"/>
      <c r="J999" s="52"/>
      <c r="K999" s="2"/>
      <c r="L999" s="2"/>
      <c r="M999" s="2"/>
      <c r="N999" s="2"/>
      <c r="O999" s="52"/>
      <c r="P999" s="52"/>
      <c r="Q999" s="52"/>
      <c r="R999" s="52"/>
      <c r="S999" s="52"/>
      <c r="T999" s="52"/>
      <c r="U999" s="52"/>
      <c r="V999" s="52"/>
      <c r="W999" s="52"/>
      <c r="X999" s="52"/>
      <c r="Y999" s="52"/>
      <c r="Z999" s="52"/>
      <c r="AA999" s="52"/>
      <c r="AB999" s="52"/>
      <c r="AC999" s="52"/>
    </row>
    <row r="1000" spans="1:29" ht="12.75">
      <c r="A1000" s="197"/>
      <c r="B1000" s="2"/>
      <c r="C1000" s="52"/>
      <c r="D1000" s="52"/>
      <c r="E1000" s="52"/>
      <c r="F1000" s="2"/>
      <c r="G1000" s="2"/>
      <c r="H1000" s="2"/>
      <c r="I1000" s="2"/>
      <c r="J1000" s="52"/>
      <c r="K1000" s="2"/>
      <c r="L1000" s="2"/>
      <c r="M1000" s="2"/>
      <c r="N1000" s="2"/>
      <c r="O1000" s="52"/>
      <c r="P1000" s="52"/>
      <c r="Q1000" s="52"/>
      <c r="R1000" s="52"/>
      <c r="S1000" s="52"/>
      <c r="T1000" s="52"/>
      <c r="U1000" s="52"/>
      <c r="V1000" s="52"/>
      <c r="W1000" s="52"/>
      <c r="X1000" s="52"/>
      <c r="Y1000" s="52"/>
      <c r="Z1000" s="52"/>
      <c r="AA1000" s="52"/>
      <c r="AB1000" s="52"/>
      <c r="AC1000" s="52"/>
    </row>
    <row r="1001" spans="1:29" ht="12.75">
      <c r="A1001" s="197"/>
      <c r="B1001" s="2"/>
      <c r="C1001" s="52"/>
      <c r="D1001" s="52"/>
      <c r="E1001" s="52"/>
      <c r="F1001" s="2"/>
      <c r="G1001" s="2"/>
      <c r="H1001" s="2"/>
      <c r="I1001" s="2"/>
      <c r="J1001" s="52"/>
      <c r="K1001" s="2"/>
      <c r="L1001" s="2"/>
      <c r="M1001" s="2"/>
      <c r="N1001" s="2"/>
      <c r="O1001" s="52"/>
      <c r="P1001" s="52"/>
      <c r="Q1001" s="52"/>
      <c r="R1001" s="52"/>
      <c r="S1001" s="52"/>
      <c r="T1001" s="52"/>
      <c r="U1001" s="52"/>
      <c r="V1001" s="52"/>
      <c r="W1001" s="52"/>
      <c r="X1001" s="52"/>
      <c r="Y1001" s="52"/>
      <c r="Z1001" s="52"/>
      <c r="AA1001" s="52"/>
      <c r="AB1001" s="52"/>
      <c r="AC1001" s="52"/>
    </row>
    <row r="1002" spans="1:29" ht="12.75">
      <c r="A1002" s="197"/>
      <c r="B1002" s="2"/>
      <c r="C1002" s="52"/>
      <c r="D1002" s="52"/>
      <c r="E1002" s="52"/>
      <c r="F1002" s="2"/>
      <c r="G1002" s="2"/>
      <c r="H1002" s="2"/>
      <c r="I1002" s="2"/>
      <c r="J1002" s="52"/>
      <c r="K1002" s="2"/>
      <c r="L1002" s="2"/>
      <c r="M1002" s="2"/>
      <c r="N1002" s="2"/>
      <c r="O1002" s="52"/>
      <c r="P1002" s="52"/>
      <c r="Q1002" s="52"/>
      <c r="R1002" s="52"/>
      <c r="S1002" s="52"/>
      <c r="T1002" s="52"/>
      <c r="U1002" s="52"/>
      <c r="V1002" s="52"/>
      <c r="W1002" s="52"/>
      <c r="X1002" s="52"/>
      <c r="Y1002" s="52"/>
      <c r="Z1002" s="52"/>
      <c r="AA1002" s="52"/>
      <c r="AB1002" s="52"/>
      <c r="AC1002" s="52"/>
    </row>
    <row r="1003" spans="1:29" ht="12.75">
      <c r="A1003" s="197"/>
      <c r="B1003" s="2"/>
      <c r="C1003" s="52"/>
      <c r="D1003" s="52"/>
      <c r="E1003" s="52"/>
      <c r="F1003" s="2"/>
      <c r="G1003" s="2"/>
      <c r="H1003" s="2"/>
      <c r="I1003" s="2"/>
      <c r="J1003" s="52"/>
      <c r="K1003" s="2"/>
      <c r="L1003" s="2"/>
      <c r="M1003" s="2"/>
      <c r="N1003" s="2"/>
      <c r="O1003" s="52"/>
      <c r="P1003" s="52"/>
      <c r="Q1003" s="52"/>
      <c r="R1003" s="52"/>
      <c r="S1003" s="52"/>
      <c r="T1003" s="52"/>
      <c r="U1003" s="52"/>
      <c r="V1003" s="52"/>
      <c r="W1003" s="52"/>
      <c r="X1003" s="52"/>
      <c r="Y1003" s="52"/>
      <c r="Z1003" s="52"/>
      <c r="AA1003" s="52"/>
      <c r="AB1003" s="52"/>
      <c r="AC1003" s="52"/>
    </row>
    <row r="1004" spans="1:29" ht="12.75">
      <c r="A1004" s="197"/>
      <c r="B1004" s="2"/>
      <c r="C1004" s="52"/>
      <c r="D1004" s="52"/>
      <c r="E1004" s="52"/>
      <c r="F1004" s="2"/>
      <c r="G1004" s="2"/>
      <c r="H1004" s="2"/>
      <c r="I1004" s="2"/>
      <c r="J1004" s="52"/>
      <c r="K1004" s="2"/>
      <c r="L1004" s="2"/>
      <c r="M1004" s="2"/>
      <c r="N1004" s="2"/>
      <c r="O1004" s="52"/>
      <c r="P1004" s="52"/>
      <c r="Q1004" s="52"/>
      <c r="R1004" s="52"/>
      <c r="S1004" s="52"/>
      <c r="T1004" s="52"/>
      <c r="U1004" s="52"/>
      <c r="V1004" s="52"/>
      <c r="W1004" s="52"/>
      <c r="X1004" s="52"/>
      <c r="Y1004" s="52"/>
      <c r="Z1004" s="52"/>
      <c r="AA1004" s="52"/>
      <c r="AB1004" s="52"/>
      <c r="AC1004" s="52"/>
    </row>
    <row r="1005" spans="1:29" ht="12.75">
      <c r="A1005" s="197"/>
      <c r="B1005" s="2"/>
      <c r="C1005" s="52"/>
      <c r="D1005" s="52"/>
      <c r="E1005" s="52"/>
      <c r="F1005" s="2"/>
      <c r="G1005" s="2"/>
      <c r="H1005" s="2"/>
      <c r="I1005" s="2"/>
      <c r="J1005" s="52"/>
      <c r="K1005" s="2"/>
      <c r="L1005" s="2"/>
      <c r="M1005" s="2"/>
      <c r="N1005" s="2"/>
      <c r="O1005" s="52"/>
      <c r="P1005" s="52"/>
      <c r="Q1005" s="52"/>
      <c r="R1005" s="52"/>
      <c r="S1005" s="52"/>
      <c r="T1005" s="52"/>
      <c r="U1005" s="52"/>
      <c r="V1005" s="52"/>
      <c r="W1005" s="52"/>
      <c r="X1005" s="52"/>
      <c r="Y1005" s="52"/>
      <c r="Z1005" s="52"/>
      <c r="AA1005" s="52"/>
      <c r="AB1005" s="52"/>
      <c r="AC1005" s="52"/>
    </row>
    <row r="1006" spans="1:29" ht="12.75">
      <c r="A1006" s="197"/>
      <c r="B1006" s="2"/>
      <c r="C1006" s="52"/>
      <c r="D1006" s="52"/>
      <c r="E1006" s="52"/>
      <c r="F1006" s="2"/>
      <c r="G1006" s="2"/>
      <c r="H1006" s="2"/>
      <c r="I1006" s="2"/>
      <c r="J1006" s="52"/>
      <c r="K1006" s="2"/>
      <c r="L1006" s="2"/>
      <c r="M1006" s="2"/>
      <c r="N1006" s="2"/>
      <c r="O1006" s="52"/>
      <c r="P1006" s="52"/>
      <c r="Q1006" s="52"/>
      <c r="R1006" s="52"/>
      <c r="S1006" s="52"/>
      <c r="T1006" s="52"/>
      <c r="U1006" s="52"/>
      <c r="V1006" s="52"/>
      <c r="W1006" s="52"/>
      <c r="X1006" s="52"/>
      <c r="Y1006" s="52"/>
      <c r="Z1006" s="52"/>
      <c r="AA1006" s="52"/>
      <c r="AB1006" s="52"/>
      <c r="AC1006" s="52"/>
    </row>
    <row r="1007" spans="1:29" ht="12.75">
      <c r="A1007" s="197"/>
      <c r="B1007" s="2"/>
      <c r="C1007" s="52"/>
      <c r="D1007" s="52"/>
      <c r="E1007" s="52"/>
      <c r="F1007" s="2"/>
      <c r="G1007" s="2"/>
      <c r="H1007" s="2"/>
      <c r="I1007" s="2"/>
      <c r="J1007" s="52"/>
      <c r="K1007" s="2"/>
      <c r="L1007" s="2"/>
      <c r="M1007" s="2"/>
      <c r="N1007" s="2"/>
      <c r="O1007" s="52"/>
      <c r="P1007" s="52"/>
      <c r="Q1007" s="52"/>
      <c r="R1007" s="52"/>
      <c r="S1007" s="52"/>
      <c r="T1007" s="52"/>
      <c r="U1007" s="52"/>
      <c r="V1007" s="52"/>
      <c r="W1007" s="52"/>
      <c r="X1007" s="52"/>
      <c r="Y1007" s="52"/>
      <c r="Z1007" s="52"/>
      <c r="AA1007" s="52"/>
      <c r="AB1007" s="52"/>
      <c r="AC1007" s="52"/>
    </row>
    <row r="1008" spans="1:29" ht="12.75">
      <c r="A1008" s="197"/>
      <c r="B1008" s="2"/>
      <c r="C1008" s="52"/>
      <c r="D1008" s="52"/>
      <c r="E1008" s="52"/>
      <c r="F1008" s="2"/>
      <c r="G1008" s="2"/>
      <c r="H1008" s="2"/>
      <c r="I1008" s="2"/>
      <c r="J1008" s="52"/>
      <c r="K1008" s="2"/>
      <c r="L1008" s="2"/>
      <c r="M1008" s="2"/>
      <c r="N1008" s="2"/>
      <c r="O1008" s="52"/>
      <c r="P1008" s="31"/>
      <c r="Q1008" s="31"/>
      <c r="R1008" s="31"/>
      <c r="S1008" s="31"/>
      <c r="T1008" s="31"/>
      <c r="U1008" s="31"/>
      <c r="V1008" s="31"/>
      <c r="W1008" s="31"/>
      <c r="X1008" s="31"/>
      <c r="Y1008" s="31"/>
      <c r="Z1008" s="31"/>
      <c r="AA1008" s="31"/>
      <c r="AB1008" s="31"/>
      <c r="AC1008"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35:A86"/>
  <sheetViews>
    <sheetView zoomScale="10" zoomScaleNormal="10" workbookViewId="0">
      <selection activeCell="CP245" sqref="A1:CP245"/>
    </sheetView>
  </sheetViews>
  <sheetFormatPr defaultColWidth="14.42578125" defaultRowHeight="15.75" customHeight="1"/>
  <cols>
    <col min="2" max="3" width="13" customWidth="1"/>
    <col min="4" max="5" width="14.42578125" customWidth="1"/>
    <col min="6" max="24" width="10.85546875" customWidth="1"/>
  </cols>
  <sheetData>
    <row r="35" ht="12.75"/>
    <row r="36" ht="12.75"/>
    <row r="37" ht="12.75"/>
    <row r="38" ht="12.75"/>
    <row r="39" ht="12.75"/>
    <row r="40" ht="12.75"/>
    <row r="41" ht="12.75"/>
    <row r="42"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35:A51"/>
  <sheetViews>
    <sheetView zoomScale="10" zoomScaleNormal="10" workbookViewId="0">
      <selection activeCell="BP201" sqref="A1:BP201"/>
    </sheetView>
  </sheetViews>
  <sheetFormatPr defaultColWidth="14.42578125" defaultRowHeight="15.75" customHeight="1"/>
  <sheetData>
    <row r="35" ht="12.75"/>
    <row r="36" ht="12.75"/>
    <row r="37" ht="12.75"/>
    <row r="38" ht="12.75"/>
    <row r="39" ht="12.75"/>
    <row r="40" ht="12.75"/>
    <row r="42" ht="12.75"/>
    <row r="43" ht="12.75"/>
    <row r="44" ht="12.75"/>
    <row r="45" ht="12.75"/>
    <row r="46" ht="12.75"/>
    <row r="47" ht="12.75"/>
    <row r="48" ht="12.75"/>
    <row r="49" ht="12.75"/>
    <row r="50" ht="12.75"/>
    <row r="51" ht="12.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zoomScale="10" zoomScaleNormal="10" workbookViewId="0">
      <selection activeCell="BF224" sqref="A1:BF224"/>
    </sheetView>
  </sheetViews>
  <sheetFormatPr defaultColWidth="14.42578125" defaultRowHeight="15.75" customHeight="1"/>
  <cols>
    <col min="3" max="3" width="15.28515625"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35:A157"/>
  <sheetViews>
    <sheetView zoomScale="10" zoomScaleNormal="10" workbookViewId="0">
      <selection activeCell="AV204" sqref="A1:AV204"/>
    </sheetView>
  </sheetViews>
  <sheetFormatPr defaultColWidth="14.42578125" defaultRowHeight="15.75" customHeight="1"/>
  <sheetData>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11</vt:i4>
      </vt:variant>
      <vt:variant>
        <vt:lpstr>Іменовані діапазони</vt:lpstr>
      </vt:variant>
      <vt:variant>
        <vt:i4>11</vt:i4>
      </vt:variant>
    </vt:vector>
  </HeadingPairs>
  <TitlesOfParts>
    <vt:vector size="22" baseType="lpstr">
      <vt:lpstr>Instructions</vt:lpstr>
      <vt:lpstr>Dice Tables</vt:lpstr>
      <vt:lpstr>Tools</vt:lpstr>
      <vt:lpstr>Climate</vt:lpstr>
      <vt:lpstr>Ag</vt:lpstr>
      <vt:lpstr>Races</vt:lpstr>
      <vt:lpstr>Professions</vt:lpstr>
      <vt:lpstr>NPCs</vt:lpstr>
      <vt:lpstr>Power</vt:lpstr>
      <vt:lpstr>Social</vt:lpstr>
      <vt:lpstr>Resources</vt:lpstr>
      <vt:lpstr>PRO_ENT</vt:lpstr>
      <vt:lpstr>PRO_GOV</vt:lpstr>
      <vt:lpstr>PRO_LAB</vt:lpstr>
      <vt:lpstr>PRO_MER</vt:lpstr>
      <vt:lpstr>PRO_NOB</vt:lpstr>
      <vt:lpstr>PRO_NON</vt:lpstr>
      <vt:lpstr>PRO_PRO</vt:lpstr>
      <vt:lpstr>PRO_SER</vt:lpstr>
      <vt:lpstr>PRO_SKL</vt:lpstr>
      <vt:lpstr>PRO_TOT</vt:lpstr>
      <vt:lpstr>PRO_WTOT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Палихов Антон</cp:lastModifiedBy>
  <dcterms:created xsi:type="dcterms:W3CDTF">2020-08-24T05:56:19Z</dcterms:created>
  <dcterms:modified xsi:type="dcterms:W3CDTF">2021-03-17T03:01:52Z</dcterms:modified>
</cp:coreProperties>
</file>