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xr:revisionPtr revIDLastSave="0" documentId="13_ncr:1000001_{46ADABEF-01D3-6747-A7DB-DA352E455BC4}" xr6:coauthVersionLast="45" xr6:coauthVersionMax="45" xr10:uidLastSave="{00000000-0000-0000-0000-000000000000}"/>
  <bookViews>
    <workbookView xWindow="360" yWindow="90" windowWidth="16215" windowHeight="691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F4" i="1"/>
  <c r="H4" i="1"/>
  <c r="I4" i="1"/>
  <c r="J4" i="1"/>
  <c r="K4" i="1"/>
  <c r="H13" i="1"/>
  <c r="I13" i="1"/>
  <c r="E13" i="1"/>
  <c r="G13" i="1"/>
  <c r="J13" i="1"/>
  <c r="K13" i="1"/>
  <c r="L13" i="1"/>
  <c r="D33" i="1"/>
  <c r="F33" i="1"/>
  <c r="H10" i="1"/>
  <c r="I10" i="1"/>
  <c r="E10" i="1"/>
  <c r="G10" i="1"/>
  <c r="J10" i="1"/>
  <c r="K10" i="1"/>
  <c r="L10" i="1"/>
  <c r="C47" i="1"/>
  <c r="E47" i="1"/>
  <c r="H15" i="1"/>
  <c r="I15" i="1"/>
  <c r="E15" i="1"/>
  <c r="G15" i="1"/>
  <c r="J15" i="1"/>
  <c r="K15" i="1"/>
  <c r="L15" i="1"/>
  <c r="C52" i="1"/>
  <c r="F52" i="1"/>
  <c r="C51" i="1"/>
  <c r="F51" i="1"/>
  <c r="D27" i="1"/>
  <c r="H9" i="1"/>
  <c r="I9" i="1"/>
  <c r="E9" i="1"/>
  <c r="G9" i="1"/>
  <c r="J9" i="1"/>
  <c r="K9" i="1"/>
  <c r="L9" i="1"/>
  <c r="C27" i="1"/>
  <c r="E27" i="1"/>
  <c r="H16" i="1"/>
  <c r="I16" i="1"/>
  <c r="E16" i="1"/>
  <c r="G16" i="1"/>
  <c r="J16" i="1"/>
  <c r="K16" i="1"/>
  <c r="L16" i="1"/>
  <c r="C29" i="1"/>
  <c r="H14" i="1"/>
  <c r="I14" i="1"/>
  <c r="E14" i="1"/>
  <c r="G14" i="1"/>
  <c r="J14" i="1"/>
  <c r="K14" i="1"/>
  <c r="L14" i="1"/>
  <c r="C28" i="1"/>
  <c r="E29" i="1"/>
  <c r="G29" i="1"/>
  <c r="E28" i="1"/>
  <c r="G28" i="1"/>
  <c r="G27" i="1"/>
  <c r="C41" i="1"/>
  <c r="E41" i="1"/>
  <c r="G41" i="1"/>
  <c r="I41" i="1"/>
  <c r="C42" i="1"/>
  <c r="E42" i="1"/>
  <c r="G42" i="1"/>
  <c r="I42" i="1"/>
  <c r="C43" i="1"/>
  <c r="E43" i="1"/>
  <c r="G43" i="1"/>
  <c r="I43" i="1"/>
  <c r="C37" i="1"/>
  <c r="E37" i="1"/>
  <c r="C23" i="1"/>
  <c r="E18" i="1"/>
  <c r="E17" i="1"/>
  <c r="E11" i="1"/>
  <c r="E12" i="1"/>
  <c r="E8" i="1"/>
  <c r="G11" i="1"/>
  <c r="K11" i="1"/>
  <c r="G12" i="1"/>
  <c r="K12" i="1"/>
  <c r="G17" i="1"/>
  <c r="K17" i="1"/>
  <c r="G18" i="1"/>
  <c r="K18" i="1"/>
  <c r="G4" i="1"/>
  <c r="K8" i="1"/>
  <c r="G8" i="1"/>
  <c r="H11" i="1"/>
  <c r="I11" i="1"/>
  <c r="J11" i="1"/>
  <c r="L11" i="1"/>
  <c r="H12" i="1"/>
  <c r="I12" i="1"/>
  <c r="J12" i="1"/>
  <c r="L12" i="1"/>
  <c r="D23" i="1"/>
  <c r="F23" i="1"/>
  <c r="H17" i="1"/>
  <c r="I17" i="1"/>
  <c r="J17" i="1"/>
  <c r="L17" i="1"/>
  <c r="H18" i="1"/>
  <c r="I18" i="1"/>
  <c r="J18" i="1"/>
  <c r="L18" i="1"/>
  <c r="H8" i="1"/>
  <c r="I8" i="1"/>
  <c r="J8" i="1"/>
  <c r="L8" i="1"/>
  <c r="G37" i="1"/>
  <c r="I37" i="1"/>
</calcChain>
</file>

<file path=xl/sharedStrings.xml><?xml version="1.0" encoding="utf-8"?>
<sst xmlns="http://schemas.openxmlformats.org/spreadsheetml/2006/main" count="108" uniqueCount="72">
  <si>
    <t>type</t>
  </si>
  <si>
    <t>local references</t>
  </si>
  <si>
    <t>total references</t>
  </si>
  <si>
    <t>production</t>
  </si>
  <si>
    <t>unit</t>
  </si>
  <si>
    <t>local availability</t>
  </si>
  <si>
    <t>world value     (oz. gold)</t>
  </si>
  <si>
    <t>local value     (oz. gold)</t>
  </si>
  <si>
    <t>oz. per local availability</t>
  </si>
  <si>
    <t>cp/unit</t>
  </si>
  <si>
    <t>oz.</t>
  </si>
  <si>
    <t>adjustment for rarity</t>
  </si>
  <si>
    <t>GOLD ORE</t>
  </si>
  <si>
    <t>ore</t>
  </si>
  <si>
    <t>lbs.</t>
  </si>
  <si>
    <t>UNDEVELOPED GOODS</t>
  </si>
  <si>
    <t>bricks</t>
  </si>
  <si>
    <t>cattle</t>
  </si>
  <si>
    <t>clay</t>
  </si>
  <si>
    <t>fish</t>
  </si>
  <si>
    <t>grain</t>
  </si>
  <si>
    <t>grapes</t>
  </si>
  <si>
    <t>horses</t>
  </si>
  <si>
    <t>sheep</t>
  </si>
  <si>
    <t>spices</t>
  </si>
  <si>
    <t>timber</t>
  </si>
  <si>
    <t>head</t>
  </si>
  <si>
    <t>material</t>
  </si>
  <si>
    <t>WOOL PROCESSING</t>
  </si>
  <si>
    <t>wool</t>
  </si>
  <si>
    <t>wool references</t>
  </si>
  <si>
    <t>oz./sheep</t>
  </si>
  <si>
    <t>cloth references</t>
  </si>
  <si>
    <t>BREWING</t>
  </si>
  <si>
    <t>lbs. per gallon of ale</t>
  </si>
  <si>
    <t>materials cost, c.p.</t>
  </si>
  <si>
    <t>brewing references</t>
  </si>
  <si>
    <t>animal</t>
  </si>
  <si>
    <t>horse</t>
  </si>
  <si>
    <t>LEATHER GOODS</t>
  </si>
  <si>
    <t>hides,   oz./animal</t>
  </si>
  <si>
    <t>cost per sheep, c.p.</t>
  </si>
  <si>
    <t>cost per animal, c.p.</t>
  </si>
  <si>
    <t>greasy wool, c.p./oz.</t>
  </si>
  <si>
    <t>untanned hides,   c.p./oz.</t>
  </si>
  <si>
    <t>skins references</t>
  </si>
  <si>
    <t>ale,      c.p./gallon</t>
  </si>
  <si>
    <t>clean wool, c.p./oz.</t>
  </si>
  <si>
    <t>wool cloth, c.p./oz.</t>
  </si>
  <si>
    <t>tanned skins, c.p./oz.</t>
  </si>
  <si>
    <t>leather goods references</t>
  </si>
  <si>
    <t>MEAT</t>
  </si>
  <si>
    <t>meat,   lb./animal</t>
  </si>
  <si>
    <t>unbutchered meat, c.p./lb.</t>
  </si>
  <si>
    <t>butchered meat, c.p./lb.</t>
  </si>
  <si>
    <t>meat references</t>
  </si>
  <si>
    <t>METAL GOODS</t>
  </si>
  <si>
    <t>source</t>
  </si>
  <si>
    <t>gold</t>
  </si>
  <si>
    <t>unwrought cost, c.p./unit</t>
  </si>
  <si>
    <t>cp/oz.</t>
  </si>
  <si>
    <t>lb.</t>
  </si>
  <si>
    <t>metal references</t>
  </si>
  <si>
    <t>smithed metal,   c.p./oz.</t>
  </si>
  <si>
    <t>POTTERY</t>
  </si>
  <si>
    <t>cost per lb., c.p.</t>
  </si>
  <si>
    <t>clay references</t>
  </si>
  <si>
    <t>pottery, c.p./lb.</t>
  </si>
  <si>
    <t>WINE</t>
  </si>
  <si>
    <t>lbs. per gallon of wine</t>
  </si>
  <si>
    <t>wine references</t>
  </si>
  <si>
    <t>butchered meat, c.p./gallon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</si>
</sst>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9"/>
      <name val="Garamond"/>
      <family val="1"/>
    </font>
    <font>
      <b/>
      <u/>
      <sz val="9"/>
      <name val="Garamond"/>
      <family val="1"/>
    </font>
    <font>
      <sz val="8"/>
      <color theme="0" tint="-0.499984740745262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165" fontId="2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/>
    <xf numFmtId="0" fontId="2" fillId="5" borderId="1" xfId="0" applyFont="1" applyFill="1" applyBorder="1"/>
    <xf numFmtId="4" fontId="2" fillId="5" borderId="1" xfId="0" applyNumberFormat="1" applyFont="1" applyFill="1" applyBorder="1"/>
    <xf numFmtId="164" fontId="2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4" fontId="2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/>
    <xf numFmtId="4" fontId="1" fillId="3" borderId="2" xfId="0" applyNumberFormat="1" applyFont="1" applyFill="1" applyBorder="1"/>
    <xf numFmtId="0" fontId="4" fillId="2" borderId="0" xfId="0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166" fontId="1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4" fontId="2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  <color rgb="FFCCFF33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J1" zoomScale="90" zoomScaleNormal="90" workbookViewId="0">
      <selection activeCell="A22" sqref="A22"/>
    </sheetView>
  </sheetViews>
  <sheetFormatPr defaultColWidth="0" defaultRowHeight="15" x14ac:dyDescent="0.2"/>
  <cols>
    <col min="1" max="1" width="9.14453125" style="1" customWidth="1"/>
    <col min="2" max="12" width="13.71875" customWidth="1"/>
    <col min="13" max="13" width="8.203125" style="1" customWidth="1"/>
    <col min="14" max="16384" width="9.14453125" hidden="1"/>
  </cols>
  <sheetData>
    <row r="1" spans="2:13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3" x14ac:dyDescent="0.2">
      <c r="B2" s="2" t="s">
        <v>12</v>
      </c>
      <c r="C2" s="3"/>
      <c r="D2" s="3"/>
      <c r="E2" s="3"/>
      <c r="F2" s="3"/>
      <c r="G2" s="3"/>
      <c r="H2" s="3"/>
      <c r="I2" s="3"/>
      <c r="J2" s="3"/>
      <c r="K2" s="3"/>
      <c r="L2" s="1"/>
      <c r="M2" s="3"/>
    </row>
    <row r="3" spans="2:13" ht="22.5" thickBot="1" x14ac:dyDescent="0.25">
      <c r="B3" s="4" t="s">
        <v>1</v>
      </c>
      <c r="C3" s="4" t="s">
        <v>2</v>
      </c>
      <c r="D3" s="4" t="s">
        <v>3</v>
      </c>
      <c r="E3" s="5" t="s">
        <v>4</v>
      </c>
      <c r="F3" s="4" t="s">
        <v>5</v>
      </c>
      <c r="G3" s="6" t="s">
        <v>6</v>
      </c>
      <c r="H3" s="6" t="s">
        <v>7</v>
      </c>
      <c r="I3" s="6" t="s">
        <v>8</v>
      </c>
      <c r="J3" s="6" t="s">
        <v>11</v>
      </c>
      <c r="K3" s="6" t="s">
        <v>60</v>
      </c>
      <c r="L3" s="1"/>
    </row>
    <row r="4" spans="2:13" ht="15.75" thickBot="1" x14ac:dyDescent="0.25">
      <c r="B4" s="12">
        <v>1.2</v>
      </c>
      <c r="C4" s="8">
        <v>2</v>
      </c>
      <c r="D4" s="9">
        <f>1320*C4</f>
        <v>2640</v>
      </c>
      <c r="E4" s="10" t="s">
        <v>10</v>
      </c>
      <c r="F4" s="11">
        <f>D4/C4*B4</f>
        <v>1584</v>
      </c>
      <c r="G4" s="9">
        <f>D4</f>
        <v>2640</v>
      </c>
      <c r="H4" s="11">
        <f>F4</f>
        <v>1584</v>
      </c>
      <c r="I4" s="8">
        <f>F4/H4</f>
        <v>1</v>
      </c>
      <c r="J4" s="16">
        <f>(C4/B4*0.02)+1</f>
        <v>1.0333333333333334</v>
      </c>
      <c r="K4" s="18">
        <f>I4*8.715*192*J4</f>
        <v>1729.056</v>
      </c>
      <c r="L4" s="1"/>
    </row>
    <row r="5" spans="2:13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3" x14ac:dyDescent="0.2">
      <c r="B6" s="2" t="s">
        <v>15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21.75" x14ac:dyDescent="0.2">
      <c r="B7" s="13" t="s">
        <v>0</v>
      </c>
      <c r="C7" s="13" t="s">
        <v>1</v>
      </c>
      <c r="D7" s="13" t="s">
        <v>2</v>
      </c>
      <c r="E7" s="13" t="s">
        <v>3</v>
      </c>
      <c r="F7" s="14" t="s">
        <v>4</v>
      </c>
      <c r="G7" s="13" t="s">
        <v>5</v>
      </c>
      <c r="H7" s="15" t="s">
        <v>6</v>
      </c>
      <c r="I7" s="15" t="s">
        <v>7</v>
      </c>
      <c r="J7" s="15" t="s">
        <v>8</v>
      </c>
      <c r="K7" s="15" t="s">
        <v>11</v>
      </c>
      <c r="L7" s="15" t="s">
        <v>9</v>
      </c>
      <c r="M7" s="3"/>
    </row>
    <row r="8" spans="2:13" x14ac:dyDescent="0.2">
      <c r="B8" s="7" t="s">
        <v>16</v>
      </c>
      <c r="C8" s="12">
        <v>1.2</v>
      </c>
      <c r="D8" s="8">
        <v>2</v>
      </c>
      <c r="E8" s="9">
        <f>6500*2000*D8</f>
        <v>26000000</v>
      </c>
      <c r="F8" s="10" t="s">
        <v>14</v>
      </c>
      <c r="G8" s="11">
        <f>E8/D8*C8</f>
        <v>15600000</v>
      </c>
      <c r="H8" s="9">
        <f>D8*$K$4</f>
        <v>3458.1120000000001</v>
      </c>
      <c r="I8" s="11">
        <f>C8/D8*H8</f>
        <v>2074.8672000000001</v>
      </c>
      <c r="J8" s="12">
        <f>I8/G8</f>
        <v>1.3300430769230771E-4</v>
      </c>
      <c r="K8" s="16">
        <f>(D8/C8*0.02)+1</f>
        <v>1.0333333333333334</v>
      </c>
      <c r="L8" s="17">
        <f>J8*192*8.715*K8</f>
        <v>0.22997189624123082</v>
      </c>
      <c r="M8" s="3"/>
    </row>
    <row r="9" spans="2:13" x14ac:dyDescent="0.2">
      <c r="B9" s="7" t="s">
        <v>17</v>
      </c>
      <c r="C9" s="12">
        <v>0.4</v>
      </c>
      <c r="D9" s="8">
        <v>2</v>
      </c>
      <c r="E9" s="9">
        <f>6400*D9</f>
        <v>12800</v>
      </c>
      <c r="F9" s="10" t="s">
        <v>26</v>
      </c>
      <c r="G9" s="11">
        <f t="shared" ref="G9:G18" si="0">E9/D9*C9</f>
        <v>2560</v>
      </c>
      <c r="H9" s="9">
        <f t="shared" ref="H9:H18" si="1">D9*$K$4</f>
        <v>3458.1120000000001</v>
      </c>
      <c r="I9" s="11">
        <f t="shared" ref="I9:I18" si="2">C9/D9*H9</f>
        <v>691.62240000000008</v>
      </c>
      <c r="J9" s="12">
        <f t="shared" ref="J9:J18" si="3">I9/G9</f>
        <v>0.27016500000000004</v>
      </c>
      <c r="K9" s="16">
        <f t="shared" ref="K9:K18" si="4">(D9/C9*0.02)+1</f>
        <v>1.1000000000000001</v>
      </c>
      <c r="L9" s="17">
        <f t="shared" ref="L9:L18" si="5">J9*192*8.715*K9</f>
        <v>497.26786032000012</v>
      </c>
      <c r="M9" s="3"/>
    </row>
    <row r="10" spans="2:13" x14ac:dyDescent="0.2">
      <c r="B10" s="7" t="s">
        <v>18</v>
      </c>
      <c r="C10" s="12">
        <v>1.2</v>
      </c>
      <c r="D10" s="8">
        <v>2</v>
      </c>
      <c r="E10" s="9">
        <f>20000*16*D10</f>
        <v>640000</v>
      </c>
      <c r="F10" s="10" t="s">
        <v>14</v>
      </c>
      <c r="G10" s="11">
        <f t="shared" si="0"/>
        <v>384000</v>
      </c>
      <c r="H10" s="9">
        <f t="shared" si="1"/>
        <v>3458.1120000000001</v>
      </c>
      <c r="I10" s="11">
        <f t="shared" si="2"/>
        <v>2074.8672000000001</v>
      </c>
      <c r="J10" s="12">
        <f t="shared" si="3"/>
        <v>5.4033000000000006E-3</v>
      </c>
      <c r="K10" s="16">
        <f t="shared" si="4"/>
        <v>1.0333333333333334</v>
      </c>
      <c r="L10" s="17">
        <f t="shared" si="5"/>
        <v>9.3426082848000025</v>
      </c>
      <c r="M10" s="3"/>
    </row>
    <row r="11" spans="2:13" x14ac:dyDescent="0.2">
      <c r="B11" s="7" t="s">
        <v>19</v>
      </c>
      <c r="C11" s="12">
        <v>1.2</v>
      </c>
      <c r="D11" s="8">
        <v>2</v>
      </c>
      <c r="E11" s="9">
        <f>65000*D11</f>
        <v>130000</v>
      </c>
      <c r="F11" s="10" t="s">
        <v>14</v>
      </c>
      <c r="G11" s="11">
        <f t="shared" si="0"/>
        <v>78000</v>
      </c>
      <c r="H11" s="9">
        <f t="shared" si="1"/>
        <v>3458.1120000000001</v>
      </c>
      <c r="I11" s="11">
        <f t="shared" si="2"/>
        <v>2074.8672000000001</v>
      </c>
      <c r="J11" s="12">
        <f t="shared" si="3"/>
        <v>2.6600861538461539E-2</v>
      </c>
      <c r="K11" s="16">
        <f t="shared" si="4"/>
        <v>1.0333333333333334</v>
      </c>
      <c r="L11" s="17">
        <f t="shared" si="5"/>
        <v>45.994379248246155</v>
      </c>
      <c r="M11" s="3"/>
    </row>
    <row r="12" spans="2:13" x14ac:dyDescent="0.2">
      <c r="B12" s="7" t="s">
        <v>20</v>
      </c>
      <c r="C12" s="12">
        <v>2</v>
      </c>
      <c r="D12" s="8">
        <v>2</v>
      </c>
      <c r="E12" s="9">
        <f>1600*2000*D12</f>
        <v>6400000</v>
      </c>
      <c r="F12" s="10" t="s">
        <v>14</v>
      </c>
      <c r="G12" s="11">
        <f t="shared" si="0"/>
        <v>6400000</v>
      </c>
      <c r="H12" s="9">
        <f t="shared" si="1"/>
        <v>3458.1120000000001</v>
      </c>
      <c r="I12" s="11">
        <f t="shared" si="2"/>
        <v>3458.1120000000001</v>
      </c>
      <c r="J12" s="12">
        <f t="shared" si="3"/>
        <v>5.4033E-4</v>
      </c>
      <c r="K12" s="16">
        <f t="shared" si="4"/>
        <v>1.02</v>
      </c>
      <c r="L12" s="17">
        <f t="shared" si="5"/>
        <v>0.92220585004800004</v>
      </c>
      <c r="M12" s="3"/>
    </row>
    <row r="13" spans="2:13" x14ac:dyDescent="0.2">
      <c r="B13" s="7" t="s">
        <v>21</v>
      </c>
      <c r="C13" s="12">
        <v>2</v>
      </c>
      <c r="D13" s="8">
        <v>2</v>
      </c>
      <c r="E13" s="9">
        <f>70000*D13</f>
        <v>140000</v>
      </c>
      <c r="F13" s="10" t="s">
        <v>14</v>
      </c>
      <c r="G13" s="11">
        <f t="shared" si="0"/>
        <v>140000</v>
      </c>
      <c r="H13" s="9">
        <f t="shared" si="1"/>
        <v>3458.1120000000001</v>
      </c>
      <c r="I13" s="11">
        <f t="shared" si="2"/>
        <v>3458.1120000000001</v>
      </c>
      <c r="J13" s="12">
        <f t="shared" si="3"/>
        <v>2.4700800000000002E-2</v>
      </c>
      <c r="K13" s="16">
        <f t="shared" si="4"/>
        <v>1.02</v>
      </c>
      <c r="L13" s="17">
        <f t="shared" si="5"/>
        <v>42.157981716480009</v>
      </c>
      <c r="M13" s="3"/>
    </row>
    <row r="14" spans="2:13" x14ac:dyDescent="0.2">
      <c r="B14" s="7" t="s">
        <v>22</v>
      </c>
      <c r="C14" s="12">
        <v>1.2</v>
      </c>
      <c r="D14" s="8">
        <v>2</v>
      </c>
      <c r="E14" s="9">
        <f>4200*D14</f>
        <v>8400</v>
      </c>
      <c r="F14" s="10" t="s">
        <v>26</v>
      </c>
      <c r="G14" s="11">
        <f t="shared" si="0"/>
        <v>5040</v>
      </c>
      <c r="H14" s="9">
        <f t="shared" si="1"/>
        <v>3458.1120000000001</v>
      </c>
      <c r="I14" s="11">
        <f t="shared" si="2"/>
        <v>2074.8672000000001</v>
      </c>
      <c r="J14" s="12">
        <f t="shared" si="3"/>
        <v>0.41168000000000005</v>
      </c>
      <c r="K14" s="16">
        <f t="shared" si="4"/>
        <v>1.0333333333333334</v>
      </c>
      <c r="L14" s="17">
        <f t="shared" si="5"/>
        <v>711.81777408000016</v>
      </c>
      <c r="M14" s="3"/>
    </row>
    <row r="15" spans="2:13" x14ac:dyDescent="0.2">
      <c r="B15" s="7" t="s">
        <v>13</v>
      </c>
      <c r="C15" s="12">
        <v>1.2</v>
      </c>
      <c r="D15" s="8">
        <v>2</v>
      </c>
      <c r="E15" s="9">
        <f>2000*2000*D15</f>
        <v>8000000</v>
      </c>
      <c r="F15" s="10" t="s">
        <v>14</v>
      </c>
      <c r="G15" s="11">
        <f t="shared" si="0"/>
        <v>4800000</v>
      </c>
      <c r="H15" s="9">
        <f t="shared" si="1"/>
        <v>3458.1120000000001</v>
      </c>
      <c r="I15" s="11">
        <f t="shared" si="2"/>
        <v>2074.8672000000001</v>
      </c>
      <c r="J15" s="12">
        <f t="shared" si="3"/>
        <v>4.3226400000000002E-4</v>
      </c>
      <c r="K15" s="16">
        <f t="shared" si="4"/>
        <v>1.0333333333333334</v>
      </c>
      <c r="L15" s="17">
        <f t="shared" si="5"/>
        <v>0.7474086627840002</v>
      </c>
      <c r="M15" s="3"/>
    </row>
    <row r="16" spans="2:13" x14ac:dyDescent="0.2">
      <c r="B16" s="7" t="s">
        <v>23</v>
      </c>
      <c r="C16" s="12">
        <v>1.2</v>
      </c>
      <c r="D16" s="8">
        <v>2</v>
      </c>
      <c r="E16" s="9">
        <f>55000*D16</f>
        <v>110000</v>
      </c>
      <c r="F16" s="10" t="s">
        <v>26</v>
      </c>
      <c r="G16" s="11">
        <f t="shared" si="0"/>
        <v>66000</v>
      </c>
      <c r="H16" s="9">
        <f t="shared" si="1"/>
        <v>3458.1120000000001</v>
      </c>
      <c r="I16" s="11">
        <f t="shared" si="2"/>
        <v>2074.8672000000001</v>
      </c>
      <c r="J16" s="12">
        <f t="shared" si="3"/>
        <v>3.1437381818181821E-2</v>
      </c>
      <c r="K16" s="16">
        <f t="shared" si="4"/>
        <v>1.0333333333333334</v>
      </c>
      <c r="L16" s="17">
        <f t="shared" si="5"/>
        <v>54.356993657018194</v>
      </c>
      <c r="M16" s="3"/>
    </row>
    <row r="17" spans="2:13" x14ac:dyDescent="0.2">
      <c r="B17" s="7" t="s">
        <v>24</v>
      </c>
      <c r="C17" s="12">
        <v>0.4</v>
      </c>
      <c r="D17" s="8">
        <v>2</v>
      </c>
      <c r="E17" s="9">
        <f>16000*D17</f>
        <v>32000</v>
      </c>
      <c r="F17" s="10" t="s">
        <v>14</v>
      </c>
      <c r="G17" s="11">
        <f t="shared" si="0"/>
        <v>6400</v>
      </c>
      <c r="H17" s="9">
        <f t="shared" si="1"/>
        <v>3458.1120000000001</v>
      </c>
      <c r="I17" s="11">
        <f t="shared" si="2"/>
        <v>691.62240000000008</v>
      </c>
      <c r="J17" s="12">
        <f t="shared" si="3"/>
        <v>0.10806600000000001</v>
      </c>
      <c r="K17" s="16">
        <f t="shared" si="4"/>
        <v>1.1000000000000001</v>
      </c>
      <c r="L17" s="17">
        <f t="shared" si="5"/>
        <v>198.90714412800003</v>
      </c>
      <c r="M17" s="3"/>
    </row>
    <row r="18" spans="2:13" x14ac:dyDescent="0.2">
      <c r="B18" s="7" t="s">
        <v>25</v>
      </c>
      <c r="C18" s="12">
        <v>0.4</v>
      </c>
      <c r="D18" s="8">
        <v>2</v>
      </c>
      <c r="E18" s="9">
        <f>8200*2000*D18</f>
        <v>32800000</v>
      </c>
      <c r="F18" s="10" t="s">
        <v>14</v>
      </c>
      <c r="G18" s="11">
        <f t="shared" si="0"/>
        <v>6560000</v>
      </c>
      <c r="H18" s="9">
        <f t="shared" si="1"/>
        <v>3458.1120000000001</v>
      </c>
      <c r="I18" s="11">
        <f t="shared" si="2"/>
        <v>691.62240000000008</v>
      </c>
      <c r="J18" s="12">
        <f t="shared" si="3"/>
        <v>1.0543024390243904E-4</v>
      </c>
      <c r="K18" s="16">
        <f t="shared" si="4"/>
        <v>1.1000000000000001</v>
      </c>
      <c r="L18" s="17">
        <f t="shared" si="5"/>
        <v>0.19405575036878053</v>
      </c>
      <c r="M18" s="3"/>
    </row>
    <row r="19" spans="2:13" s="1" customFormat="1" x14ac:dyDescent="0.2"/>
    <row r="20" spans="2:13" s="1" customFormat="1" x14ac:dyDescent="0.2"/>
    <row r="21" spans="2:13" s="1" customFormat="1" x14ac:dyDescent="0.2">
      <c r="B21" s="2" t="s">
        <v>33</v>
      </c>
    </row>
    <row r="22" spans="2:13" s="1" customFormat="1" ht="21.75" x14ac:dyDescent="0.2">
      <c r="B22" s="22" t="s">
        <v>27</v>
      </c>
      <c r="C22" s="23" t="s">
        <v>34</v>
      </c>
      <c r="D22" s="23" t="s">
        <v>35</v>
      </c>
      <c r="E22" s="23" t="s">
        <v>36</v>
      </c>
      <c r="F22" s="23" t="s">
        <v>46</v>
      </c>
    </row>
    <row r="23" spans="2:13" s="1" customFormat="1" x14ac:dyDescent="0.2">
      <c r="B23" s="10" t="s">
        <v>20</v>
      </c>
      <c r="C23" s="24">
        <f>11.5/5</f>
        <v>2.2999999999999998</v>
      </c>
      <c r="D23" s="24">
        <f>C23*L12</f>
        <v>2.1210734551104</v>
      </c>
      <c r="E23" s="24">
        <v>0.2</v>
      </c>
      <c r="F23" s="25">
        <f>D23/E23+D23</f>
        <v>12.7264407306624</v>
      </c>
    </row>
    <row r="24" spans="2:13" s="1" customFormat="1" x14ac:dyDescent="0.2"/>
    <row r="25" spans="2:13" s="1" customFormat="1" x14ac:dyDescent="0.2">
      <c r="B25" s="2" t="s">
        <v>51</v>
      </c>
    </row>
    <row r="26" spans="2:13" s="1" customFormat="1" ht="21.75" x14ac:dyDescent="0.2">
      <c r="B26" s="22" t="s">
        <v>37</v>
      </c>
      <c r="C26" s="23" t="s">
        <v>42</v>
      </c>
      <c r="D26" s="23" t="s">
        <v>52</v>
      </c>
      <c r="E26" s="23" t="s">
        <v>53</v>
      </c>
      <c r="F26" s="22" t="s">
        <v>55</v>
      </c>
      <c r="G26" s="23" t="s">
        <v>54</v>
      </c>
    </row>
    <row r="27" spans="2:13" s="1" customFormat="1" x14ac:dyDescent="0.2">
      <c r="B27" s="10" t="s">
        <v>17</v>
      </c>
      <c r="C27" s="11">
        <f>L9</f>
        <v>497.26786032000012</v>
      </c>
      <c r="D27" s="29">
        <f>8000/16</f>
        <v>500</v>
      </c>
      <c r="E27" s="28">
        <f>C27/D27</f>
        <v>0.99453572064000029</v>
      </c>
      <c r="F27" s="24">
        <v>0.2</v>
      </c>
      <c r="G27" s="25">
        <f>E27/F27+E27</f>
        <v>5.9672143238400013</v>
      </c>
    </row>
    <row r="28" spans="2:13" s="1" customFormat="1" x14ac:dyDescent="0.2">
      <c r="B28" s="10" t="s">
        <v>38</v>
      </c>
      <c r="C28" s="11">
        <f>L14</f>
        <v>711.81777408000016</v>
      </c>
      <c r="D28" s="29">
        <v>300</v>
      </c>
      <c r="E28" s="28">
        <f t="shared" ref="E28:E29" si="6">C28/D28</f>
        <v>2.3727259136000005</v>
      </c>
      <c r="F28" s="24">
        <v>0.2</v>
      </c>
      <c r="G28" s="25">
        <f t="shared" ref="G28:G29" si="7">E28/F28+E28</f>
        <v>14.236355481600002</v>
      </c>
    </row>
    <row r="29" spans="2:13" s="1" customFormat="1" x14ac:dyDescent="0.2">
      <c r="B29" s="10" t="s">
        <v>23</v>
      </c>
      <c r="C29" s="11">
        <f>L16</f>
        <v>54.356993657018194</v>
      </c>
      <c r="D29" s="29">
        <v>73</v>
      </c>
      <c r="E29" s="28">
        <f t="shared" si="6"/>
        <v>0.74461635146600269</v>
      </c>
      <c r="F29" s="24">
        <v>0.2</v>
      </c>
      <c r="G29" s="25">
        <f t="shared" si="7"/>
        <v>4.4676981087960161</v>
      </c>
    </row>
    <row r="30" spans="2:13" s="1" customFormat="1" x14ac:dyDescent="0.2"/>
    <row r="31" spans="2:13" s="1" customFormat="1" x14ac:dyDescent="0.2">
      <c r="B31" s="2" t="s">
        <v>68</v>
      </c>
    </row>
    <row r="32" spans="2:13" s="1" customFormat="1" ht="21.75" x14ac:dyDescent="0.2">
      <c r="B32" s="22" t="s">
        <v>57</v>
      </c>
      <c r="C32" s="23" t="s">
        <v>69</v>
      </c>
      <c r="D32" s="23" t="s">
        <v>35</v>
      </c>
      <c r="E32" s="22" t="s">
        <v>70</v>
      </c>
      <c r="F32" s="23" t="s">
        <v>71</v>
      </c>
    </row>
    <row r="33" spans="2:9" s="1" customFormat="1" x14ac:dyDescent="0.2">
      <c r="B33" s="10" t="s">
        <v>21</v>
      </c>
      <c r="C33" s="11">
        <v>20.8</v>
      </c>
      <c r="D33" s="34">
        <f>C33*L13</f>
        <v>876.88601970278421</v>
      </c>
      <c r="E33" s="24">
        <v>1</v>
      </c>
      <c r="F33" s="35">
        <f>D33/E33+D33</f>
        <v>1753.7720394055684</v>
      </c>
    </row>
    <row r="34" spans="2:9" s="1" customFormat="1" x14ac:dyDescent="0.2"/>
    <row r="35" spans="2:9" s="1" customFormat="1" x14ac:dyDescent="0.2">
      <c r="B35" s="2" t="s">
        <v>28</v>
      </c>
      <c r="C35" s="19"/>
      <c r="D35" s="19"/>
    </row>
    <row r="36" spans="2:9" s="1" customFormat="1" ht="21.75" x14ac:dyDescent="0.2">
      <c r="B36" s="20" t="s">
        <v>27</v>
      </c>
      <c r="C36" s="21" t="s">
        <v>41</v>
      </c>
      <c r="D36" s="20" t="s">
        <v>31</v>
      </c>
      <c r="E36" s="21" t="s">
        <v>43</v>
      </c>
      <c r="F36" s="20" t="s">
        <v>30</v>
      </c>
      <c r="G36" s="21" t="s">
        <v>47</v>
      </c>
      <c r="H36" s="20" t="s">
        <v>32</v>
      </c>
      <c r="I36" s="21" t="s">
        <v>48</v>
      </c>
    </row>
    <row r="37" spans="2:9" s="1" customFormat="1" x14ac:dyDescent="0.2">
      <c r="B37" s="10" t="s">
        <v>29</v>
      </c>
      <c r="C37" s="11">
        <f>L16</f>
        <v>54.356993657018194</v>
      </c>
      <c r="D37" s="26">
        <v>26.45</v>
      </c>
      <c r="E37" s="27">
        <f>C37/D37</f>
        <v>2.0550848263522945</v>
      </c>
      <c r="F37" s="24">
        <v>1</v>
      </c>
      <c r="G37" s="17">
        <f>E37/F37+E37</f>
        <v>4.110169652704589</v>
      </c>
      <c r="H37" s="24">
        <v>1</v>
      </c>
      <c r="I37" s="17">
        <f>G37/H37+G37</f>
        <v>8.220339305409178</v>
      </c>
    </row>
    <row r="38" spans="2:9" s="1" customFormat="1" x14ac:dyDescent="0.2"/>
    <row r="39" spans="2:9" s="1" customFormat="1" x14ac:dyDescent="0.2">
      <c r="B39" s="2" t="s">
        <v>39</v>
      </c>
    </row>
    <row r="40" spans="2:9" s="1" customFormat="1" ht="21.75" x14ac:dyDescent="0.2">
      <c r="B40" s="20" t="s">
        <v>37</v>
      </c>
      <c r="C40" s="21" t="s">
        <v>42</v>
      </c>
      <c r="D40" s="21" t="s">
        <v>40</v>
      </c>
      <c r="E40" s="21" t="s">
        <v>44</v>
      </c>
      <c r="F40" s="20" t="s">
        <v>45</v>
      </c>
      <c r="G40" s="21" t="s">
        <v>49</v>
      </c>
      <c r="H40" s="21" t="s">
        <v>50</v>
      </c>
      <c r="I40" s="21" t="s">
        <v>49</v>
      </c>
    </row>
    <row r="41" spans="2:9" s="1" customFormat="1" x14ac:dyDescent="0.2">
      <c r="B41" s="10" t="s">
        <v>17</v>
      </c>
      <c r="C41" s="11">
        <f>L9</f>
        <v>497.26786032000012</v>
      </c>
      <c r="D41" s="26">
        <v>624</v>
      </c>
      <c r="E41" s="28">
        <f>C41/D41</f>
        <v>0.79690362230769252</v>
      </c>
      <c r="F41" s="24">
        <v>0.2</v>
      </c>
      <c r="G41" s="25">
        <f>E41/F41+E41</f>
        <v>4.7814217338461553</v>
      </c>
      <c r="H41" s="24">
        <v>0.2</v>
      </c>
      <c r="I41" s="25">
        <f t="shared" ref="I41:I43" si="8">G41/H41+G41</f>
        <v>28.688530403076932</v>
      </c>
    </row>
    <row r="42" spans="2:9" s="1" customFormat="1" x14ac:dyDescent="0.2">
      <c r="B42" s="10" t="s">
        <v>38</v>
      </c>
      <c r="C42" s="11">
        <f>L14</f>
        <v>711.81777408000016</v>
      </c>
      <c r="D42" s="26">
        <v>816</v>
      </c>
      <c r="E42" s="28">
        <f t="shared" ref="E42:E43" si="9">C42/D42</f>
        <v>0.87232570352941197</v>
      </c>
      <c r="F42" s="24">
        <v>0.2</v>
      </c>
      <c r="G42" s="25">
        <f t="shared" ref="G42:G43" si="10">E42/F42+E42</f>
        <v>5.2339542211764716</v>
      </c>
      <c r="H42" s="24">
        <v>0.2</v>
      </c>
      <c r="I42" s="25">
        <f t="shared" si="8"/>
        <v>31.403725327058829</v>
      </c>
    </row>
    <row r="43" spans="2:9" s="1" customFormat="1" x14ac:dyDescent="0.2">
      <c r="B43" s="10" t="s">
        <v>23</v>
      </c>
      <c r="C43" s="11">
        <f>L16</f>
        <v>54.356993657018194</v>
      </c>
      <c r="D43" s="26">
        <v>80</v>
      </c>
      <c r="E43" s="28">
        <f t="shared" si="9"/>
        <v>0.67946242071272744</v>
      </c>
      <c r="F43" s="24">
        <v>0.2</v>
      </c>
      <c r="G43" s="25">
        <f t="shared" si="10"/>
        <v>4.0767745242763649</v>
      </c>
      <c r="H43" s="24">
        <v>0.2</v>
      </c>
      <c r="I43" s="25">
        <f t="shared" si="8"/>
        <v>24.460647145658186</v>
      </c>
    </row>
    <row r="44" spans="2:9" s="1" customFormat="1" x14ac:dyDescent="0.2"/>
    <row r="45" spans="2:9" s="1" customFormat="1" x14ac:dyDescent="0.2">
      <c r="B45" s="2" t="s">
        <v>64</v>
      </c>
      <c r="C45" s="19"/>
      <c r="D45" s="19"/>
    </row>
    <row r="46" spans="2:9" s="1" customFormat="1" x14ac:dyDescent="0.2">
      <c r="B46" s="30" t="s">
        <v>27</v>
      </c>
      <c r="C46" s="31" t="s">
        <v>65</v>
      </c>
      <c r="D46" s="30" t="s">
        <v>66</v>
      </c>
      <c r="E46" s="31" t="s">
        <v>67</v>
      </c>
    </row>
    <row r="47" spans="2:9" s="1" customFormat="1" x14ac:dyDescent="0.2">
      <c r="B47" s="10" t="s">
        <v>18</v>
      </c>
      <c r="C47" s="11">
        <f>L10</f>
        <v>9.3426082848000025</v>
      </c>
      <c r="D47" s="24">
        <v>1</v>
      </c>
      <c r="E47" s="27">
        <f>C47/D47+C47</f>
        <v>18.685216569600005</v>
      </c>
    </row>
    <row r="48" spans="2:9" s="1" customFormat="1" x14ac:dyDescent="0.2"/>
    <row r="49" spans="2:6" s="1" customFormat="1" x14ac:dyDescent="0.2">
      <c r="B49" s="2" t="s">
        <v>56</v>
      </c>
    </row>
    <row r="50" spans="2:6" s="1" customFormat="1" ht="21.75" x14ac:dyDescent="0.2">
      <c r="B50" s="32" t="s">
        <v>57</v>
      </c>
      <c r="C50" s="33" t="s">
        <v>59</v>
      </c>
      <c r="D50" s="33" t="s">
        <v>4</v>
      </c>
      <c r="E50" s="33" t="s">
        <v>62</v>
      </c>
      <c r="F50" s="33" t="s">
        <v>63</v>
      </c>
    </row>
    <row r="51" spans="2:6" s="1" customFormat="1" x14ac:dyDescent="0.2">
      <c r="B51" s="10" t="s">
        <v>58</v>
      </c>
      <c r="C51" s="11">
        <f>K4</f>
        <v>1729.056</v>
      </c>
      <c r="D51" s="11" t="s">
        <v>10</v>
      </c>
      <c r="E51" s="24">
        <v>0.2</v>
      </c>
      <c r="F51" s="35">
        <f>C51/E51+C51</f>
        <v>10374.335999999999</v>
      </c>
    </row>
    <row r="52" spans="2:6" s="1" customFormat="1" x14ac:dyDescent="0.2">
      <c r="B52" s="10" t="s">
        <v>13</v>
      </c>
      <c r="C52" s="11">
        <f>L15</f>
        <v>0.7474086627840002</v>
      </c>
      <c r="D52" s="11" t="s">
        <v>61</v>
      </c>
      <c r="E52" s="24">
        <v>0.2</v>
      </c>
      <c r="F52" s="35">
        <f>C52/E52+C52</f>
        <v>4.4844519767040012</v>
      </c>
    </row>
    <row r="53" spans="2:6" s="1" customFormat="1" x14ac:dyDescent="0.2"/>
    <row r="54" spans="2:6" s="1" customFormat="1" x14ac:dyDescent="0.2"/>
    <row r="55" spans="2:6" s="1" customFormat="1" x14ac:dyDescent="0.2"/>
    <row r="56" spans="2:6" s="1" customFormat="1" x14ac:dyDescent="0.2"/>
    <row r="57" spans="2:6" s="1" customFormat="1" x14ac:dyDescent="0.2"/>
    <row r="58" spans="2:6" s="1" customFormat="1" x14ac:dyDescent="0.2"/>
    <row r="59" spans="2:6" s="1" customFormat="1" x14ac:dyDescent="0.2"/>
    <row r="60" spans="2:6" s="1" customFormat="1" x14ac:dyDescent="0.2"/>
    <row r="61" spans="2:6" s="1" customFormat="1" x14ac:dyDescent="0.2"/>
    <row r="62" spans="2:6" s="1" customFormat="1" x14ac:dyDescent="0.2"/>
    <row r="63" spans="2:6" s="1" customFormat="1" x14ac:dyDescent="0.2"/>
    <row r="64" spans="2:6" s="1" customFormat="1" x14ac:dyDescent="0.2"/>
    <row r="65" s="1" customFormat="1" x14ac:dyDescent="0.2"/>
    <row r="66" s="1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2016-03-22T18:18:20Z</dcterms:created>
  <dcterms:modified xsi:type="dcterms:W3CDTF">2016-03-25T05:59:11Z</dcterms:modified>
</cp:coreProperties>
</file>